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840" yWindow="240" windowWidth="9135" windowHeight="8805" tabRatio="610" firstSheet="5" activeTab="5"/>
  </bookViews>
  <sheets>
    <sheet name="(당초)전체" sheetId="28" state="hidden" r:id="rId1"/>
    <sheet name="(변경)전체" sheetId="4" state="hidden" r:id="rId2"/>
    <sheet name="(당초)집계표" sheetId="27" state="hidden" r:id="rId3"/>
    <sheet name="(변경)집계표" sheetId="5" state="hidden" r:id="rId4"/>
    <sheet name="(당초)대두리" sheetId="22" state="hidden" r:id="rId5"/>
    <sheet name="토지세목조서" sheetId="6" r:id="rId6"/>
    <sheet name="(당초)봉락리" sheetId="23" state="hidden" r:id="rId7"/>
    <sheet name="(당초)칠전리" sheetId="24" state="hidden" r:id="rId8"/>
    <sheet name="(당초)마룡리" sheetId="25" state="hidden" r:id="rId9"/>
    <sheet name="(당초)창리" sheetId="26" state="hidden" r:id="rId10"/>
    <sheet name="6" sheetId="11" state="hidden" r:id="rId11"/>
    <sheet name="7" sheetId="12" state="hidden" r:id="rId12"/>
    <sheet name="8" sheetId="13" state="hidden" r:id="rId13"/>
    <sheet name="9" sheetId="14" state="hidden" r:id="rId14"/>
    <sheet name="10" sheetId="15" state="hidden" r:id="rId15"/>
  </sheets>
  <definedNames>
    <definedName name="_xlnm._FilterDatabase" localSheetId="4" hidden="1">'(당초)대두리'!$A$5:$X$100</definedName>
    <definedName name="_xlnm._FilterDatabase" localSheetId="8" hidden="1">'(당초)마룡리'!$A$5:$AB$608</definedName>
    <definedName name="_xlnm._FilterDatabase" localSheetId="6" hidden="1">'(당초)봉락리'!$A$5:$U$156</definedName>
    <definedName name="_xlnm._FilterDatabase" localSheetId="9" hidden="1">'(당초)창리'!$A$5:$AD$586</definedName>
    <definedName name="_xlnm._FilterDatabase" localSheetId="7" hidden="1">'(당초)칠전리'!$A$5:$U$232</definedName>
    <definedName name="_xlnm._FilterDatabase" localSheetId="14" hidden="1">'10'!$A$4:$N$530</definedName>
    <definedName name="_xlnm._FilterDatabase" localSheetId="10" hidden="1">'6'!$A$4:$N$530</definedName>
    <definedName name="_xlnm._FilterDatabase" localSheetId="11" hidden="1">'7'!$A$4:$N$530</definedName>
    <definedName name="_xlnm._FilterDatabase" localSheetId="12" hidden="1">'8'!$A$4:$N$530</definedName>
    <definedName name="_xlnm._FilterDatabase" localSheetId="13" hidden="1">'9'!$A$4:$N$530</definedName>
    <definedName name="_xlnm._FilterDatabase" localSheetId="5" hidden="1">토지세목조서!$A$5:$AD$811</definedName>
    <definedName name="_xlnm.Print_Area" localSheetId="4">'(당초)대두리'!$A$1:$L$103</definedName>
    <definedName name="_xlnm.Print_Area" localSheetId="8">'(당초)마룡리'!$A$1:$I$146</definedName>
    <definedName name="_xlnm.Print_Area" localSheetId="6">'(당초)봉락리'!$A$1:$I$156</definedName>
    <definedName name="_xlnm.Print_Area" localSheetId="0">'(당초)전체'!$A$1:$AI$128</definedName>
    <definedName name="_xlnm.Print_Area" localSheetId="2">'(당초)집계표'!$A$1:$N$151</definedName>
    <definedName name="_xlnm.Print_Area" localSheetId="9">'(당초)창리'!$A$1:$I$154</definedName>
    <definedName name="_xlnm.Print_Area" localSheetId="7">'(당초)칠전리'!$A$1:$I$239</definedName>
    <definedName name="_xlnm.Print_Area" localSheetId="1">'(변경)전체'!$A$1:$AI$128</definedName>
    <definedName name="_xlnm.Print_Area" localSheetId="3">'(변경)집계표'!$A$1:$N$151</definedName>
    <definedName name="_xlnm.Print_Area" localSheetId="10">'6'!$A$1:$M$26</definedName>
    <definedName name="_xlnm.Print_Area" localSheetId="5">토지세목조서!$A$1:$Q$812</definedName>
    <definedName name="_xlnm.Print_Titles" localSheetId="4">'(당초)대두리'!$1:$5</definedName>
    <definedName name="_xlnm.Print_Titles" localSheetId="8">'(당초)마룡리'!$1:$5</definedName>
    <definedName name="_xlnm.Print_Titles" localSheetId="6">'(당초)봉락리'!$1:$5</definedName>
    <definedName name="_xlnm.Print_Titles" localSheetId="2">'(당초)집계표'!$1:$1</definedName>
    <definedName name="_xlnm.Print_Titles" localSheetId="9">'(당초)창리'!$1:$5</definedName>
    <definedName name="_xlnm.Print_Titles" localSheetId="7">'(당초)칠전리'!$1:$5</definedName>
    <definedName name="_xlnm.Print_Titles" localSheetId="3">'(변경)집계표'!$1:$1</definedName>
    <definedName name="_xlnm.Print_Titles" localSheetId="14">'10'!$1:$5</definedName>
    <definedName name="_xlnm.Print_Titles" localSheetId="10">'6'!$1:$5</definedName>
    <definedName name="_xlnm.Print_Titles" localSheetId="11">'7'!$1:$5</definedName>
    <definedName name="_xlnm.Print_Titles" localSheetId="12">'8'!$1:$5</definedName>
    <definedName name="_xlnm.Print_Titles" localSheetId="13">'9'!$1:$5</definedName>
    <definedName name="_xlnm.Print_Titles" localSheetId="5">토지세목조서!$1:$5</definedName>
  </definedNames>
  <calcPr calcId="125725"/>
</workbook>
</file>

<file path=xl/calcChain.xml><?xml version="1.0" encoding="utf-8"?>
<calcChain xmlns="http://schemas.openxmlformats.org/spreadsheetml/2006/main">
  <c r="I812" i="6"/>
  <c r="H812"/>
  <c r="G812"/>
  <c r="F812"/>
  <c r="I811"/>
  <c r="I810"/>
  <c r="I809"/>
  <c r="I808"/>
  <c r="I807"/>
  <c r="I806"/>
  <c r="I805"/>
  <c r="I804"/>
  <c r="I803"/>
  <c r="I802"/>
  <c r="I801"/>
  <c r="I800"/>
  <c r="I799"/>
  <c r="I798"/>
  <c r="I797"/>
  <c r="I796"/>
  <c r="I795"/>
  <c r="I794"/>
  <c r="I793"/>
  <c r="I792"/>
  <c r="I791"/>
  <c r="I790"/>
  <c r="I789"/>
  <c r="I788"/>
  <c r="I787"/>
  <c r="I786"/>
  <c r="I785"/>
  <c r="I784"/>
  <c r="I783"/>
  <c r="I782"/>
  <c r="I781"/>
  <c r="I780"/>
  <c r="I779"/>
  <c r="I778"/>
  <c r="I777"/>
  <c r="I776"/>
  <c r="I775"/>
  <c r="I774"/>
  <c r="I773"/>
  <c r="I772"/>
  <c r="I771"/>
  <c r="I770"/>
  <c r="I769"/>
  <c r="I768"/>
  <c r="I767"/>
  <c r="I766"/>
  <c r="I765"/>
  <c r="I764"/>
  <c r="I763"/>
  <c r="I762"/>
  <c r="I761"/>
  <c r="I760"/>
  <c r="I759"/>
  <c r="I758"/>
  <c r="I757"/>
  <c r="I756"/>
  <c r="I755"/>
  <c r="I754"/>
  <c r="I753"/>
  <c r="I752"/>
  <c r="I751"/>
  <c r="I750"/>
  <c r="I749"/>
  <c r="I748"/>
  <c r="I747"/>
  <c r="I746"/>
  <c r="I745"/>
  <c r="I744"/>
  <c r="I743"/>
  <c r="I742"/>
  <c r="I741"/>
  <c r="I740"/>
  <c r="I739"/>
  <c r="I738"/>
  <c r="I737"/>
  <c r="I736"/>
  <c r="I735"/>
  <c r="I734"/>
  <c r="I733"/>
  <c r="I732"/>
  <c r="I731"/>
  <c r="I730"/>
  <c r="I729"/>
  <c r="I728"/>
  <c r="I727"/>
  <c r="I726"/>
  <c r="I725"/>
  <c r="I724"/>
  <c r="I723"/>
  <c r="I722"/>
  <c r="I721"/>
  <c r="I720"/>
  <c r="I719"/>
  <c r="I718"/>
  <c r="I717"/>
  <c r="I716"/>
  <c r="I715"/>
  <c r="I714"/>
  <c r="I713"/>
  <c r="I712"/>
  <c r="I711"/>
  <c r="I710"/>
  <c r="I709"/>
  <c r="I708"/>
  <c r="I707"/>
  <c r="I706"/>
  <c r="I705"/>
  <c r="I704"/>
  <c r="I703"/>
  <c r="I702"/>
  <c r="I701"/>
  <c r="I700"/>
  <c r="I699"/>
  <c r="I698"/>
  <c r="I697"/>
  <c r="I696"/>
  <c r="I695"/>
  <c r="I694"/>
  <c r="I693"/>
  <c r="I692"/>
  <c r="I691"/>
  <c r="I690"/>
  <c r="I689"/>
  <c r="I688"/>
  <c r="I687"/>
  <c r="I686"/>
  <c r="I685"/>
  <c r="I684"/>
  <c r="I683"/>
  <c r="I682"/>
  <c r="I681"/>
  <c r="I680"/>
  <c r="I679"/>
  <c r="I678"/>
  <c r="I677"/>
  <c r="I676"/>
  <c r="I675"/>
  <c r="I674"/>
  <c r="I673"/>
  <c r="I672"/>
  <c r="I671"/>
  <c r="I670"/>
  <c r="I669"/>
  <c r="I668"/>
  <c r="I667"/>
  <c r="I666"/>
  <c r="I665"/>
  <c r="I664"/>
  <c r="I663"/>
  <c r="I662"/>
  <c r="I661"/>
  <c r="I660"/>
  <c r="I659"/>
  <c r="I658"/>
  <c r="I657"/>
  <c r="I656"/>
  <c r="I655"/>
  <c r="I654"/>
  <c r="I653"/>
  <c r="I652"/>
  <c r="I651"/>
  <c r="I650"/>
  <c r="I649"/>
  <c r="I648"/>
  <c r="I647"/>
  <c r="I646"/>
  <c r="I645"/>
  <c r="I644"/>
  <c r="I643"/>
  <c r="I642"/>
  <c r="I641"/>
  <c r="I640"/>
  <c r="I639"/>
  <c r="I638"/>
  <c r="I637"/>
  <c r="I636"/>
  <c r="I635"/>
  <c r="I634"/>
  <c r="I633"/>
  <c r="I632"/>
  <c r="I631"/>
  <c r="I630"/>
  <c r="I629"/>
  <c r="I628"/>
  <c r="I627"/>
  <c r="I626"/>
  <c r="I625"/>
  <c r="I624"/>
  <c r="I623"/>
  <c r="I622"/>
  <c r="I621"/>
  <c r="I620"/>
  <c r="I619"/>
  <c r="I618"/>
  <c r="I617"/>
  <c r="I616"/>
  <c r="I615"/>
  <c r="I614"/>
  <c r="I613"/>
  <c r="I612"/>
  <c r="I611"/>
  <c r="I610"/>
  <c r="I609"/>
  <c r="I608"/>
  <c r="I607"/>
  <c r="I606"/>
  <c r="I605"/>
  <c r="I604"/>
  <c r="I603"/>
  <c r="I602"/>
  <c r="I601"/>
  <c r="I600"/>
  <c r="I599"/>
  <c r="I598"/>
  <c r="I597"/>
  <c r="I596"/>
  <c r="I595"/>
  <c r="I594"/>
  <c r="I593"/>
  <c r="I592"/>
  <c r="I591"/>
  <c r="I590"/>
  <c r="I589"/>
  <c r="I588"/>
  <c r="I587"/>
  <c r="I586"/>
  <c r="I585"/>
  <c r="I584"/>
  <c r="I583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I565"/>
  <c r="I564"/>
  <c r="I563"/>
  <c r="I562"/>
  <c r="I561"/>
  <c r="I560"/>
  <c r="I559"/>
  <c r="I558"/>
  <c r="I557"/>
  <c r="I556"/>
  <c r="I555"/>
  <c r="I554"/>
  <c r="I553"/>
  <c r="I552"/>
  <c r="I551"/>
  <c r="I550"/>
  <c r="I549"/>
  <c r="I548"/>
  <c r="I547"/>
  <c r="I546"/>
  <c r="I545"/>
  <c r="I544"/>
  <c r="I543"/>
  <c r="I542"/>
  <c r="I541"/>
  <c r="I540"/>
  <c r="I539"/>
  <c r="I538"/>
  <c r="I537"/>
  <c r="I536"/>
  <c r="I535"/>
  <c r="I534"/>
  <c r="I533"/>
  <c r="I532"/>
  <c r="I531"/>
  <c r="I530"/>
  <c r="I529"/>
  <c r="I528"/>
  <c r="I527"/>
  <c r="I526"/>
  <c r="I525"/>
  <c r="I524"/>
  <c r="I523"/>
  <c r="I522"/>
  <c r="I521"/>
  <c r="I520"/>
  <c r="I519"/>
  <c r="I518"/>
  <c r="I517"/>
  <c r="I516"/>
  <c r="I515"/>
  <c r="I514"/>
  <c r="I513"/>
  <c r="I512"/>
  <c r="I511"/>
  <c r="I510"/>
  <c r="I509"/>
  <c r="I508"/>
  <c r="I507"/>
  <c r="I506"/>
  <c r="I505"/>
  <c r="I504"/>
  <c r="I503"/>
  <c r="I502"/>
  <c r="I501"/>
  <c r="I500"/>
  <c r="I499"/>
  <c r="I498"/>
  <c r="I497"/>
  <c r="I496"/>
  <c r="I495"/>
  <c r="I494"/>
  <c r="I493"/>
  <c r="I492"/>
  <c r="I491"/>
  <c r="I490"/>
  <c r="I489"/>
  <c r="I488"/>
  <c r="I487"/>
  <c r="I486"/>
  <c r="I485"/>
  <c r="I484"/>
  <c r="I483"/>
  <c r="I482"/>
  <c r="I481"/>
  <c r="I480"/>
  <c r="I479"/>
  <c r="I478"/>
  <c r="I477"/>
  <c r="I476"/>
  <c r="I475"/>
  <c r="I474"/>
  <c r="I473"/>
  <c r="I472"/>
  <c r="I471"/>
  <c r="I470"/>
  <c r="I469"/>
  <c r="I468"/>
  <c r="I467"/>
  <c r="I466"/>
  <c r="I465"/>
  <c r="I464"/>
  <c r="I463"/>
  <c r="I462"/>
  <c r="I461"/>
  <c r="I460"/>
  <c r="I459"/>
  <c r="I458"/>
  <c r="I457"/>
  <c r="I456"/>
  <c r="I455"/>
  <c r="I454"/>
  <c r="I453"/>
  <c r="I452"/>
  <c r="I451"/>
  <c r="I450"/>
  <c r="I449"/>
  <c r="I448"/>
  <c r="I447"/>
  <c r="I446"/>
  <c r="I445"/>
  <c r="I444"/>
  <c r="I443"/>
  <c r="I442"/>
  <c r="I441"/>
  <c r="I440"/>
  <c r="I439"/>
  <c r="I438"/>
  <c r="I437"/>
  <c r="I436"/>
  <c r="I435"/>
  <c r="I434"/>
  <c r="I433"/>
  <c r="I432"/>
  <c r="I431"/>
  <c r="I430"/>
  <c r="I429"/>
  <c r="I428"/>
  <c r="I427"/>
  <c r="I426"/>
  <c r="I425"/>
  <c r="I424"/>
  <c r="I423"/>
  <c r="I422"/>
  <c r="I421"/>
  <c r="I420"/>
  <c r="I419"/>
  <c r="I418"/>
  <c r="I417"/>
  <c r="I416"/>
  <c r="I415"/>
  <c r="I414"/>
  <c r="I413"/>
  <c r="I412"/>
  <c r="I411"/>
  <c r="I410"/>
  <c r="I409"/>
  <c r="I408"/>
  <c r="I407"/>
  <c r="I406"/>
  <c r="I405"/>
  <c r="I404"/>
  <c r="I403"/>
  <c r="I402"/>
  <c r="I401"/>
  <c r="I400"/>
  <c r="I399"/>
  <c r="I398"/>
  <c r="I397"/>
  <c r="I396"/>
  <c r="I395"/>
  <c r="I394"/>
  <c r="I393"/>
  <c r="I392"/>
  <c r="I391"/>
  <c r="I390"/>
  <c r="I389"/>
  <c r="I388"/>
  <c r="I387"/>
  <c r="I386"/>
  <c r="I385"/>
  <c r="I384"/>
  <c r="I383"/>
  <c r="I382"/>
  <c r="I381"/>
  <c r="I380"/>
  <c r="I379"/>
  <c r="I378"/>
  <c r="I377"/>
  <c r="I376"/>
  <c r="I375"/>
  <c r="I374"/>
  <c r="I373"/>
  <c r="I372"/>
  <c r="I371"/>
  <c r="I370"/>
  <c r="I369"/>
  <c r="I368"/>
  <c r="I367"/>
  <c r="I366"/>
  <c r="I365"/>
  <c r="I364"/>
  <c r="I363"/>
  <c r="I362"/>
  <c r="I361"/>
  <c r="I360"/>
  <c r="I359"/>
  <c r="I358"/>
  <c r="I357"/>
  <c r="I356"/>
  <c r="I355"/>
  <c r="I354"/>
  <c r="I353"/>
  <c r="I352"/>
  <c r="I351"/>
  <c r="I350"/>
  <c r="I349"/>
  <c r="I348"/>
  <c r="I347"/>
  <c r="I346"/>
  <c r="I345"/>
  <c r="I344"/>
  <c r="I343"/>
  <c r="I342"/>
  <c r="I341"/>
  <c r="I340"/>
  <c r="I339"/>
  <c r="I338"/>
  <c r="I337"/>
  <c r="I336"/>
  <c r="I335"/>
  <c r="I334"/>
  <c r="I333"/>
  <c r="I332"/>
  <c r="I331"/>
  <c r="I330"/>
  <c r="I329"/>
  <c r="I328"/>
  <c r="I327"/>
  <c r="I326"/>
  <c r="I325"/>
  <c r="I324"/>
  <c r="I323"/>
  <c r="I322"/>
  <c r="I321"/>
  <c r="I320"/>
  <c r="I319"/>
  <c r="I318"/>
  <c r="I317"/>
  <c r="I316"/>
  <c r="I315"/>
  <c r="I314"/>
  <c r="I313"/>
  <c r="I312"/>
  <c r="I311"/>
  <c r="I310"/>
  <c r="I309"/>
  <c r="I308"/>
  <c r="I307"/>
  <c r="I306"/>
  <c r="I305"/>
  <c r="I304"/>
  <c r="I303"/>
  <c r="I302"/>
  <c r="I301"/>
  <c r="I300"/>
  <c r="I299"/>
  <c r="I298"/>
  <c r="I297"/>
  <c r="I296"/>
  <c r="I295"/>
  <c r="I294"/>
  <c r="I293"/>
  <c r="I292"/>
  <c r="I291"/>
  <c r="I290"/>
  <c r="I289"/>
  <c r="I288"/>
  <c r="I287"/>
  <c r="I286"/>
  <c r="I285"/>
  <c r="I284"/>
  <c r="I283"/>
  <c r="I282"/>
  <c r="I281"/>
  <c r="I280"/>
  <c r="I279"/>
  <c r="I278"/>
  <c r="I277"/>
  <c r="I276"/>
  <c r="I275"/>
  <c r="I274"/>
  <c r="I273"/>
  <c r="I272"/>
  <c r="I271"/>
  <c r="I270"/>
  <c r="I269"/>
  <c r="I268"/>
  <c r="I267"/>
  <c r="I266"/>
  <c r="I265"/>
  <c r="I264"/>
  <c r="I263"/>
  <c r="I262"/>
  <c r="I261"/>
  <c r="I260"/>
  <c r="I259"/>
  <c r="I258"/>
  <c r="I257"/>
  <c r="I256"/>
  <c r="I255"/>
  <c r="I254"/>
  <c r="I253"/>
  <c r="I252"/>
  <c r="I251"/>
  <c r="I250"/>
  <c r="I249"/>
  <c r="I248"/>
  <c r="I247"/>
  <c r="I246"/>
  <c r="I245"/>
  <c r="I244"/>
  <c r="I243"/>
  <c r="I242"/>
  <c r="I241"/>
  <c r="I240"/>
  <c r="I239"/>
  <c r="I238"/>
  <c r="I237"/>
  <c r="I236"/>
  <c r="I235"/>
  <c r="I234"/>
  <c r="I233"/>
  <c r="I232"/>
  <c r="I231"/>
  <c r="I230"/>
  <c r="I229"/>
  <c r="I228"/>
  <c r="I227"/>
  <c r="I226"/>
  <c r="I225"/>
  <c r="I224"/>
  <c r="I223"/>
  <c r="I222"/>
  <c r="I221"/>
  <c r="I220"/>
  <c r="I219"/>
  <c r="I218"/>
  <c r="I217"/>
  <c r="I216"/>
  <c r="I215"/>
  <c r="I214"/>
  <c r="I213"/>
  <c r="I212"/>
  <c r="I211"/>
  <c r="I210"/>
  <c r="I209"/>
  <c r="I208"/>
  <c r="I207"/>
  <c r="I206"/>
  <c r="I205"/>
  <c r="I204"/>
  <c r="I203"/>
  <c r="I202"/>
  <c r="I201"/>
  <c r="I200"/>
  <c r="I199"/>
  <c r="I198"/>
  <c r="I197"/>
  <c r="I196"/>
  <c r="I195"/>
  <c r="I194"/>
  <c r="I193"/>
  <c r="I192"/>
  <c r="I191"/>
  <c r="I190"/>
  <c r="I189"/>
  <c r="I188"/>
  <c r="I187"/>
  <c r="I186"/>
  <c r="I185"/>
  <c r="I184"/>
  <c r="I183"/>
  <c r="I182"/>
  <c r="I181"/>
  <c r="I180"/>
  <c r="I179"/>
  <c r="I178"/>
  <c r="I177"/>
  <c r="I176"/>
  <c r="I175"/>
  <c r="I174"/>
  <c r="I173"/>
  <c r="I172"/>
  <c r="I171"/>
  <c r="I170"/>
  <c r="I169"/>
  <c r="I168"/>
  <c r="I167"/>
  <c r="I166"/>
  <c r="I165"/>
  <c r="I164"/>
  <c r="I163"/>
  <c r="I162"/>
  <c r="I161"/>
  <c r="I160"/>
  <c r="I159"/>
  <c r="I158"/>
  <c r="I157"/>
  <c r="I156"/>
  <c r="I155"/>
  <c r="I154"/>
  <c r="M10" i="22"/>
  <c r="M11"/>
  <c r="M12"/>
  <c r="I7" i="6" l="1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D85" i="5"/>
  <c r="B85"/>
  <c r="D90"/>
  <c r="B90"/>
  <c r="G7" i="28" l="1"/>
  <c r="S103"/>
  <c r="Q103"/>
  <c r="K103"/>
  <c r="N103"/>
  <c r="M103"/>
  <c r="J103"/>
  <c r="H103"/>
  <c r="S71"/>
  <c r="Q71"/>
  <c r="K71"/>
  <c r="J71"/>
  <c r="N71"/>
  <c r="M71"/>
  <c r="H71"/>
  <c r="G71"/>
  <c r="Q39"/>
  <c r="K39"/>
  <c r="J39"/>
  <c r="S39"/>
  <c r="N39"/>
  <c r="M39"/>
  <c r="H39"/>
  <c r="G39"/>
  <c r="Q7"/>
  <c r="K7"/>
  <c r="S7"/>
  <c r="P7"/>
  <c r="N7"/>
  <c r="M7"/>
  <c r="J7"/>
  <c r="H7"/>
  <c r="B11" i="5"/>
  <c r="B14"/>
  <c r="D128" i="27"/>
  <c r="D129"/>
  <c r="D130"/>
  <c r="D131"/>
  <c r="D132"/>
  <c r="D133"/>
  <c r="D134"/>
  <c r="D135"/>
  <c r="D136"/>
  <c r="D137"/>
  <c r="D138"/>
  <c r="D139"/>
  <c r="D140"/>
  <c r="D141"/>
  <c r="D142"/>
  <c r="D143"/>
  <c r="D144"/>
  <c r="D145"/>
  <c r="D146"/>
  <c r="D147"/>
  <c r="D148"/>
  <c r="D149"/>
  <c r="D150"/>
  <c r="D151"/>
  <c r="B128"/>
  <c r="B129"/>
  <c r="B130"/>
  <c r="B131"/>
  <c r="B132"/>
  <c r="B133"/>
  <c r="B134"/>
  <c r="B135"/>
  <c r="B136"/>
  <c r="B137"/>
  <c r="B138"/>
  <c r="B139"/>
  <c r="B140"/>
  <c r="B141"/>
  <c r="B142"/>
  <c r="B143"/>
  <c r="B144"/>
  <c r="B145"/>
  <c r="B146"/>
  <c r="B147"/>
  <c r="B148"/>
  <c r="B149"/>
  <c r="B150"/>
  <c r="B151"/>
  <c r="D127"/>
  <c r="B127"/>
  <c r="J7" i="26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6"/>
  <c r="B103" i="27"/>
  <c r="B104"/>
  <c r="B105"/>
  <c r="B106"/>
  <c r="B107"/>
  <c r="B98"/>
  <c r="D98"/>
  <c r="B99"/>
  <c r="D99"/>
  <c r="B100"/>
  <c r="D100"/>
  <c r="B101"/>
  <c r="D101"/>
  <c r="B102"/>
  <c r="D102"/>
  <c r="D103"/>
  <c r="D104"/>
  <c r="D105"/>
  <c r="D106"/>
  <c r="D107"/>
  <c r="B108"/>
  <c r="D108"/>
  <c r="B109"/>
  <c r="D109"/>
  <c r="B110"/>
  <c r="D110"/>
  <c r="B111"/>
  <c r="D111"/>
  <c r="B112"/>
  <c r="D112"/>
  <c r="B113"/>
  <c r="D113"/>
  <c r="B114"/>
  <c r="D114"/>
  <c r="B115"/>
  <c r="D115"/>
  <c r="B116"/>
  <c r="D116"/>
  <c r="B117"/>
  <c r="D117"/>
  <c r="B118"/>
  <c r="D118"/>
  <c r="B119"/>
  <c r="D119"/>
  <c r="B120"/>
  <c r="D120"/>
  <c r="B121"/>
  <c r="D121"/>
  <c r="D97"/>
  <c r="B97"/>
  <c r="J7" i="25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43"/>
  <c r="J244"/>
  <c r="J245"/>
  <c r="J246"/>
  <c r="J247"/>
  <c r="J248"/>
  <c r="J249"/>
  <c r="J250"/>
  <c r="J251"/>
  <c r="J252"/>
  <c r="J253"/>
  <c r="J254"/>
  <c r="J255"/>
  <c r="J256"/>
  <c r="J257"/>
  <c r="J258"/>
  <c r="J259"/>
  <c r="J260"/>
  <c r="J261"/>
  <c r="J262"/>
  <c r="J263"/>
  <c r="J264"/>
  <c r="J265"/>
  <c r="J266"/>
  <c r="J267"/>
  <c r="J268"/>
  <c r="J269"/>
  <c r="J270"/>
  <c r="J271"/>
  <c r="J272"/>
  <c r="J273"/>
  <c r="J274"/>
  <c r="J275"/>
  <c r="J276"/>
  <c r="J277"/>
  <c r="J278"/>
  <c r="J279"/>
  <c r="J280"/>
  <c r="J281"/>
  <c r="J282"/>
  <c r="J283"/>
  <c r="J284"/>
  <c r="J285"/>
  <c r="J286"/>
  <c r="J287"/>
  <c r="J288"/>
  <c r="J289"/>
  <c r="J290"/>
  <c r="J291"/>
  <c r="J292"/>
  <c r="J293"/>
  <c r="J294"/>
  <c r="J295"/>
  <c r="J296"/>
  <c r="J297"/>
  <c r="J298"/>
  <c r="J299"/>
  <c r="J300"/>
  <c r="J301"/>
  <c r="J302"/>
  <c r="J303"/>
  <c r="J304"/>
  <c r="J305"/>
  <c r="J306"/>
  <c r="J307"/>
  <c r="J308"/>
  <c r="J309"/>
  <c r="J310"/>
  <c r="J311"/>
  <c r="J312"/>
  <c r="J313"/>
  <c r="J314"/>
  <c r="J315"/>
  <c r="J316"/>
  <c r="J317"/>
  <c r="J318"/>
  <c r="J319"/>
  <c r="J320"/>
  <c r="J321"/>
  <c r="J322"/>
  <c r="J323"/>
  <c r="J324"/>
  <c r="J325"/>
  <c r="J326"/>
  <c r="J327"/>
  <c r="J328"/>
  <c r="J329"/>
  <c r="J330"/>
  <c r="J331"/>
  <c r="J332"/>
  <c r="J333"/>
  <c r="J334"/>
  <c r="J335"/>
  <c r="J336"/>
  <c r="J337"/>
  <c r="J338"/>
  <c r="J339"/>
  <c r="J340"/>
  <c r="J341"/>
  <c r="J342"/>
  <c r="J343"/>
  <c r="J344"/>
  <c r="J345"/>
  <c r="J346"/>
  <c r="J347"/>
  <c r="J348"/>
  <c r="J349"/>
  <c r="J350"/>
  <c r="J351"/>
  <c r="J352"/>
  <c r="J353"/>
  <c r="J354"/>
  <c r="J355"/>
  <c r="J356"/>
  <c r="J357"/>
  <c r="J358"/>
  <c r="J359"/>
  <c r="J360"/>
  <c r="J361"/>
  <c r="J362"/>
  <c r="J363"/>
  <c r="J364"/>
  <c r="J365"/>
  <c r="J366"/>
  <c r="J367"/>
  <c r="J368"/>
  <c r="J369"/>
  <c r="J370"/>
  <c r="J371"/>
  <c r="J372"/>
  <c r="J373"/>
  <c r="J374"/>
  <c r="J375"/>
  <c r="J376"/>
  <c r="J377"/>
  <c r="J378"/>
  <c r="J379"/>
  <c r="J380"/>
  <c r="J381"/>
  <c r="J382"/>
  <c r="J383"/>
  <c r="J384"/>
  <c r="J385"/>
  <c r="J386"/>
  <c r="J387"/>
  <c r="J388"/>
  <c r="J389"/>
  <c r="J390"/>
  <c r="J391"/>
  <c r="J392"/>
  <c r="J393"/>
  <c r="J394"/>
  <c r="J395"/>
  <c r="J396"/>
  <c r="J397"/>
  <c r="J398"/>
  <c r="J399"/>
  <c r="J400"/>
  <c r="J401"/>
  <c r="J402"/>
  <c r="J403"/>
  <c r="J404"/>
  <c r="J405"/>
  <c r="J406"/>
  <c r="J407"/>
  <c r="J408"/>
  <c r="J409"/>
  <c r="J410"/>
  <c r="J411"/>
  <c r="J412"/>
  <c r="J413"/>
  <c r="J414"/>
  <c r="J415"/>
  <c r="J416"/>
  <c r="J417"/>
  <c r="J418"/>
  <c r="J419"/>
  <c r="J420"/>
  <c r="J421"/>
  <c r="J422"/>
  <c r="J423"/>
  <c r="J424"/>
  <c r="J425"/>
  <c r="J426"/>
  <c r="J427"/>
  <c r="J428"/>
  <c r="J429"/>
  <c r="J430"/>
  <c r="J431"/>
  <c r="J432"/>
  <c r="J433"/>
  <c r="J434"/>
  <c r="J435"/>
  <c r="J436"/>
  <c r="J437"/>
  <c r="J438"/>
  <c r="J439"/>
  <c r="J440"/>
  <c r="J441"/>
  <c r="J442"/>
  <c r="J443"/>
  <c r="J444"/>
  <c r="J445"/>
  <c r="J446"/>
  <c r="J447"/>
  <c r="J448"/>
  <c r="J449"/>
  <c r="J450"/>
  <c r="J451"/>
  <c r="J452"/>
  <c r="J453"/>
  <c r="J454"/>
  <c r="J455"/>
  <c r="J456"/>
  <c r="J457"/>
  <c r="J458"/>
  <c r="J459"/>
  <c r="J460"/>
  <c r="J461"/>
  <c r="J462"/>
  <c r="J463"/>
  <c r="J464"/>
  <c r="J465"/>
  <c r="J466"/>
  <c r="J467"/>
  <c r="J468"/>
  <c r="J469"/>
  <c r="J470"/>
  <c r="J471"/>
  <c r="J472"/>
  <c r="J473"/>
  <c r="J474"/>
  <c r="J475"/>
  <c r="J476"/>
  <c r="J477"/>
  <c r="J478"/>
  <c r="J479"/>
  <c r="J480"/>
  <c r="J481"/>
  <c r="J482"/>
  <c r="J483"/>
  <c r="J484"/>
  <c r="J485"/>
  <c r="J486"/>
  <c r="J487"/>
  <c r="J488"/>
  <c r="J489"/>
  <c r="J490"/>
  <c r="J491"/>
  <c r="J492"/>
  <c r="J493"/>
  <c r="J494"/>
  <c r="J495"/>
  <c r="J496"/>
  <c r="J497"/>
  <c r="J498"/>
  <c r="J499"/>
  <c r="J500"/>
  <c r="J501"/>
  <c r="J502"/>
  <c r="J503"/>
  <c r="J504"/>
  <c r="J505"/>
  <c r="J506"/>
  <c r="J507"/>
  <c r="J508"/>
  <c r="J509"/>
  <c r="J510"/>
  <c r="J511"/>
  <c r="J512"/>
  <c r="J513"/>
  <c r="J514"/>
  <c r="J515"/>
  <c r="J516"/>
  <c r="J517"/>
  <c r="J518"/>
  <c r="J519"/>
  <c r="J520"/>
  <c r="J521"/>
  <c r="J522"/>
  <c r="J523"/>
  <c r="J524"/>
  <c r="J525"/>
  <c r="J526"/>
  <c r="J527"/>
  <c r="J528"/>
  <c r="J529"/>
  <c r="J530"/>
  <c r="J531"/>
  <c r="J532"/>
  <c r="J533"/>
  <c r="J534"/>
  <c r="J535"/>
  <c r="J536"/>
  <c r="J537"/>
  <c r="J538"/>
  <c r="J539"/>
  <c r="J540"/>
  <c r="J541"/>
  <c r="J542"/>
  <c r="J543"/>
  <c r="J544"/>
  <c r="J545"/>
  <c r="J546"/>
  <c r="J547"/>
  <c r="J548"/>
  <c r="J549"/>
  <c r="J550"/>
  <c r="J551"/>
  <c r="J552"/>
  <c r="J553"/>
  <c r="J554"/>
  <c r="J555"/>
  <c r="J556"/>
  <c r="J557"/>
  <c r="J558"/>
  <c r="J559"/>
  <c r="J560"/>
  <c r="J561"/>
  <c r="J562"/>
  <c r="J563"/>
  <c r="J564"/>
  <c r="J565"/>
  <c r="J566"/>
  <c r="J567"/>
  <c r="J568"/>
  <c r="J569"/>
  <c r="J570"/>
  <c r="J571"/>
  <c r="J572"/>
  <c r="J573"/>
  <c r="J574"/>
  <c r="J575"/>
  <c r="J576"/>
  <c r="J577"/>
  <c r="J578"/>
  <c r="J579"/>
  <c r="J580"/>
  <c r="J581"/>
  <c r="J582"/>
  <c r="J583"/>
  <c r="J584"/>
  <c r="J585"/>
  <c r="J586"/>
  <c r="J587"/>
  <c r="J588"/>
  <c r="J589"/>
  <c r="J590"/>
  <c r="J591"/>
  <c r="J592"/>
  <c r="J593"/>
  <c r="J594"/>
  <c r="J595"/>
  <c r="J596"/>
  <c r="J597"/>
  <c r="J598"/>
  <c r="J599"/>
  <c r="J600"/>
  <c r="J601"/>
  <c r="J602"/>
  <c r="J603"/>
  <c r="J604"/>
  <c r="J605"/>
  <c r="J606"/>
  <c r="J607"/>
  <c r="J608"/>
  <c r="J6"/>
  <c r="D68" i="27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67"/>
  <c r="J7" i="24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6"/>
  <c r="D38" i="27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37"/>
  <c r="J7" i="23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6"/>
  <c r="D8" i="27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7"/>
  <c r="B31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7"/>
  <c r="J301"/>
  <c r="H301"/>
  <c r="G301"/>
  <c r="E301"/>
  <c r="D301"/>
  <c r="M301" s="1"/>
  <c r="B301"/>
  <c r="K301" s="1"/>
  <c r="J300"/>
  <c r="H300"/>
  <c r="G300"/>
  <c r="E300"/>
  <c r="D300"/>
  <c r="M300" s="1"/>
  <c r="B300"/>
  <c r="K300" s="1"/>
  <c r="J299"/>
  <c r="H299"/>
  <c r="G299"/>
  <c r="E299"/>
  <c r="D299"/>
  <c r="M299" s="1"/>
  <c r="B299"/>
  <c r="K299" s="1"/>
  <c r="J298"/>
  <c r="H298"/>
  <c r="G298"/>
  <c r="E298"/>
  <c r="D298"/>
  <c r="M298" s="1"/>
  <c r="B298"/>
  <c r="K298" s="1"/>
  <c r="J297"/>
  <c r="H297"/>
  <c r="G297"/>
  <c r="E297"/>
  <c r="D297"/>
  <c r="M297" s="1"/>
  <c r="B297"/>
  <c r="K297" s="1"/>
  <c r="J296"/>
  <c r="H296"/>
  <c r="G296"/>
  <c r="E296"/>
  <c r="D296"/>
  <c r="M296" s="1"/>
  <c r="B296"/>
  <c r="K296" s="1"/>
  <c r="J295"/>
  <c r="H295"/>
  <c r="G295"/>
  <c r="E295"/>
  <c r="D295"/>
  <c r="M295" s="1"/>
  <c r="B295"/>
  <c r="K295" s="1"/>
  <c r="J294"/>
  <c r="H294"/>
  <c r="G294"/>
  <c r="E294"/>
  <c r="D294"/>
  <c r="M294" s="1"/>
  <c r="B294"/>
  <c r="K294" s="1"/>
  <c r="J293"/>
  <c r="H293"/>
  <c r="G293"/>
  <c r="E293"/>
  <c r="D293"/>
  <c r="M293" s="1"/>
  <c r="B293"/>
  <c r="K293" s="1"/>
  <c r="J292"/>
  <c r="H292"/>
  <c r="G292"/>
  <c r="E292"/>
  <c r="D292"/>
  <c r="M292" s="1"/>
  <c r="B292"/>
  <c r="K292" s="1"/>
  <c r="J291"/>
  <c r="H291"/>
  <c r="G291"/>
  <c r="E291"/>
  <c r="D291"/>
  <c r="M291" s="1"/>
  <c r="B291"/>
  <c r="K291" s="1"/>
  <c r="J290"/>
  <c r="H290"/>
  <c r="G290"/>
  <c r="E290"/>
  <c r="D290"/>
  <c r="M290" s="1"/>
  <c r="B290"/>
  <c r="K290" s="1"/>
  <c r="J289"/>
  <c r="H289"/>
  <c r="G289"/>
  <c r="E289"/>
  <c r="D289"/>
  <c r="M289" s="1"/>
  <c r="B289"/>
  <c r="K289" s="1"/>
  <c r="J288"/>
  <c r="H288"/>
  <c r="G288"/>
  <c r="E288"/>
  <c r="D288"/>
  <c r="M288" s="1"/>
  <c r="B288"/>
  <c r="K288" s="1"/>
  <c r="J287"/>
  <c r="H287"/>
  <c r="G287"/>
  <c r="E287"/>
  <c r="D287"/>
  <c r="M287" s="1"/>
  <c r="B287"/>
  <c r="K287" s="1"/>
  <c r="J286"/>
  <c r="H286"/>
  <c r="G286"/>
  <c r="E286"/>
  <c r="D286"/>
  <c r="M286" s="1"/>
  <c r="B286"/>
  <c r="K286" s="1"/>
  <c r="J285"/>
  <c r="H285"/>
  <c r="G285"/>
  <c r="E285"/>
  <c r="D285"/>
  <c r="M285" s="1"/>
  <c r="B285"/>
  <c r="K285" s="1"/>
  <c r="J284"/>
  <c r="H284"/>
  <c r="G284"/>
  <c r="E284"/>
  <c r="D284"/>
  <c r="M284" s="1"/>
  <c r="B284"/>
  <c r="K284" s="1"/>
  <c r="J283"/>
  <c r="H283"/>
  <c r="G283"/>
  <c r="E283"/>
  <c r="D283"/>
  <c r="M283" s="1"/>
  <c r="B283"/>
  <c r="K283" s="1"/>
  <c r="J282"/>
  <c r="H282"/>
  <c r="G282"/>
  <c r="E282"/>
  <c r="D282"/>
  <c r="M282" s="1"/>
  <c r="B282"/>
  <c r="K282" s="1"/>
  <c r="J281"/>
  <c r="H281"/>
  <c r="G281"/>
  <c r="E281"/>
  <c r="D281"/>
  <c r="M281" s="1"/>
  <c r="B281"/>
  <c r="K281" s="1"/>
  <c r="J280"/>
  <c r="H280"/>
  <c r="G280"/>
  <c r="E280"/>
  <c r="D280"/>
  <c r="M280" s="1"/>
  <c r="B280"/>
  <c r="K280" s="1"/>
  <c r="J279"/>
  <c r="H279"/>
  <c r="G279"/>
  <c r="E279"/>
  <c r="D279"/>
  <c r="M279" s="1"/>
  <c r="B279"/>
  <c r="K279" s="1"/>
  <c r="J278"/>
  <c r="H278"/>
  <c r="G278"/>
  <c r="G276" s="1"/>
  <c r="E278"/>
  <c r="D278"/>
  <c r="M278" s="1"/>
  <c r="B278"/>
  <c r="R277"/>
  <c r="J277"/>
  <c r="H277"/>
  <c r="G277"/>
  <c r="E277"/>
  <c r="D277"/>
  <c r="B277"/>
  <c r="B276" s="1"/>
  <c r="K272"/>
  <c r="J271"/>
  <c r="H271"/>
  <c r="G271"/>
  <c r="E271"/>
  <c r="D271"/>
  <c r="M271" s="1"/>
  <c r="B271"/>
  <c r="K271" s="1"/>
  <c r="J270"/>
  <c r="H270"/>
  <c r="G270"/>
  <c r="E270"/>
  <c r="D270"/>
  <c r="M270" s="1"/>
  <c r="B270"/>
  <c r="K270" s="1"/>
  <c r="J269"/>
  <c r="H269"/>
  <c r="G269"/>
  <c r="E269"/>
  <c r="D269"/>
  <c r="M269" s="1"/>
  <c r="B269"/>
  <c r="K269" s="1"/>
  <c r="J268"/>
  <c r="H268"/>
  <c r="G268"/>
  <c r="E268"/>
  <c r="D268"/>
  <c r="M268" s="1"/>
  <c r="B268"/>
  <c r="K268" s="1"/>
  <c r="J267"/>
  <c r="H267"/>
  <c r="G267"/>
  <c r="E267"/>
  <c r="D267"/>
  <c r="M267" s="1"/>
  <c r="B267"/>
  <c r="K267" s="1"/>
  <c r="J266"/>
  <c r="H266"/>
  <c r="G266"/>
  <c r="E266"/>
  <c r="D266"/>
  <c r="M266" s="1"/>
  <c r="B266"/>
  <c r="K266" s="1"/>
  <c r="J265"/>
  <c r="H265"/>
  <c r="G265"/>
  <c r="E265"/>
  <c r="D265"/>
  <c r="M265" s="1"/>
  <c r="B265"/>
  <c r="K265" s="1"/>
  <c r="J264"/>
  <c r="H264"/>
  <c r="G264"/>
  <c r="E264"/>
  <c r="D264"/>
  <c r="M264" s="1"/>
  <c r="B264"/>
  <c r="K264" s="1"/>
  <c r="J263"/>
  <c r="H263"/>
  <c r="G263"/>
  <c r="E263"/>
  <c r="D263"/>
  <c r="M263" s="1"/>
  <c r="B263"/>
  <c r="K263" s="1"/>
  <c r="J262"/>
  <c r="H262"/>
  <c r="G262"/>
  <c r="E262"/>
  <c r="D262"/>
  <c r="M262" s="1"/>
  <c r="B262"/>
  <c r="K262" s="1"/>
  <c r="J261"/>
  <c r="H261"/>
  <c r="G261"/>
  <c r="E261"/>
  <c r="D261"/>
  <c r="M261" s="1"/>
  <c r="B261"/>
  <c r="K261" s="1"/>
  <c r="J260"/>
  <c r="H260"/>
  <c r="G260"/>
  <c r="E260"/>
  <c r="D260"/>
  <c r="M260" s="1"/>
  <c r="B260"/>
  <c r="K260" s="1"/>
  <c r="J259"/>
  <c r="H259"/>
  <c r="G259"/>
  <c r="E259"/>
  <c r="D259"/>
  <c r="M259" s="1"/>
  <c r="B259"/>
  <c r="K259" s="1"/>
  <c r="J258"/>
  <c r="H258"/>
  <c r="G258"/>
  <c r="E258"/>
  <c r="D258"/>
  <c r="M258" s="1"/>
  <c r="B258"/>
  <c r="K258" s="1"/>
  <c r="J257"/>
  <c r="H257"/>
  <c r="G257"/>
  <c r="E257"/>
  <c r="D257"/>
  <c r="M257" s="1"/>
  <c r="B257"/>
  <c r="K257" s="1"/>
  <c r="J256"/>
  <c r="H256"/>
  <c r="G256"/>
  <c r="E256"/>
  <c r="D256"/>
  <c r="M256" s="1"/>
  <c r="B256"/>
  <c r="K256" s="1"/>
  <c r="J255"/>
  <c r="H255"/>
  <c r="G255"/>
  <c r="E255"/>
  <c r="D255"/>
  <c r="M255" s="1"/>
  <c r="B255"/>
  <c r="K255" s="1"/>
  <c r="J254"/>
  <c r="H254"/>
  <c r="G254"/>
  <c r="E254"/>
  <c r="D254"/>
  <c r="M254" s="1"/>
  <c r="B254"/>
  <c r="K254" s="1"/>
  <c r="J253"/>
  <c r="H253"/>
  <c r="G253"/>
  <c r="E253"/>
  <c r="D253"/>
  <c r="M253" s="1"/>
  <c r="B253"/>
  <c r="K253" s="1"/>
  <c r="J252"/>
  <c r="H252"/>
  <c r="G252"/>
  <c r="E252"/>
  <c r="D252"/>
  <c r="M252" s="1"/>
  <c r="B252"/>
  <c r="K252" s="1"/>
  <c r="J251"/>
  <c r="H251"/>
  <c r="G251"/>
  <c r="E251"/>
  <c r="D251"/>
  <c r="M251" s="1"/>
  <c r="B251"/>
  <c r="K251" s="1"/>
  <c r="J250"/>
  <c r="H250"/>
  <c r="G250"/>
  <c r="E250"/>
  <c r="D250"/>
  <c r="M250" s="1"/>
  <c r="B250"/>
  <c r="K250" s="1"/>
  <c r="J249"/>
  <c r="H249"/>
  <c r="G249"/>
  <c r="E249"/>
  <c r="D249"/>
  <c r="M249" s="1"/>
  <c r="B249"/>
  <c r="K249" s="1"/>
  <c r="J248"/>
  <c r="H248"/>
  <c r="H246" s="1"/>
  <c r="G248"/>
  <c r="E248"/>
  <c r="D248"/>
  <c r="M248" s="1"/>
  <c r="B248"/>
  <c r="Q246" s="1"/>
  <c r="J247"/>
  <c r="J246" s="1"/>
  <c r="H247"/>
  <c r="G247"/>
  <c r="R247" s="1"/>
  <c r="E247"/>
  <c r="D247"/>
  <c r="D246" s="1"/>
  <c r="B247"/>
  <c r="G246"/>
  <c r="K242"/>
  <c r="J241"/>
  <c r="H241"/>
  <c r="G241"/>
  <c r="E241"/>
  <c r="D241"/>
  <c r="M241" s="1"/>
  <c r="B241"/>
  <c r="K241" s="1"/>
  <c r="J240"/>
  <c r="H240"/>
  <c r="G240"/>
  <c r="E240"/>
  <c r="D240"/>
  <c r="M240" s="1"/>
  <c r="B240"/>
  <c r="K240" s="1"/>
  <c r="J239"/>
  <c r="H239"/>
  <c r="G239"/>
  <c r="E239"/>
  <c r="D239"/>
  <c r="M239" s="1"/>
  <c r="B239"/>
  <c r="K239" s="1"/>
  <c r="J238"/>
  <c r="H238"/>
  <c r="G238"/>
  <c r="E238"/>
  <c r="D238"/>
  <c r="M238" s="1"/>
  <c r="B238"/>
  <c r="K238" s="1"/>
  <c r="J237"/>
  <c r="H237"/>
  <c r="G237"/>
  <c r="E237"/>
  <c r="D237"/>
  <c r="M237" s="1"/>
  <c r="B237"/>
  <c r="K237" s="1"/>
  <c r="J236"/>
  <c r="H236"/>
  <c r="G236"/>
  <c r="E236"/>
  <c r="D236"/>
  <c r="M236" s="1"/>
  <c r="B236"/>
  <c r="K236" s="1"/>
  <c r="J235"/>
  <c r="H235"/>
  <c r="G235"/>
  <c r="E235"/>
  <c r="D235"/>
  <c r="M235" s="1"/>
  <c r="B235"/>
  <c r="K235" s="1"/>
  <c r="J234"/>
  <c r="H234"/>
  <c r="G234"/>
  <c r="E234"/>
  <c r="D234"/>
  <c r="M234" s="1"/>
  <c r="B234"/>
  <c r="K234" s="1"/>
  <c r="J233"/>
  <c r="H233"/>
  <c r="G233"/>
  <c r="E233"/>
  <c r="D233"/>
  <c r="M233" s="1"/>
  <c r="B233"/>
  <c r="K233" s="1"/>
  <c r="J232"/>
  <c r="H232"/>
  <c r="G232"/>
  <c r="E232"/>
  <c r="D232"/>
  <c r="M232" s="1"/>
  <c r="B232"/>
  <c r="K232" s="1"/>
  <c r="J231"/>
  <c r="H231"/>
  <c r="G231"/>
  <c r="E231"/>
  <c r="D231"/>
  <c r="M231" s="1"/>
  <c r="B231"/>
  <c r="K231" s="1"/>
  <c r="J230"/>
  <c r="H230"/>
  <c r="G230"/>
  <c r="E230"/>
  <c r="D230"/>
  <c r="M230" s="1"/>
  <c r="B230"/>
  <c r="K230" s="1"/>
  <c r="J229"/>
  <c r="H229"/>
  <c r="G229"/>
  <c r="E229"/>
  <c r="D229"/>
  <c r="M229" s="1"/>
  <c r="B229"/>
  <c r="K229" s="1"/>
  <c r="J228"/>
  <c r="H228"/>
  <c r="G228"/>
  <c r="E228"/>
  <c r="D228"/>
  <c r="M228" s="1"/>
  <c r="B228"/>
  <c r="K228" s="1"/>
  <c r="J227"/>
  <c r="H227"/>
  <c r="G227"/>
  <c r="E227"/>
  <c r="D227"/>
  <c r="M227" s="1"/>
  <c r="B227"/>
  <c r="K227" s="1"/>
  <c r="J226"/>
  <c r="H226"/>
  <c r="G226"/>
  <c r="E226"/>
  <c r="D226"/>
  <c r="M226" s="1"/>
  <c r="B226"/>
  <c r="K226" s="1"/>
  <c r="J225"/>
  <c r="H225"/>
  <c r="G225"/>
  <c r="E225"/>
  <c r="D225"/>
  <c r="M225" s="1"/>
  <c r="B225"/>
  <c r="K225" s="1"/>
  <c r="J224"/>
  <c r="H224"/>
  <c r="G224"/>
  <c r="E224"/>
  <c r="D224"/>
  <c r="M224" s="1"/>
  <c r="B224"/>
  <c r="K224" s="1"/>
  <c r="J223"/>
  <c r="H223"/>
  <c r="G223"/>
  <c r="E223"/>
  <c r="D223"/>
  <c r="M223" s="1"/>
  <c r="B223"/>
  <c r="K223" s="1"/>
  <c r="J222"/>
  <c r="H222"/>
  <c r="G222"/>
  <c r="E222"/>
  <c r="D222"/>
  <c r="M222" s="1"/>
  <c r="B222"/>
  <c r="K222" s="1"/>
  <c r="J221"/>
  <c r="H221"/>
  <c r="G221"/>
  <c r="E221"/>
  <c r="D221"/>
  <c r="M221" s="1"/>
  <c r="B221"/>
  <c r="K221" s="1"/>
  <c r="J220"/>
  <c r="H220"/>
  <c r="G220"/>
  <c r="E220"/>
  <c r="D220"/>
  <c r="M220" s="1"/>
  <c r="B220"/>
  <c r="K220" s="1"/>
  <c r="J219"/>
  <c r="H219"/>
  <c r="G219"/>
  <c r="E219"/>
  <c r="D219"/>
  <c r="M219" s="1"/>
  <c r="B219"/>
  <c r="K219" s="1"/>
  <c r="J218"/>
  <c r="H218"/>
  <c r="G218"/>
  <c r="E218"/>
  <c r="D218"/>
  <c r="M218" s="1"/>
  <c r="B218"/>
  <c r="K218" s="1"/>
  <c r="Q217"/>
  <c r="J217"/>
  <c r="H217"/>
  <c r="H216" s="1"/>
  <c r="G217"/>
  <c r="E217"/>
  <c r="R216" s="1"/>
  <c r="D217"/>
  <c r="M217" s="1"/>
  <c r="B217"/>
  <c r="J216"/>
  <c r="D216"/>
  <c r="K212"/>
  <c r="M211"/>
  <c r="J211"/>
  <c r="H211"/>
  <c r="G211"/>
  <c r="E211"/>
  <c r="D211"/>
  <c r="B211"/>
  <c r="K211" s="1"/>
  <c r="J210"/>
  <c r="H210"/>
  <c r="G210"/>
  <c r="E210"/>
  <c r="D210"/>
  <c r="B210"/>
  <c r="K210" s="1"/>
  <c r="J209"/>
  <c r="H209"/>
  <c r="G209"/>
  <c r="E209"/>
  <c r="D209"/>
  <c r="B209"/>
  <c r="K209" s="1"/>
  <c r="J208"/>
  <c r="H208"/>
  <c r="G208"/>
  <c r="E208"/>
  <c r="D208"/>
  <c r="M208" s="1"/>
  <c r="B208"/>
  <c r="K208" s="1"/>
  <c r="M207"/>
  <c r="J207"/>
  <c r="H207"/>
  <c r="G207"/>
  <c r="E207"/>
  <c r="D207"/>
  <c r="B207"/>
  <c r="J206"/>
  <c r="H206"/>
  <c r="G206"/>
  <c r="E206"/>
  <c r="D206"/>
  <c r="B206"/>
  <c r="J205"/>
  <c r="H205"/>
  <c r="G205"/>
  <c r="E205"/>
  <c r="D205"/>
  <c r="B205"/>
  <c r="J204"/>
  <c r="H204"/>
  <c r="G204"/>
  <c r="E204"/>
  <c r="D204"/>
  <c r="M204" s="1"/>
  <c r="B204"/>
  <c r="M203"/>
  <c r="J203"/>
  <c r="H203"/>
  <c r="G203"/>
  <c r="E203"/>
  <c r="D203"/>
  <c r="B203"/>
  <c r="J202"/>
  <c r="H202"/>
  <c r="G202"/>
  <c r="E202"/>
  <c r="D202"/>
  <c r="B202"/>
  <c r="J201"/>
  <c r="H201"/>
  <c r="G201"/>
  <c r="E201"/>
  <c r="D201"/>
  <c r="B201"/>
  <c r="J200"/>
  <c r="H200"/>
  <c r="G200"/>
  <c r="E200"/>
  <c r="D200"/>
  <c r="M200" s="1"/>
  <c r="B200"/>
  <c r="M199"/>
  <c r="J199"/>
  <c r="H199"/>
  <c r="G199"/>
  <c r="E199"/>
  <c r="D199"/>
  <c r="B199"/>
  <c r="J198"/>
  <c r="H198"/>
  <c r="G198"/>
  <c r="E198"/>
  <c r="D198"/>
  <c r="B198"/>
  <c r="J197"/>
  <c r="H197"/>
  <c r="G197"/>
  <c r="E197"/>
  <c r="D197"/>
  <c r="B197"/>
  <c r="J196"/>
  <c r="H196"/>
  <c r="G196"/>
  <c r="E196"/>
  <c r="D196"/>
  <c r="M196" s="1"/>
  <c r="B196"/>
  <c r="M195"/>
  <c r="J195"/>
  <c r="H195"/>
  <c r="G195"/>
  <c r="E195"/>
  <c r="D195"/>
  <c r="B195"/>
  <c r="J194"/>
  <c r="H194"/>
  <c r="G194"/>
  <c r="E194"/>
  <c r="D194"/>
  <c r="B194"/>
  <c r="J193"/>
  <c r="H193"/>
  <c r="G193"/>
  <c r="E193"/>
  <c r="D193"/>
  <c r="B193"/>
  <c r="J192"/>
  <c r="H192"/>
  <c r="G192"/>
  <c r="E192"/>
  <c r="D192"/>
  <c r="M192" s="1"/>
  <c r="B192"/>
  <c r="M191"/>
  <c r="J191"/>
  <c r="H191"/>
  <c r="G191"/>
  <c r="E191"/>
  <c r="D191"/>
  <c r="B191"/>
  <c r="J190"/>
  <c r="H190"/>
  <c r="G190"/>
  <c r="E190"/>
  <c r="D190"/>
  <c r="B190"/>
  <c r="J189"/>
  <c r="H189"/>
  <c r="G189"/>
  <c r="E189"/>
  <c r="D189"/>
  <c r="B189"/>
  <c r="J188"/>
  <c r="H188"/>
  <c r="G188"/>
  <c r="E188"/>
  <c r="D188"/>
  <c r="M188" s="1"/>
  <c r="B188"/>
  <c r="J187"/>
  <c r="J186" s="1"/>
  <c r="H187"/>
  <c r="G187"/>
  <c r="E187"/>
  <c r="D187"/>
  <c r="Q187" s="1"/>
  <c r="B187"/>
  <c r="Q186"/>
  <c r="D186"/>
  <c r="K182"/>
  <c r="M181"/>
  <c r="J181"/>
  <c r="H181"/>
  <c r="G181"/>
  <c r="E181"/>
  <c r="D181"/>
  <c r="B181"/>
  <c r="J180"/>
  <c r="H180"/>
  <c r="G180"/>
  <c r="E180"/>
  <c r="D180"/>
  <c r="B180"/>
  <c r="J179"/>
  <c r="H179"/>
  <c r="G179"/>
  <c r="E179"/>
  <c r="D179"/>
  <c r="B179"/>
  <c r="J178"/>
  <c r="H178"/>
  <c r="G178"/>
  <c r="E178"/>
  <c r="D178"/>
  <c r="M178" s="1"/>
  <c r="B178"/>
  <c r="M177"/>
  <c r="J177"/>
  <c r="H177"/>
  <c r="G177"/>
  <c r="E177"/>
  <c r="D177"/>
  <c r="B177"/>
  <c r="J176"/>
  <c r="H176"/>
  <c r="G176"/>
  <c r="E176"/>
  <c r="D176"/>
  <c r="B176"/>
  <c r="J175"/>
  <c r="H175"/>
  <c r="G175"/>
  <c r="E175"/>
  <c r="D175"/>
  <c r="B175"/>
  <c r="J174"/>
  <c r="H174"/>
  <c r="G174"/>
  <c r="E174"/>
  <c r="D174"/>
  <c r="M174" s="1"/>
  <c r="B174"/>
  <c r="M173"/>
  <c r="J173"/>
  <c r="H173"/>
  <c r="G173"/>
  <c r="E173"/>
  <c r="D173"/>
  <c r="B173"/>
  <c r="J172"/>
  <c r="H172"/>
  <c r="G172"/>
  <c r="E172"/>
  <c r="D172"/>
  <c r="B172"/>
  <c r="J171"/>
  <c r="H171"/>
  <c r="G171"/>
  <c r="E171"/>
  <c r="D171"/>
  <c r="B171"/>
  <c r="J170"/>
  <c r="H170"/>
  <c r="G170"/>
  <c r="E170"/>
  <c r="D170"/>
  <c r="M170" s="1"/>
  <c r="B170"/>
  <c r="M169"/>
  <c r="J169"/>
  <c r="H169"/>
  <c r="G169"/>
  <c r="E169"/>
  <c r="D169"/>
  <c r="B169"/>
  <c r="J168"/>
  <c r="H168"/>
  <c r="G168"/>
  <c r="E168"/>
  <c r="D168"/>
  <c r="B168"/>
  <c r="J167"/>
  <c r="H167"/>
  <c r="G167"/>
  <c r="E167"/>
  <c r="D167"/>
  <c r="B167"/>
  <c r="J166"/>
  <c r="H166"/>
  <c r="G166"/>
  <c r="E166"/>
  <c r="D166"/>
  <c r="M166" s="1"/>
  <c r="B166"/>
  <c r="M165"/>
  <c r="J165"/>
  <c r="H165"/>
  <c r="G165"/>
  <c r="E165"/>
  <c r="D165"/>
  <c r="B165"/>
  <c r="J164"/>
  <c r="H164"/>
  <c r="G164"/>
  <c r="E164"/>
  <c r="K164" s="1"/>
  <c r="D164"/>
  <c r="B164"/>
  <c r="J163"/>
  <c r="H163"/>
  <c r="G163"/>
  <c r="E163"/>
  <c r="D163"/>
  <c r="B163"/>
  <c r="J162"/>
  <c r="H162"/>
  <c r="G162"/>
  <c r="E162"/>
  <c r="D162"/>
  <c r="M162" s="1"/>
  <c r="B162"/>
  <c r="M161"/>
  <c r="J161"/>
  <c r="H161"/>
  <c r="G161"/>
  <c r="E161"/>
  <c r="D161"/>
  <c r="B161"/>
  <c r="J160"/>
  <c r="H160"/>
  <c r="G160"/>
  <c r="E160"/>
  <c r="D160"/>
  <c r="B160"/>
  <c r="J159"/>
  <c r="H159"/>
  <c r="G159"/>
  <c r="E159"/>
  <c r="D159"/>
  <c r="B159"/>
  <c r="J158"/>
  <c r="H158"/>
  <c r="G158"/>
  <c r="E158"/>
  <c r="D158"/>
  <c r="M158" s="1"/>
  <c r="B158"/>
  <c r="J157"/>
  <c r="J156" s="1"/>
  <c r="H157"/>
  <c r="G157"/>
  <c r="E157"/>
  <c r="D157"/>
  <c r="Q157" s="1"/>
  <c r="B157"/>
  <c r="Q156"/>
  <c r="K152"/>
  <c r="K122"/>
  <c r="K92"/>
  <c r="K62"/>
  <c r="K32"/>
  <c r="K2"/>
  <c r="M7" i="22"/>
  <c r="M8"/>
  <c r="M9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M76"/>
  <c r="M77"/>
  <c r="M78"/>
  <c r="M79"/>
  <c r="M80"/>
  <c r="M81"/>
  <c r="M82"/>
  <c r="M83"/>
  <c r="M84"/>
  <c r="M85"/>
  <c r="M86"/>
  <c r="M87"/>
  <c r="M88"/>
  <c r="M89"/>
  <c r="M90"/>
  <c r="M91"/>
  <c r="M92"/>
  <c r="M93"/>
  <c r="M94"/>
  <c r="M95"/>
  <c r="M96"/>
  <c r="M97"/>
  <c r="M98"/>
  <c r="M99"/>
  <c r="M100"/>
  <c r="M6"/>
  <c r="F586" i="26"/>
  <c r="A585"/>
  <c r="A584"/>
  <c r="A583"/>
  <c r="A582"/>
  <c r="A581"/>
  <c r="A580"/>
  <c r="A579"/>
  <c r="A578"/>
  <c r="A577"/>
  <c r="A576"/>
  <c r="A575"/>
  <c r="A574"/>
  <c r="A573"/>
  <c r="A572"/>
  <c r="A571"/>
  <c r="A570"/>
  <c r="A569"/>
  <c r="A568"/>
  <c r="A567"/>
  <c r="A566"/>
  <c r="F565"/>
  <c r="A564"/>
  <c r="A563"/>
  <c r="A562"/>
  <c r="A561"/>
  <c r="A560"/>
  <c r="A559"/>
  <c r="A558"/>
  <c r="A557"/>
  <c r="A556"/>
  <c r="A555"/>
  <c r="A554"/>
  <c r="A553"/>
  <c r="A552"/>
  <c r="A551"/>
  <c r="A550"/>
  <c r="A549"/>
  <c r="A548"/>
  <c r="A547"/>
  <c r="A546"/>
  <c r="A545"/>
  <c r="F544"/>
  <c r="A543"/>
  <c r="A542"/>
  <c r="A541"/>
  <c r="A540"/>
  <c r="A539"/>
  <c r="A538"/>
  <c r="A537"/>
  <c r="A536"/>
  <c r="A535"/>
  <c r="A534"/>
  <c r="A533"/>
  <c r="A532"/>
  <c r="A531"/>
  <c r="A530"/>
  <c r="A529"/>
  <c r="A528"/>
  <c r="A527"/>
  <c r="A526"/>
  <c r="A525"/>
  <c r="A524"/>
  <c r="F523"/>
  <c r="A522"/>
  <c r="A521"/>
  <c r="A520"/>
  <c r="A519"/>
  <c r="A518"/>
  <c r="A517"/>
  <c r="A516"/>
  <c r="A515"/>
  <c r="A514"/>
  <c r="A513"/>
  <c r="A512"/>
  <c r="A511"/>
  <c r="A510"/>
  <c r="A509"/>
  <c r="A508"/>
  <c r="A507"/>
  <c r="A506"/>
  <c r="A505"/>
  <c r="A504"/>
  <c r="A503"/>
  <c r="F502"/>
  <c r="A501"/>
  <c r="A500"/>
  <c r="A499"/>
  <c r="A498"/>
  <c r="A497"/>
  <c r="A496"/>
  <c r="A495"/>
  <c r="A494"/>
  <c r="A493"/>
  <c r="A492"/>
  <c r="A491"/>
  <c r="A490"/>
  <c r="A489"/>
  <c r="A488"/>
  <c r="A487"/>
  <c r="A486"/>
  <c r="A485"/>
  <c r="A484"/>
  <c r="A483"/>
  <c r="A482"/>
  <c r="F481"/>
  <c r="A480"/>
  <c r="A479"/>
  <c r="A478"/>
  <c r="A477"/>
  <c r="A476"/>
  <c r="A475"/>
  <c r="A474"/>
  <c r="A473"/>
  <c r="A472"/>
  <c r="A471"/>
  <c r="A470"/>
  <c r="A469"/>
  <c r="A468"/>
  <c r="A467"/>
  <c r="A466"/>
  <c r="A465"/>
  <c r="A464"/>
  <c r="A463"/>
  <c r="A462"/>
  <c r="A461"/>
  <c r="F460"/>
  <c r="A459"/>
  <c r="A458"/>
  <c r="A457"/>
  <c r="A456"/>
  <c r="A455"/>
  <c r="A454"/>
  <c r="A453"/>
  <c r="A452"/>
  <c r="A451"/>
  <c r="A450"/>
  <c r="A449"/>
  <c r="A448"/>
  <c r="A447"/>
  <c r="A446"/>
  <c r="A445"/>
  <c r="A444"/>
  <c r="A443"/>
  <c r="A442"/>
  <c r="A441"/>
  <c r="A440"/>
  <c r="F439"/>
  <c r="A438"/>
  <c r="A437"/>
  <c r="A436"/>
  <c r="A435"/>
  <c r="A434"/>
  <c r="A433"/>
  <c r="A432"/>
  <c r="A431"/>
  <c r="A430"/>
  <c r="A429"/>
  <c r="A428"/>
  <c r="A427"/>
  <c r="A426"/>
  <c r="A425"/>
  <c r="A424"/>
  <c r="A423"/>
  <c r="A422"/>
  <c r="A421"/>
  <c r="A420"/>
  <c r="A419"/>
  <c r="F418"/>
  <c r="A417"/>
  <c r="A416"/>
  <c r="A415"/>
  <c r="A414"/>
  <c r="A413"/>
  <c r="A412"/>
  <c r="A411"/>
  <c r="A410"/>
  <c r="A409"/>
  <c r="A408"/>
  <c r="A407"/>
  <c r="A406"/>
  <c r="A405"/>
  <c r="A404"/>
  <c r="A403"/>
  <c r="A402"/>
  <c r="A401"/>
  <c r="A400"/>
  <c r="A399"/>
  <c r="A398"/>
  <c r="F397"/>
  <c r="A396"/>
  <c r="A395"/>
  <c r="A394"/>
  <c r="A393"/>
  <c r="A392"/>
  <c r="A391"/>
  <c r="A390"/>
  <c r="A389"/>
  <c r="A388"/>
  <c r="A387"/>
  <c r="A386"/>
  <c r="A385"/>
  <c r="A384"/>
  <c r="A383"/>
  <c r="A382"/>
  <c r="A381"/>
  <c r="A380"/>
  <c r="A379"/>
  <c r="A378"/>
  <c r="A377"/>
  <c r="F376"/>
  <c r="A375"/>
  <c r="A374"/>
  <c r="A373"/>
  <c r="A372"/>
  <c r="A371"/>
  <c r="A370"/>
  <c r="A369"/>
  <c r="A368"/>
  <c r="A367"/>
  <c r="A366"/>
  <c r="A365"/>
  <c r="A364"/>
  <c r="A363"/>
  <c r="A362"/>
  <c r="A361"/>
  <c r="A360"/>
  <c r="A359"/>
  <c r="A358"/>
  <c r="A357"/>
  <c r="A356"/>
  <c r="F355"/>
  <c r="A354"/>
  <c r="A353"/>
  <c r="A352"/>
  <c r="A351"/>
  <c r="A350"/>
  <c r="A349"/>
  <c r="A348"/>
  <c r="A347"/>
  <c r="A346"/>
  <c r="A345"/>
  <c r="A344"/>
  <c r="A343"/>
  <c r="A342"/>
  <c r="A341"/>
  <c r="A340"/>
  <c r="A339"/>
  <c r="A338"/>
  <c r="A337"/>
  <c r="A336"/>
  <c r="A335"/>
  <c r="F334"/>
  <c r="A333"/>
  <c r="A332"/>
  <c r="A331"/>
  <c r="A330"/>
  <c r="A329"/>
  <c r="A328"/>
  <c r="A327"/>
  <c r="A326"/>
  <c r="A325"/>
  <c r="A324"/>
  <c r="A323"/>
  <c r="A322"/>
  <c r="A321"/>
  <c r="A320"/>
  <c r="A319"/>
  <c r="A318"/>
  <c r="A317"/>
  <c r="A316"/>
  <c r="A315"/>
  <c r="A314"/>
  <c r="F313"/>
  <c r="A312"/>
  <c r="A311"/>
  <c r="A310"/>
  <c r="A309"/>
  <c r="A308"/>
  <c r="A307"/>
  <c r="A306"/>
  <c r="A305"/>
  <c r="A304"/>
  <c r="A303"/>
  <c r="A302"/>
  <c r="A301"/>
  <c r="A300"/>
  <c r="A299"/>
  <c r="A298"/>
  <c r="A297"/>
  <c r="A296"/>
  <c r="A295"/>
  <c r="A294"/>
  <c r="A293"/>
  <c r="F292"/>
  <c r="A291"/>
  <c r="A290"/>
  <c r="A289"/>
  <c r="A288"/>
  <c r="A287"/>
  <c r="A286"/>
  <c r="A285"/>
  <c r="A284"/>
  <c r="A283"/>
  <c r="A282"/>
  <c r="A281"/>
  <c r="A280"/>
  <c r="A279"/>
  <c r="A278"/>
  <c r="A277"/>
  <c r="A276"/>
  <c r="A275"/>
  <c r="A274"/>
  <c r="A273"/>
  <c r="A272"/>
  <c r="F271"/>
  <c r="A270"/>
  <c r="A269"/>
  <c r="A268"/>
  <c r="A267"/>
  <c r="A266"/>
  <c r="A265"/>
  <c r="A264"/>
  <c r="A263"/>
  <c r="A262"/>
  <c r="A261"/>
  <c r="A260"/>
  <c r="A259"/>
  <c r="A258"/>
  <c r="A257"/>
  <c r="A256"/>
  <c r="A255"/>
  <c r="A254"/>
  <c r="A253"/>
  <c r="A252"/>
  <c r="A251"/>
  <c r="F250"/>
  <c r="A249"/>
  <c r="A248"/>
  <c r="A247"/>
  <c r="A246"/>
  <c r="A245"/>
  <c r="A244"/>
  <c r="A243"/>
  <c r="A242"/>
  <c r="A241"/>
  <c r="A240"/>
  <c r="A239"/>
  <c r="A238"/>
  <c r="A237"/>
  <c r="A236"/>
  <c r="A235"/>
  <c r="A234"/>
  <c r="A233"/>
  <c r="A232"/>
  <c r="A231"/>
  <c r="A230"/>
  <c r="F229"/>
  <c r="A228"/>
  <c r="A227"/>
  <c r="A226"/>
  <c r="A225"/>
  <c r="A224"/>
  <c r="A223"/>
  <c r="A222"/>
  <c r="A221"/>
  <c r="A220"/>
  <c r="A219"/>
  <c r="A218"/>
  <c r="A217"/>
  <c r="A216"/>
  <c r="A215"/>
  <c r="A214"/>
  <c r="A213"/>
  <c r="A212"/>
  <c r="A211"/>
  <c r="A210"/>
  <c r="A209"/>
  <c r="F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F187"/>
  <c r="A186"/>
  <c r="A185"/>
  <c r="A184"/>
  <c r="A183"/>
  <c r="A182"/>
  <c r="A181"/>
  <c r="A180"/>
  <c r="A179"/>
  <c r="A178"/>
  <c r="A177"/>
  <c r="A176"/>
  <c r="A175"/>
  <c r="A174"/>
  <c r="A173"/>
  <c r="A172"/>
  <c r="A171"/>
  <c r="A170"/>
  <c r="A169"/>
  <c r="A168"/>
  <c r="A167"/>
  <c r="A165"/>
  <c r="A164"/>
  <c r="A163"/>
  <c r="A162"/>
  <c r="A161"/>
  <c r="A160"/>
  <c r="A159"/>
  <c r="A158"/>
  <c r="A157"/>
  <c r="A156"/>
  <c r="A155"/>
  <c r="F154"/>
  <c r="F166" s="1"/>
  <c r="A608" i="25"/>
  <c r="A607"/>
  <c r="A606"/>
  <c r="A605"/>
  <c r="A604"/>
  <c r="A603"/>
  <c r="A602"/>
  <c r="A601"/>
  <c r="A600"/>
  <c r="A599"/>
  <c r="A598"/>
  <c r="A597"/>
  <c r="A596"/>
  <c r="A595"/>
  <c r="A594"/>
  <c r="A593"/>
  <c r="A592"/>
  <c r="A591"/>
  <c r="A590"/>
  <c r="A589"/>
  <c r="A588"/>
  <c r="A587"/>
  <c r="A586"/>
  <c r="A585"/>
  <c r="A584"/>
  <c r="A583"/>
  <c r="A582"/>
  <c r="A581"/>
  <c r="A580"/>
  <c r="A579"/>
  <c r="A578"/>
  <c r="A577"/>
  <c r="A576"/>
  <c r="A575"/>
  <c r="A574"/>
  <c r="A573"/>
  <c r="A572"/>
  <c r="A571"/>
  <c r="A570"/>
  <c r="A569"/>
  <c r="A568"/>
  <c r="A567"/>
  <c r="A566"/>
  <c r="A565"/>
  <c r="A564"/>
  <c r="A563"/>
  <c r="A562"/>
  <c r="A561"/>
  <c r="A560"/>
  <c r="A559"/>
  <c r="A558"/>
  <c r="A557"/>
  <c r="A556"/>
  <c r="A555"/>
  <c r="A554"/>
  <c r="A553"/>
  <c r="A552"/>
  <c r="A551"/>
  <c r="A550"/>
  <c r="A549"/>
  <c r="A548"/>
  <c r="A547"/>
  <c r="A546"/>
  <c r="A545"/>
  <c r="A544"/>
  <c r="A543"/>
  <c r="A542"/>
  <c r="A541"/>
  <c r="A540"/>
  <c r="A539"/>
  <c r="A538"/>
  <c r="A537"/>
  <c r="A536"/>
  <c r="A535"/>
  <c r="A534"/>
  <c r="A533"/>
  <c r="A532"/>
  <c r="A531"/>
  <c r="A530"/>
  <c r="A529"/>
  <c r="A528"/>
  <c r="A527"/>
  <c r="A526"/>
  <c r="A525"/>
  <c r="A524"/>
  <c r="A523"/>
  <c r="A522"/>
  <c r="A521"/>
  <c r="A520"/>
  <c r="A519"/>
  <c r="A518"/>
  <c r="A517"/>
  <c r="A516"/>
  <c r="A515"/>
  <c r="A514"/>
  <c r="A513"/>
  <c r="A512"/>
  <c r="A511"/>
  <c r="A510"/>
  <c r="A509"/>
  <c r="A508"/>
  <c r="A507"/>
  <c r="A506"/>
  <c r="A505"/>
  <c r="A504"/>
  <c r="A503"/>
  <c r="A502"/>
  <c r="A501"/>
  <c r="A500"/>
  <c r="A499"/>
  <c r="A498"/>
  <c r="A497"/>
  <c r="A496"/>
  <c r="A495"/>
  <c r="A494"/>
  <c r="A493"/>
  <c r="A492"/>
  <c r="A491"/>
  <c r="A490"/>
  <c r="A489"/>
  <c r="A488"/>
  <c r="A487"/>
  <c r="A486"/>
  <c r="A485"/>
  <c r="A484"/>
  <c r="A483"/>
  <c r="A482"/>
  <c r="A481"/>
  <c r="A480"/>
  <c r="A479"/>
  <c r="A478"/>
  <c r="A477"/>
  <c r="A476"/>
  <c r="A475"/>
  <c r="A474"/>
  <c r="A473"/>
  <c r="A472"/>
  <c r="A471"/>
  <c r="A470"/>
  <c r="A469"/>
  <c r="A468"/>
  <c r="A467"/>
  <c r="A466"/>
  <c r="A465"/>
  <c r="A464"/>
  <c r="A463"/>
  <c r="A462"/>
  <c r="A461"/>
  <c r="A460"/>
  <c r="A459"/>
  <c r="A458"/>
  <c r="A457"/>
  <c r="A456"/>
  <c r="A455"/>
  <c r="A454"/>
  <c r="A453"/>
  <c r="A452"/>
  <c r="A451"/>
  <c r="A450"/>
  <c r="A449"/>
  <c r="A448"/>
  <c r="A447"/>
  <c r="A446"/>
  <c r="A445"/>
  <c r="A444"/>
  <c r="A443"/>
  <c r="A442"/>
  <c r="A441"/>
  <c r="A440"/>
  <c r="A439"/>
  <c r="A438"/>
  <c r="A437"/>
  <c r="A436"/>
  <c r="A435"/>
  <c r="A434"/>
  <c r="A433"/>
  <c r="A432"/>
  <c r="A431"/>
  <c r="A430"/>
  <c r="A429"/>
  <c r="A428"/>
  <c r="A427"/>
  <c r="A426"/>
  <c r="A425"/>
  <c r="A424"/>
  <c r="A423"/>
  <c r="A422"/>
  <c r="A421"/>
  <c r="A420"/>
  <c r="A419"/>
  <c r="A418"/>
  <c r="A417"/>
  <c r="A416"/>
  <c r="A415"/>
  <c r="A414"/>
  <c r="A413"/>
  <c r="A412"/>
  <c r="A411"/>
  <c r="A410"/>
  <c r="A409"/>
  <c r="A408"/>
  <c r="A407"/>
  <c r="A406"/>
  <c r="A405"/>
  <c r="A404"/>
  <c r="A403"/>
  <c r="A402"/>
  <c r="A401"/>
  <c r="A400"/>
  <c r="A399"/>
  <c r="A398"/>
  <c r="A397"/>
  <c r="A396"/>
  <c r="A395"/>
  <c r="A394"/>
  <c r="A393"/>
  <c r="A392"/>
  <c r="A391"/>
  <c r="A390"/>
  <c r="A389"/>
  <c r="A388"/>
  <c r="A387"/>
  <c r="A386"/>
  <c r="A385"/>
  <c r="A384"/>
  <c r="A383"/>
  <c r="A382"/>
  <c r="A381"/>
  <c r="A380"/>
  <c r="A379"/>
  <c r="A378"/>
  <c r="A377"/>
  <c r="A376"/>
  <c r="A375"/>
  <c r="A374"/>
  <c r="A373"/>
  <c r="A372"/>
  <c r="A371"/>
  <c r="A370"/>
  <c r="A369"/>
  <c r="A368"/>
  <c r="A367"/>
  <c r="A366"/>
  <c r="A365"/>
  <c r="A364"/>
  <c r="A363"/>
  <c r="A362"/>
  <c r="A361"/>
  <c r="A360"/>
  <c r="A359"/>
  <c r="A358"/>
  <c r="A357"/>
  <c r="A356"/>
  <c r="A355"/>
  <c r="A354"/>
  <c r="A353"/>
  <c r="A352"/>
  <c r="A351"/>
  <c r="A350"/>
  <c r="A349"/>
  <c r="A348"/>
  <c r="A347"/>
  <c r="A346"/>
  <c r="A345"/>
  <c r="A344"/>
  <c r="A343"/>
  <c r="A342"/>
  <c r="A341"/>
  <c r="A340"/>
  <c r="A339"/>
  <c r="A338"/>
  <c r="A337"/>
  <c r="A336"/>
  <c r="A335"/>
  <c r="A334"/>
  <c r="A333"/>
  <c r="A332"/>
  <c r="A331"/>
  <c r="A330"/>
  <c r="A329"/>
  <c r="A328"/>
  <c r="A327"/>
  <c r="A326"/>
  <c r="A325"/>
  <c r="A324"/>
  <c r="A323"/>
  <c r="A322"/>
  <c r="A321"/>
  <c r="A320"/>
  <c r="A319"/>
  <c r="A318"/>
  <c r="A317"/>
  <c r="A316"/>
  <c r="A315"/>
  <c r="A314"/>
  <c r="A313"/>
  <c r="A312"/>
  <c r="A311"/>
  <c r="A310"/>
  <c r="A309"/>
  <c r="A308"/>
  <c r="A307"/>
  <c r="A306"/>
  <c r="A305"/>
  <c r="A304"/>
  <c r="A303"/>
  <c r="A302"/>
  <c r="A301"/>
  <c r="A300"/>
  <c r="A299"/>
  <c r="A298"/>
  <c r="A297"/>
  <c r="A296"/>
  <c r="A295"/>
  <c r="A294"/>
  <c r="A293"/>
  <c r="A292"/>
  <c r="A291"/>
  <c r="A290"/>
  <c r="A289"/>
  <c r="A288"/>
  <c r="A287"/>
  <c r="A286"/>
  <c r="A285"/>
  <c r="A284"/>
  <c r="A283"/>
  <c r="A282"/>
  <c r="A281"/>
  <c r="A280"/>
  <c r="A279"/>
  <c r="A278"/>
  <c r="A277"/>
  <c r="A276"/>
  <c r="A275"/>
  <c r="A274"/>
  <c r="A273"/>
  <c r="A272"/>
  <c r="A271"/>
  <c r="A270"/>
  <c r="A269"/>
  <c r="A268"/>
  <c r="A267"/>
  <c r="A266"/>
  <c r="A265"/>
  <c r="A264"/>
  <c r="A263"/>
  <c r="A262"/>
  <c r="A261"/>
  <c r="A260"/>
  <c r="A259"/>
  <c r="A258"/>
  <c r="A257"/>
  <c r="A256"/>
  <c r="A255"/>
  <c r="A254"/>
  <c r="A253"/>
  <c r="A252"/>
  <c r="A251"/>
  <c r="A250"/>
  <c r="A249"/>
  <c r="A248"/>
  <c r="A247"/>
  <c r="A246"/>
  <c r="A245"/>
  <c r="A244"/>
  <c r="A243"/>
  <c r="A242"/>
  <c r="A241"/>
  <c r="A240"/>
  <c r="A239"/>
  <c r="A238"/>
  <c r="A237"/>
  <c r="A236"/>
  <c r="A235"/>
  <c r="A234"/>
  <c r="A233"/>
  <c r="A232"/>
  <c r="A231"/>
  <c r="A230"/>
  <c r="A229"/>
  <c r="A227"/>
  <c r="A226"/>
  <c r="A225"/>
  <c r="A224"/>
  <c r="A223"/>
  <c r="A222"/>
  <c r="A221"/>
  <c r="A220"/>
  <c r="A219"/>
  <c r="A218"/>
  <c r="A217"/>
  <c r="A216"/>
  <c r="A215"/>
  <c r="F146"/>
  <c r="F228" s="1"/>
  <c r="F533" i="24"/>
  <c r="A532"/>
  <c r="A531"/>
  <c r="A530"/>
  <c r="A529"/>
  <c r="A528"/>
  <c r="A527"/>
  <c r="A526"/>
  <c r="A525"/>
  <c r="A524"/>
  <c r="A523"/>
  <c r="A522"/>
  <c r="A521"/>
  <c r="A520"/>
  <c r="A519"/>
  <c r="A518"/>
  <c r="A517"/>
  <c r="A516"/>
  <c r="A515"/>
  <c r="A514"/>
  <c r="A513"/>
  <c r="F512"/>
  <c r="A511"/>
  <c r="A510"/>
  <c r="A509"/>
  <c r="A508"/>
  <c r="A507"/>
  <c r="A506"/>
  <c r="A505"/>
  <c r="A504"/>
  <c r="A503"/>
  <c r="A502"/>
  <c r="A501"/>
  <c r="A500"/>
  <c r="A499"/>
  <c r="A498"/>
  <c r="A497"/>
  <c r="A496"/>
  <c r="A495"/>
  <c r="A494"/>
  <c r="A493"/>
  <c r="A492"/>
  <c r="F491"/>
  <c r="A490"/>
  <c r="A489"/>
  <c r="A488"/>
  <c r="A487"/>
  <c r="A486"/>
  <c r="A485"/>
  <c r="A484"/>
  <c r="A483"/>
  <c r="A482"/>
  <c r="A481"/>
  <c r="A480"/>
  <c r="A479"/>
  <c r="A478"/>
  <c r="A477"/>
  <c r="A476"/>
  <c r="A475"/>
  <c r="A474"/>
  <c r="A473"/>
  <c r="A472"/>
  <c r="A471"/>
  <c r="F470"/>
  <c r="A469"/>
  <c r="A468"/>
  <c r="A467"/>
  <c r="A466"/>
  <c r="A465"/>
  <c r="A464"/>
  <c r="A463"/>
  <c r="A462"/>
  <c r="A461"/>
  <c r="A460"/>
  <c r="A459"/>
  <c r="A458"/>
  <c r="A457"/>
  <c r="A456"/>
  <c r="A455"/>
  <c r="A454"/>
  <c r="A453"/>
  <c r="A452"/>
  <c r="A451"/>
  <c r="A450"/>
  <c r="F449"/>
  <c r="A448"/>
  <c r="A447"/>
  <c r="A446"/>
  <c r="A445"/>
  <c r="A444"/>
  <c r="A443"/>
  <c r="A442"/>
  <c r="A441"/>
  <c r="A440"/>
  <c r="A439"/>
  <c r="A438"/>
  <c r="A437"/>
  <c r="A436"/>
  <c r="A435"/>
  <c r="A434"/>
  <c r="A433"/>
  <c r="A432"/>
  <c r="A431"/>
  <c r="A430"/>
  <c r="A429"/>
  <c r="F428"/>
  <c r="A427"/>
  <c r="A426"/>
  <c r="A425"/>
  <c r="A424"/>
  <c r="A423"/>
  <c r="A422"/>
  <c r="A421"/>
  <c r="A420"/>
  <c r="A419"/>
  <c r="A418"/>
  <c r="A417"/>
  <c r="A416"/>
  <c r="A415"/>
  <c r="A414"/>
  <c r="A413"/>
  <c r="A412"/>
  <c r="A411"/>
  <c r="A410"/>
  <c r="A409"/>
  <c r="A408"/>
  <c r="F407"/>
  <c r="A406"/>
  <c r="A405"/>
  <c r="A404"/>
  <c r="A403"/>
  <c r="A402"/>
  <c r="A401"/>
  <c r="A400"/>
  <c r="A399"/>
  <c r="A398"/>
  <c r="A397"/>
  <c r="A396"/>
  <c r="A395"/>
  <c r="A394"/>
  <c r="A393"/>
  <c r="A392"/>
  <c r="A391"/>
  <c r="A390"/>
  <c r="A389"/>
  <c r="A388"/>
  <c r="A387"/>
  <c r="F386"/>
  <c r="A385"/>
  <c r="A384"/>
  <c r="A383"/>
  <c r="A382"/>
  <c r="A381"/>
  <c r="A380"/>
  <c r="A379"/>
  <c r="A378"/>
  <c r="A377"/>
  <c r="A376"/>
  <c r="A375"/>
  <c r="A374"/>
  <c r="A373"/>
  <c r="A372"/>
  <c r="A371"/>
  <c r="A370"/>
  <c r="A369"/>
  <c r="A368"/>
  <c r="A367"/>
  <c r="A366"/>
  <c r="F365"/>
  <c r="A364"/>
  <c r="A363"/>
  <c r="A362"/>
  <c r="A361"/>
  <c r="A360"/>
  <c r="A359"/>
  <c r="A358"/>
  <c r="A357"/>
  <c r="A356"/>
  <c r="A355"/>
  <c r="A354"/>
  <c r="A353"/>
  <c r="A352"/>
  <c r="A351"/>
  <c r="A350"/>
  <c r="A349"/>
  <c r="A348"/>
  <c r="A347"/>
  <c r="A346"/>
  <c r="A345"/>
  <c r="F344"/>
  <c r="A343"/>
  <c r="A342"/>
  <c r="A341"/>
  <c r="A340"/>
  <c r="A339"/>
  <c r="A338"/>
  <c r="A337"/>
  <c r="A336"/>
  <c r="A335"/>
  <c r="A334"/>
  <c r="A333"/>
  <c r="A332"/>
  <c r="A331"/>
  <c r="A330"/>
  <c r="A329"/>
  <c r="A328"/>
  <c r="A327"/>
  <c r="A326"/>
  <c r="A325"/>
  <c r="A324"/>
  <c r="F323"/>
  <c r="A322"/>
  <c r="A321"/>
  <c r="A320"/>
  <c r="A319"/>
  <c r="A318"/>
  <c r="A317"/>
  <c r="A316"/>
  <c r="A315"/>
  <c r="A314"/>
  <c r="A313"/>
  <c r="A312"/>
  <c r="A311"/>
  <c r="A310"/>
  <c r="A309"/>
  <c r="A308"/>
  <c r="A307"/>
  <c r="A306"/>
  <c r="A305"/>
  <c r="A304"/>
  <c r="A303"/>
  <c r="F302"/>
  <c r="A301"/>
  <c r="A300"/>
  <c r="A299"/>
  <c r="A298"/>
  <c r="A297"/>
  <c r="A296"/>
  <c r="A295"/>
  <c r="A294"/>
  <c r="A293"/>
  <c r="A292"/>
  <c r="A291"/>
  <c r="A290"/>
  <c r="A289"/>
  <c r="A288"/>
  <c r="A287"/>
  <c r="A286"/>
  <c r="A285"/>
  <c r="A284"/>
  <c r="A283"/>
  <c r="A282"/>
  <c r="F281"/>
  <c r="A280"/>
  <c r="A279"/>
  <c r="A278"/>
  <c r="A277"/>
  <c r="A276"/>
  <c r="A275"/>
  <c r="A274"/>
  <c r="A273"/>
  <c r="A272"/>
  <c r="A271"/>
  <c r="A270"/>
  <c r="A269"/>
  <c r="A268"/>
  <c r="A267"/>
  <c r="A266"/>
  <c r="A265"/>
  <c r="A264"/>
  <c r="A263"/>
  <c r="A262"/>
  <c r="A261"/>
  <c r="F260"/>
  <c r="A259"/>
  <c r="A258"/>
  <c r="A257"/>
  <c r="A256"/>
  <c r="A255"/>
  <c r="A254"/>
  <c r="A253"/>
  <c r="A252"/>
  <c r="A251"/>
  <c r="A250"/>
  <c r="A249"/>
  <c r="A248"/>
  <c r="A247"/>
  <c r="A246"/>
  <c r="A245"/>
  <c r="A244"/>
  <c r="A243"/>
  <c r="A242"/>
  <c r="A241"/>
  <c r="A240"/>
  <c r="F239"/>
  <c r="A238"/>
  <c r="A237"/>
  <c r="F636" i="23"/>
  <c r="A635"/>
  <c r="A634"/>
  <c r="A633"/>
  <c r="A632"/>
  <c r="A631"/>
  <c r="A630"/>
  <c r="A629"/>
  <c r="A628"/>
  <c r="A627"/>
  <c r="A626"/>
  <c r="A625"/>
  <c r="A624"/>
  <c r="A623"/>
  <c r="A622"/>
  <c r="A621"/>
  <c r="A620"/>
  <c r="A619"/>
  <c r="A618"/>
  <c r="A617"/>
  <c r="A616"/>
  <c r="F615"/>
  <c r="A614"/>
  <c r="A613"/>
  <c r="A612"/>
  <c r="A611"/>
  <c r="A610"/>
  <c r="A609"/>
  <c r="A608"/>
  <c r="A607"/>
  <c r="A606"/>
  <c r="A605"/>
  <c r="A604"/>
  <c r="A603"/>
  <c r="A602"/>
  <c r="A601"/>
  <c r="A600"/>
  <c r="A599"/>
  <c r="A598"/>
  <c r="A597"/>
  <c r="A596"/>
  <c r="A595"/>
  <c r="F594"/>
  <c r="A593"/>
  <c r="A592"/>
  <c r="A591"/>
  <c r="A590"/>
  <c r="A589"/>
  <c r="A588"/>
  <c r="A587"/>
  <c r="A586"/>
  <c r="A585"/>
  <c r="A584"/>
  <c r="A583"/>
  <c r="A582"/>
  <c r="A581"/>
  <c r="A580"/>
  <c r="A579"/>
  <c r="A578"/>
  <c r="A577"/>
  <c r="A576"/>
  <c r="A575"/>
  <c r="A574"/>
  <c r="F573"/>
  <c r="A572"/>
  <c r="A571"/>
  <c r="A570"/>
  <c r="A569"/>
  <c r="A568"/>
  <c r="A567"/>
  <c r="A566"/>
  <c r="A565"/>
  <c r="A564"/>
  <c r="A563"/>
  <c r="A562"/>
  <c r="A561"/>
  <c r="A560"/>
  <c r="A559"/>
  <c r="A558"/>
  <c r="A557"/>
  <c r="A556"/>
  <c r="A555"/>
  <c r="A554"/>
  <c r="A553"/>
  <c r="F552"/>
  <c r="A551"/>
  <c r="A550"/>
  <c r="A549"/>
  <c r="A548"/>
  <c r="A547"/>
  <c r="A546"/>
  <c r="A545"/>
  <c r="A544"/>
  <c r="A543"/>
  <c r="A542"/>
  <c r="A541"/>
  <c r="A540"/>
  <c r="A539"/>
  <c r="A538"/>
  <c r="A537"/>
  <c r="A536"/>
  <c r="A535"/>
  <c r="A534"/>
  <c r="A533"/>
  <c r="A532"/>
  <c r="F531"/>
  <c r="A530"/>
  <c r="A529"/>
  <c r="A528"/>
  <c r="A527"/>
  <c r="A526"/>
  <c r="A525"/>
  <c r="A524"/>
  <c r="A523"/>
  <c r="A522"/>
  <c r="A521"/>
  <c r="A520"/>
  <c r="A519"/>
  <c r="A518"/>
  <c r="A517"/>
  <c r="A516"/>
  <c r="A515"/>
  <c r="A514"/>
  <c r="A513"/>
  <c r="A512"/>
  <c r="A511"/>
  <c r="F510"/>
  <c r="A509"/>
  <c r="A508"/>
  <c r="A507"/>
  <c r="A506"/>
  <c r="A505"/>
  <c r="A504"/>
  <c r="A503"/>
  <c r="A502"/>
  <c r="A501"/>
  <c r="A500"/>
  <c r="A499"/>
  <c r="A498"/>
  <c r="A497"/>
  <c r="A496"/>
  <c r="A495"/>
  <c r="A494"/>
  <c r="A493"/>
  <c r="A492"/>
  <c r="A491"/>
  <c r="A490"/>
  <c r="F489"/>
  <c r="A488"/>
  <c r="A487"/>
  <c r="A486"/>
  <c r="A485"/>
  <c r="A484"/>
  <c r="A483"/>
  <c r="A482"/>
  <c r="A481"/>
  <c r="A480"/>
  <c r="A479"/>
  <c r="A478"/>
  <c r="A477"/>
  <c r="A476"/>
  <c r="A475"/>
  <c r="A474"/>
  <c r="A473"/>
  <c r="A472"/>
  <c r="A471"/>
  <c r="A470"/>
  <c r="A469"/>
  <c r="F468"/>
  <c r="A467"/>
  <c r="A466"/>
  <c r="A465"/>
  <c r="A464"/>
  <c r="A463"/>
  <c r="A462"/>
  <c r="A461"/>
  <c r="A460"/>
  <c r="A459"/>
  <c r="A458"/>
  <c r="A457"/>
  <c r="A456"/>
  <c r="A455"/>
  <c r="A454"/>
  <c r="A453"/>
  <c r="A452"/>
  <c r="A451"/>
  <c r="A450"/>
  <c r="A449"/>
  <c r="A448"/>
  <c r="F447"/>
  <c r="A446"/>
  <c r="A445"/>
  <c r="A444"/>
  <c r="A443"/>
  <c r="A442"/>
  <c r="A441"/>
  <c r="A440"/>
  <c r="A439"/>
  <c r="A438"/>
  <c r="A437"/>
  <c r="A436"/>
  <c r="A435"/>
  <c r="A434"/>
  <c r="A433"/>
  <c r="A432"/>
  <c r="A431"/>
  <c r="A430"/>
  <c r="A429"/>
  <c r="A428"/>
  <c r="A427"/>
  <c r="F426"/>
  <c r="A425"/>
  <c r="A424"/>
  <c r="A423"/>
  <c r="A422"/>
  <c r="A421"/>
  <c r="A420"/>
  <c r="A419"/>
  <c r="A418"/>
  <c r="A417"/>
  <c r="A416"/>
  <c r="A415"/>
  <c r="A414"/>
  <c r="A413"/>
  <c r="A412"/>
  <c r="A411"/>
  <c r="A410"/>
  <c r="A409"/>
  <c r="A408"/>
  <c r="A407"/>
  <c r="A406"/>
  <c r="F405"/>
  <c r="A404"/>
  <c r="A403"/>
  <c r="A402"/>
  <c r="A401"/>
  <c r="A400"/>
  <c r="A399"/>
  <c r="A398"/>
  <c r="A397"/>
  <c r="A396"/>
  <c r="A395"/>
  <c r="A394"/>
  <c r="A393"/>
  <c r="A392"/>
  <c r="A391"/>
  <c r="A390"/>
  <c r="A389"/>
  <c r="A388"/>
  <c r="A387"/>
  <c r="A386"/>
  <c r="A385"/>
  <c r="F384"/>
  <c r="A383"/>
  <c r="A382"/>
  <c r="A381"/>
  <c r="A380"/>
  <c r="A379"/>
  <c r="A378"/>
  <c r="A377"/>
  <c r="A376"/>
  <c r="A375"/>
  <c r="A374"/>
  <c r="A373"/>
  <c r="A372"/>
  <c r="A371"/>
  <c r="A370"/>
  <c r="A369"/>
  <c r="A368"/>
  <c r="A367"/>
  <c r="A366"/>
  <c r="A365"/>
  <c r="A364"/>
  <c r="F363"/>
  <c r="A362"/>
  <c r="A361"/>
  <c r="A360"/>
  <c r="A359"/>
  <c r="A358"/>
  <c r="A357"/>
  <c r="A356"/>
  <c r="A355"/>
  <c r="A354"/>
  <c r="A353"/>
  <c r="A352"/>
  <c r="A351"/>
  <c r="A350"/>
  <c r="A349"/>
  <c r="A348"/>
  <c r="A347"/>
  <c r="A346"/>
  <c r="A345"/>
  <c r="A344"/>
  <c r="A343"/>
  <c r="F342"/>
  <c r="A341"/>
  <c r="A340"/>
  <c r="A339"/>
  <c r="A338"/>
  <c r="A337"/>
  <c r="A336"/>
  <c r="A335"/>
  <c r="A334"/>
  <c r="A333"/>
  <c r="A332"/>
  <c r="A331"/>
  <c r="A330"/>
  <c r="A329"/>
  <c r="A328"/>
  <c r="A327"/>
  <c r="A326"/>
  <c r="A325"/>
  <c r="A324"/>
  <c r="A323"/>
  <c r="A322"/>
  <c r="F321"/>
  <c r="A320"/>
  <c r="A319"/>
  <c r="A318"/>
  <c r="A317"/>
  <c r="A316"/>
  <c r="A315"/>
  <c r="A314"/>
  <c r="A313"/>
  <c r="A312"/>
  <c r="A311"/>
  <c r="A310"/>
  <c r="A309"/>
  <c r="A308"/>
  <c r="A307"/>
  <c r="A306"/>
  <c r="A305"/>
  <c r="A304"/>
  <c r="A303"/>
  <c r="A302"/>
  <c r="A301"/>
  <c r="F300"/>
  <c r="A299"/>
  <c r="A298"/>
  <c r="A297"/>
  <c r="F156"/>
  <c r="F522" i="22"/>
  <c r="A521"/>
  <c r="A520"/>
  <c r="A519"/>
  <c r="A518"/>
  <c r="A517"/>
  <c r="A516"/>
  <c r="A515"/>
  <c r="A514"/>
  <c r="A513"/>
  <c r="A512"/>
  <c r="A511"/>
  <c r="A510"/>
  <c r="A509"/>
  <c r="A508"/>
  <c r="A507"/>
  <c r="A506"/>
  <c r="A505"/>
  <c r="A504"/>
  <c r="A503"/>
  <c r="A502"/>
  <c r="F501"/>
  <c r="A500"/>
  <c r="A499"/>
  <c r="A498"/>
  <c r="A497"/>
  <c r="A496"/>
  <c r="A495"/>
  <c r="A494"/>
  <c r="A493"/>
  <c r="A492"/>
  <c r="A491"/>
  <c r="A490"/>
  <c r="A489"/>
  <c r="A488"/>
  <c r="A487"/>
  <c r="A486"/>
  <c r="A485"/>
  <c r="A484"/>
  <c r="A483"/>
  <c r="A482"/>
  <c r="A481"/>
  <c r="F480"/>
  <c r="A479"/>
  <c r="A478"/>
  <c r="A477"/>
  <c r="A476"/>
  <c r="A475"/>
  <c r="A474"/>
  <c r="A473"/>
  <c r="A472"/>
  <c r="A471"/>
  <c r="A470"/>
  <c r="A469"/>
  <c r="A468"/>
  <c r="A467"/>
  <c r="A466"/>
  <c r="A465"/>
  <c r="A464"/>
  <c r="A463"/>
  <c r="A462"/>
  <c r="A461"/>
  <c r="A460"/>
  <c r="F459"/>
  <c r="A458"/>
  <c r="A457"/>
  <c r="A456"/>
  <c r="A455"/>
  <c r="A454"/>
  <c r="A453"/>
  <c r="A452"/>
  <c r="A451"/>
  <c r="A450"/>
  <c r="A449"/>
  <c r="A448"/>
  <c r="A447"/>
  <c r="A446"/>
  <c r="A445"/>
  <c r="A444"/>
  <c r="A443"/>
  <c r="A442"/>
  <c r="A441"/>
  <c r="A440"/>
  <c r="A439"/>
  <c r="F438"/>
  <c r="A437"/>
  <c r="A436"/>
  <c r="A435"/>
  <c r="A434"/>
  <c r="A433"/>
  <c r="A432"/>
  <c r="A431"/>
  <c r="A430"/>
  <c r="A429"/>
  <c r="A428"/>
  <c r="A427"/>
  <c r="A426"/>
  <c r="A425"/>
  <c r="A424"/>
  <c r="A423"/>
  <c r="A422"/>
  <c r="A421"/>
  <c r="A420"/>
  <c r="A419"/>
  <c r="A418"/>
  <c r="F417"/>
  <c r="A416"/>
  <c r="A415"/>
  <c r="A414"/>
  <c r="A413"/>
  <c r="A412"/>
  <c r="A411"/>
  <c r="A410"/>
  <c r="A409"/>
  <c r="A408"/>
  <c r="A407"/>
  <c r="A406"/>
  <c r="A405"/>
  <c r="A404"/>
  <c r="A403"/>
  <c r="A402"/>
  <c r="A401"/>
  <c r="A400"/>
  <c r="A399"/>
  <c r="A398"/>
  <c r="A397"/>
  <c r="F396"/>
  <c r="A395"/>
  <c r="A394"/>
  <c r="A393"/>
  <c r="A392"/>
  <c r="A391"/>
  <c r="A390"/>
  <c r="A389"/>
  <c r="A388"/>
  <c r="A387"/>
  <c r="A386"/>
  <c r="A385"/>
  <c r="A384"/>
  <c r="A383"/>
  <c r="A382"/>
  <c r="A381"/>
  <c r="A380"/>
  <c r="A379"/>
  <c r="A378"/>
  <c r="A377"/>
  <c r="A376"/>
  <c r="F375"/>
  <c r="A374"/>
  <c r="A373"/>
  <c r="A372"/>
  <c r="A371"/>
  <c r="A370"/>
  <c r="A369"/>
  <c r="A368"/>
  <c r="A367"/>
  <c r="A366"/>
  <c r="A365"/>
  <c r="A364"/>
  <c r="A363"/>
  <c r="A362"/>
  <c r="A361"/>
  <c r="A360"/>
  <c r="A359"/>
  <c r="A358"/>
  <c r="A357"/>
  <c r="A356"/>
  <c r="A355"/>
  <c r="F354"/>
  <c r="A353"/>
  <c r="A352"/>
  <c r="A351"/>
  <c r="A350"/>
  <c r="A349"/>
  <c r="A348"/>
  <c r="A347"/>
  <c r="A346"/>
  <c r="A345"/>
  <c r="A344"/>
  <c r="A343"/>
  <c r="A342"/>
  <c r="A341"/>
  <c r="A340"/>
  <c r="A339"/>
  <c r="A338"/>
  <c r="A337"/>
  <c r="A336"/>
  <c r="A335"/>
  <c r="A334"/>
  <c r="F333"/>
  <c r="A332"/>
  <c r="A331"/>
  <c r="A330"/>
  <c r="A329"/>
  <c r="A328"/>
  <c r="A327"/>
  <c r="A326"/>
  <c r="A325"/>
  <c r="A324"/>
  <c r="A323"/>
  <c r="A322"/>
  <c r="A321"/>
  <c r="A320"/>
  <c r="A319"/>
  <c r="A318"/>
  <c r="A317"/>
  <c r="A316"/>
  <c r="A315"/>
  <c r="A314"/>
  <c r="A313"/>
  <c r="F312"/>
  <c r="A311"/>
  <c r="A310"/>
  <c r="A309"/>
  <c r="A308"/>
  <c r="A307"/>
  <c r="A306"/>
  <c r="A305"/>
  <c r="A304"/>
  <c r="A303"/>
  <c r="A302"/>
  <c r="A301"/>
  <c r="A300"/>
  <c r="A299"/>
  <c r="A298"/>
  <c r="A297"/>
  <c r="A296"/>
  <c r="A295"/>
  <c r="A294"/>
  <c r="A293"/>
  <c r="A292"/>
  <c r="F291"/>
  <c r="A290"/>
  <c r="A289"/>
  <c r="A288"/>
  <c r="A287"/>
  <c r="A286"/>
  <c r="A285"/>
  <c r="A284"/>
  <c r="A283"/>
  <c r="A282"/>
  <c r="A281"/>
  <c r="A280"/>
  <c r="A279"/>
  <c r="A278"/>
  <c r="A277"/>
  <c r="A276"/>
  <c r="A275"/>
  <c r="A274"/>
  <c r="A273"/>
  <c r="A272"/>
  <c r="A271"/>
  <c r="F270"/>
  <c r="A269"/>
  <c r="A268"/>
  <c r="A267"/>
  <c r="A266"/>
  <c r="A265"/>
  <c r="A264"/>
  <c r="A263"/>
  <c r="A262"/>
  <c r="A261"/>
  <c r="A260"/>
  <c r="A259"/>
  <c r="A258"/>
  <c r="A257"/>
  <c r="A256"/>
  <c r="A255"/>
  <c r="A254"/>
  <c r="A253"/>
  <c r="A252"/>
  <c r="A251"/>
  <c r="A250"/>
  <c r="F249"/>
  <c r="A248"/>
  <c r="A247"/>
  <c r="A246"/>
  <c r="A245"/>
  <c r="A244"/>
  <c r="A243"/>
  <c r="A242"/>
  <c r="A241"/>
  <c r="A240"/>
  <c r="A239"/>
  <c r="A238"/>
  <c r="A237"/>
  <c r="A236"/>
  <c r="A235"/>
  <c r="A234"/>
  <c r="A233"/>
  <c r="A232"/>
  <c r="A231"/>
  <c r="A230"/>
  <c r="A229"/>
  <c r="F228"/>
  <c r="A227"/>
  <c r="A226"/>
  <c r="A225"/>
  <c r="A224"/>
  <c r="A223"/>
  <c r="A222"/>
  <c r="A221"/>
  <c r="A220"/>
  <c r="A219"/>
  <c r="A218"/>
  <c r="A217"/>
  <c r="A216"/>
  <c r="A215"/>
  <c r="A214"/>
  <c r="A213"/>
  <c r="A212"/>
  <c r="A211"/>
  <c r="A210"/>
  <c r="A209"/>
  <c r="A208"/>
  <c r="F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F186"/>
  <c r="A185"/>
  <c r="A184"/>
  <c r="A183"/>
  <c r="A182"/>
  <c r="A181"/>
  <c r="A180"/>
  <c r="A179"/>
  <c r="A178"/>
  <c r="A177"/>
  <c r="A176"/>
  <c r="A175"/>
  <c r="A174"/>
  <c r="A173"/>
  <c r="A172"/>
  <c r="A171"/>
  <c r="A170"/>
  <c r="A169"/>
  <c r="A168"/>
  <c r="A167"/>
  <c r="A166"/>
  <c r="F165"/>
  <c r="A164"/>
  <c r="A163"/>
  <c r="A162"/>
  <c r="A161"/>
  <c r="A160"/>
  <c r="A159"/>
  <c r="A158"/>
  <c r="A157"/>
  <c r="A156"/>
  <c r="A155"/>
  <c r="A154"/>
  <c r="A153"/>
  <c r="A152"/>
  <c r="A151"/>
  <c r="A150"/>
  <c r="A149"/>
  <c r="A148"/>
  <c r="A147"/>
  <c r="A146"/>
  <c r="A145"/>
  <c r="F144"/>
  <c r="A143"/>
  <c r="A142"/>
  <c r="A141"/>
  <c r="A140"/>
  <c r="A139"/>
  <c r="A138"/>
  <c r="A137"/>
  <c r="A136"/>
  <c r="A135"/>
  <c r="A134"/>
  <c r="A133"/>
  <c r="A132"/>
  <c r="A131"/>
  <c r="A130"/>
  <c r="A129"/>
  <c r="F103"/>
  <c r="D156" i="27" l="1"/>
  <c r="K159"/>
  <c r="K161"/>
  <c r="K163"/>
  <c r="K165"/>
  <c r="K167"/>
  <c r="K169"/>
  <c r="K171"/>
  <c r="K173"/>
  <c r="K175"/>
  <c r="K177"/>
  <c r="H156"/>
  <c r="R156"/>
  <c r="M159"/>
  <c r="M160"/>
  <c r="K162"/>
  <c r="M163"/>
  <c r="M164"/>
  <c r="K166"/>
  <c r="M167"/>
  <c r="M168"/>
  <c r="K170"/>
  <c r="M171"/>
  <c r="M172"/>
  <c r="K174"/>
  <c r="M175"/>
  <c r="M176"/>
  <c r="K178"/>
  <c r="M179"/>
  <c r="M180"/>
  <c r="H186"/>
  <c r="R186"/>
  <c r="M189"/>
  <c r="M190"/>
  <c r="K192"/>
  <c r="M193"/>
  <c r="M194"/>
  <c r="K196"/>
  <c r="M197"/>
  <c r="M198"/>
  <c r="K200"/>
  <c r="M201"/>
  <c r="M202"/>
  <c r="K204"/>
  <c r="M205"/>
  <c r="M206"/>
  <c r="M209"/>
  <c r="M210"/>
  <c r="E216"/>
  <c r="G216"/>
  <c r="B246"/>
  <c r="D276"/>
  <c r="J276"/>
  <c r="Q276"/>
  <c r="H276"/>
  <c r="K160"/>
  <c r="K168"/>
  <c r="K172"/>
  <c r="K176"/>
  <c r="K179"/>
  <c r="K180"/>
  <c r="K181"/>
  <c r="K189"/>
  <c r="K190"/>
  <c r="K191"/>
  <c r="K193"/>
  <c r="K194"/>
  <c r="K195"/>
  <c r="K197"/>
  <c r="K198"/>
  <c r="K199"/>
  <c r="K201"/>
  <c r="K202"/>
  <c r="K203"/>
  <c r="K205"/>
  <c r="K206"/>
  <c r="K207"/>
  <c r="K277"/>
  <c r="E103" i="28"/>
  <c r="E39"/>
  <c r="G103"/>
  <c r="E71"/>
  <c r="Q127" i="27"/>
  <c r="E148"/>
  <c r="H128"/>
  <c r="D126"/>
  <c r="E127"/>
  <c r="G150"/>
  <c r="G148"/>
  <c r="G146"/>
  <c r="G144"/>
  <c r="G142"/>
  <c r="G140"/>
  <c r="G138"/>
  <c r="G136"/>
  <c r="G134"/>
  <c r="G132"/>
  <c r="G130"/>
  <c r="G128"/>
  <c r="J151"/>
  <c r="J149"/>
  <c r="J147"/>
  <c r="J145"/>
  <c r="J143"/>
  <c r="J141"/>
  <c r="J139"/>
  <c r="J137"/>
  <c r="J135"/>
  <c r="J133"/>
  <c r="J131"/>
  <c r="J129"/>
  <c r="G127"/>
  <c r="E150"/>
  <c r="E144"/>
  <c r="E142"/>
  <c r="E140"/>
  <c r="E138"/>
  <c r="E136"/>
  <c r="E134"/>
  <c r="E132"/>
  <c r="E130"/>
  <c r="E128"/>
  <c r="H151"/>
  <c r="H149"/>
  <c r="H147"/>
  <c r="H145"/>
  <c r="H143"/>
  <c r="H141"/>
  <c r="H139"/>
  <c r="H137"/>
  <c r="H135"/>
  <c r="H133"/>
  <c r="H131"/>
  <c r="H129"/>
  <c r="E146"/>
  <c r="G151"/>
  <c r="M151" s="1"/>
  <c r="G149"/>
  <c r="G147"/>
  <c r="G145"/>
  <c r="M145" s="1"/>
  <c r="G143"/>
  <c r="M143" s="1"/>
  <c r="G141"/>
  <c r="G139"/>
  <c r="G137"/>
  <c r="G135"/>
  <c r="G133"/>
  <c r="G131"/>
  <c r="G129"/>
  <c r="H127"/>
  <c r="J150"/>
  <c r="J148"/>
  <c r="J146"/>
  <c r="J144"/>
  <c r="J142"/>
  <c r="J140"/>
  <c r="J138"/>
  <c r="J136"/>
  <c r="J134"/>
  <c r="J132"/>
  <c r="J130"/>
  <c r="J128"/>
  <c r="E151"/>
  <c r="K151" s="1"/>
  <c r="E149"/>
  <c r="E147"/>
  <c r="E145"/>
  <c r="E143"/>
  <c r="K143" s="1"/>
  <c r="E141"/>
  <c r="E139"/>
  <c r="E137"/>
  <c r="E135"/>
  <c r="K135" s="1"/>
  <c r="E133"/>
  <c r="E131"/>
  <c r="E129"/>
  <c r="J127"/>
  <c r="H150"/>
  <c r="H148"/>
  <c r="H146"/>
  <c r="H144"/>
  <c r="H142"/>
  <c r="H140"/>
  <c r="H138"/>
  <c r="H136"/>
  <c r="H134"/>
  <c r="H132"/>
  <c r="H130"/>
  <c r="J126"/>
  <c r="K133"/>
  <c r="K129"/>
  <c r="M139"/>
  <c r="M135"/>
  <c r="K139"/>
  <c r="M146"/>
  <c r="M130"/>
  <c r="H98"/>
  <c r="J121"/>
  <c r="J119"/>
  <c r="J117"/>
  <c r="J115"/>
  <c r="J113"/>
  <c r="J111"/>
  <c r="J109"/>
  <c r="J107"/>
  <c r="J105"/>
  <c r="J103"/>
  <c r="J101"/>
  <c r="J99"/>
  <c r="H121"/>
  <c r="H117"/>
  <c r="H113"/>
  <c r="H109"/>
  <c r="H105"/>
  <c r="H99"/>
  <c r="H97"/>
  <c r="J120"/>
  <c r="J118"/>
  <c r="J116"/>
  <c r="J114"/>
  <c r="J112"/>
  <c r="J110"/>
  <c r="J108"/>
  <c r="J106"/>
  <c r="J104"/>
  <c r="J102"/>
  <c r="J100"/>
  <c r="J98"/>
  <c r="H119"/>
  <c r="H115"/>
  <c r="H111"/>
  <c r="H107"/>
  <c r="H103"/>
  <c r="H101"/>
  <c r="J97"/>
  <c r="H120"/>
  <c r="H118"/>
  <c r="H116"/>
  <c r="H114"/>
  <c r="H112"/>
  <c r="H110"/>
  <c r="H108"/>
  <c r="H106"/>
  <c r="H104"/>
  <c r="H102"/>
  <c r="H100"/>
  <c r="E98"/>
  <c r="K98" s="1"/>
  <c r="G121"/>
  <c r="G119"/>
  <c r="M119" s="1"/>
  <c r="G117"/>
  <c r="G115"/>
  <c r="G113"/>
  <c r="G111"/>
  <c r="M111" s="1"/>
  <c r="G109"/>
  <c r="G107"/>
  <c r="G105"/>
  <c r="G103"/>
  <c r="G101"/>
  <c r="G99"/>
  <c r="M99" s="1"/>
  <c r="E121"/>
  <c r="E119"/>
  <c r="K119" s="1"/>
  <c r="E117"/>
  <c r="K117" s="1"/>
  <c r="E115"/>
  <c r="E113"/>
  <c r="E107"/>
  <c r="E105"/>
  <c r="E103"/>
  <c r="K103" s="1"/>
  <c r="E101"/>
  <c r="E99"/>
  <c r="K99" s="1"/>
  <c r="E109"/>
  <c r="K109" s="1"/>
  <c r="E97"/>
  <c r="G120"/>
  <c r="M120" s="1"/>
  <c r="G118"/>
  <c r="G116"/>
  <c r="M116" s="1"/>
  <c r="G114"/>
  <c r="G112"/>
  <c r="M112" s="1"/>
  <c r="G110"/>
  <c r="G108"/>
  <c r="M108" s="1"/>
  <c r="G106"/>
  <c r="G104"/>
  <c r="M104" s="1"/>
  <c r="G102"/>
  <c r="G100"/>
  <c r="M100" s="1"/>
  <c r="G98"/>
  <c r="E111"/>
  <c r="K111" s="1"/>
  <c r="G97"/>
  <c r="M97" s="1"/>
  <c r="E120"/>
  <c r="E118"/>
  <c r="K118" s="1"/>
  <c r="E116"/>
  <c r="E114"/>
  <c r="K114" s="1"/>
  <c r="E112"/>
  <c r="E110"/>
  <c r="K110" s="1"/>
  <c r="E108"/>
  <c r="E106"/>
  <c r="K106" s="1"/>
  <c r="E104"/>
  <c r="E102"/>
  <c r="K102" s="1"/>
  <c r="E100"/>
  <c r="M115"/>
  <c r="M107"/>
  <c r="Q97"/>
  <c r="D96"/>
  <c r="H68"/>
  <c r="J69"/>
  <c r="J91"/>
  <c r="J87"/>
  <c r="J85"/>
  <c r="J81"/>
  <c r="J77"/>
  <c r="J73"/>
  <c r="H91"/>
  <c r="H89"/>
  <c r="H87"/>
  <c r="H85"/>
  <c r="H83"/>
  <c r="H81"/>
  <c r="H79"/>
  <c r="H77"/>
  <c r="H75"/>
  <c r="H73"/>
  <c r="H71"/>
  <c r="H69"/>
  <c r="J89"/>
  <c r="J83"/>
  <c r="J79"/>
  <c r="J75"/>
  <c r="J71"/>
  <c r="H67"/>
  <c r="J90"/>
  <c r="J88"/>
  <c r="J86"/>
  <c r="J84"/>
  <c r="J82"/>
  <c r="J80"/>
  <c r="J78"/>
  <c r="J76"/>
  <c r="J74"/>
  <c r="J72"/>
  <c r="J70"/>
  <c r="J68"/>
  <c r="J67"/>
  <c r="H90"/>
  <c r="H88"/>
  <c r="H86"/>
  <c r="H84"/>
  <c r="H82"/>
  <c r="H80"/>
  <c r="H78"/>
  <c r="H76"/>
  <c r="H74"/>
  <c r="H72"/>
  <c r="H70"/>
  <c r="Q67"/>
  <c r="G68"/>
  <c r="G69"/>
  <c r="E90"/>
  <c r="E86"/>
  <c r="E82"/>
  <c r="K82" s="1"/>
  <c r="E78"/>
  <c r="E74"/>
  <c r="E70"/>
  <c r="G91"/>
  <c r="M91" s="1"/>
  <c r="G87"/>
  <c r="G83"/>
  <c r="M83" s="1"/>
  <c r="G79"/>
  <c r="M79" s="1"/>
  <c r="G75"/>
  <c r="M75" s="1"/>
  <c r="G71"/>
  <c r="M71" s="1"/>
  <c r="E89"/>
  <c r="K89" s="1"/>
  <c r="E85"/>
  <c r="E81"/>
  <c r="E77"/>
  <c r="E73"/>
  <c r="K73" s="1"/>
  <c r="E69"/>
  <c r="G90"/>
  <c r="G86"/>
  <c r="M86" s="1"/>
  <c r="G82"/>
  <c r="G78"/>
  <c r="G74"/>
  <c r="M74" s="1"/>
  <c r="G70"/>
  <c r="M70" s="1"/>
  <c r="D66"/>
  <c r="E67"/>
  <c r="E88"/>
  <c r="E84"/>
  <c r="E80"/>
  <c r="E76"/>
  <c r="K76" s="1"/>
  <c r="E72"/>
  <c r="E68"/>
  <c r="K68" s="1"/>
  <c r="G89"/>
  <c r="G85"/>
  <c r="G81"/>
  <c r="G77"/>
  <c r="G73"/>
  <c r="E91"/>
  <c r="E87"/>
  <c r="E83"/>
  <c r="K83" s="1"/>
  <c r="E79"/>
  <c r="K79" s="1"/>
  <c r="E75"/>
  <c r="E71"/>
  <c r="G67"/>
  <c r="G88"/>
  <c r="G84"/>
  <c r="G80"/>
  <c r="G76"/>
  <c r="M76" s="1"/>
  <c r="G72"/>
  <c r="H38"/>
  <c r="H61"/>
  <c r="H57"/>
  <c r="H41"/>
  <c r="H49"/>
  <c r="H60"/>
  <c r="H56"/>
  <c r="H52"/>
  <c r="H48"/>
  <c r="H44"/>
  <c r="H40"/>
  <c r="H45"/>
  <c r="H59"/>
  <c r="H55"/>
  <c r="H51"/>
  <c r="H47"/>
  <c r="H43"/>
  <c r="H39"/>
  <c r="H53"/>
  <c r="H58"/>
  <c r="H54"/>
  <c r="H50"/>
  <c r="H46"/>
  <c r="H42"/>
  <c r="J39"/>
  <c r="J42"/>
  <c r="J61"/>
  <c r="J57"/>
  <c r="J53"/>
  <c r="J49"/>
  <c r="J45"/>
  <c r="J41"/>
  <c r="G38"/>
  <c r="J58"/>
  <c r="J46"/>
  <c r="J60"/>
  <c r="J56"/>
  <c r="J52"/>
  <c r="J48"/>
  <c r="J44"/>
  <c r="J40"/>
  <c r="J37"/>
  <c r="J54"/>
  <c r="J50"/>
  <c r="J38"/>
  <c r="H37"/>
  <c r="J59"/>
  <c r="J55"/>
  <c r="J51"/>
  <c r="J47"/>
  <c r="J43"/>
  <c r="G39"/>
  <c r="E60"/>
  <c r="K60" s="1"/>
  <c r="E56"/>
  <c r="E52"/>
  <c r="E48"/>
  <c r="E44"/>
  <c r="K44" s="1"/>
  <c r="E40"/>
  <c r="G61"/>
  <c r="M61" s="1"/>
  <c r="G57"/>
  <c r="M57" s="1"/>
  <c r="G53"/>
  <c r="G49"/>
  <c r="M49" s="1"/>
  <c r="G45"/>
  <c r="M45" s="1"/>
  <c r="G41"/>
  <c r="M41" s="1"/>
  <c r="E59"/>
  <c r="K59" s="1"/>
  <c r="E55"/>
  <c r="K55" s="1"/>
  <c r="E51"/>
  <c r="K51" s="1"/>
  <c r="E47"/>
  <c r="K47" s="1"/>
  <c r="E43"/>
  <c r="K43" s="1"/>
  <c r="E39"/>
  <c r="K39" s="1"/>
  <c r="G60"/>
  <c r="G56"/>
  <c r="G52"/>
  <c r="G48"/>
  <c r="G44"/>
  <c r="G40"/>
  <c r="E37"/>
  <c r="E58"/>
  <c r="E54"/>
  <c r="E50"/>
  <c r="E46"/>
  <c r="E42"/>
  <c r="E38"/>
  <c r="G59"/>
  <c r="G55"/>
  <c r="G51"/>
  <c r="M51" s="1"/>
  <c r="G47"/>
  <c r="G43"/>
  <c r="Q37"/>
  <c r="E61"/>
  <c r="K61" s="1"/>
  <c r="E57"/>
  <c r="K57" s="1"/>
  <c r="E53"/>
  <c r="E49"/>
  <c r="K49" s="1"/>
  <c r="E45"/>
  <c r="E41"/>
  <c r="G37"/>
  <c r="G58"/>
  <c r="M58" s="1"/>
  <c r="G54"/>
  <c r="G50"/>
  <c r="G46"/>
  <c r="G42"/>
  <c r="M42" s="1"/>
  <c r="M53"/>
  <c r="D36"/>
  <c r="Q36"/>
  <c r="J8"/>
  <c r="J10"/>
  <c r="H30"/>
  <c r="H26"/>
  <c r="H22"/>
  <c r="H18"/>
  <c r="H14"/>
  <c r="H10"/>
  <c r="J31"/>
  <c r="J27"/>
  <c r="J23"/>
  <c r="J19"/>
  <c r="J15"/>
  <c r="J11"/>
  <c r="H25"/>
  <c r="H21"/>
  <c r="H13"/>
  <c r="J30"/>
  <c r="J22"/>
  <c r="J14"/>
  <c r="H7"/>
  <c r="H28"/>
  <c r="H24"/>
  <c r="H20"/>
  <c r="H16"/>
  <c r="H12"/>
  <c r="H8"/>
  <c r="J29"/>
  <c r="J25"/>
  <c r="J21"/>
  <c r="J17"/>
  <c r="J13"/>
  <c r="J9"/>
  <c r="H29"/>
  <c r="H17"/>
  <c r="H9"/>
  <c r="J26"/>
  <c r="J18"/>
  <c r="H31"/>
  <c r="H27"/>
  <c r="H23"/>
  <c r="H19"/>
  <c r="H15"/>
  <c r="H11"/>
  <c r="J7"/>
  <c r="J28"/>
  <c r="J24"/>
  <c r="J20"/>
  <c r="J16"/>
  <c r="J12"/>
  <c r="G9"/>
  <c r="E31"/>
  <c r="E27"/>
  <c r="E23"/>
  <c r="E19"/>
  <c r="E15"/>
  <c r="E11"/>
  <c r="G7"/>
  <c r="G28"/>
  <c r="G24"/>
  <c r="G20"/>
  <c r="G16"/>
  <c r="G12"/>
  <c r="G8"/>
  <c r="M8" s="1"/>
  <c r="E30"/>
  <c r="E26"/>
  <c r="E22"/>
  <c r="E18"/>
  <c r="E14"/>
  <c r="E10"/>
  <c r="G31"/>
  <c r="G27"/>
  <c r="G23"/>
  <c r="G19"/>
  <c r="G15"/>
  <c r="G11"/>
  <c r="E29"/>
  <c r="E25"/>
  <c r="E21"/>
  <c r="E17"/>
  <c r="E13"/>
  <c r="E9"/>
  <c r="G30"/>
  <c r="G26"/>
  <c r="M26" s="1"/>
  <c r="G22"/>
  <c r="G18"/>
  <c r="M18" s="1"/>
  <c r="G14"/>
  <c r="G10"/>
  <c r="E7"/>
  <c r="E28"/>
  <c r="K28" s="1"/>
  <c r="E24"/>
  <c r="K24" s="1"/>
  <c r="E20"/>
  <c r="K20" s="1"/>
  <c r="E16"/>
  <c r="K16" s="1"/>
  <c r="E12"/>
  <c r="K12" s="1"/>
  <c r="E8"/>
  <c r="K8" s="1"/>
  <c r="G29"/>
  <c r="G25"/>
  <c r="M25" s="1"/>
  <c r="G21"/>
  <c r="M21" s="1"/>
  <c r="G17"/>
  <c r="M17" s="1"/>
  <c r="G13"/>
  <c r="M13" s="1"/>
  <c r="D6"/>
  <c r="B6"/>
  <c r="B36"/>
  <c r="Q6"/>
  <c r="R246"/>
  <c r="E246"/>
  <c r="Q7"/>
  <c r="B66"/>
  <c r="B96"/>
  <c r="Q126"/>
  <c r="Q96"/>
  <c r="K217"/>
  <c r="B216"/>
  <c r="R157"/>
  <c r="R187"/>
  <c r="S217"/>
  <c r="M216"/>
  <c r="T217" s="1"/>
  <c r="O217" s="1"/>
  <c r="Q66"/>
  <c r="K247"/>
  <c r="B126"/>
  <c r="K157"/>
  <c r="B156"/>
  <c r="K187"/>
  <c r="B186"/>
  <c r="Q216"/>
  <c r="M157"/>
  <c r="K158"/>
  <c r="M187"/>
  <c r="K188"/>
  <c r="E156"/>
  <c r="E186"/>
  <c r="R217"/>
  <c r="G156"/>
  <c r="G186"/>
  <c r="Q247"/>
  <c r="E276"/>
  <c r="R276"/>
  <c r="Q277"/>
  <c r="M247"/>
  <c r="K248"/>
  <c r="M277"/>
  <c r="K278"/>
  <c r="S276" s="1"/>
  <c r="R126" l="1"/>
  <c r="K141"/>
  <c r="K149"/>
  <c r="M127"/>
  <c r="M134"/>
  <c r="G126"/>
  <c r="K91"/>
  <c r="K131"/>
  <c r="K147"/>
  <c r="E126"/>
  <c r="M9"/>
  <c r="M12"/>
  <c r="K72"/>
  <c r="K75"/>
  <c r="M78"/>
  <c r="K88"/>
  <c r="M89"/>
  <c r="K80"/>
  <c r="K87"/>
  <c r="K50"/>
  <c r="K38"/>
  <c r="M52"/>
  <c r="M40"/>
  <c r="M56"/>
  <c r="K48"/>
  <c r="M39"/>
  <c r="M47"/>
  <c r="K54"/>
  <c r="M14"/>
  <c r="K21"/>
  <c r="K9"/>
  <c r="M19"/>
  <c r="K10"/>
  <c r="K26"/>
  <c r="M10"/>
  <c r="K17"/>
  <c r="M11"/>
  <c r="M27"/>
  <c r="K18"/>
  <c r="M24"/>
  <c r="K15"/>
  <c r="K31"/>
  <c r="M20"/>
  <c r="K100"/>
  <c r="K108"/>
  <c r="K116"/>
  <c r="M113"/>
  <c r="M109"/>
  <c r="K107"/>
  <c r="K105"/>
  <c r="R127"/>
  <c r="M150"/>
  <c r="J96"/>
  <c r="M90"/>
  <c r="M85"/>
  <c r="K128"/>
  <c r="K148"/>
  <c r="K150"/>
  <c r="K134"/>
  <c r="K146"/>
  <c r="K142"/>
  <c r="M129"/>
  <c r="M137"/>
  <c r="M128"/>
  <c r="M136"/>
  <c r="M144"/>
  <c r="K127"/>
  <c r="H126"/>
  <c r="K137"/>
  <c r="K145"/>
  <c r="K136"/>
  <c r="K144"/>
  <c r="M131"/>
  <c r="M147"/>
  <c r="M138"/>
  <c r="K130"/>
  <c r="K138"/>
  <c r="M133"/>
  <c r="M141"/>
  <c r="M149"/>
  <c r="M132"/>
  <c r="M140"/>
  <c r="M148"/>
  <c r="K132"/>
  <c r="K140"/>
  <c r="M142"/>
  <c r="K115"/>
  <c r="M98"/>
  <c r="H96"/>
  <c r="M102"/>
  <c r="M110"/>
  <c r="M118"/>
  <c r="G96"/>
  <c r="K101"/>
  <c r="K121"/>
  <c r="M105"/>
  <c r="M121"/>
  <c r="K97"/>
  <c r="M103"/>
  <c r="M101"/>
  <c r="M117"/>
  <c r="M106"/>
  <c r="M114"/>
  <c r="K113"/>
  <c r="K104"/>
  <c r="K112"/>
  <c r="K120"/>
  <c r="E96"/>
  <c r="R97"/>
  <c r="R96"/>
  <c r="M88"/>
  <c r="M73"/>
  <c r="K69"/>
  <c r="M67"/>
  <c r="M77"/>
  <c r="K84"/>
  <c r="M82"/>
  <c r="K74"/>
  <c r="K90"/>
  <c r="M72"/>
  <c r="K85"/>
  <c r="M80"/>
  <c r="K71"/>
  <c r="K77"/>
  <c r="M87"/>
  <c r="J66"/>
  <c r="M81"/>
  <c r="K78"/>
  <c r="M69"/>
  <c r="E66"/>
  <c r="M84"/>
  <c r="K81"/>
  <c r="M68"/>
  <c r="H66"/>
  <c r="K70"/>
  <c r="K86"/>
  <c r="R66"/>
  <c r="R67"/>
  <c r="K67"/>
  <c r="G66"/>
  <c r="K53"/>
  <c r="K40"/>
  <c r="K56"/>
  <c r="K46"/>
  <c r="K41"/>
  <c r="K52"/>
  <c r="K45"/>
  <c r="K42"/>
  <c r="K58"/>
  <c r="H36"/>
  <c r="M50"/>
  <c r="M44"/>
  <c r="M60"/>
  <c r="M55"/>
  <c r="M48"/>
  <c r="M54"/>
  <c r="R36"/>
  <c r="J36"/>
  <c r="M38"/>
  <c r="M46"/>
  <c r="M43"/>
  <c r="M59"/>
  <c r="K37"/>
  <c r="R37"/>
  <c r="M37"/>
  <c r="G36"/>
  <c r="E36"/>
  <c r="K25"/>
  <c r="K19"/>
  <c r="M22"/>
  <c r="M23"/>
  <c r="K14"/>
  <c r="K30"/>
  <c r="M29"/>
  <c r="M30"/>
  <c r="K29"/>
  <c r="K11"/>
  <c r="K27"/>
  <c r="J6"/>
  <c r="K13"/>
  <c r="M15"/>
  <c r="M31"/>
  <c r="K22"/>
  <c r="M28"/>
  <c r="H6"/>
  <c r="M16"/>
  <c r="M7"/>
  <c r="K23"/>
  <c r="G6"/>
  <c r="R7"/>
  <c r="E6"/>
  <c r="R6"/>
  <c r="K7"/>
  <c r="K276"/>
  <c r="T276" s="1"/>
  <c r="O276" s="1"/>
  <c r="S247"/>
  <c r="M246"/>
  <c r="T247" s="1"/>
  <c r="S277"/>
  <c r="M276"/>
  <c r="T277" s="1"/>
  <c r="O277" s="1"/>
  <c r="M186"/>
  <c r="T187" s="1"/>
  <c r="O187" s="1"/>
  <c r="S187"/>
  <c r="S156"/>
  <c r="K156"/>
  <c r="T156" s="1"/>
  <c r="O156" s="1"/>
  <c r="K246"/>
  <c r="T246" s="1"/>
  <c r="O246" s="1"/>
  <c r="S246"/>
  <c r="O247"/>
  <c r="M156"/>
  <c r="T157" s="1"/>
  <c r="O157" s="1"/>
  <c r="S157"/>
  <c r="S186"/>
  <c r="K186"/>
  <c r="T186" s="1"/>
  <c r="O186" s="1"/>
  <c r="S216"/>
  <c r="K216"/>
  <c r="T216" s="1"/>
  <c r="O216" s="1"/>
  <c r="A212" s="1"/>
  <c r="A182" l="1"/>
  <c r="M66"/>
  <c r="K36"/>
  <c r="T36" s="1"/>
  <c r="O36" s="1"/>
  <c r="S96"/>
  <c r="S67"/>
  <c r="K126"/>
  <c r="T126" s="1"/>
  <c r="O126" s="1"/>
  <c r="M126"/>
  <c r="T127" s="1"/>
  <c r="O127" s="1"/>
  <c r="S127"/>
  <c r="S126"/>
  <c r="K96"/>
  <c r="T96" s="1"/>
  <c r="O96" s="1"/>
  <c r="S97"/>
  <c r="M96"/>
  <c r="T97" s="1"/>
  <c r="O97" s="1"/>
  <c r="K66"/>
  <c r="T66" s="1"/>
  <c r="O66" s="1"/>
  <c r="T67"/>
  <c r="O67" s="1"/>
  <c r="S66"/>
  <c r="S37"/>
  <c r="S36"/>
  <c r="M36"/>
  <c r="T37" s="1"/>
  <c r="O37" s="1"/>
  <c r="M6"/>
  <c r="T7" s="1"/>
  <c r="O7" s="1"/>
  <c r="S7"/>
  <c r="K6"/>
  <c r="T6" s="1"/>
  <c r="O6" s="1"/>
  <c r="S6"/>
  <c r="A242"/>
  <c r="A152"/>
  <c r="A272"/>
  <c r="A122" l="1"/>
  <c r="A92"/>
  <c r="A62"/>
  <c r="A32"/>
  <c r="A2"/>
  <c r="D151" i="5" l="1"/>
  <c r="S32" i="4" s="1"/>
  <c r="D150" i="5"/>
  <c r="S31" i="4" s="1"/>
  <c r="D149" i="5"/>
  <c r="S30" i="4" s="1"/>
  <c r="D148" i="5"/>
  <c r="S29" i="4" s="1"/>
  <c r="D147" i="5"/>
  <c r="S28" i="4" s="1"/>
  <c r="D146" i="5"/>
  <c r="S27" i="4" s="1"/>
  <c r="D145" i="5"/>
  <c r="S26" i="4" s="1"/>
  <c r="D144" i="5"/>
  <c r="S25" i="4" s="1"/>
  <c r="D143" i="5"/>
  <c r="S24" i="4" s="1"/>
  <c r="D142" i="5"/>
  <c r="S23" i="4" s="1"/>
  <c r="D141" i="5"/>
  <c r="S22" i="4" s="1"/>
  <c r="D140" i="5"/>
  <c r="S21" i="4" s="1"/>
  <c r="D139" i="5"/>
  <c r="S20" i="4" s="1"/>
  <c r="D138" i="5"/>
  <c r="S19" i="4" s="1"/>
  <c r="D137" i="5"/>
  <c r="S18" i="4" s="1"/>
  <c r="D136" i="5"/>
  <c r="S17" i="4" s="1"/>
  <c r="D135" i="5"/>
  <c r="S16" i="4" s="1"/>
  <c r="D134" i="5"/>
  <c r="S15" i="4" s="1"/>
  <c r="D133" i="5"/>
  <c r="S14" i="4" s="1"/>
  <c r="D132" i="5"/>
  <c r="S13" i="4" s="1"/>
  <c r="D131" i="5"/>
  <c r="S12" i="4" s="1"/>
  <c r="D130" i="5"/>
  <c r="S11" i="4" s="1"/>
  <c r="D129" i="5"/>
  <c r="S10" i="4" s="1"/>
  <c r="D128" i="5"/>
  <c r="S9" i="4" s="1"/>
  <c r="D127" i="5"/>
  <c r="S8" i="4" s="1"/>
  <c r="D121" i="5"/>
  <c r="P32" i="4" s="1"/>
  <c r="D120" i="5"/>
  <c r="P31" i="4" s="1"/>
  <c r="D119" i="5"/>
  <c r="P30" i="4" s="1"/>
  <c r="D118" i="5"/>
  <c r="P29" i="4" s="1"/>
  <c r="D117" i="5"/>
  <c r="P28" i="4" s="1"/>
  <c r="D116" i="5"/>
  <c r="P27" i="4" s="1"/>
  <c r="D115" i="5"/>
  <c r="P26" i="4" s="1"/>
  <c r="D114" i="5"/>
  <c r="P25" i="4" s="1"/>
  <c r="D113" i="5"/>
  <c r="P24" i="4" s="1"/>
  <c r="D112" i="5"/>
  <c r="P23" i="4" s="1"/>
  <c r="D111" i="5"/>
  <c r="P22" i="4" s="1"/>
  <c r="D110" i="5"/>
  <c r="P21" i="4" s="1"/>
  <c r="D109" i="5"/>
  <c r="P20" i="4" s="1"/>
  <c r="D108" i="5"/>
  <c r="P19" i="4" s="1"/>
  <c r="D107" i="5"/>
  <c r="P18" i="4" s="1"/>
  <c r="D106" i="5"/>
  <c r="P17" i="4" s="1"/>
  <c r="D105" i="5"/>
  <c r="P16" i="4" s="1"/>
  <c r="D104" i="5"/>
  <c r="P15" i="4" s="1"/>
  <c r="D103" i="5"/>
  <c r="P14" i="4" s="1"/>
  <c r="D102" i="5"/>
  <c r="P13" i="4" s="1"/>
  <c r="D101" i="5"/>
  <c r="P12" i="4" s="1"/>
  <c r="D100" i="5"/>
  <c r="P11" i="4" s="1"/>
  <c r="D99" i="5"/>
  <c r="P10" i="4" s="1"/>
  <c r="D98" i="5"/>
  <c r="P9" i="4" s="1"/>
  <c r="D97" i="5"/>
  <c r="P8" i="4" s="1"/>
  <c r="D91" i="5"/>
  <c r="M32" i="4" s="1"/>
  <c r="M31"/>
  <c r="D89" i="5"/>
  <c r="M30" i="4" s="1"/>
  <c r="D88" i="5"/>
  <c r="M29" i="4" s="1"/>
  <c r="D87" i="5"/>
  <c r="M28" i="4" s="1"/>
  <c r="D86" i="5"/>
  <c r="M27" i="4" s="1"/>
  <c r="M26"/>
  <c r="D84" i="5"/>
  <c r="M25" i="4" s="1"/>
  <c r="D83" i="5"/>
  <c r="M24" i="4" s="1"/>
  <c r="D82" i="5"/>
  <c r="M23" i="4" s="1"/>
  <c r="D81" i="5"/>
  <c r="M22" i="4" s="1"/>
  <c r="D80" i="5"/>
  <c r="M21" i="4" s="1"/>
  <c r="D79" i="5"/>
  <c r="M20" i="4" s="1"/>
  <c r="D78" i="5"/>
  <c r="M19" i="4" s="1"/>
  <c r="D77" i="5"/>
  <c r="M18" i="4" s="1"/>
  <c r="D76" i="5"/>
  <c r="M17" i="4" s="1"/>
  <c r="D75" i="5"/>
  <c r="M16" i="4" s="1"/>
  <c r="D74" i="5"/>
  <c r="M15" i="4" s="1"/>
  <c r="D73" i="5"/>
  <c r="M14" i="4" s="1"/>
  <c r="D72" i="5"/>
  <c r="M13" i="4" s="1"/>
  <c r="D71" i="5"/>
  <c r="M12" i="4" s="1"/>
  <c r="D70" i="5"/>
  <c r="M11" i="4" s="1"/>
  <c r="D69" i="5"/>
  <c r="M10" i="4" s="1"/>
  <c r="D68" i="5"/>
  <c r="M9" i="4" s="1"/>
  <c r="D67" i="5"/>
  <c r="M8" i="4" s="1"/>
  <c r="D61" i="5"/>
  <c r="J32" i="4" s="1"/>
  <c r="D60" i="5"/>
  <c r="J31" i="4" s="1"/>
  <c r="D59" i="5"/>
  <c r="J30" i="4" s="1"/>
  <c r="D58" i="5"/>
  <c r="J29" i="4" s="1"/>
  <c r="D57" i="5"/>
  <c r="J28" i="4" s="1"/>
  <c r="D56" i="5"/>
  <c r="J27" i="4" s="1"/>
  <c r="D55" i="5"/>
  <c r="J26" i="4" s="1"/>
  <c r="D54" i="5"/>
  <c r="J25" i="4" s="1"/>
  <c r="D53" i="5"/>
  <c r="J24" i="4" s="1"/>
  <c r="D52" i="5"/>
  <c r="J23" i="4" s="1"/>
  <c r="D51" i="5"/>
  <c r="J22" i="4" s="1"/>
  <c r="D50" i="5"/>
  <c r="J21" i="4" s="1"/>
  <c r="D49" i="5"/>
  <c r="J20" i="4" s="1"/>
  <c r="D48" i="5"/>
  <c r="J19" i="4" s="1"/>
  <c r="D47" i="5"/>
  <c r="J18" i="4" s="1"/>
  <c r="D46" i="5"/>
  <c r="J17" i="4" s="1"/>
  <c r="D45" i="5"/>
  <c r="J16" i="4" s="1"/>
  <c r="D44" i="5"/>
  <c r="J15" i="4" s="1"/>
  <c r="D43" i="5"/>
  <c r="J14" i="4" s="1"/>
  <c r="D42" i="5"/>
  <c r="J13" i="4" s="1"/>
  <c r="D41" i="5"/>
  <c r="J12" i="4" s="1"/>
  <c r="D40" i="5"/>
  <c r="J11" i="4" s="1"/>
  <c r="D39" i="5"/>
  <c r="J10" i="4" s="1"/>
  <c r="D38" i="5"/>
  <c r="J9" i="4" s="1"/>
  <c r="D37" i="5"/>
  <c r="J8" i="4" s="1"/>
  <c r="D31" i="5"/>
  <c r="G32" i="4" s="1"/>
  <c r="D30" i="5"/>
  <c r="G31" i="4" s="1"/>
  <c r="D29" i="5"/>
  <c r="G30" i="4" s="1"/>
  <c r="D28" i="5"/>
  <c r="G29" i="4" s="1"/>
  <c r="D27" i="5"/>
  <c r="G28" i="4" s="1"/>
  <c r="D26" i="5"/>
  <c r="G27" i="4" s="1"/>
  <c r="D25" i="5"/>
  <c r="G26" i="4" s="1"/>
  <c r="D24" i="5"/>
  <c r="G25" i="4" s="1"/>
  <c r="D23" i="5"/>
  <c r="G24" i="4" s="1"/>
  <c r="D22" i="5"/>
  <c r="G23" i="4" s="1"/>
  <c r="D21" i="5"/>
  <c r="G22" i="4" s="1"/>
  <c r="D20" i="5"/>
  <c r="G21" i="4" s="1"/>
  <c r="D19" i="5"/>
  <c r="G20" i="4" s="1"/>
  <c r="D18" i="5"/>
  <c r="G19" i="4" s="1"/>
  <c r="D17" i="5"/>
  <c r="G18" i="4" s="1"/>
  <c r="D16" i="5"/>
  <c r="G17" i="4" s="1"/>
  <c r="D15" i="5"/>
  <c r="G16" i="4" s="1"/>
  <c r="D14" i="5"/>
  <c r="G15" i="4" s="1"/>
  <c r="D13" i="5"/>
  <c r="G14" i="4" s="1"/>
  <c r="D12" i="5"/>
  <c r="G13" i="4" s="1"/>
  <c r="D11" i="5"/>
  <c r="G12" i="4" s="1"/>
  <c r="D10" i="5"/>
  <c r="G11" i="4" s="1"/>
  <c r="D9" i="5"/>
  <c r="G10" i="4" s="1"/>
  <c r="D8" i="5"/>
  <c r="G9" i="4" s="1"/>
  <c r="D7" i="5"/>
  <c r="H11" l="1"/>
  <c r="H85"/>
  <c r="J90"/>
  <c r="E85"/>
  <c r="H90"/>
  <c r="G85"/>
  <c r="J85"/>
  <c r="J117"/>
  <c r="J101"/>
  <c r="G121"/>
  <c r="G101"/>
  <c r="G105"/>
  <c r="G8" i="4"/>
  <c r="G7" s="1"/>
  <c r="D6" i="5"/>
  <c r="S7" i="4"/>
  <c r="G109" i="5"/>
  <c r="J109"/>
  <c r="J121"/>
  <c r="P7" i="4"/>
  <c r="G97" i="5"/>
  <c r="G113"/>
  <c r="J7" i="4"/>
  <c r="M7"/>
  <c r="G99" i="5"/>
  <c r="G103"/>
  <c r="G107"/>
  <c r="G111"/>
  <c r="G117"/>
  <c r="J97"/>
  <c r="J105"/>
  <c r="J113"/>
  <c r="J119"/>
  <c r="G98"/>
  <c r="G100"/>
  <c r="G102"/>
  <c r="G104"/>
  <c r="G106"/>
  <c r="G108"/>
  <c r="G110"/>
  <c r="G112"/>
  <c r="G115"/>
  <c r="G119"/>
  <c r="J99"/>
  <c r="J103"/>
  <c r="J107"/>
  <c r="J111"/>
  <c r="J115"/>
  <c r="J120"/>
  <c r="G114"/>
  <c r="G116"/>
  <c r="G118"/>
  <c r="G120"/>
  <c r="J98"/>
  <c r="J100"/>
  <c r="J102"/>
  <c r="J104"/>
  <c r="J106"/>
  <c r="J108"/>
  <c r="J110"/>
  <c r="J112"/>
  <c r="J114"/>
  <c r="J116"/>
  <c r="J118"/>
  <c r="I6" i="6"/>
  <c r="N6" i="15"/>
  <c r="N7"/>
  <c r="H279" i="5" s="1"/>
  <c r="N8" i="15"/>
  <c r="N9"/>
  <c r="N10"/>
  <c r="N11"/>
  <c r="N12"/>
  <c r="N13"/>
  <c r="N14"/>
  <c r="N15"/>
  <c r="N16"/>
  <c r="N17"/>
  <c r="N18"/>
  <c r="N19"/>
  <c r="N20"/>
  <c r="N21"/>
  <c r="N22"/>
  <c r="N23"/>
  <c r="N24"/>
  <c r="N25"/>
  <c r="E26"/>
  <c r="N26"/>
  <c r="N27"/>
  <c r="N28"/>
  <c r="N29"/>
  <c r="N30"/>
  <c r="N31"/>
  <c r="A32"/>
  <c r="N32"/>
  <c r="A33"/>
  <c r="N33"/>
  <c r="A34"/>
  <c r="N34"/>
  <c r="A35"/>
  <c r="N35"/>
  <c r="A36"/>
  <c r="N36"/>
  <c r="A37"/>
  <c r="N37"/>
  <c r="A38"/>
  <c r="N38"/>
  <c r="A39"/>
  <c r="N39"/>
  <c r="A40"/>
  <c r="N40"/>
  <c r="A41"/>
  <c r="N41"/>
  <c r="A42"/>
  <c r="N42"/>
  <c r="A43"/>
  <c r="N43"/>
  <c r="A44"/>
  <c r="N44"/>
  <c r="A45"/>
  <c r="N45"/>
  <c r="A46"/>
  <c r="N46"/>
  <c r="E47"/>
  <c r="N47"/>
  <c r="A48"/>
  <c r="N48"/>
  <c r="A49"/>
  <c r="N49"/>
  <c r="A50"/>
  <c r="N50"/>
  <c r="A51"/>
  <c r="N51"/>
  <c r="A52"/>
  <c r="N52"/>
  <c r="A53"/>
  <c r="N53"/>
  <c r="A54"/>
  <c r="N54"/>
  <c r="A55"/>
  <c r="N55"/>
  <c r="A56"/>
  <c r="N56"/>
  <c r="A57"/>
  <c r="N57"/>
  <c r="A58"/>
  <c r="N58"/>
  <c r="A59"/>
  <c r="N59"/>
  <c r="A60"/>
  <c r="N60"/>
  <c r="A61"/>
  <c r="N61"/>
  <c r="A62"/>
  <c r="N62"/>
  <c r="A63"/>
  <c r="N63"/>
  <c r="A64"/>
  <c r="N64"/>
  <c r="A65"/>
  <c r="N65"/>
  <c r="A66"/>
  <c r="N66"/>
  <c r="A67"/>
  <c r="N67"/>
  <c r="E68"/>
  <c r="N68"/>
  <c r="A69"/>
  <c r="N69"/>
  <c r="A70"/>
  <c r="N70"/>
  <c r="A71"/>
  <c r="N71"/>
  <c r="A72"/>
  <c r="N72"/>
  <c r="A73"/>
  <c r="N73"/>
  <c r="A74"/>
  <c r="N74"/>
  <c r="A75"/>
  <c r="N75"/>
  <c r="A76"/>
  <c r="N76"/>
  <c r="A77"/>
  <c r="N77"/>
  <c r="A78"/>
  <c r="N78"/>
  <c r="A79"/>
  <c r="N79"/>
  <c r="A80"/>
  <c r="N80"/>
  <c r="A81"/>
  <c r="N81"/>
  <c r="A82"/>
  <c r="N82"/>
  <c r="A83"/>
  <c r="N83"/>
  <c r="A84"/>
  <c r="N84"/>
  <c r="A85"/>
  <c r="N85"/>
  <c r="A86"/>
  <c r="N86"/>
  <c r="A87"/>
  <c r="N87"/>
  <c r="A88"/>
  <c r="N88"/>
  <c r="E89"/>
  <c r="N89"/>
  <c r="A90"/>
  <c r="N90"/>
  <c r="A91"/>
  <c r="N91"/>
  <c r="A92"/>
  <c r="N92"/>
  <c r="A93"/>
  <c r="N93"/>
  <c r="A94"/>
  <c r="N94"/>
  <c r="A95"/>
  <c r="N95"/>
  <c r="A96"/>
  <c r="N96"/>
  <c r="A97"/>
  <c r="N97"/>
  <c r="A98"/>
  <c r="N98"/>
  <c r="A99"/>
  <c r="N99"/>
  <c r="A100"/>
  <c r="N100"/>
  <c r="A101"/>
  <c r="N101"/>
  <c r="A102"/>
  <c r="N102"/>
  <c r="A103"/>
  <c r="N103"/>
  <c r="A104"/>
  <c r="N104"/>
  <c r="A105"/>
  <c r="N105"/>
  <c r="A106"/>
  <c r="N106"/>
  <c r="A107"/>
  <c r="N107"/>
  <c r="A108"/>
  <c r="N108"/>
  <c r="A109"/>
  <c r="N109"/>
  <c r="E110"/>
  <c r="N110"/>
  <c r="A111"/>
  <c r="N111"/>
  <c r="A112"/>
  <c r="N112"/>
  <c r="A113"/>
  <c r="N113"/>
  <c r="A114"/>
  <c r="N114"/>
  <c r="A115"/>
  <c r="N115"/>
  <c r="A116"/>
  <c r="N116"/>
  <c r="A117"/>
  <c r="N117"/>
  <c r="A118"/>
  <c r="N118"/>
  <c r="A119"/>
  <c r="N119"/>
  <c r="A120"/>
  <c r="N120"/>
  <c r="A121"/>
  <c r="N121"/>
  <c r="A122"/>
  <c r="N122"/>
  <c r="A123"/>
  <c r="N123"/>
  <c r="A124"/>
  <c r="N124"/>
  <c r="A125"/>
  <c r="N125"/>
  <c r="A126"/>
  <c r="N126"/>
  <c r="A127"/>
  <c r="N127"/>
  <c r="A128"/>
  <c r="N128"/>
  <c r="A129"/>
  <c r="N129"/>
  <c r="A130"/>
  <c r="N130"/>
  <c r="E131"/>
  <c r="N131"/>
  <c r="A132"/>
  <c r="N132"/>
  <c r="A133"/>
  <c r="N133"/>
  <c r="A134"/>
  <c r="N134"/>
  <c r="A135"/>
  <c r="N135"/>
  <c r="A136"/>
  <c r="N136"/>
  <c r="A137"/>
  <c r="N137"/>
  <c r="A138"/>
  <c r="N138"/>
  <c r="A139"/>
  <c r="N139"/>
  <c r="A140"/>
  <c r="N140"/>
  <c r="A141"/>
  <c r="N141"/>
  <c r="A142"/>
  <c r="N142"/>
  <c r="A143"/>
  <c r="N143"/>
  <c r="A144"/>
  <c r="N144"/>
  <c r="A145"/>
  <c r="N145"/>
  <c r="A146"/>
  <c r="N146"/>
  <c r="A147"/>
  <c r="N147"/>
  <c r="A148"/>
  <c r="N148"/>
  <c r="A149"/>
  <c r="N149"/>
  <c r="A150"/>
  <c r="N150"/>
  <c r="A151"/>
  <c r="N151"/>
  <c r="E152"/>
  <c r="N152"/>
  <c r="A153"/>
  <c r="N153"/>
  <c r="A154"/>
  <c r="N154"/>
  <c r="A155"/>
  <c r="N155"/>
  <c r="A156"/>
  <c r="N156"/>
  <c r="A157"/>
  <c r="N157"/>
  <c r="A158"/>
  <c r="N158"/>
  <c r="A159"/>
  <c r="N159"/>
  <c r="A160"/>
  <c r="N160"/>
  <c r="A161"/>
  <c r="N161"/>
  <c r="A162"/>
  <c r="N162"/>
  <c r="A163"/>
  <c r="N163"/>
  <c r="A164"/>
  <c r="N164"/>
  <c r="A165"/>
  <c r="N165"/>
  <c r="A166"/>
  <c r="N166"/>
  <c r="A167"/>
  <c r="N167"/>
  <c r="A168"/>
  <c r="N168"/>
  <c r="A169"/>
  <c r="N169"/>
  <c r="A170"/>
  <c r="N170"/>
  <c r="A171"/>
  <c r="N171"/>
  <c r="A172"/>
  <c r="N172"/>
  <c r="E173"/>
  <c r="N173"/>
  <c r="A174"/>
  <c r="N174"/>
  <c r="A175"/>
  <c r="N175"/>
  <c r="A176"/>
  <c r="N176"/>
  <c r="A177"/>
  <c r="N177"/>
  <c r="A178"/>
  <c r="N178"/>
  <c r="A179"/>
  <c r="N179"/>
  <c r="A180"/>
  <c r="N180"/>
  <c r="A181"/>
  <c r="N181"/>
  <c r="A182"/>
  <c r="N182"/>
  <c r="A183"/>
  <c r="N183"/>
  <c r="A184"/>
  <c r="N184"/>
  <c r="A185"/>
  <c r="N185"/>
  <c r="A186"/>
  <c r="N186"/>
  <c r="A187"/>
  <c r="N187"/>
  <c r="A188"/>
  <c r="N188"/>
  <c r="A189"/>
  <c r="N189"/>
  <c r="A190"/>
  <c r="N190"/>
  <c r="A191"/>
  <c r="N191"/>
  <c r="A192"/>
  <c r="N192"/>
  <c r="A193"/>
  <c r="N193"/>
  <c r="E194"/>
  <c r="N194"/>
  <c r="A195"/>
  <c r="N195"/>
  <c r="A196"/>
  <c r="N196"/>
  <c r="A197"/>
  <c r="N197"/>
  <c r="A198"/>
  <c r="N198"/>
  <c r="A199"/>
  <c r="N199"/>
  <c r="A200"/>
  <c r="N200"/>
  <c r="A201"/>
  <c r="N201"/>
  <c r="A202"/>
  <c r="N202"/>
  <c r="A203"/>
  <c r="N203"/>
  <c r="A204"/>
  <c r="N204"/>
  <c r="A205"/>
  <c r="N205"/>
  <c r="A206"/>
  <c r="N206"/>
  <c r="A207"/>
  <c r="N207"/>
  <c r="A208"/>
  <c r="N208"/>
  <c r="A209"/>
  <c r="N209"/>
  <c r="A210"/>
  <c r="N210"/>
  <c r="A211"/>
  <c r="N211"/>
  <c r="A212"/>
  <c r="N212"/>
  <c r="A213"/>
  <c r="N213"/>
  <c r="A214"/>
  <c r="N214"/>
  <c r="E215"/>
  <c r="N215"/>
  <c r="A216"/>
  <c r="N216"/>
  <c r="A217"/>
  <c r="N217"/>
  <c r="A218"/>
  <c r="N218"/>
  <c r="A219"/>
  <c r="N219"/>
  <c r="A220"/>
  <c r="N220"/>
  <c r="A221"/>
  <c r="N221"/>
  <c r="A222"/>
  <c r="N222"/>
  <c r="A223"/>
  <c r="N223"/>
  <c r="A224"/>
  <c r="N224"/>
  <c r="A225"/>
  <c r="N225"/>
  <c r="A226"/>
  <c r="N226"/>
  <c r="A227"/>
  <c r="N227"/>
  <c r="A228"/>
  <c r="N228"/>
  <c r="A229"/>
  <c r="N229"/>
  <c r="A230"/>
  <c r="N230"/>
  <c r="A231"/>
  <c r="N231"/>
  <c r="A232"/>
  <c r="N232"/>
  <c r="A233"/>
  <c r="N233"/>
  <c r="A234"/>
  <c r="N234"/>
  <c r="A235"/>
  <c r="N235"/>
  <c r="E236"/>
  <c r="N236"/>
  <c r="A237"/>
  <c r="N237"/>
  <c r="A238"/>
  <c r="N238"/>
  <c r="A239"/>
  <c r="N239"/>
  <c r="A240"/>
  <c r="N240"/>
  <c r="A241"/>
  <c r="N241"/>
  <c r="A242"/>
  <c r="N242"/>
  <c r="A243"/>
  <c r="N243"/>
  <c r="A244"/>
  <c r="N244"/>
  <c r="A245"/>
  <c r="N245"/>
  <c r="A246"/>
  <c r="N246"/>
  <c r="A247"/>
  <c r="N247"/>
  <c r="A248"/>
  <c r="N248"/>
  <c r="A249"/>
  <c r="N249"/>
  <c r="A250"/>
  <c r="N250"/>
  <c r="A251"/>
  <c r="N251"/>
  <c r="A252"/>
  <c r="N252"/>
  <c r="A253"/>
  <c r="N253"/>
  <c r="A254"/>
  <c r="N254"/>
  <c r="A255"/>
  <c r="N255"/>
  <c r="A256"/>
  <c r="N256"/>
  <c r="E257"/>
  <c r="N257"/>
  <c r="A258"/>
  <c r="N258"/>
  <c r="A259"/>
  <c r="N259"/>
  <c r="A260"/>
  <c r="N260"/>
  <c r="A261"/>
  <c r="N261"/>
  <c r="A262"/>
  <c r="N262"/>
  <c r="A263"/>
  <c r="N263"/>
  <c r="A264"/>
  <c r="N264"/>
  <c r="A265"/>
  <c r="N265"/>
  <c r="A266"/>
  <c r="N266"/>
  <c r="A267"/>
  <c r="N267"/>
  <c r="A268"/>
  <c r="N268"/>
  <c r="A269"/>
  <c r="N269"/>
  <c r="A270"/>
  <c r="N270"/>
  <c r="A271"/>
  <c r="N271"/>
  <c r="A272"/>
  <c r="N272"/>
  <c r="A273"/>
  <c r="N273"/>
  <c r="A274"/>
  <c r="N274"/>
  <c r="A275"/>
  <c r="N275"/>
  <c r="A276"/>
  <c r="N276"/>
  <c r="A277"/>
  <c r="N277"/>
  <c r="E278"/>
  <c r="N278"/>
  <c r="A279"/>
  <c r="N279"/>
  <c r="A280"/>
  <c r="N280"/>
  <c r="A281"/>
  <c r="N281"/>
  <c r="A282"/>
  <c r="N282"/>
  <c r="A283"/>
  <c r="N283"/>
  <c r="A284"/>
  <c r="N284"/>
  <c r="A285"/>
  <c r="N285"/>
  <c r="A286"/>
  <c r="N286"/>
  <c r="A287"/>
  <c r="N287"/>
  <c r="A288"/>
  <c r="N288"/>
  <c r="A289"/>
  <c r="N289"/>
  <c r="A290"/>
  <c r="N290"/>
  <c r="A291"/>
  <c r="N291"/>
  <c r="A292"/>
  <c r="N292"/>
  <c r="A293"/>
  <c r="N293"/>
  <c r="A294"/>
  <c r="N294"/>
  <c r="A295"/>
  <c r="N295"/>
  <c r="A296"/>
  <c r="N296"/>
  <c r="A297"/>
  <c r="N297"/>
  <c r="A298"/>
  <c r="N298"/>
  <c r="E299"/>
  <c r="N299"/>
  <c r="A300"/>
  <c r="N300"/>
  <c r="A301"/>
  <c r="N301"/>
  <c r="A302"/>
  <c r="N302"/>
  <c r="A303"/>
  <c r="N303"/>
  <c r="A304"/>
  <c r="N304"/>
  <c r="A305"/>
  <c r="N305"/>
  <c r="A306"/>
  <c r="N306"/>
  <c r="A307"/>
  <c r="N307"/>
  <c r="A308"/>
  <c r="N308"/>
  <c r="A309"/>
  <c r="N309"/>
  <c r="A310"/>
  <c r="N310"/>
  <c r="A311"/>
  <c r="N311"/>
  <c r="A312"/>
  <c r="N312"/>
  <c r="A313"/>
  <c r="N313"/>
  <c r="A314"/>
  <c r="N314"/>
  <c r="A315"/>
  <c r="N315"/>
  <c r="A316"/>
  <c r="N316"/>
  <c r="A317"/>
  <c r="N317"/>
  <c r="A318"/>
  <c r="N318"/>
  <c r="A319"/>
  <c r="N319"/>
  <c r="E320"/>
  <c r="N320"/>
  <c r="A321"/>
  <c r="N321"/>
  <c r="A322"/>
  <c r="N322"/>
  <c r="A323"/>
  <c r="N323"/>
  <c r="A324"/>
  <c r="N324"/>
  <c r="A325"/>
  <c r="N325"/>
  <c r="A326"/>
  <c r="N326"/>
  <c r="A327"/>
  <c r="N327"/>
  <c r="A328"/>
  <c r="N328"/>
  <c r="A329"/>
  <c r="N329"/>
  <c r="A330"/>
  <c r="N330"/>
  <c r="A331"/>
  <c r="N331"/>
  <c r="A332"/>
  <c r="N332"/>
  <c r="A333"/>
  <c r="N333"/>
  <c r="A334"/>
  <c r="N334"/>
  <c r="A335"/>
  <c r="N335"/>
  <c r="A336"/>
  <c r="N336"/>
  <c r="A337"/>
  <c r="N337"/>
  <c r="A338"/>
  <c r="N338"/>
  <c r="A339"/>
  <c r="N339"/>
  <c r="A340"/>
  <c r="N340"/>
  <c r="E341"/>
  <c r="N341"/>
  <c r="A342"/>
  <c r="N342"/>
  <c r="A343"/>
  <c r="N343"/>
  <c r="A344"/>
  <c r="N344"/>
  <c r="A345"/>
  <c r="N345"/>
  <c r="A346"/>
  <c r="N346"/>
  <c r="A347"/>
  <c r="N347"/>
  <c r="A348"/>
  <c r="N348"/>
  <c r="A349"/>
  <c r="N349"/>
  <c r="A350"/>
  <c r="N350"/>
  <c r="A351"/>
  <c r="N351"/>
  <c r="A352"/>
  <c r="N352"/>
  <c r="A353"/>
  <c r="N353"/>
  <c r="A354"/>
  <c r="N354"/>
  <c r="A355"/>
  <c r="N355"/>
  <c r="A356"/>
  <c r="N356"/>
  <c r="A357"/>
  <c r="N357"/>
  <c r="A358"/>
  <c r="N358"/>
  <c r="A359"/>
  <c r="N359"/>
  <c r="A360"/>
  <c r="N360"/>
  <c r="A361"/>
  <c r="N361"/>
  <c r="E362"/>
  <c r="N362"/>
  <c r="A363"/>
  <c r="N363"/>
  <c r="A364"/>
  <c r="N364"/>
  <c r="A365"/>
  <c r="N365"/>
  <c r="A366"/>
  <c r="N366"/>
  <c r="A367"/>
  <c r="N367"/>
  <c r="A368"/>
  <c r="N368"/>
  <c r="A369"/>
  <c r="N369"/>
  <c r="A370"/>
  <c r="N370"/>
  <c r="A371"/>
  <c r="N371"/>
  <c r="A372"/>
  <c r="N372"/>
  <c r="A373"/>
  <c r="N373"/>
  <c r="A374"/>
  <c r="N374"/>
  <c r="A375"/>
  <c r="N375"/>
  <c r="A376"/>
  <c r="N376"/>
  <c r="A377"/>
  <c r="N377"/>
  <c r="A378"/>
  <c r="N378"/>
  <c r="A379"/>
  <c r="N379"/>
  <c r="A380"/>
  <c r="N380"/>
  <c r="A381"/>
  <c r="N381"/>
  <c r="A382"/>
  <c r="N382"/>
  <c r="E383"/>
  <c r="N383"/>
  <c r="A384"/>
  <c r="N384"/>
  <c r="A385"/>
  <c r="N385"/>
  <c r="A386"/>
  <c r="N386"/>
  <c r="A387"/>
  <c r="N387"/>
  <c r="A388"/>
  <c r="N388"/>
  <c r="A389"/>
  <c r="N389"/>
  <c r="A390"/>
  <c r="N390"/>
  <c r="A391"/>
  <c r="N391"/>
  <c r="A392"/>
  <c r="N392"/>
  <c r="A393"/>
  <c r="N393"/>
  <c r="A394"/>
  <c r="N394"/>
  <c r="A395"/>
  <c r="N395"/>
  <c r="A396"/>
  <c r="N396"/>
  <c r="A397"/>
  <c r="N397"/>
  <c r="A398"/>
  <c r="N398"/>
  <c r="A399"/>
  <c r="N399"/>
  <c r="A400"/>
  <c r="N400"/>
  <c r="A401"/>
  <c r="N401"/>
  <c r="A402"/>
  <c r="N402"/>
  <c r="A403"/>
  <c r="N403"/>
  <c r="E404"/>
  <c r="N404"/>
  <c r="A405"/>
  <c r="N405"/>
  <c r="A406"/>
  <c r="N406"/>
  <c r="A407"/>
  <c r="N407"/>
  <c r="A408"/>
  <c r="N408"/>
  <c r="A409"/>
  <c r="N409"/>
  <c r="A410"/>
  <c r="N410"/>
  <c r="A411"/>
  <c r="N411"/>
  <c r="A412"/>
  <c r="N412"/>
  <c r="A413"/>
  <c r="N413"/>
  <c r="A414"/>
  <c r="N414"/>
  <c r="A415"/>
  <c r="N415"/>
  <c r="A416"/>
  <c r="N416"/>
  <c r="A417"/>
  <c r="N417"/>
  <c r="A418"/>
  <c r="N418"/>
  <c r="A419"/>
  <c r="N419"/>
  <c r="A420"/>
  <c r="N420"/>
  <c r="A421"/>
  <c r="N421"/>
  <c r="A422"/>
  <c r="N422"/>
  <c r="A423"/>
  <c r="N423"/>
  <c r="A424"/>
  <c r="N424"/>
  <c r="E425"/>
  <c r="N425"/>
  <c r="A426"/>
  <c r="N426"/>
  <c r="A427"/>
  <c r="N427"/>
  <c r="A428"/>
  <c r="N428"/>
  <c r="A429"/>
  <c r="N429"/>
  <c r="A430"/>
  <c r="N430"/>
  <c r="A431"/>
  <c r="N431"/>
  <c r="A432"/>
  <c r="N432"/>
  <c r="A433"/>
  <c r="N433"/>
  <c r="A434"/>
  <c r="N434"/>
  <c r="A435"/>
  <c r="N435"/>
  <c r="A436"/>
  <c r="N436"/>
  <c r="A437"/>
  <c r="N437"/>
  <c r="A438"/>
  <c r="N438"/>
  <c r="A439"/>
  <c r="N439"/>
  <c r="A440"/>
  <c r="N440"/>
  <c r="A441"/>
  <c r="N441"/>
  <c r="A442"/>
  <c r="N442"/>
  <c r="A443"/>
  <c r="N443"/>
  <c r="A444"/>
  <c r="N444"/>
  <c r="A445"/>
  <c r="N445"/>
  <c r="E446"/>
  <c r="N446"/>
  <c r="A447"/>
  <c r="N447"/>
  <c r="A448"/>
  <c r="N448"/>
  <c r="A449"/>
  <c r="N449"/>
  <c r="A450"/>
  <c r="N450"/>
  <c r="A451"/>
  <c r="N451"/>
  <c r="A452"/>
  <c r="N452"/>
  <c r="A453"/>
  <c r="N453"/>
  <c r="A454"/>
  <c r="N454"/>
  <c r="A455"/>
  <c r="N455"/>
  <c r="A456"/>
  <c r="N456"/>
  <c r="A457"/>
  <c r="N457"/>
  <c r="A458"/>
  <c r="N458"/>
  <c r="A459"/>
  <c r="N459"/>
  <c r="A460"/>
  <c r="N460"/>
  <c r="A461"/>
  <c r="N461"/>
  <c r="A462"/>
  <c r="N462"/>
  <c r="A463"/>
  <c r="N463"/>
  <c r="A464"/>
  <c r="N464"/>
  <c r="A465"/>
  <c r="N465"/>
  <c r="A466"/>
  <c r="N466"/>
  <c r="E467"/>
  <c r="N467"/>
  <c r="A468"/>
  <c r="N468"/>
  <c r="A469"/>
  <c r="N469"/>
  <c r="A470"/>
  <c r="N470"/>
  <c r="A471"/>
  <c r="N471"/>
  <c r="A472"/>
  <c r="N472"/>
  <c r="A473"/>
  <c r="N473"/>
  <c r="A474"/>
  <c r="N474"/>
  <c r="A475"/>
  <c r="N475"/>
  <c r="A476"/>
  <c r="N476"/>
  <c r="A477"/>
  <c r="N477"/>
  <c r="A478"/>
  <c r="N478"/>
  <c r="A479"/>
  <c r="N479"/>
  <c r="A480"/>
  <c r="N480"/>
  <c r="A481"/>
  <c r="N481"/>
  <c r="A482"/>
  <c r="N482"/>
  <c r="A483"/>
  <c r="N483"/>
  <c r="A484"/>
  <c r="N484"/>
  <c r="A485"/>
  <c r="N485"/>
  <c r="A486"/>
  <c r="N486"/>
  <c r="A487"/>
  <c r="N487"/>
  <c r="E488"/>
  <c r="N488"/>
  <c r="A489"/>
  <c r="N489"/>
  <c r="A490"/>
  <c r="N490"/>
  <c r="A491"/>
  <c r="N491"/>
  <c r="A492"/>
  <c r="N492"/>
  <c r="A493"/>
  <c r="N493"/>
  <c r="A494"/>
  <c r="N494"/>
  <c r="A495"/>
  <c r="N495"/>
  <c r="A496"/>
  <c r="N496"/>
  <c r="A497"/>
  <c r="N497"/>
  <c r="A498"/>
  <c r="N498"/>
  <c r="A499"/>
  <c r="N499"/>
  <c r="A500"/>
  <c r="N500"/>
  <c r="A501"/>
  <c r="N501"/>
  <c r="A502"/>
  <c r="N502"/>
  <c r="A503"/>
  <c r="N503"/>
  <c r="A504"/>
  <c r="N504"/>
  <c r="A505"/>
  <c r="N505"/>
  <c r="A506"/>
  <c r="N506"/>
  <c r="A507"/>
  <c r="N507"/>
  <c r="A508"/>
  <c r="N508"/>
  <c r="E509"/>
  <c r="N509"/>
  <c r="A510"/>
  <c r="N510"/>
  <c r="A511"/>
  <c r="N511"/>
  <c r="A512"/>
  <c r="N512"/>
  <c r="A513"/>
  <c r="N513"/>
  <c r="A514"/>
  <c r="N514"/>
  <c r="A515"/>
  <c r="N515"/>
  <c r="A516"/>
  <c r="N516"/>
  <c r="A517"/>
  <c r="N517"/>
  <c r="A518"/>
  <c r="N518"/>
  <c r="A519"/>
  <c r="N519"/>
  <c r="A520"/>
  <c r="N520"/>
  <c r="A521"/>
  <c r="N521"/>
  <c r="A522"/>
  <c r="N522"/>
  <c r="A523"/>
  <c r="N523"/>
  <c r="A524"/>
  <c r="N524"/>
  <c r="A525"/>
  <c r="N525"/>
  <c r="A526"/>
  <c r="N526"/>
  <c r="A527"/>
  <c r="N527"/>
  <c r="A528"/>
  <c r="N528"/>
  <c r="A529"/>
  <c r="N529"/>
  <c r="E530"/>
  <c r="N530"/>
  <c r="N6" i="11"/>
  <c r="G164" i="5" s="1"/>
  <c r="V47" i="28" s="1"/>
  <c r="N7" i="11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E26"/>
  <c r="N26"/>
  <c r="N27"/>
  <c r="N28"/>
  <c r="N29"/>
  <c r="N30"/>
  <c r="N31"/>
  <c r="A32"/>
  <c r="N32"/>
  <c r="A33"/>
  <c r="N33"/>
  <c r="A34"/>
  <c r="N34"/>
  <c r="A35"/>
  <c r="N35"/>
  <c r="A36"/>
  <c r="N36"/>
  <c r="A37"/>
  <c r="N37"/>
  <c r="A38"/>
  <c r="N38"/>
  <c r="A39"/>
  <c r="N39"/>
  <c r="A40"/>
  <c r="N40"/>
  <c r="A41"/>
  <c r="N41"/>
  <c r="A42"/>
  <c r="N42"/>
  <c r="A43"/>
  <c r="N43"/>
  <c r="A44"/>
  <c r="N44"/>
  <c r="A45"/>
  <c r="N45"/>
  <c r="A46"/>
  <c r="N46"/>
  <c r="E47"/>
  <c r="N47"/>
  <c r="A48"/>
  <c r="N48"/>
  <c r="A49"/>
  <c r="N49"/>
  <c r="A50"/>
  <c r="N50"/>
  <c r="A51"/>
  <c r="N51"/>
  <c r="A52"/>
  <c r="N52"/>
  <c r="A53"/>
  <c r="N53"/>
  <c r="A54"/>
  <c r="N54"/>
  <c r="A55"/>
  <c r="N55"/>
  <c r="A56"/>
  <c r="N56"/>
  <c r="A57"/>
  <c r="N57"/>
  <c r="A58"/>
  <c r="N58"/>
  <c r="A59"/>
  <c r="N59"/>
  <c r="A60"/>
  <c r="N60"/>
  <c r="A61"/>
  <c r="N61"/>
  <c r="A62"/>
  <c r="N62"/>
  <c r="A63"/>
  <c r="N63"/>
  <c r="A64"/>
  <c r="N64"/>
  <c r="A65"/>
  <c r="N65"/>
  <c r="A66"/>
  <c r="N66"/>
  <c r="A67"/>
  <c r="N67"/>
  <c r="E68"/>
  <c r="N68"/>
  <c r="A69"/>
  <c r="N69"/>
  <c r="A70"/>
  <c r="N70"/>
  <c r="A71"/>
  <c r="N71"/>
  <c r="A72"/>
  <c r="N72"/>
  <c r="A73"/>
  <c r="N73"/>
  <c r="A74"/>
  <c r="N74"/>
  <c r="A75"/>
  <c r="N75"/>
  <c r="A76"/>
  <c r="N76"/>
  <c r="A77"/>
  <c r="N77"/>
  <c r="A78"/>
  <c r="N78"/>
  <c r="A79"/>
  <c r="N79"/>
  <c r="A80"/>
  <c r="N80"/>
  <c r="A81"/>
  <c r="N81"/>
  <c r="A82"/>
  <c r="N82"/>
  <c r="A83"/>
  <c r="N83"/>
  <c r="A84"/>
  <c r="N84"/>
  <c r="A85"/>
  <c r="N85"/>
  <c r="A86"/>
  <c r="N86"/>
  <c r="A87"/>
  <c r="N87"/>
  <c r="A88"/>
  <c r="N88"/>
  <c r="E89"/>
  <c r="N89"/>
  <c r="A90"/>
  <c r="N90"/>
  <c r="A91"/>
  <c r="N91"/>
  <c r="A92"/>
  <c r="N92"/>
  <c r="A93"/>
  <c r="N93"/>
  <c r="A94"/>
  <c r="N94"/>
  <c r="A95"/>
  <c r="N95"/>
  <c r="A96"/>
  <c r="N96"/>
  <c r="A97"/>
  <c r="N97"/>
  <c r="A98"/>
  <c r="N98"/>
  <c r="A99"/>
  <c r="N99"/>
  <c r="A100"/>
  <c r="N100"/>
  <c r="A101"/>
  <c r="N101"/>
  <c r="A102"/>
  <c r="N102"/>
  <c r="A103"/>
  <c r="N103"/>
  <c r="A104"/>
  <c r="N104"/>
  <c r="A105"/>
  <c r="N105"/>
  <c r="A106"/>
  <c r="N106"/>
  <c r="A107"/>
  <c r="N107"/>
  <c r="A108"/>
  <c r="N108"/>
  <c r="A109"/>
  <c r="N109"/>
  <c r="E110"/>
  <c r="N110"/>
  <c r="A111"/>
  <c r="N111"/>
  <c r="A112"/>
  <c r="N112"/>
  <c r="A113"/>
  <c r="N113"/>
  <c r="A114"/>
  <c r="N114"/>
  <c r="A115"/>
  <c r="N115"/>
  <c r="A116"/>
  <c r="N116"/>
  <c r="A117"/>
  <c r="N117"/>
  <c r="A118"/>
  <c r="N118"/>
  <c r="A119"/>
  <c r="N119"/>
  <c r="A120"/>
  <c r="N120"/>
  <c r="A121"/>
  <c r="N121"/>
  <c r="A122"/>
  <c r="N122"/>
  <c r="A123"/>
  <c r="N123"/>
  <c r="A124"/>
  <c r="N124"/>
  <c r="A125"/>
  <c r="N125"/>
  <c r="A126"/>
  <c r="N126"/>
  <c r="A127"/>
  <c r="N127"/>
  <c r="A128"/>
  <c r="N128"/>
  <c r="A129"/>
  <c r="N129"/>
  <c r="A130"/>
  <c r="N130"/>
  <c r="E131"/>
  <c r="N131"/>
  <c r="A132"/>
  <c r="N132"/>
  <c r="A133"/>
  <c r="N133"/>
  <c r="A134"/>
  <c r="N134"/>
  <c r="A135"/>
  <c r="N135"/>
  <c r="A136"/>
  <c r="N136"/>
  <c r="A137"/>
  <c r="N137"/>
  <c r="A138"/>
  <c r="N138"/>
  <c r="A139"/>
  <c r="N139"/>
  <c r="A140"/>
  <c r="N140"/>
  <c r="A141"/>
  <c r="N141"/>
  <c r="A142"/>
  <c r="N142"/>
  <c r="A143"/>
  <c r="N143"/>
  <c r="A144"/>
  <c r="N144"/>
  <c r="A145"/>
  <c r="N145"/>
  <c r="A146"/>
  <c r="N146"/>
  <c r="A147"/>
  <c r="N147"/>
  <c r="A148"/>
  <c r="N148"/>
  <c r="A149"/>
  <c r="N149"/>
  <c r="A150"/>
  <c r="N150"/>
  <c r="A151"/>
  <c r="N151"/>
  <c r="E152"/>
  <c r="N152"/>
  <c r="A153"/>
  <c r="N153"/>
  <c r="A154"/>
  <c r="N154"/>
  <c r="A155"/>
  <c r="N155"/>
  <c r="A156"/>
  <c r="N156"/>
  <c r="A157"/>
  <c r="N157"/>
  <c r="A158"/>
  <c r="N158"/>
  <c r="A159"/>
  <c r="N159"/>
  <c r="A160"/>
  <c r="N160"/>
  <c r="A161"/>
  <c r="N161"/>
  <c r="A162"/>
  <c r="N162"/>
  <c r="A163"/>
  <c r="N163"/>
  <c r="A164"/>
  <c r="N164"/>
  <c r="A165"/>
  <c r="N165"/>
  <c r="A166"/>
  <c r="N166"/>
  <c r="A167"/>
  <c r="N167"/>
  <c r="A168"/>
  <c r="N168"/>
  <c r="A169"/>
  <c r="N169"/>
  <c r="A170"/>
  <c r="N170"/>
  <c r="A171"/>
  <c r="N171"/>
  <c r="A172"/>
  <c r="N172"/>
  <c r="E173"/>
  <c r="N173"/>
  <c r="A174"/>
  <c r="N174"/>
  <c r="A175"/>
  <c r="N175"/>
  <c r="A176"/>
  <c r="N176"/>
  <c r="A177"/>
  <c r="N177"/>
  <c r="A178"/>
  <c r="N178"/>
  <c r="A179"/>
  <c r="N179"/>
  <c r="A180"/>
  <c r="N180"/>
  <c r="A181"/>
  <c r="N181"/>
  <c r="A182"/>
  <c r="N182"/>
  <c r="A183"/>
  <c r="N183"/>
  <c r="A184"/>
  <c r="N184"/>
  <c r="A185"/>
  <c r="N185"/>
  <c r="A186"/>
  <c r="N186"/>
  <c r="A187"/>
  <c r="N187"/>
  <c r="A188"/>
  <c r="N188"/>
  <c r="A189"/>
  <c r="N189"/>
  <c r="A190"/>
  <c r="N190"/>
  <c r="A191"/>
  <c r="N191"/>
  <c r="A192"/>
  <c r="N192"/>
  <c r="A193"/>
  <c r="N193"/>
  <c r="E194"/>
  <c r="N194"/>
  <c r="A195"/>
  <c r="N195"/>
  <c r="A196"/>
  <c r="N196"/>
  <c r="A197"/>
  <c r="N197"/>
  <c r="A198"/>
  <c r="N198"/>
  <c r="A199"/>
  <c r="N199"/>
  <c r="A200"/>
  <c r="N200"/>
  <c r="A201"/>
  <c r="N201"/>
  <c r="A202"/>
  <c r="N202"/>
  <c r="A203"/>
  <c r="N203"/>
  <c r="A204"/>
  <c r="N204"/>
  <c r="A205"/>
  <c r="N205"/>
  <c r="A206"/>
  <c r="N206"/>
  <c r="A207"/>
  <c r="N207"/>
  <c r="A208"/>
  <c r="N208"/>
  <c r="A209"/>
  <c r="N209"/>
  <c r="A210"/>
  <c r="N210"/>
  <c r="A211"/>
  <c r="N211"/>
  <c r="A212"/>
  <c r="N212"/>
  <c r="A213"/>
  <c r="N213"/>
  <c r="A214"/>
  <c r="N214"/>
  <c r="E215"/>
  <c r="N215"/>
  <c r="A216"/>
  <c r="N216"/>
  <c r="A217"/>
  <c r="N217"/>
  <c r="A218"/>
  <c r="N218"/>
  <c r="A219"/>
  <c r="N219"/>
  <c r="A220"/>
  <c r="N220"/>
  <c r="A221"/>
  <c r="N221"/>
  <c r="A222"/>
  <c r="N222"/>
  <c r="A223"/>
  <c r="N223"/>
  <c r="A224"/>
  <c r="N224"/>
  <c r="A225"/>
  <c r="N225"/>
  <c r="A226"/>
  <c r="N226"/>
  <c r="A227"/>
  <c r="N227"/>
  <c r="A228"/>
  <c r="N228"/>
  <c r="A229"/>
  <c r="N229"/>
  <c r="A230"/>
  <c r="N230"/>
  <c r="A231"/>
  <c r="N231"/>
  <c r="A232"/>
  <c r="N232"/>
  <c r="A233"/>
  <c r="N233"/>
  <c r="A234"/>
  <c r="N234"/>
  <c r="A235"/>
  <c r="N235"/>
  <c r="E236"/>
  <c r="N236"/>
  <c r="A237"/>
  <c r="N237"/>
  <c r="A238"/>
  <c r="N238"/>
  <c r="A239"/>
  <c r="N239"/>
  <c r="A240"/>
  <c r="N240"/>
  <c r="A241"/>
  <c r="N241"/>
  <c r="A242"/>
  <c r="N242"/>
  <c r="A243"/>
  <c r="N243"/>
  <c r="A244"/>
  <c r="N244"/>
  <c r="A245"/>
  <c r="N245"/>
  <c r="A246"/>
  <c r="N246"/>
  <c r="A247"/>
  <c r="N247"/>
  <c r="A248"/>
  <c r="N248"/>
  <c r="A249"/>
  <c r="N249"/>
  <c r="A250"/>
  <c r="N250"/>
  <c r="A251"/>
  <c r="N251"/>
  <c r="A252"/>
  <c r="N252"/>
  <c r="A253"/>
  <c r="N253"/>
  <c r="A254"/>
  <c r="N254"/>
  <c r="A255"/>
  <c r="N255"/>
  <c r="A256"/>
  <c r="N256"/>
  <c r="E257"/>
  <c r="N257"/>
  <c r="A258"/>
  <c r="N258"/>
  <c r="A259"/>
  <c r="N259"/>
  <c r="A260"/>
  <c r="N260"/>
  <c r="A261"/>
  <c r="N261"/>
  <c r="A262"/>
  <c r="N262"/>
  <c r="A263"/>
  <c r="N263"/>
  <c r="A264"/>
  <c r="N264"/>
  <c r="A265"/>
  <c r="N265"/>
  <c r="A266"/>
  <c r="N266"/>
  <c r="A267"/>
  <c r="N267"/>
  <c r="A268"/>
  <c r="N268"/>
  <c r="A269"/>
  <c r="N269"/>
  <c r="A270"/>
  <c r="N270"/>
  <c r="A271"/>
  <c r="N271"/>
  <c r="A272"/>
  <c r="N272"/>
  <c r="A273"/>
  <c r="N273"/>
  <c r="A274"/>
  <c r="N274"/>
  <c r="A275"/>
  <c r="N275"/>
  <c r="A276"/>
  <c r="N276"/>
  <c r="A277"/>
  <c r="N277"/>
  <c r="E278"/>
  <c r="N278"/>
  <c r="A279"/>
  <c r="N279"/>
  <c r="A280"/>
  <c r="N280"/>
  <c r="A281"/>
  <c r="N281"/>
  <c r="A282"/>
  <c r="N282"/>
  <c r="A283"/>
  <c r="N283"/>
  <c r="A284"/>
  <c r="N284"/>
  <c r="A285"/>
  <c r="N285"/>
  <c r="A286"/>
  <c r="N286"/>
  <c r="A287"/>
  <c r="N287"/>
  <c r="A288"/>
  <c r="N288"/>
  <c r="A289"/>
  <c r="N289"/>
  <c r="A290"/>
  <c r="N290"/>
  <c r="A291"/>
  <c r="N291"/>
  <c r="A292"/>
  <c r="N292"/>
  <c r="A293"/>
  <c r="N293"/>
  <c r="A294"/>
  <c r="N294"/>
  <c r="A295"/>
  <c r="N295"/>
  <c r="A296"/>
  <c r="N296"/>
  <c r="A297"/>
  <c r="N297"/>
  <c r="A298"/>
  <c r="N298"/>
  <c r="E299"/>
  <c r="N299"/>
  <c r="A300"/>
  <c r="N300"/>
  <c r="A301"/>
  <c r="N301"/>
  <c r="A302"/>
  <c r="N302"/>
  <c r="A303"/>
  <c r="N303"/>
  <c r="A304"/>
  <c r="N304"/>
  <c r="A305"/>
  <c r="N305"/>
  <c r="A306"/>
  <c r="N306"/>
  <c r="A307"/>
  <c r="N307"/>
  <c r="A308"/>
  <c r="N308"/>
  <c r="A309"/>
  <c r="N309"/>
  <c r="A310"/>
  <c r="N310"/>
  <c r="A311"/>
  <c r="N311"/>
  <c r="A312"/>
  <c r="N312"/>
  <c r="A313"/>
  <c r="N313"/>
  <c r="A314"/>
  <c r="N314"/>
  <c r="A315"/>
  <c r="N315"/>
  <c r="A316"/>
  <c r="N316"/>
  <c r="A317"/>
  <c r="N317"/>
  <c r="A318"/>
  <c r="N318"/>
  <c r="A319"/>
  <c r="N319"/>
  <c r="E320"/>
  <c r="N320"/>
  <c r="A321"/>
  <c r="N321"/>
  <c r="A322"/>
  <c r="N322"/>
  <c r="A323"/>
  <c r="N323"/>
  <c r="A324"/>
  <c r="N324"/>
  <c r="A325"/>
  <c r="N325"/>
  <c r="A326"/>
  <c r="N326"/>
  <c r="A327"/>
  <c r="N327"/>
  <c r="A328"/>
  <c r="N328"/>
  <c r="A329"/>
  <c r="N329"/>
  <c r="A330"/>
  <c r="N330"/>
  <c r="A331"/>
  <c r="N331"/>
  <c r="A332"/>
  <c r="N332"/>
  <c r="A333"/>
  <c r="N333"/>
  <c r="A334"/>
  <c r="N334"/>
  <c r="A335"/>
  <c r="N335"/>
  <c r="A336"/>
  <c r="N336"/>
  <c r="A337"/>
  <c r="N337"/>
  <c r="A338"/>
  <c r="N338"/>
  <c r="A339"/>
  <c r="N339"/>
  <c r="A340"/>
  <c r="N340"/>
  <c r="E341"/>
  <c r="N341"/>
  <c r="A342"/>
  <c r="N342"/>
  <c r="A343"/>
  <c r="N343"/>
  <c r="A344"/>
  <c r="N344"/>
  <c r="A345"/>
  <c r="N345"/>
  <c r="A346"/>
  <c r="N346"/>
  <c r="A347"/>
  <c r="N347"/>
  <c r="A348"/>
  <c r="N348"/>
  <c r="A349"/>
  <c r="N349"/>
  <c r="A350"/>
  <c r="N350"/>
  <c r="A351"/>
  <c r="N351"/>
  <c r="A352"/>
  <c r="N352"/>
  <c r="A353"/>
  <c r="N353"/>
  <c r="A354"/>
  <c r="N354"/>
  <c r="A355"/>
  <c r="N355"/>
  <c r="A356"/>
  <c r="N356"/>
  <c r="A357"/>
  <c r="N357"/>
  <c r="A358"/>
  <c r="N358"/>
  <c r="A359"/>
  <c r="N359"/>
  <c r="A360"/>
  <c r="N360"/>
  <c r="A361"/>
  <c r="N361"/>
  <c r="E362"/>
  <c r="N362"/>
  <c r="A363"/>
  <c r="N363"/>
  <c r="A364"/>
  <c r="N364"/>
  <c r="A365"/>
  <c r="N365"/>
  <c r="A366"/>
  <c r="N366"/>
  <c r="A367"/>
  <c r="N367"/>
  <c r="A368"/>
  <c r="N368"/>
  <c r="A369"/>
  <c r="N369"/>
  <c r="A370"/>
  <c r="N370"/>
  <c r="A371"/>
  <c r="N371"/>
  <c r="A372"/>
  <c r="N372"/>
  <c r="A373"/>
  <c r="N373"/>
  <c r="A374"/>
  <c r="N374"/>
  <c r="A375"/>
  <c r="N375"/>
  <c r="A376"/>
  <c r="N376"/>
  <c r="A377"/>
  <c r="N377"/>
  <c r="A378"/>
  <c r="N378"/>
  <c r="A379"/>
  <c r="N379"/>
  <c r="A380"/>
  <c r="N380"/>
  <c r="A381"/>
  <c r="N381"/>
  <c r="A382"/>
  <c r="N382"/>
  <c r="E383"/>
  <c r="N383"/>
  <c r="A384"/>
  <c r="N384"/>
  <c r="A385"/>
  <c r="N385"/>
  <c r="A386"/>
  <c r="N386"/>
  <c r="A387"/>
  <c r="N387"/>
  <c r="A388"/>
  <c r="N388"/>
  <c r="A389"/>
  <c r="N389"/>
  <c r="A390"/>
  <c r="N390"/>
  <c r="A391"/>
  <c r="N391"/>
  <c r="A392"/>
  <c r="N392"/>
  <c r="A393"/>
  <c r="N393"/>
  <c r="A394"/>
  <c r="N394"/>
  <c r="A395"/>
  <c r="N395"/>
  <c r="A396"/>
  <c r="N396"/>
  <c r="A397"/>
  <c r="N397"/>
  <c r="A398"/>
  <c r="N398"/>
  <c r="A399"/>
  <c r="N399"/>
  <c r="A400"/>
  <c r="N400"/>
  <c r="A401"/>
  <c r="N401"/>
  <c r="A402"/>
  <c r="N402"/>
  <c r="A403"/>
  <c r="N403"/>
  <c r="E404"/>
  <c r="N404"/>
  <c r="A405"/>
  <c r="N405"/>
  <c r="A406"/>
  <c r="N406"/>
  <c r="A407"/>
  <c r="N407"/>
  <c r="A408"/>
  <c r="N408"/>
  <c r="A409"/>
  <c r="N409"/>
  <c r="A410"/>
  <c r="N410"/>
  <c r="A411"/>
  <c r="N411"/>
  <c r="A412"/>
  <c r="N412"/>
  <c r="A413"/>
  <c r="N413"/>
  <c r="A414"/>
  <c r="N414"/>
  <c r="A415"/>
  <c r="N415"/>
  <c r="A416"/>
  <c r="N416"/>
  <c r="A417"/>
  <c r="N417"/>
  <c r="A418"/>
  <c r="N418"/>
  <c r="A419"/>
  <c r="N419"/>
  <c r="A420"/>
  <c r="N420"/>
  <c r="A421"/>
  <c r="N421"/>
  <c r="A422"/>
  <c r="N422"/>
  <c r="A423"/>
  <c r="N423"/>
  <c r="A424"/>
  <c r="N424"/>
  <c r="E425"/>
  <c r="N425"/>
  <c r="A426"/>
  <c r="N426"/>
  <c r="A427"/>
  <c r="N427"/>
  <c r="A428"/>
  <c r="N428"/>
  <c r="A429"/>
  <c r="N429"/>
  <c r="A430"/>
  <c r="N430"/>
  <c r="A431"/>
  <c r="N431"/>
  <c r="A432"/>
  <c r="N432"/>
  <c r="A433"/>
  <c r="N433"/>
  <c r="A434"/>
  <c r="N434"/>
  <c r="A435"/>
  <c r="N435"/>
  <c r="A436"/>
  <c r="N436"/>
  <c r="A437"/>
  <c r="N437"/>
  <c r="A438"/>
  <c r="N438"/>
  <c r="A439"/>
  <c r="N439"/>
  <c r="A440"/>
  <c r="N440"/>
  <c r="A441"/>
  <c r="N441"/>
  <c r="A442"/>
  <c r="N442"/>
  <c r="A443"/>
  <c r="N443"/>
  <c r="A444"/>
  <c r="N444"/>
  <c r="A445"/>
  <c r="N445"/>
  <c r="E446"/>
  <c r="N446"/>
  <c r="A447"/>
  <c r="N447"/>
  <c r="A448"/>
  <c r="N448"/>
  <c r="A449"/>
  <c r="N449"/>
  <c r="A450"/>
  <c r="N450"/>
  <c r="A451"/>
  <c r="N451"/>
  <c r="A452"/>
  <c r="N452"/>
  <c r="A453"/>
  <c r="N453"/>
  <c r="A454"/>
  <c r="N454"/>
  <c r="A455"/>
  <c r="N455"/>
  <c r="A456"/>
  <c r="N456"/>
  <c r="A457"/>
  <c r="N457"/>
  <c r="A458"/>
  <c r="N458"/>
  <c r="A459"/>
  <c r="N459"/>
  <c r="A460"/>
  <c r="N460"/>
  <c r="A461"/>
  <c r="N461"/>
  <c r="A462"/>
  <c r="N462"/>
  <c r="A463"/>
  <c r="N463"/>
  <c r="A464"/>
  <c r="N464"/>
  <c r="A465"/>
  <c r="N465"/>
  <c r="A466"/>
  <c r="N466"/>
  <c r="E467"/>
  <c r="N467"/>
  <c r="A468"/>
  <c r="N468"/>
  <c r="A469"/>
  <c r="N469"/>
  <c r="A470"/>
  <c r="N470"/>
  <c r="A471"/>
  <c r="N471"/>
  <c r="A472"/>
  <c r="N472"/>
  <c r="A473"/>
  <c r="N473"/>
  <c r="A474"/>
  <c r="N474"/>
  <c r="A475"/>
  <c r="N475"/>
  <c r="A476"/>
  <c r="N476"/>
  <c r="A477"/>
  <c r="N477"/>
  <c r="A478"/>
  <c r="N478"/>
  <c r="A479"/>
  <c r="N479"/>
  <c r="A480"/>
  <c r="N480"/>
  <c r="A481"/>
  <c r="N481"/>
  <c r="A482"/>
  <c r="N482"/>
  <c r="A483"/>
  <c r="N483"/>
  <c r="A484"/>
  <c r="N484"/>
  <c r="A485"/>
  <c r="N485"/>
  <c r="A486"/>
  <c r="N486"/>
  <c r="A487"/>
  <c r="N487"/>
  <c r="E488"/>
  <c r="N488"/>
  <c r="A489"/>
  <c r="N489"/>
  <c r="A490"/>
  <c r="N490"/>
  <c r="A491"/>
  <c r="N491"/>
  <c r="A492"/>
  <c r="N492"/>
  <c r="A493"/>
  <c r="N493"/>
  <c r="A494"/>
  <c r="N494"/>
  <c r="A495"/>
  <c r="N495"/>
  <c r="A496"/>
  <c r="N496"/>
  <c r="A497"/>
  <c r="N497"/>
  <c r="A498"/>
  <c r="N498"/>
  <c r="A499"/>
  <c r="N499"/>
  <c r="A500"/>
  <c r="N500"/>
  <c r="A501"/>
  <c r="N501"/>
  <c r="A502"/>
  <c r="N502"/>
  <c r="A503"/>
  <c r="N503"/>
  <c r="A504"/>
  <c r="N504"/>
  <c r="A505"/>
  <c r="N505"/>
  <c r="A506"/>
  <c r="N506"/>
  <c r="A507"/>
  <c r="N507"/>
  <c r="A508"/>
  <c r="N508"/>
  <c r="E509"/>
  <c r="N509"/>
  <c r="A510"/>
  <c r="N510"/>
  <c r="A511"/>
  <c r="N511"/>
  <c r="A512"/>
  <c r="N512"/>
  <c r="A513"/>
  <c r="N513"/>
  <c r="A514"/>
  <c r="N514"/>
  <c r="A515"/>
  <c r="N515"/>
  <c r="A516"/>
  <c r="N516"/>
  <c r="A517"/>
  <c r="N517"/>
  <c r="A518"/>
  <c r="N518"/>
  <c r="A519"/>
  <c r="N519"/>
  <c r="A520"/>
  <c r="N520"/>
  <c r="A521"/>
  <c r="N521"/>
  <c r="A522"/>
  <c r="N522"/>
  <c r="A523"/>
  <c r="N523"/>
  <c r="A524"/>
  <c r="N524"/>
  <c r="A525"/>
  <c r="N525"/>
  <c r="A526"/>
  <c r="N526"/>
  <c r="A527"/>
  <c r="N527"/>
  <c r="A528"/>
  <c r="N528"/>
  <c r="A529"/>
  <c r="N529"/>
  <c r="E530"/>
  <c r="N530"/>
  <c r="N6" i="12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E26"/>
  <c r="N26"/>
  <c r="N27"/>
  <c r="N28"/>
  <c r="N29"/>
  <c r="N30"/>
  <c r="N31"/>
  <c r="A32"/>
  <c r="N32"/>
  <c r="A33"/>
  <c r="N33"/>
  <c r="A34"/>
  <c r="N34"/>
  <c r="A35"/>
  <c r="N35"/>
  <c r="A36"/>
  <c r="N36"/>
  <c r="A37"/>
  <c r="N37"/>
  <c r="A38"/>
  <c r="N38"/>
  <c r="A39"/>
  <c r="N39"/>
  <c r="A40"/>
  <c r="N40"/>
  <c r="A41"/>
  <c r="N41"/>
  <c r="A42"/>
  <c r="N42"/>
  <c r="A43"/>
  <c r="N43"/>
  <c r="A44"/>
  <c r="N44"/>
  <c r="A45"/>
  <c r="N45"/>
  <c r="A46"/>
  <c r="N46"/>
  <c r="E47"/>
  <c r="N47"/>
  <c r="A48"/>
  <c r="N48"/>
  <c r="A49"/>
  <c r="N49"/>
  <c r="A50"/>
  <c r="N50"/>
  <c r="A51"/>
  <c r="N51"/>
  <c r="A52"/>
  <c r="N52"/>
  <c r="A53"/>
  <c r="N53"/>
  <c r="A54"/>
  <c r="N54"/>
  <c r="A55"/>
  <c r="N55"/>
  <c r="A56"/>
  <c r="N56"/>
  <c r="A57"/>
  <c r="N57"/>
  <c r="A58"/>
  <c r="N58"/>
  <c r="A59"/>
  <c r="N59"/>
  <c r="A60"/>
  <c r="N60"/>
  <c r="A61"/>
  <c r="N61"/>
  <c r="A62"/>
  <c r="N62"/>
  <c r="A63"/>
  <c r="N63"/>
  <c r="A64"/>
  <c r="N64"/>
  <c r="A65"/>
  <c r="N65"/>
  <c r="A66"/>
  <c r="N66"/>
  <c r="A67"/>
  <c r="N67"/>
  <c r="E68"/>
  <c r="N68"/>
  <c r="A69"/>
  <c r="N69"/>
  <c r="A70"/>
  <c r="N70"/>
  <c r="A71"/>
  <c r="N71"/>
  <c r="A72"/>
  <c r="N72"/>
  <c r="A73"/>
  <c r="N73"/>
  <c r="A74"/>
  <c r="N74"/>
  <c r="A75"/>
  <c r="N75"/>
  <c r="A76"/>
  <c r="N76"/>
  <c r="A77"/>
  <c r="N77"/>
  <c r="A78"/>
  <c r="N78"/>
  <c r="A79"/>
  <c r="N79"/>
  <c r="A80"/>
  <c r="N80"/>
  <c r="A81"/>
  <c r="N81"/>
  <c r="A82"/>
  <c r="N82"/>
  <c r="A83"/>
  <c r="N83"/>
  <c r="A84"/>
  <c r="N84"/>
  <c r="A85"/>
  <c r="N85"/>
  <c r="A86"/>
  <c r="N86"/>
  <c r="A87"/>
  <c r="N87"/>
  <c r="A88"/>
  <c r="N88"/>
  <c r="E89"/>
  <c r="N89"/>
  <c r="A90"/>
  <c r="N90"/>
  <c r="A91"/>
  <c r="N91"/>
  <c r="A92"/>
  <c r="N92"/>
  <c r="A93"/>
  <c r="N93"/>
  <c r="A94"/>
  <c r="N94"/>
  <c r="A95"/>
  <c r="N95"/>
  <c r="A96"/>
  <c r="N96"/>
  <c r="A97"/>
  <c r="N97"/>
  <c r="A98"/>
  <c r="N98"/>
  <c r="A99"/>
  <c r="N99"/>
  <c r="A100"/>
  <c r="N100"/>
  <c r="A101"/>
  <c r="N101"/>
  <c r="A102"/>
  <c r="N102"/>
  <c r="A103"/>
  <c r="N103"/>
  <c r="A104"/>
  <c r="N104"/>
  <c r="A105"/>
  <c r="N105"/>
  <c r="A106"/>
  <c r="N106"/>
  <c r="A107"/>
  <c r="N107"/>
  <c r="A108"/>
  <c r="N108"/>
  <c r="A109"/>
  <c r="N109"/>
  <c r="E110"/>
  <c r="N110"/>
  <c r="A111"/>
  <c r="N111"/>
  <c r="A112"/>
  <c r="N112"/>
  <c r="A113"/>
  <c r="N113"/>
  <c r="A114"/>
  <c r="N114"/>
  <c r="A115"/>
  <c r="N115"/>
  <c r="A116"/>
  <c r="N116"/>
  <c r="A117"/>
  <c r="N117"/>
  <c r="A118"/>
  <c r="N118"/>
  <c r="A119"/>
  <c r="N119"/>
  <c r="A120"/>
  <c r="N120"/>
  <c r="A121"/>
  <c r="N121"/>
  <c r="A122"/>
  <c r="N122"/>
  <c r="A123"/>
  <c r="N123"/>
  <c r="A124"/>
  <c r="N124"/>
  <c r="A125"/>
  <c r="N125"/>
  <c r="A126"/>
  <c r="N126"/>
  <c r="A127"/>
  <c r="N127"/>
  <c r="A128"/>
  <c r="N128"/>
  <c r="A129"/>
  <c r="N129"/>
  <c r="A130"/>
  <c r="N130"/>
  <c r="E131"/>
  <c r="N131"/>
  <c r="A132"/>
  <c r="N132"/>
  <c r="A133"/>
  <c r="N133"/>
  <c r="A134"/>
  <c r="N134"/>
  <c r="A135"/>
  <c r="N135"/>
  <c r="A136"/>
  <c r="N136"/>
  <c r="A137"/>
  <c r="N137"/>
  <c r="A138"/>
  <c r="N138"/>
  <c r="A139"/>
  <c r="N139"/>
  <c r="A140"/>
  <c r="N140"/>
  <c r="A141"/>
  <c r="N141"/>
  <c r="A142"/>
  <c r="N142"/>
  <c r="A143"/>
  <c r="N143"/>
  <c r="A144"/>
  <c r="N144"/>
  <c r="A145"/>
  <c r="N145"/>
  <c r="A146"/>
  <c r="N146"/>
  <c r="A147"/>
  <c r="N147"/>
  <c r="A148"/>
  <c r="N148"/>
  <c r="A149"/>
  <c r="N149"/>
  <c r="A150"/>
  <c r="N150"/>
  <c r="A151"/>
  <c r="N151"/>
  <c r="E152"/>
  <c r="N152"/>
  <c r="A153"/>
  <c r="N153"/>
  <c r="A154"/>
  <c r="N154"/>
  <c r="A155"/>
  <c r="N155"/>
  <c r="A156"/>
  <c r="N156"/>
  <c r="A157"/>
  <c r="N157"/>
  <c r="A158"/>
  <c r="N158"/>
  <c r="A159"/>
  <c r="N159"/>
  <c r="A160"/>
  <c r="N160"/>
  <c r="A161"/>
  <c r="N161"/>
  <c r="A162"/>
  <c r="N162"/>
  <c r="A163"/>
  <c r="N163"/>
  <c r="A164"/>
  <c r="N164"/>
  <c r="A165"/>
  <c r="N165"/>
  <c r="A166"/>
  <c r="N166"/>
  <c r="A167"/>
  <c r="N167"/>
  <c r="A168"/>
  <c r="N168"/>
  <c r="A169"/>
  <c r="N169"/>
  <c r="A170"/>
  <c r="N170"/>
  <c r="A171"/>
  <c r="N171"/>
  <c r="A172"/>
  <c r="N172"/>
  <c r="E173"/>
  <c r="N173"/>
  <c r="A174"/>
  <c r="N174"/>
  <c r="A175"/>
  <c r="N175"/>
  <c r="A176"/>
  <c r="N176"/>
  <c r="A177"/>
  <c r="N177"/>
  <c r="A178"/>
  <c r="N178"/>
  <c r="A179"/>
  <c r="N179"/>
  <c r="A180"/>
  <c r="N180"/>
  <c r="A181"/>
  <c r="N181"/>
  <c r="A182"/>
  <c r="N182"/>
  <c r="A183"/>
  <c r="N183"/>
  <c r="A184"/>
  <c r="N184"/>
  <c r="A185"/>
  <c r="N185"/>
  <c r="A186"/>
  <c r="N186"/>
  <c r="A187"/>
  <c r="N187"/>
  <c r="A188"/>
  <c r="N188"/>
  <c r="A189"/>
  <c r="N189"/>
  <c r="A190"/>
  <c r="N190"/>
  <c r="A191"/>
  <c r="N191"/>
  <c r="A192"/>
  <c r="N192"/>
  <c r="A193"/>
  <c r="N193"/>
  <c r="E194"/>
  <c r="N194"/>
  <c r="A195"/>
  <c r="N195"/>
  <c r="A196"/>
  <c r="N196"/>
  <c r="A197"/>
  <c r="N197"/>
  <c r="A198"/>
  <c r="N198"/>
  <c r="A199"/>
  <c r="N199"/>
  <c r="A200"/>
  <c r="N200"/>
  <c r="A201"/>
  <c r="N201"/>
  <c r="A202"/>
  <c r="N202"/>
  <c r="A203"/>
  <c r="N203"/>
  <c r="A204"/>
  <c r="N204"/>
  <c r="A205"/>
  <c r="N205"/>
  <c r="A206"/>
  <c r="N206"/>
  <c r="A207"/>
  <c r="N207"/>
  <c r="A208"/>
  <c r="N208"/>
  <c r="A209"/>
  <c r="N209"/>
  <c r="A210"/>
  <c r="N210"/>
  <c r="A211"/>
  <c r="N211"/>
  <c r="A212"/>
  <c r="N212"/>
  <c r="A213"/>
  <c r="N213"/>
  <c r="A214"/>
  <c r="N214"/>
  <c r="E215"/>
  <c r="N215"/>
  <c r="A216"/>
  <c r="N216"/>
  <c r="A217"/>
  <c r="N217"/>
  <c r="A218"/>
  <c r="N218"/>
  <c r="A219"/>
  <c r="N219"/>
  <c r="A220"/>
  <c r="N220"/>
  <c r="A221"/>
  <c r="N221"/>
  <c r="A222"/>
  <c r="N222"/>
  <c r="A223"/>
  <c r="N223"/>
  <c r="A224"/>
  <c r="N224"/>
  <c r="A225"/>
  <c r="N225"/>
  <c r="A226"/>
  <c r="N226"/>
  <c r="A227"/>
  <c r="N227"/>
  <c r="A228"/>
  <c r="N228"/>
  <c r="A229"/>
  <c r="N229"/>
  <c r="A230"/>
  <c r="N230"/>
  <c r="A231"/>
  <c r="N231"/>
  <c r="A232"/>
  <c r="N232"/>
  <c r="A233"/>
  <c r="N233"/>
  <c r="A234"/>
  <c r="N234"/>
  <c r="A235"/>
  <c r="N235"/>
  <c r="E236"/>
  <c r="N236"/>
  <c r="A237"/>
  <c r="N237"/>
  <c r="A238"/>
  <c r="N238"/>
  <c r="A239"/>
  <c r="N239"/>
  <c r="A240"/>
  <c r="N240"/>
  <c r="A241"/>
  <c r="N241"/>
  <c r="A242"/>
  <c r="N242"/>
  <c r="A243"/>
  <c r="N243"/>
  <c r="A244"/>
  <c r="N244"/>
  <c r="A245"/>
  <c r="N245"/>
  <c r="A246"/>
  <c r="N246"/>
  <c r="A247"/>
  <c r="N247"/>
  <c r="A248"/>
  <c r="N248"/>
  <c r="A249"/>
  <c r="N249"/>
  <c r="A250"/>
  <c r="N250"/>
  <c r="A251"/>
  <c r="N251"/>
  <c r="A252"/>
  <c r="N252"/>
  <c r="A253"/>
  <c r="N253"/>
  <c r="A254"/>
  <c r="N254"/>
  <c r="A255"/>
  <c r="N255"/>
  <c r="A256"/>
  <c r="N256"/>
  <c r="E257"/>
  <c r="N257"/>
  <c r="A258"/>
  <c r="N258"/>
  <c r="A259"/>
  <c r="N259"/>
  <c r="A260"/>
  <c r="N260"/>
  <c r="A261"/>
  <c r="N261"/>
  <c r="A262"/>
  <c r="N262"/>
  <c r="A263"/>
  <c r="N263"/>
  <c r="A264"/>
  <c r="N264"/>
  <c r="A265"/>
  <c r="N265"/>
  <c r="A266"/>
  <c r="N266"/>
  <c r="A267"/>
  <c r="N267"/>
  <c r="A268"/>
  <c r="N268"/>
  <c r="A269"/>
  <c r="N269"/>
  <c r="A270"/>
  <c r="N270"/>
  <c r="A271"/>
  <c r="N271"/>
  <c r="A272"/>
  <c r="N272"/>
  <c r="A273"/>
  <c r="N273"/>
  <c r="A274"/>
  <c r="N274"/>
  <c r="A275"/>
  <c r="N275"/>
  <c r="A276"/>
  <c r="N276"/>
  <c r="A277"/>
  <c r="N277"/>
  <c r="E278"/>
  <c r="N278"/>
  <c r="A279"/>
  <c r="N279"/>
  <c r="A280"/>
  <c r="N280"/>
  <c r="A281"/>
  <c r="N281"/>
  <c r="A282"/>
  <c r="N282"/>
  <c r="A283"/>
  <c r="N283"/>
  <c r="A284"/>
  <c r="N284"/>
  <c r="A285"/>
  <c r="N285"/>
  <c r="A286"/>
  <c r="N286"/>
  <c r="A287"/>
  <c r="N287"/>
  <c r="A288"/>
  <c r="N288"/>
  <c r="A289"/>
  <c r="N289"/>
  <c r="A290"/>
  <c r="N290"/>
  <c r="A291"/>
  <c r="N291"/>
  <c r="A292"/>
  <c r="N292"/>
  <c r="A293"/>
  <c r="N293"/>
  <c r="A294"/>
  <c r="N294"/>
  <c r="A295"/>
  <c r="N295"/>
  <c r="A296"/>
  <c r="N296"/>
  <c r="A297"/>
  <c r="N297"/>
  <c r="A298"/>
  <c r="N298"/>
  <c r="E299"/>
  <c r="N299"/>
  <c r="A300"/>
  <c r="N300"/>
  <c r="A301"/>
  <c r="N301"/>
  <c r="A302"/>
  <c r="N302"/>
  <c r="A303"/>
  <c r="N303"/>
  <c r="A304"/>
  <c r="N304"/>
  <c r="A305"/>
  <c r="N305"/>
  <c r="A306"/>
  <c r="N306"/>
  <c r="A307"/>
  <c r="N307"/>
  <c r="A308"/>
  <c r="N308"/>
  <c r="A309"/>
  <c r="N309"/>
  <c r="A310"/>
  <c r="N310"/>
  <c r="A311"/>
  <c r="N311"/>
  <c r="A312"/>
  <c r="N312"/>
  <c r="A313"/>
  <c r="N313"/>
  <c r="A314"/>
  <c r="N314"/>
  <c r="A315"/>
  <c r="N315"/>
  <c r="A316"/>
  <c r="N316"/>
  <c r="A317"/>
  <c r="N317"/>
  <c r="A318"/>
  <c r="N318"/>
  <c r="A319"/>
  <c r="N319"/>
  <c r="E320"/>
  <c r="N320"/>
  <c r="A321"/>
  <c r="N321"/>
  <c r="A322"/>
  <c r="N322"/>
  <c r="A323"/>
  <c r="N323"/>
  <c r="A324"/>
  <c r="N324"/>
  <c r="A325"/>
  <c r="N325"/>
  <c r="A326"/>
  <c r="N326"/>
  <c r="A327"/>
  <c r="N327"/>
  <c r="A328"/>
  <c r="N328"/>
  <c r="A329"/>
  <c r="N329"/>
  <c r="A330"/>
  <c r="N330"/>
  <c r="A331"/>
  <c r="N331"/>
  <c r="A332"/>
  <c r="N332"/>
  <c r="A333"/>
  <c r="N333"/>
  <c r="A334"/>
  <c r="N334"/>
  <c r="A335"/>
  <c r="N335"/>
  <c r="A336"/>
  <c r="N336"/>
  <c r="A337"/>
  <c r="N337"/>
  <c r="A338"/>
  <c r="N338"/>
  <c r="A339"/>
  <c r="N339"/>
  <c r="A340"/>
  <c r="N340"/>
  <c r="E341"/>
  <c r="N341"/>
  <c r="A342"/>
  <c r="N342"/>
  <c r="A343"/>
  <c r="N343"/>
  <c r="A344"/>
  <c r="N344"/>
  <c r="A345"/>
  <c r="N345"/>
  <c r="A346"/>
  <c r="N346"/>
  <c r="A347"/>
  <c r="N347"/>
  <c r="A348"/>
  <c r="N348"/>
  <c r="A349"/>
  <c r="N349"/>
  <c r="A350"/>
  <c r="N350"/>
  <c r="A351"/>
  <c r="N351"/>
  <c r="A352"/>
  <c r="N352"/>
  <c r="A353"/>
  <c r="N353"/>
  <c r="A354"/>
  <c r="N354"/>
  <c r="A355"/>
  <c r="N355"/>
  <c r="A356"/>
  <c r="N356"/>
  <c r="A357"/>
  <c r="N357"/>
  <c r="A358"/>
  <c r="N358"/>
  <c r="A359"/>
  <c r="N359"/>
  <c r="A360"/>
  <c r="N360"/>
  <c r="A361"/>
  <c r="N361"/>
  <c r="E362"/>
  <c r="N362"/>
  <c r="A363"/>
  <c r="N363"/>
  <c r="A364"/>
  <c r="N364"/>
  <c r="A365"/>
  <c r="N365"/>
  <c r="A366"/>
  <c r="N366"/>
  <c r="A367"/>
  <c r="N367"/>
  <c r="A368"/>
  <c r="N368"/>
  <c r="A369"/>
  <c r="N369"/>
  <c r="A370"/>
  <c r="N370"/>
  <c r="A371"/>
  <c r="N371"/>
  <c r="A372"/>
  <c r="N372"/>
  <c r="A373"/>
  <c r="N373"/>
  <c r="A374"/>
  <c r="N374"/>
  <c r="A375"/>
  <c r="N375"/>
  <c r="A376"/>
  <c r="N376"/>
  <c r="A377"/>
  <c r="N377"/>
  <c r="A378"/>
  <c r="N378"/>
  <c r="A379"/>
  <c r="N379"/>
  <c r="A380"/>
  <c r="N380"/>
  <c r="A381"/>
  <c r="N381"/>
  <c r="A382"/>
  <c r="N382"/>
  <c r="E383"/>
  <c r="N383"/>
  <c r="A384"/>
  <c r="N384"/>
  <c r="A385"/>
  <c r="N385"/>
  <c r="A386"/>
  <c r="N386"/>
  <c r="A387"/>
  <c r="N387"/>
  <c r="A388"/>
  <c r="N388"/>
  <c r="A389"/>
  <c r="N389"/>
  <c r="A390"/>
  <c r="N390"/>
  <c r="A391"/>
  <c r="N391"/>
  <c r="A392"/>
  <c r="N392"/>
  <c r="A393"/>
  <c r="N393"/>
  <c r="A394"/>
  <c r="N394"/>
  <c r="A395"/>
  <c r="N395"/>
  <c r="A396"/>
  <c r="N396"/>
  <c r="A397"/>
  <c r="N397"/>
  <c r="A398"/>
  <c r="N398"/>
  <c r="A399"/>
  <c r="N399"/>
  <c r="A400"/>
  <c r="N400"/>
  <c r="A401"/>
  <c r="N401"/>
  <c r="A402"/>
  <c r="N402"/>
  <c r="A403"/>
  <c r="N403"/>
  <c r="E404"/>
  <c r="N404"/>
  <c r="A405"/>
  <c r="N405"/>
  <c r="A406"/>
  <c r="N406"/>
  <c r="A407"/>
  <c r="N407"/>
  <c r="A408"/>
  <c r="N408"/>
  <c r="A409"/>
  <c r="N409"/>
  <c r="A410"/>
  <c r="N410"/>
  <c r="A411"/>
  <c r="N411"/>
  <c r="A412"/>
  <c r="N412"/>
  <c r="A413"/>
  <c r="N413"/>
  <c r="A414"/>
  <c r="N414"/>
  <c r="A415"/>
  <c r="N415"/>
  <c r="A416"/>
  <c r="N416"/>
  <c r="A417"/>
  <c r="N417"/>
  <c r="A418"/>
  <c r="N418"/>
  <c r="A419"/>
  <c r="N419"/>
  <c r="A420"/>
  <c r="N420"/>
  <c r="A421"/>
  <c r="N421"/>
  <c r="A422"/>
  <c r="N422"/>
  <c r="A423"/>
  <c r="N423"/>
  <c r="A424"/>
  <c r="N424"/>
  <c r="E425"/>
  <c r="N425"/>
  <c r="A426"/>
  <c r="N426"/>
  <c r="A427"/>
  <c r="N427"/>
  <c r="A428"/>
  <c r="N428"/>
  <c r="A429"/>
  <c r="N429"/>
  <c r="A430"/>
  <c r="N430"/>
  <c r="A431"/>
  <c r="N431"/>
  <c r="A432"/>
  <c r="N432"/>
  <c r="A433"/>
  <c r="N433"/>
  <c r="A434"/>
  <c r="N434"/>
  <c r="A435"/>
  <c r="N435"/>
  <c r="A436"/>
  <c r="N436"/>
  <c r="A437"/>
  <c r="N437"/>
  <c r="A438"/>
  <c r="N438"/>
  <c r="A439"/>
  <c r="N439"/>
  <c r="A440"/>
  <c r="N440"/>
  <c r="A441"/>
  <c r="N441"/>
  <c r="A442"/>
  <c r="N442"/>
  <c r="A443"/>
  <c r="N443"/>
  <c r="A444"/>
  <c r="N444"/>
  <c r="A445"/>
  <c r="N445"/>
  <c r="E446"/>
  <c r="N446"/>
  <c r="A447"/>
  <c r="N447"/>
  <c r="A448"/>
  <c r="N448"/>
  <c r="A449"/>
  <c r="N449"/>
  <c r="A450"/>
  <c r="N450"/>
  <c r="A451"/>
  <c r="N451"/>
  <c r="A452"/>
  <c r="N452"/>
  <c r="A453"/>
  <c r="N453"/>
  <c r="A454"/>
  <c r="N454"/>
  <c r="A455"/>
  <c r="N455"/>
  <c r="A456"/>
  <c r="N456"/>
  <c r="A457"/>
  <c r="N457"/>
  <c r="A458"/>
  <c r="N458"/>
  <c r="A459"/>
  <c r="N459"/>
  <c r="A460"/>
  <c r="N460"/>
  <c r="A461"/>
  <c r="N461"/>
  <c r="A462"/>
  <c r="N462"/>
  <c r="A463"/>
  <c r="N463"/>
  <c r="A464"/>
  <c r="N464"/>
  <c r="A465"/>
  <c r="N465"/>
  <c r="A466"/>
  <c r="N466"/>
  <c r="E467"/>
  <c r="N467"/>
  <c r="A468"/>
  <c r="N468"/>
  <c r="A469"/>
  <c r="N469"/>
  <c r="A470"/>
  <c r="N470"/>
  <c r="A471"/>
  <c r="N471"/>
  <c r="A472"/>
  <c r="N472"/>
  <c r="A473"/>
  <c r="N473"/>
  <c r="A474"/>
  <c r="N474"/>
  <c r="A475"/>
  <c r="N475"/>
  <c r="A476"/>
  <c r="N476"/>
  <c r="A477"/>
  <c r="N477"/>
  <c r="A478"/>
  <c r="N478"/>
  <c r="A479"/>
  <c r="N479"/>
  <c r="A480"/>
  <c r="N480"/>
  <c r="A481"/>
  <c r="N481"/>
  <c r="A482"/>
  <c r="N482"/>
  <c r="A483"/>
  <c r="N483"/>
  <c r="A484"/>
  <c r="N484"/>
  <c r="A485"/>
  <c r="N485"/>
  <c r="A486"/>
  <c r="N486"/>
  <c r="A487"/>
  <c r="N487"/>
  <c r="E488"/>
  <c r="N488"/>
  <c r="A489"/>
  <c r="N489"/>
  <c r="A490"/>
  <c r="N490"/>
  <c r="A491"/>
  <c r="N491"/>
  <c r="A492"/>
  <c r="N492"/>
  <c r="A493"/>
  <c r="N493"/>
  <c r="A494"/>
  <c r="N494"/>
  <c r="A495"/>
  <c r="N495"/>
  <c r="A496"/>
  <c r="N496"/>
  <c r="A497"/>
  <c r="N497"/>
  <c r="A498"/>
  <c r="N498"/>
  <c r="A499"/>
  <c r="N499"/>
  <c r="A500"/>
  <c r="N500"/>
  <c r="A501"/>
  <c r="N501"/>
  <c r="A502"/>
  <c r="N502"/>
  <c r="A503"/>
  <c r="N503"/>
  <c r="A504"/>
  <c r="N504"/>
  <c r="A505"/>
  <c r="N505"/>
  <c r="A506"/>
  <c r="N506"/>
  <c r="A507"/>
  <c r="N507"/>
  <c r="A508"/>
  <c r="N508"/>
  <c r="E509"/>
  <c r="N509"/>
  <c r="A510"/>
  <c r="N510"/>
  <c r="A511"/>
  <c r="N511"/>
  <c r="A512"/>
  <c r="N512"/>
  <c r="A513"/>
  <c r="N513"/>
  <c r="A514"/>
  <c r="N514"/>
  <c r="A515"/>
  <c r="N515"/>
  <c r="A516"/>
  <c r="N516"/>
  <c r="A517"/>
  <c r="N517"/>
  <c r="A518"/>
  <c r="N518"/>
  <c r="A519"/>
  <c r="N519"/>
  <c r="A520"/>
  <c r="N520"/>
  <c r="A521"/>
  <c r="N521"/>
  <c r="A522"/>
  <c r="N522"/>
  <c r="A523"/>
  <c r="N523"/>
  <c r="A524"/>
  <c r="N524"/>
  <c r="A525"/>
  <c r="N525"/>
  <c r="A526"/>
  <c r="N526"/>
  <c r="A527"/>
  <c r="N527"/>
  <c r="A528"/>
  <c r="N528"/>
  <c r="A529"/>
  <c r="N529"/>
  <c r="E530"/>
  <c r="N530"/>
  <c r="N6" i="13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E26"/>
  <c r="N26"/>
  <c r="N27"/>
  <c r="N28"/>
  <c r="N29"/>
  <c r="N30"/>
  <c r="N31"/>
  <c r="A32"/>
  <c r="N32"/>
  <c r="A33"/>
  <c r="N33"/>
  <c r="A34"/>
  <c r="N34"/>
  <c r="A35"/>
  <c r="N35"/>
  <c r="A36"/>
  <c r="N36"/>
  <c r="A37"/>
  <c r="N37"/>
  <c r="A38"/>
  <c r="N38"/>
  <c r="A39"/>
  <c r="N39"/>
  <c r="A40"/>
  <c r="N40"/>
  <c r="A41"/>
  <c r="N41"/>
  <c r="A42"/>
  <c r="N42"/>
  <c r="A43"/>
  <c r="N43"/>
  <c r="A44"/>
  <c r="N44"/>
  <c r="A45"/>
  <c r="N45"/>
  <c r="A46"/>
  <c r="N46"/>
  <c r="E47"/>
  <c r="N47"/>
  <c r="A48"/>
  <c r="N48"/>
  <c r="A49"/>
  <c r="N49"/>
  <c r="A50"/>
  <c r="N50"/>
  <c r="A51"/>
  <c r="N51"/>
  <c r="A52"/>
  <c r="N52"/>
  <c r="A53"/>
  <c r="N53"/>
  <c r="A54"/>
  <c r="N54"/>
  <c r="A55"/>
  <c r="N55"/>
  <c r="A56"/>
  <c r="N56"/>
  <c r="A57"/>
  <c r="N57"/>
  <c r="A58"/>
  <c r="N58"/>
  <c r="A59"/>
  <c r="N59"/>
  <c r="A60"/>
  <c r="N60"/>
  <c r="A61"/>
  <c r="N61"/>
  <c r="A62"/>
  <c r="N62"/>
  <c r="A63"/>
  <c r="N63"/>
  <c r="A64"/>
  <c r="N64"/>
  <c r="A65"/>
  <c r="N65"/>
  <c r="A66"/>
  <c r="N66"/>
  <c r="A67"/>
  <c r="N67"/>
  <c r="E68"/>
  <c r="N68"/>
  <c r="A69"/>
  <c r="N69"/>
  <c r="A70"/>
  <c r="N70"/>
  <c r="A71"/>
  <c r="N71"/>
  <c r="A72"/>
  <c r="N72"/>
  <c r="A73"/>
  <c r="N73"/>
  <c r="A74"/>
  <c r="N74"/>
  <c r="A75"/>
  <c r="N75"/>
  <c r="A76"/>
  <c r="N76"/>
  <c r="A77"/>
  <c r="N77"/>
  <c r="A78"/>
  <c r="N78"/>
  <c r="A79"/>
  <c r="N79"/>
  <c r="A80"/>
  <c r="N80"/>
  <c r="A81"/>
  <c r="N81"/>
  <c r="A82"/>
  <c r="N82"/>
  <c r="A83"/>
  <c r="N83"/>
  <c r="A84"/>
  <c r="N84"/>
  <c r="A85"/>
  <c r="N85"/>
  <c r="A86"/>
  <c r="N86"/>
  <c r="A87"/>
  <c r="N87"/>
  <c r="A88"/>
  <c r="N88"/>
  <c r="E89"/>
  <c r="N89"/>
  <c r="A90"/>
  <c r="N90"/>
  <c r="A91"/>
  <c r="N91"/>
  <c r="A92"/>
  <c r="N92"/>
  <c r="A93"/>
  <c r="N93"/>
  <c r="A94"/>
  <c r="N94"/>
  <c r="A95"/>
  <c r="N95"/>
  <c r="A96"/>
  <c r="N96"/>
  <c r="A97"/>
  <c r="N97"/>
  <c r="A98"/>
  <c r="N98"/>
  <c r="A99"/>
  <c r="N99"/>
  <c r="A100"/>
  <c r="N100"/>
  <c r="A101"/>
  <c r="N101"/>
  <c r="A102"/>
  <c r="N102"/>
  <c r="A103"/>
  <c r="N103"/>
  <c r="A104"/>
  <c r="N104"/>
  <c r="A105"/>
  <c r="N105"/>
  <c r="A106"/>
  <c r="N106"/>
  <c r="A107"/>
  <c r="N107"/>
  <c r="A108"/>
  <c r="N108"/>
  <c r="A109"/>
  <c r="N109"/>
  <c r="E110"/>
  <c r="N110"/>
  <c r="A111"/>
  <c r="N111"/>
  <c r="A112"/>
  <c r="N112"/>
  <c r="A113"/>
  <c r="N113"/>
  <c r="A114"/>
  <c r="N114"/>
  <c r="A115"/>
  <c r="N115"/>
  <c r="A116"/>
  <c r="N116"/>
  <c r="A117"/>
  <c r="N117"/>
  <c r="A118"/>
  <c r="N118"/>
  <c r="A119"/>
  <c r="N119"/>
  <c r="A120"/>
  <c r="N120"/>
  <c r="A121"/>
  <c r="N121"/>
  <c r="A122"/>
  <c r="N122"/>
  <c r="A123"/>
  <c r="N123"/>
  <c r="A124"/>
  <c r="N124"/>
  <c r="A125"/>
  <c r="N125"/>
  <c r="A126"/>
  <c r="N126"/>
  <c r="A127"/>
  <c r="N127"/>
  <c r="A128"/>
  <c r="N128"/>
  <c r="A129"/>
  <c r="N129"/>
  <c r="A130"/>
  <c r="N130"/>
  <c r="E131"/>
  <c r="N131"/>
  <c r="A132"/>
  <c r="N132"/>
  <c r="A133"/>
  <c r="N133"/>
  <c r="A134"/>
  <c r="N134"/>
  <c r="A135"/>
  <c r="N135"/>
  <c r="A136"/>
  <c r="N136"/>
  <c r="A137"/>
  <c r="N137"/>
  <c r="A138"/>
  <c r="N138"/>
  <c r="A139"/>
  <c r="N139"/>
  <c r="A140"/>
  <c r="N140"/>
  <c r="A141"/>
  <c r="N141"/>
  <c r="A142"/>
  <c r="N142"/>
  <c r="A143"/>
  <c r="N143"/>
  <c r="A144"/>
  <c r="N144"/>
  <c r="A145"/>
  <c r="N145"/>
  <c r="A146"/>
  <c r="N146"/>
  <c r="A147"/>
  <c r="N147"/>
  <c r="A148"/>
  <c r="N148"/>
  <c r="A149"/>
  <c r="N149"/>
  <c r="A150"/>
  <c r="N150"/>
  <c r="A151"/>
  <c r="N151"/>
  <c r="E152"/>
  <c r="N152"/>
  <c r="A153"/>
  <c r="N153"/>
  <c r="A154"/>
  <c r="N154"/>
  <c r="A155"/>
  <c r="N155"/>
  <c r="A156"/>
  <c r="N156"/>
  <c r="A157"/>
  <c r="N157"/>
  <c r="A158"/>
  <c r="N158"/>
  <c r="A159"/>
  <c r="N159"/>
  <c r="A160"/>
  <c r="N160"/>
  <c r="A161"/>
  <c r="N161"/>
  <c r="A162"/>
  <c r="N162"/>
  <c r="A163"/>
  <c r="N163"/>
  <c r="A164"/>
  <c r="N164"/>
  <c r="A165"/>
  <c r="N165"/>
  <c r="A166"/>
  <c r="N166"/>
  <c r="A167"/>
  <c r="N167"/>
  <c r="A168"/>
  <c r="N168"/>
  <c r="A169"/>
  <c r="N169"/>
  <c r="A170"/>
  <c r="N170"/>
  <c r="A171"/>
  <c r="N171"/>
  <c r="A172"/>
  <c r="N172"/>
  <c r="E173"/>
  <c r="N173"/>
  <c r="A174"/>
  <c r="N174"/>
  <c r="A175"/>
  <c r="N175"/>
  <c r="A176"/>
  <c r="N176"/>
  <c r="A177"/>
  <c r="N177"/>
  <c r="A178"/>
  <c r="N178"/>
  <c r="A179"/>
  <c r="N179"/>
  <c r="A180"/>
  <c r="N180"/>
  <c r="A181"/>
  <c r="N181"/>
  <c r="A182"/>
  <c r="N182"/>
  <c r="A183"/>
  <c r="N183"/>
  <c r="A184"/>
  <c r="N184"/>
  <c r="A185"/>
  <c r="N185"/>
  <c r="A186"/>
  <c r="N186"/>
  <c r="A187"/>
  <c r="N187"/>
  <c r="A188"/>
  <c r="N188"/>
  <c r="A189"/>
  <c r="N189"/>
  <c r="A190"/>
  <c r="N190"/>
  <c r="A191"/>
  <c r="N191"/>
  <c r="A192"/>
  <c r="N192"/>
  <c r="A193"/>
  <c r="N193"/>
  <c r="E194"/>
  <c r="N194"/>
  <c r="A195"/>
  <c r="N195"/>
  <c r="A196"/>
  <c r="N196"/>
  <c r="A197"/>
  <c r="N197"/>
  <c r="A198"/>
  <c r="N198"/>
  <c r="A199"/>
  <c r="N199"/>
  <c r="A200"/>
  <c r="N200"/>
  <c r="A201"/>
  <c r="N201"/>
  <c r="A202"/>
  <c r="N202"/>
  <c r="A203"/>
  <c r="N203"/>
  <c r="A204"/>
  <c r="N204"/>
  <c r="A205"/>
  <c r="N205"/>
  <c r="A206"/>
  <c r="N206"/>
  <c r="A207"/>
  <c r="N207"/>
  <c r="A208"/>
  <c r="N208"/>
  <c r="A209"/>
  <c r="N209"/>
  <c r="A210"/>
  <c r="N210"/>
  <c r="A211"/>
  <c r="N211"/>
  <c r="A212"/>
  <c r="N212"/>
  <c r="A213"/>
  <c r="N213"/>
  <c r="A214"/>
  <c r="N214"/>
  <c r="E215"/>
  <c r="N215"/>
  <c r="A216"/>
  <c r="N216"/>
  <c r="A217"/>
  <c r="N217"/>
  <c r="A218"/>
  <c r="N218"/>
  <c r="A219"/>
  <c r="N219"/>
  <c r="A220"/>
  <c r="N220"/>
  <c r="A221"/>
  <c r="N221"/>
  <c r="A222"/>
  <c r="N222"/>
  <c r="A223"/>
  <c r="N223"/>
  <c r="A224"/>
  <c r="N224"/>
  <c r="A225"/>
  <c r="N225"/>
  <c r="A226"/>
  <c r="N226"/>
  <c r="A227"/>
  <c r="N227"/>
  <c r="A228"/>
  <c r="N228"/>
  <c r="A229"/>
  <c r="N229"/>
  <c r="A230"/>
  <c r="N230"/>
  <c r="A231"/>
  <c r="N231"/>
  <c r="A232"/>
  <c r="N232"/>
  <c r="A233"/>
  <c r="N233"/>
  <c r="A234"/>
  <c r="N234"/>
  <c r="A235"/>
  <c r="N235"/>
  <c r="E236"/>
  <c r="N236"/>
  <c r="A237"/>
  <c r="N237"/>
  <c r="A238"/>
  <c r="N238"/>
  <c r="A239"/>
  <c r="N239"/>
  <c r="A240"/>
  <c r="N240"/>
  <c r="A241"/>
  <c r="N241"/>
  <c r="A242"/>
  <c r="N242"/>
  <c r="A243"/>
  <c r="N243"/>
  <c r="A244"/>
  <c r="N244"/>
  <c r="A245"/>
  <c r="N245"/>
  <c r="A246"/>
  <c r="N246"/>
  <c r="A247"/>
  <c r="N247"/>
  <c r="A248"/>
  <c r="N248"/>
  <c r="A249"/>
  <c r="N249"/>
  <c r="A250"/>
  <c r="N250"/>
  <c r="A251"/>
  <c r="N251"/>
  <c r="A252"/>
  <c r="N252"/>
  <c r="A253"/>
  <c r="N253"/>
  <c r="A254"/>
  <c r="N254"/>
  <c r="A255"/>
  <c r="N255"/>
  <c r="A256"/>
  <c r="N256"/>
  <c r="E257"/>
  <c r="N257"/>
  <c r="A258"/>
  <c r="N258"/>
  <c r="A259"/>
  <c r="N259"/>
  <c r="A260"/>
  <c r="N260"/>
  <c r="A261"/>
  <c r="N261"/>
  <c r="A262"/>
  <c r="N262"/>
  <c r="A263"/>
  <c r="N263"/>
  <c r="A264"/>
  <c r="N264"/>
  <c r="A265"/>
  <c r="N265"/>
  <c r="A266"/>
  <c r="N266"/>
  <c r="A267"/>
  <c r="N267"/>
  <c r="A268"/>
  <c r="N268"/>
  <c r="A269"/>
  <c r="N269"/>
  <c r="A270"/>
  <c r="N270"/>
  <c r="A271"/>
  <c r="N271"/>
  <c r="A272"/>
  <c r="N272"/>
  <c r="A273"/>
  <c r="N273"/>
  <c r="A274"/>
  <c r="N274"/>
  <c r="A275"/>
  <c r="N275"/>
  <c r="A276"/>
  <c r="N276"/>
  <c r="A277"/>
  <c r="N277"/>
  <c r="E278"/>
  <c r="N278"/>
  <c r="A279"/>
  <c r="N279"/>
  <c r="A280"/>
  <c r="N280"/>
  <c r="A281"/>
  <c r="N281"/>
  <c r="A282"/>
  <c r="N282"/>
  <c r="A283"/>
  <c r="N283"/>
  <c r="A284"/>
  <c r="N284"/>
  <c r="A285"/>
  <c r="N285"/>
  <c r="A286"/>
  <c r="N286"/>
  <c r="A287"/>
  <c r="N287"/>
  <c r="A288"/>
  <c r="N288"/>
  <c r="A289"/>
  <c r="N289"/>
  <c r="A290"/>
  <c r="N290"/>
  <c r="A291"/>
  <c r="N291"/>
  <c r="A292"/>
  <c r="N292"/>
  <c r="A293"/>
  <c r="N293"/>
  <c r="A294"/>
  <c r="N294"/>
  <c r="A295"/>
  <c r="N295"/>
  <c r="A296"/>
  <c r="N296"/>
  <c r="A297"/>
  <c r="N297"/>
  <c r="A298"/>
  <c r="N298"/>
  <c r="E299"/>
  <c r="N299"/>
  <c r="A300"/>
  <c r="N300"/>
  <c r="A301"/>
  <c r="N301"/>
  <c r="A302"/>
  <c r="N302"/>
  <c r="A303"/>
  <c r="N303"/>
  <c r="A304"/>
  <c r="N304"/>
  <c r="A305"/>
  <c r="N305"/>
  <c r="A306"/>
  <c r="N306"/>
  <c r="A307"/>
  <c r="N307"/>
  <c r="A308"/>
  <c r="N308"/>
  <c r="A309"/>
  <c r="N309"/>
  <c r="A310"/>
  <c r="N310"/>
  <c r="A311"/>
  <c r="N311"/>
  <c r="A312"/>
  <c r="N312"/>
  <c r="A313"/>
  <c r="N313"/>
  <c r="A314"/>
  <c r="N314"/>
  <c r="A315"/>
  <c r="N315"/>
  <c r="A316"/>
  <c r="N316"/>
  <c r="A317"/>
  <c r="N317"/>
  <c r="A318"/>
  <c r="N318"/>
  <c r="A319"/>
  <c r="N319"/>
  <c r="E320"/>
  <c r="N320"/>
  <c r="A321"/>
  <c r="N321"/>
  <c r="A322"/>
  <c r="N322"/>
  <c r="A323"/>
  <c r="N323"/>
  <c r="A324"/>
  <c r="N324"/>
  <c r="A325"/>
  <c r="N325"/>
  <c r="A326"/>
  <c r="N326"/>
  <c r="A327"/>
  <c r="N327"/>
  <c r="A328"/>
  <c r="N328"/>
  <c r="A329"/>
  <c r="N329"/>
  <c r="A330"/>
  <c r="N330"/>
  <c r="A331"/>
  <c r="N331"/>
  <c r="A332"/>
  <c r="N332"/>
  <c r="A333"/>
  <c r="N333"/>
  <c r="A334"/>
  <c r="N334"/>
  <c r="A335"/>
  <c r="N335"/>
  <c r="A336"/>
  <c r="N336"/>
  <c r="A337"/>
  <c r="N337"/>
  <c r="A338"/>
  <c r="N338"/>
  <c r="A339"/>
  <c r="N339"/>
  <c r="A340"/>
  <c r="N340"/>
  <c r="E341"/>
  <c r="N341"/>
  <c r="A342"/>
  <c r="N342"/>
  <c r="A343"/>
  <c r="N343"/>
  <c r="A344"/>
  <c r="N344"/>
  <c r="A345"/>
  <c r="N345"/>
  <c r="A346"/>
  <c r="N346"/>
  <c r="A347"/>
  <c r="N347"/>
  <c r="A348"/>
  <c r="N348"/>
  <c r="A349"/>
  <c r="N349"/>
  <c r="A350"/>
  <c r="N350"/>
  <c r="A351"/>
  <c r="N351"/>
  <c r="A352"/>
  <c r="N352"/>
  <c r="A353"/>
  <c r="N353"/>
  <c r="A354"/>
  <c r="N354"/>
  <c r="A355"/>
  <c r="N355"/>
  <c r="A356"/>
  <c r="N356"/>
  <c r="A357"/>
  <c r="N357"/>
  <c r="A358"/>
  <c r="N358"/>
  <c r="A359"/>
  <c r="N359"/>
  <c r="A360"/>
  <c r="N360"/>
  <c r="A361"/>
  <c r="N361"/>
  <c r="E362"/>
  <c r="N362"/>
  <c r="A363"/>
  <c r="N363"/>
  <c r="A364"/>
  <c r="N364"/>
  <c r="A365"/>
  <c r="N365"/>
  <c r="A366"/>
  <c r="N366"/>
  <c r="A367"/>
  <c r="N367"/>
  <c r="A368"/>
  <c r="N368"/>
  <c r="A369"/>
  <c r="N369"/>
  <c r="A370"/>
  <c r="N370"/>
  <c r="A371"/>
  <c r="N371"/>
  <c r="A372"/>
  <c r="N372"/>
  <c r="A373"/>
  <c r="N373"/>
  <c r="A374"/>
  <c r="N374"/>
  <c r="A375"/>
  <c r="N375"/>
  <c r="A376"/>
  <c r="N376"/>
  <c r="A377"/>
  <c r="N377"/>
  <c r="A378"/>
  <c r="N378"/>
  <c r="A379"/>
  <c r="N379"/>
  <c r="A380"/>
  <c r="N380"/>
  <c r="A381"/>
  <c r="N381"/>
  <c r="A382"/>
  <c r="N382"/>
  <c r="E383"/>
  <c r="N383"/>
  <c r="A384"/>
  <c r="N384"/>
  <c r="A385"/>
  <c r="N385"/>
  <c r="A386"/>
  <c r="N386"/>
  <c r="A387"/>
  <c r="N387"/>
  <c r="A388"/>
  <c r="N388"/>
  <c r="A389"/>
  <c r="N389"/>
  <c r="A390"/>
  <c r="N390"/>
  <c r="A391"/>
  <c r="N391"/>
  <c r="A392"/>
  <c r="N392"/>
  <c r="A393"/>
  <c r="N393"/>
  <c r="A394"/>
  <c r="N394"/>
  <c r="A395"/>
  <c r="N395"/>
  <c r="A396"/>
  <c r="N396"/>
  <c r="A397"/>
  <c r="N397"/>
  <c r="A398"/>
  <c r="N398"/>
  <c r="A399"/>
  <c r="N399"/>
  <c r="A400"/>
  <c r="N400"/>
  <c r="A401"/>
  <c r="N401"/>
  <c r="A402"/>
  <c r="N402"/>
  <c r="A403"/>
  <c r="N403"/>
  <c r="E404"/>
  <c r="N404"/>
  <c r="A405"/>
  <c r="N405"/>
  <c r="A406"/>
  <c r="N406"/>
  <c r="A407"/>
  <c r="N407"/>
  <c r="A408"/>
  <c r="N408"/>
  <c r="A409"/>
  <c r="N409"/>
  <c r="A410"/>
  <c r="N410"/>
  <c r="A411"/>
  <c r="N411"/>
  <c r="A412"/>
  <c r="N412"/>
  <c r="A413"/>
  <c r="N413"/>
  <c r="A414"/>
  <c r="N414"/>
  <c r="A415"/>
  <c r="N415"/>
  <c r="A416"/>
  <c r="N416"/>
  <c r="A417"/>
  <c r="N417"/>
  <c r="A418"/>
  <c r="N418"/>
  <c r="A419"/>
  <c r="N419"/>
  <c r="A420"/>
  <c r="N420"/>
  <c r="A421"/>
  <c r="N421"/>
  <c r="A422"/>
  <c r="N422"/>
  <c r="A423"/>
  <c r="N423"/>
  <c r="A424"/>
  <c r="N424"/>
  <c r="E425"/>
  <c r="N425"/>
  <c r="A426"/>
  <c r="N426"/>
  <c r="A427"/>
  <c r="N427"/>
  <c r="A428"/>
  <c r="N428"/>
  <c r="A429"/>
  <c r="N429"/>
  <c r="A430"/>
  <c r="N430"/>
  <c r="A431"/>
  <c r="N431"/>
  <c r="A432"/>
  <c r="N432"/>
  <c r="A433"/>
  <c r="N433"/>
  <c r="A434"/>
  <c r="N434"/>
  <c r="A435"/>
  <c r="N435"/>
  <c r="A436"/>
  <c r="N436"/>
  <c r="A437"/>
  <c r="N437"/>
  <c r="A438"/>
  <c r="N438"/>
  <c r="A439"/>
  <c r="N439"/>
  <c r="A440"/>
  <c r="N440"/>
  <c r="A441"/>
  <c r="N441"/>
  <c r="A442"/>
  <c r="N442"/>
  <c r="A443"/>
  <c r="N443"/>
  <c r="A444"/>
  <c r="N444"/>
  <c r="A445"/>
  <c r="N445"/>
  <c r="E446"/>
  <c r="N446"/>
  <c r="A447"/>
  <c r="N447"/>
  <c r="A448"/>
  <c r="N448"/>
  <c r="A449"/>
  <c r="N449"/>
  <c r="A450"/>
  <c r="N450"/>
  <c r="A451"/>
  <c r="N451"/>
  <c r="A452"/>
  <c r="N452"/>
  <c r="A453"/>
  <c r="N453"/>
  <c r="A454"/>
  <c r="N454"/>
  <c r="A455"/>
  <c r="N455"/>
  <c r="A456"/>
  <c r="N456"/>
  <c r="A457"/>
  <c r="N457"/>
  <c r="A458"/>
  <c r="N458"/>
  <c r="A459"/>
  <c r="N459"/>
  <c r="A460"/>
  <c r="N460"/>
  <c r="A461"/>
  <c r="N461"/>
  <c r="A462"/>
  <c r="N462"/>
  <c r="A463"/>
  <c r="N463"/>
  <c r="A464"/>
  <c r="N464"/>
  <c r="A465"/>
  <c r="N465"/>
  <c r="A466"/>
  <c r="N466"/>
  <c r="E467"/>
  <c r="N467"/>
  <c r="A468"/>
  <c r="N468"/>
  <c r="A469"/>
  <c r="N469"/>
  <c r="A470"/>
  <c r="N470"/>
  <c r="A471"/>
  <c r="N471"/>
  <c r="A472"/>
  <c r="N472"/>
  <c r="A473"/>
  <c r="N473"/>
  <c r="A474"/>
  <c r="N474"/>
  <c r="A475"/>
  <c r="N475"/>
  <c r="A476"/>
  <c r="N476"/>
  <c r="A477"/>
  <c r="N477"/>
  <c r="A478"/>
  <c r="N478"/>
  <c r="A479"/>
  <c r="N479"/>
  <c r="A480"/>
  <c r="N480"/>
  <c r="A481"/>
  <c r="N481"/>
  <c r="A482"/>
  <c r="N482"/>
  <c r="A483"/>
  <c r="N483"/>
  <c r="A484"/>
  <c r="N484"/>
  <c r="A485"/>
  <c r="N485"/>
  <c r="A486"/>
  <c r="N486"/>
  <c r="A487"/>
  <c r="N487"/>
  <c r="E488"/>
  <c r="N488"/>
  <c r="A489"/>
  <c r="N489"/>
  <c r="A490"/>
  <c r="N490"/>
  <c r="A491"/>
  <c r="N491"/>
  <c r="A492"/>
  <c r="N492"/>
  <c r="A493"/>
  <c r="N493"/>
  <c r="A494"/>
  <c r="N494"/>
  <c r="A495"/>
  <c r="N495"/>
  <c r="A496"/>
  <c r="N496"/>
  <c r="A497"/>
  <c r="N497"/>
  <c r="A498"/>
  <c r="N498"/>
  <c r="A499"/>
  <c r="N499"/>
  <c r="A500"/>
  <c r="N500"/>
  <c r="A501"/>
  <c r="N501"/>
  <c r="A502"/>
  <c r="N502"/>
  <c r="A503"/>
  <c r="N503"/>
  <c r="A504"/>
  <c r="N504"/>
  <c r="A505"/>
  <c r="N505"/>
  <c r="A506"/>
  <c r="N506"/>
  <c r="A507"/>
  <c r="N507"/>
  <c r="A508"/>
  <c r="N508"/>
  <c r="E509"/>
  <c r="N509"/>
  <c r="A510"/>
  <c r="N510"/>
  <c r="A511"/>
  <c r="N511"/>
  <c r="A512"/>
  <c r="N512"/>
  <c r="A513"/>
  <c r="N513"/>
  <c r="A514"/>
  <c r="N514"/>
  <c r="A515"/>
  <c r="N515"/>
  <c r="A516"/>
  <c r="N516"/>
  <c r="A517"/>
  <c r="N517"/>
  <c r="A518"/>
  <c r="N518"/>
  <c r="A519"/>
  <c r="N519"/>
  <c r="A520"/>
  <c r="N520"/>
  <c r="A521"/>
  <c r="N521"/>
  <c r="A522"/>
  <c r="N522"/>
  <c r="A523"/>
  <c r="N523"/>
  <c r="A524"/>
  <c r="N524"/>
  <c r="A525"/>
  <c r="N525"/>
  <c r="A526"/>
  <c r="N526"/>
  <c r="A527"/>
  <c r="N527"/>
  <c r="A528"/>
  <c r="N528"/>
  <c r="A529"/>
  <c r="N529"/>
  <c r="E530"/>
  <c r="N530"/>
  <c r="N6" i="14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E26"/>
  <c r="N26"/>
  <c r="N27"/>
  <c r="N28"/>
  <c r="N29"/>
  <c r="N30"/>
  <c r="N31"/>
  <c r="A32"/>
  <c r="N32"/>
  <c r="A33"/>
  <c r="N33"/>
  <c r="A34"/>
  <c r="N34"/>
  <c r="A35"/>
  <c r="N35"/>
  <c r="A36"/>
  <c r="N36"/>
  <c r="A37"/>
  <c r="N37"/>
  <c r="A38"/>
  <c r="N38"/>
  <c r="A39"/>
  <c r="N39"/>
  <c r="A40"/>
  <c r="N40"/>
  <c r="A41"/>
  <c r="N41"/>
  <c r="A42"/>
  <c r="N42"/>
  <c r="A43"/>
  <c r="N43"/>
  <c r="A44"/>
  <c r="N44"/>
  <c r="A45"/>
  <c r="N45"/>
  <c r="A46"/>
  <c r="N46"/>
  <c r="E47"/>
  <c r="N47"/>
  <c r="A48"/>
  <c r="N48"/>
  <c r="A49"/>
  <c r="N49"/>
  <c r="A50"/>
  <c r="N50"/>
  <c r="A51"/>
  <c r="N51"/>
  <c r="A52"/>
  <c r="N52"/>
  <c r="A53"/>
  <c r="N53"/>
  <c r="A54"/>
  <c r="N54"/>
  <c r="A55"/>
  <c r="N55"/>
  <c r="A56"/>
  <c r="N56"/>
  <c r="A57"/>
  <c r="N57"/>
  <c r="A58"/>
  <c r="N58"/>
  <c r="A59"/>
  <c r="N59"/>
  <c r="A60"/>
  <c r="N60"/>
  <c r="A61"/>
  <c r="N61"/>
  <c r="A62"/>
  <c r="N62"/>
  <c r="A63"/>
  <c r="N63"/>
  <c r="A64"/>
  <c r="N64"/>
  <c r="A65"/>
  <c r="N65"/>
  <c r="A66"/>
  <c r="N66"/>
  <c r="A67"/>
  <c r="N67"/>
  <c r="E68"/>
  <c r="N68"/>
  <c r="A69"/>
  <c r="N69"/>
  <c r="A70"/>
  <c r="N70"/>
  <c r="A71"/>
  <c r="N71"/>
  <c r="A72"/>
  <c r="N72"/>
  <c r="A73"/>
  <c r="N73"/>
  <c r="A74"/>
  <c r="N74"/>
  <c r="A75"/>
  <c r="N75"/>
  <c r="A76"/>
  <c r="N76"/>
  <c r="A77"/>
  <c r="N77"/>
  <c r="A78"/>
  <c r="N78"/>
  <c r="A79"/>
  <c r="N79"/>
  <c r="A80"/>
  <c r="N80"/>
  <c r="A81"/>
  <c r="N81"/>
  <c r="A82"/>
  <c r="N82"/>
  <c r="A83"/>
  <c r="N83"/>
  <c r="A84"/>
  <c r="N84"/>
  <c r="A85"/>
  <c r="N85"/>
  <c r="A86"/>
  <c r="N86"/>
  <c r="A87"/>
  <c r="N87"/>
  <c r="A88"/>
  <c r="N88"/>
  <c r="E89"/>
  <c r="N89"/>
  <c r="A90"/>
  <c r="N90"/>
  <c r="A91"/>
  <c r="N91"/>
  <c r="A92"/>
  <c r="N92"/>
  <c r="A93"/>
  <c r="N93"/>
  <c r="A94"/>
  <c r="N94"/>
  <c r="A95"/>
  <c r="N95"/>
  <c r="A96"/>
  <c r="N96"/>
  <c r="A97"/>
  <c r="N97"/>
  <c r="A98"/>
  <c r="N98"/>
  <c r="A99"/>
  <c r="N99"/>
  <c r="A100"/>
  <c r="N100"/>
  <c r="A101"/>
  <c r="N101"/>
  <c r="A102"/>
  <c r="N102"/>
  <c r="A103"/>
  <c r="N103"/>
  <c r="A104"/>
  <c r="N104"/>
  <c r="A105"/>
  <c r="N105"/>
  <c r="A106"/>
  <c r="N106"/>
  <c r="A107"/>
  <c r="N107"/>
  <c r="A108"/>
  <c r="N108"/>
  <c r="A109"/>
  <c r="N109"/>
  <c r="E110"/>
  <c r="N110"/>
  <c r="A111"/>
  <c r="N111"/>
  <c r="A112"/>
  <c r="N112"/>
  <c r="A113"/>
  <c r="N113"/>
  <c r="A114"/>
  <c r="N114"/>
  <c r="A115"/>
  <c r="N115"/>
  <c r="A116"/>
  <c r="N116"/>
  <c r="A117"/>
  <c r="N117"/>
  <c r="A118"/>
  <c r="N118"/>
  <c r="A119"/>
  <c r="N119"/>
  <c r="A120"/>
  <c r="N120"/>
  <c r="A121"/>
  <c r="N121"/>
  <c r="A122"/>
  <c r="N122"/>
  <c r="A123"/>
  <c r="N123"/>
  <c r="A124"/>
  <c r="N124"/>
  <c r="A125"/>
  <c r="N125"/>
  <c r="A126"/>
  <c r="N126"/>
  <c r="A127"/>
  <c r="N127"/>
  <c r="A128"/>
  <c r="N128"/>
  <c r="A129"/>
  <c r="N129"/>
  <c r="A130"/>
  <c r="N130"/>
  <c r="E131"/>
  <c r="N131"/>
  <c r="A132"/>
  <c r="N132"/>
  <c r="A133"/>
  <c r="N133"/>
  <c r="A134"/>
  <c r="N134"/>
  <c r="A135"/>
  <c r="N135"/>
  <c r="A136"/>
  <c r="N136"/>
  <c r="A137"/>
  <c r="N137"/>
  <c r="A138"/>
  <c r="N138"/>
  <c r="A139"/>
  <c r="N139"/>
  <c r="A140"/>
  <c r="N140"/>
  <c r="A141"/>
  <c r="N141"/>
  <c r="A142"/>
  <c r="N142"/>
  <c r="A143"/>
  <c r="N143"/>
  <c r="A144"/>
  <c r="N144"/>
  <c r="A145"/>
  <c r="N145"/>
  <c r="A146"/>
  <c r="N146"/>
  <c r="A147"/>
  <c r="N147"/>
  <c r="A148"/>
  <c r="N148"/>
  <c r="A149"/>
  <c r="N149"/>
  <c r="A150"/>
  <c r="N150"/>
  <c r="A151"/>
  <c r="N151"/>
  <c r="E152"/>
  <c r="N152"/>
  <c r="A153"/>
  <c r="N153"/>
  <c r="A154"/>
  <c r="N154"/>
  <c r="A155"/>
  <c r="N155"/>
  <c r="A156"/>
  <c r="N156"/>
  <c r="A157"/>
  <c r="N157"/>
  <c r="A158"/>
  <c r="N158"/>
  <c r="A159"/>
  <c r="N159"/>
  <c r="A160"/>
  <c r="N160"/>
  <c r="A161"/>
  <c r="N161"/>
  <c r="A162"/>
  <c r="N162"/>
  <c r="A163"/>
  <c r="N163"/>
  <c r="A164"/>
  <c r="N164"/>
  <c r="A165"/>
  <c r="N165"/>
  <c r="A166"/>
  <c r="N166"/>
  <c r="A167"/>
  <c r="N167"/>
  <c r="A168"/>
  <c r="N168"/>
  <c r="A169"/>
  <c r="N169"/>
  <c r="A170"/>
  <c r="N170"/>
  <c r="A171"/>
  <c r="N171"/>
  <c r="A172"/>
  <c r="N172"/>
  <c r="E173"/>
  <c r="N173"/>
  <c r="A174"/>
  <c r="N174"/>
  <c r="A175"/>
  <c r="N175"/>
  <c r="A176"/>
  <c r="N176"/>
  <c r="A177"/>
  <c r="N177"/>
  <c r="A178"/>
  <c r="N178"/>
  <c r="A179"/>
  <c r="N179"/>
  <c r="A180"/>
  <c r="N180"/>
  <c r="A181"/>
  <c r="N181"/>
  <c r="A182"/>
  <c r="N182"/>
  <c r="A183"/>
  <c r="N183"/>
  <c r="A184"/>
  <c r="N184"/>
  <c r="A185"/>
  <c r="N185"/>
  <c r="A186"/>
  <c r="N186"/>
  <c r="A187"/>
  <c r="N187"/>
  <c r="A188"/>
  <c r="N188"/>
  <c r="A189"/>
  <c r="N189"/>
  <c r="A190"/>
  <c r="N190"/>
  <c r="A191"/>
  <c r="N191"/>
  <c r="A192"/>
  <c r="N192"/>
  <c r="A193"/>
  <c r="N193"/>
  <c r="E194"/>
  <c r="N194"/>
  <c r="A195"/>
  <c r="N195"/>
  <c r="A196"/>
  <c r="N196"/>
  <c r="A197"/>
  <c r="N197"/>
  <c r="A198"/>
  <c r="N198"/>
  <c r="A199"/>
  <c r="N199"/>
  <c r="A200"/>
  <c r="N200"/>
  <c r="A201"/>
  <c r="N201"/>
  <c r="A202"/>
  <c r="N202"/>
  <c r="A203"/>
  <c r="N203"/>
  <c r="A204"/>
  <c r="N204"/>
  <c r="A205"/>
  <c r="N205"/>
  <c r="A206"/>
  <c r="N206"/>
  <c r="A207"/>
  <c r="N207"/>
  <c r="A208"/>
  <c r="N208"/>
  <c r="A209"/>
  <c r="N209"/>
  <c r="A210"/>
  <c r="N210"/>
  <c r="A211"/>
  <c r="N211"/>
  <c r="A212"/>
  <c r="N212"/>
  <c r="A213"/>
  <c r="N213"/>
  <c r="A214"/>
  <c r="N214"/>
  <c r="E215"/>
  <c r="N215"/>
  <c r="A216"/>
  <c r="N216"/>
  <c r="A217"/>
  <c r="N217"/>
  <c r="A218"/>
  <c r="N218"/>
  <c r="A219"/>
  <c r="N219"/>
  <c r="A220"/>
  <c r="N220"/>
  <c r="A221"/>
  <c r="N221"/>
  <c r="A222"/>
  <c r="N222"/>
  <c r="A223"/>
  <c r="N223"/>
  <c r="A224"/>
  <c r="N224"/>
  <c r="A225"/>
  <c r="N225"/>
  <c r="A226"/>
  <c r="N226"/>
  <c r="A227"/>
  <c r="N227"/>
  <c r="A228"/>
  <c r="N228"/>
  <c r="A229"/>
  <c r="N229"/>
  <c r="A230"/>
  <c r="N230"/>
  <c r="A231"/>
  <c r="N231"/>
  <c r="A232"/>
  <c r="N232"/>
  <c r="A233"/>
  <c r="N233"/>
  <c r="A234"/>
  <c r="N234"/>
  <c r="A235"/>
  <c r="N235"/>
  <c r="E236"/>
  <c r="N236"/>
  <c r="A237"/>
  <c r="N237"/>
  <c r="A238"/>
  <c r="N238"/>
  <c r="A239"/>
  <c r="N239"/>
  <c r="A240"/>
  <c r="N240"/>
  <c r="A241"/>
  <c r="N241"/>
  <c r="A242"/>
  <c r="N242"/>
  <c r="A243"/>
  <c r="N243"/>
  <c r="A244"/>
  <c r="N244"/>
  <c r="A245"/>
  <c r="N245"/>
  <c r="A246"/>
  <c r="N246"/>
  <c r="A247"/>
  <c r="N247"/>
  <c r="A248"/>
  <c r="N248"/>
  <c r="A249"/>
  <c r="N249"/>
  <c r="A250"/>
  <c r="N250"/>
  <c r="A251"/>
  <c r="N251"/>
  <c r="A252"/>
  <c r="N252"/>
  <c r="A253"/>
  <c r="N253"/>
  <c r="A254"/>
  <c r="N254"/>
  <c r="A255"/>
  <c r="N255"/>
  <c r="A256"/>
  <c r="N256"/>
  <c r="E257"/>
  <c r="N257"/>
  <c r="A258"/>
  <c r="N258"/>
  <c r="A259"/>
  <c r="N259"/>
  <c r="A260"/>
  <c r="N260"/>
  <c r="A261"/>
  <c r="N261"/>
  <c r="A262"/>
  <c r="N262"/>
  <c r="A263"/>
  <c r="N263"/>
  <c r="A264"/>
  <c r="N264"/>
  <c r="A265"/>
  <c r="N265"/>
  <c r="A266"/>
  <c r="N266"/>
  <c r="A267"/>
  <c r="N267"/>
  <c r="A268"/>
  <c r="N268"/>
  <c r="A269"/>
  <c r="N269"/>
  <c r="A270"/>
  <c r="N270"/>
  <c r="A271"/>
  <c r="N271"/>
  <c r="A272"/>
  <c r="N272"/>
  <c r="A273"/>
  <c r="N273"/>
  <c r="A274"/>
  <c r="N274"/>
  <c r="A275"/>
  <c r="N275"/>
  <c r="A276"/>
  <c r="N276"/>
  <c r="A277"/>
  <c r="N277"/>
  <c r="E278"/>
  <c r="N278"/>
  <c r="A279"/>
  <c r="N279"/>
  <c r="A280"/>
  <c r="N280"/>
  <c r="A281"/>
  <c r="N281"/>
  <c r="A282"/>
  <c r="N282"/>
  <c r="A283"/>
  <c r="N283"/>
  <c r="A284"/>
  <c r="N284"/>
  <c r="A285"/>
  <c r="N285"/>
  <c r="A286"/>
  <c r="N286"/>
  <c r="A287"/>
  <c r="N287"/>
  <c r="A288"/>
  <c r="N288"/>
  <c r="A289"/>
  <c r="N289"/>
  <c r="A290"/>
  <c r="N290"/>
  <c r="A291"/>
  <c r="N291"/>
  <c r="A292"/>
  <c r="N292"/>
  <c r="A293"/>
  <c r="N293"/>
  <c r="A294"/>
  <c r="N294"/>
  <c r="A295"/>
  <c r="N295"/>
  <c r="A296"/>
  <c r="N296"/>
  <c r="A297"/>
  <c r="N297"/>
  <c r="A298"/>
  <c r="N298"/>
  <c r="E299"/>
  <c r="N299"/>
  <c r="A300"/>
  <c r="N300"/>
  <c r="A301"/>
  <c r="N301"/>
  <c r="A302"/>
  <c r="N302"/>
  <c r="A303"/>
  <c r="N303"/>
  <c r="A304"/>
  <c r="N304"/>
  <c r="A305"/>
  <c r="N305"/>
  <c r="A306"/>
  <c r="N306"/>
  <c r="A307"/>
  <c r="N307"/>
  <c r="A308"/>
  <c r="N308"/>
  <c r="A309"/>
  <c r="N309"/>
  <c r="A310"/>
  <c r="N310"/>
  <c r="A311"/>
  <c r="N311"/>
  <c r="A312"/>
  <c r="N312"/>
  <c r="A313"/>
  <c r="N313"/>
  <c r="A314"/>
  <c r="N314"/>
  <c r="A315"/>
  <c r="N315"/>
  <c r="A316"/>
  <c r="N316"/>
  <c r="A317"/>
  <c r="N317"/>
  <c r="A318"/>
  <c r="N318"/>
  <c r="A319"/>
  <c r="N319"/>
  <c r="E320"/>
  <c r="N320"/>
  <c r="A321"/>
  <c r="N321"/>
  <c r="A322"/>
  <c r="N322"/>
  <c r="A323"/>
  <c r="N323"/>
  <c r="A324"/>
  <c r="N324"/>
  <c r="A325"/>
  <c r="N325"/>
  <c r="A326"/>
  <c r="N326"/>
  <c r="A327"/>
  <c r="N327"/>
  <c r="A328"/>
  <c r="N328"/>
  <c r="A329"/>
  <c r="N329"/>
  <c r="A330"/>
  <c r="N330"/>
  <c r="A331"/>
  <c r="N331"/>
  <c r="A332"/>
  <c r="N332"/>
  <c r="A333"/>
  <c r="N333"/>
  <c r="A334"/>
  <c r="N334"/>
  <c r="A335"/>
  <c r="N335"/>
  <c r="A336"/>
  <c r="N336"/>
  <c r="A337"/>
  <c r="N337"/>
  <c r="A338"/>
  <c r="N338"/>
  <c r="A339"/>
  <c r="N339"/>
  <c r="A340"/>
  <c r="N340"/>
  <c r="E341"/>
  <c r="N341"/>
  <c r="A342"/>
  <c r="N342"/>
  <c r="A343"/>
  <c r="N343"/>
  <c r="A344"/>
  <c r="N344"/>
  <c r="A345"/>
  <c r="N345"/>
  <c r="A346"/>
  <c r="N346"/>
  <c r="A347"/>
  <c r="N347"/>
  <c r="A348"/>
  <c r="N348"/>
  <c r="A349"/>
  <c r="N349"/>
  <c r="A350"/>
  <c r="N350"/>
  <c r="A351"/>
  <c r="N351"/>
  <c r="A352"/>
  <c r="N352"/>
  <c r="A353"/>
  <c r="N353"/>
  <c r="A354"/>
  <c r="N354"/>
  <c r="A355"/>
  <c r="N355"/>
  <c r="A356"/>
  <c r="N356"/>
  <c r="A357"/>
  <c r="N357"/>
  <c r="A358"/>
  <c r="N358"/>
  <c r="A359"/>
  <c r="N359"/>
  <c r="A360"/>
  <c r="N360"/>
  <c r="A361"/>
  <c r="N361"/>
  <c r="E362"/>
  <c r="N362"/>
  <c r="A363"/>
  <c r="N363"/>
  <c r="A364"/>
  <c r="N364"/>
  <c r="A365"/>
  <c r="N365"/>
  <c r="A366"/>
  <c r="N366"/>
  <c r="A367"/>
  <c r="N367"/>
  <c r="A368"/>
  <c r="N368"/>
  <c r="A369"/>
  <c r="N369"/>
  <c r="A370"/>
  <c r="N370"/>
  <c r="A371"/>
  <c r="N371"/>
  <c r="A372"/>
  <c r="N372"/>
  <c r="A373"/>
  <c r="N373"/>
  <c r="A374"/>
  <c r="N374"/>
  <c r="A375"/>
  <c r="N375"/>
  <c r="A376"/>
  <c r="N376"/>
  <c r="A377"/>
  <c r="N377"/>
  <c r="A378"/>
  <c r="N378"/>
  <c r="A379"/>
  <c r="N379"/>
  <c r="A380"/>
  <c r="N380"/>
  <c r="A381"/>
  <c r="N381"/>
  <c r="A382"/>
  <c r="N382"/>
  <c r="E383"/>
  <c r="N383"/>
  <c r="A384"/>
  <c r="N384"/>
  <c r="A385"/>
  <c r="N385"/>
  <c r="A386"/>
  <c r="N386"/>
  <c r="A387"/>
  <c r="N387"/>
  <c r="A388"/>
  <c r="N388"/>
  <c r="A389"/>
  <c r="N389"/>
  <c r="A390"/>
  <c r="N390"/>
  <c r="A391"/>
  <c r="N391"/>
  <c r="A392"/>
  <c r="N392"/>
  <c r="A393"/>
  <c r="N393"/>
  <c r="A394"/>
  <c r="N394"/>
  <c r="A395"/>
  <c r="N395"/>
  <c r="A396"/>
  <c r="N396"/>
  <c r="A397"/>
  <c r="N397"/>
  <c r="A398"/>
  <c r="N398"/>
  <c r="A399"/>
  <c r="N399"/>
  <c r="A400"/>
  <c r="N400"/>
  <c r="A401"/>
  <c r="N401"/>
  <c r="A402"/>
  <c r="N402"/>
  <c r="A403"/>
  <c r="N403"/>
  <c r="E404"/>
  <c r="N404"/>
  <c r="A405"/>
  <c r="N405"/>
  <c r="A406"/>
  <c r="N406"/>
  <c r="A407"/>
  <c r="N407"/>
  <c r="A408"/>
  <c r="N408"/>
  <c r="A409"/>
  <c r="N409"/>
  <c r="A410"/>
  <c r="N410"/>
  <c r="A411"/>
  <c r="N411"/>
  <c r="A412"/>
  <c r="N412"/>
  <c r="A413"/>
  <c r="N413"/>
  <c r="A414"/>
  <c r="N414"/>
  <c r="A415"/>
  <c r="N415"/>
  <c r="A416"/>
  <c r="N416"/>
  <c r="A417"/>
  <c r="N417"/>
  <c r="A418"/>
  <c r="N418"/>
  <c r="A419"/>
  <c r="N419"/>
  <c r="A420"/>
  <c r="N420"/>
  <c r="A421"/>
  <c r="N421"/>
  <c r="A422"/>
  <c r="N422"/>
  <c r="A423"/>
  <c r="N423"/>
  <c r="A424"/>
  <c r="N424"/>
  <c r="E425"/>
  <c r="N425"/>
  <c r="A426"/>
  <c r="N426"/>
  <c r="A427"/>
  <c r="N427"/>
  <c r="A428"/>
  <c r="N428"/>
  <c r="A429"/>
  <c r="N429"/>
  <c r="A430"/>
  <c r="N430"/>
  <c r="A431"/>
  <c r="N431"/>
  <c r="A432"/>
  <c r="N432"/>
  <c r="A433"/>
  <c r="N433"/>
  <c r="A434"/>
  <c r="N434"/>
  <c r="A435"/>
  <c r="N435"/>
  <c r="A436"/>
  <c r="N436"/>
  <c r="A437"/>
  <c r="N437"/>
  <c r="A438"/>
  <c r="N438"/>
  <c r="A439"/>
  <c r="N439"/>
  <c r="A440"/>
  <c r="N440"/>
  <c r="A441"/>
  <c r="N441"/>
  <c r="A442"/>
  <c r="N442"/>
  <c r="A443"/>
  <c r="N443"/>
  <c r="A444"/>
  <c r="N444"/>
  <c r="A445"/>
  <c r="N445"/>
  <c r="E446"/>
  <c r="N446"/>
  <c r="A447"/>
  <c r="N447"/>
  <c r="A448"/>
  <c r="N448"/>
  <c r="A449"/>
  <c r="N449"/>
  <c r="A450"/>
  <c r="N450"/>
  <c r="A451"/>
  <c r="N451"/>
  <c r="A452"/>
  <c r="N452"/>
  <c r="A453"/>
  <c r="N453"/>
  <c r="A454"/>
  <c r="N454"/>
  <c r="A455"/>
  <c r="N455"/>
  <c r="A456"/>
  <c r="N456"/>
  <c r="A457"/>
  <c r="N457"/>
  <c r="A458"/>
  <c r="N458"/>
  <c r="A459"/>
  <c r="N459"/>
  <c r="A460"/>
  <c r="N460"/>
  <c r="A461"/>
  <c r="N461"/>
  <c r="A462"/>
  <c r="N462"/>
  <c r="A463"/>
  <c r="N463"/>
  <c r="A464"/>
  <c r="N464"/>
  <c r="A465"/>
  <c r="N465"/>
  <c r="A466"/>
  <c r="N466"/>
  <c r="E467"/>
  <c r="N467"/>
  <c r="A468"/>
  <c r="N468"/>
  <c r="A469"/>
  <c r="N469"/>
  <c r="A470"/>
  <c r="N470"/>
  <c r="A471"/>
  <c r="N471"/>
  <c r="A472"/>
  <c r="N472"/>
  <c r="A473"/>
  <c r="N473"/>
  <c r="A474"/>
  <c r="N474"/>
  <c r="A475"/>
  <c r="N475"/>
  <c r="A476"/>
  <c r="N476"/>
  <c r="A477"/>
  <c r="N477"/>
  <c r="A478"/>
  <c r="N478"/>
  <c r="A479"/>
  <c r="N479"/>
  <c r="A480"/>
  <c r="N480"/>
  <c r="A481"/>
  <c r="N481"/>
  <c r="A482"/>
  <c r="N482"/>
  <c r="A483"/>
  <c r="N483"/>
  <c r="A484"/>
  <c r="N484"/>
  <c r="A485"/>
  <c r="N485"/>
  <c r="A486"/>
  <c r="N486"/>
  <c r="A487"/>
  <c r="N487"/>
  <c r="E488"/>
  <c r="N488"/>
  <c r="A489"/>
  <c r="N489"/>
  <c r="A490"/>
  <c r="N490"/>
  <c r="A491"/>
  <c r="N491"/>
  <c r="A492"/>
  <c r="N492"/>
  <c r="A493"/>
  <c r="N493"/>
  <c r="A494"/>
  <c r="N494"/>
  <c r="A495"/>
  <c r="N495"/>
  <c r="A496"/>
  <c r="N496"/>
  <c r="A497"/>
  <c r="N497"/>
  <c r="A498"/>
  <c r="N498"/>
  <c r="A499"/>
  <c r="N499"/>
  <c r="A500"/>
  <c r="N500"/>
  <c r="A501"/>
  <c r="N501"/>
  <c r="A502"/>
  <c r="N502"/>
  <c r="A503"/>
  <c r="N503"/>
  <c r="A504"/>
  <c r="N504"/>
  <c r="A505"/>
  <c r="N505"/>
  <c r="A506"/>
  <c r="N506"/>
  <c r="A507"/>
  <c r="N507"/>
  <c r="A508"/>
  <c r="N508"/>
  <c r="E509"/>
  <c r="N509"/>
  <c r="A510"/>
  <c r="N510"/>
  <c r="A511"/>
  <c r="N511"/>
  <c r="A512"/>
  <c r="N512"/>
  <c r="A513"/>
  <c r="N513"/>
  <c r="A514"/>
  <c r="N514"/>
  <c r="A515"/>
  <c r="N515"/>
  <c r="A516"/>
  <c r="N516"/>
  <c r="A517"/>
  <c r="N517"/>
  <c r="A518"/>
  <c r="N518"/>
  <c r="A519"/>
  <c r="N519"/>
  <c r="A520"/>
  <c r="N520"/>
  <c r="A521"/>
  <c r="N521"/>
  <c r="A522"/>
  <c r="N522"/>
  <c r="A523"/>
  <c r="N523"/>
  <c r="A524"/>
  <c r="N524"/>
  <c r="A525"/>
  <c r="N525"/>
  <c r="A526"/>
  <c r="N526"/>
  <c r="A527"/>
  <c r="N527"/>
  <c r="A528"/>
  <c r="N528"/>
  <c r="A529"/>
  <c r="N529"/>
  <c r="E530"/>
  <c r="N530"/>
  <c r="K2" i="5"/>
  <c r="B7"/>
  <c r="E8" i="4" s="1"/>
  <c r="B8" i="5"/>
  <c r="E9" i="4" s="1"/>
  <c r="B9" i="5"/>
  <c r="E10" i="4" s="1"/>
  <c r="B10" i="5"/>
  <c r="E11" i="4" s="1"/>
  <c r="E12"/>
  <c r="B12" i="5"/>
  <c r="E13" i="4" s="1"/>
  <c r="B13" i="5"/>
  <c r="E14" i="4" s="1"/>
  <c r="E15"/>
  <c r="B15" i="5"/>
  <c r="E16" i="4" s="1"/>
  <c r="B16" i="5"/>
  <c r="E17" i="4" s="1"/>
  <c r="B17" i="5"/>
  <c r="E18" i="4" s="1"/>
  <c r="B18" i="5"/>
  <c r="E19" i="4" s="1"/>
  <c r="B19" i="5"/>
  <c r="E20" i="4" s="1"/>
  <c r="B20" i="5"/>
  <c r="E21" i="4" s="1"/>
  <c r="B21" i="5"/>
  <c r="E22" i="4" s="1"/>
  <c r="B22" i="5"/>
  <c r="E23" i="4" s="1"/>
  <c r="B23" i="5"/>
  <c r="E24" i="4" s="1"/>
  <c r="B24" i="5"/>
  <c r="E25" i="4" s="1"/>
  <c r="B25" i="5"/>
  <c r="E26" i="4" s="1"/>
  <c r="B26" i="5"/>
  <c r="E27" i="4" s="1"/>
  <c r="B27" i="5"/>
  <c r="E28" i="4" s="1"/>
  <c r="B28" i="5"/>
  <c r="E29" i="4" s="1"/>
  <c r="B29" i="5"/>
  <c r="E30" i="4" s="1"/>
  <c r="B30" i="5"/>
  <c r="E31" i="4" s="1"/>
  <c r="B31" i="5"/>
  <c r="E32" i="4" s="1"/>
  <c r="K32" i="5"/>
  <c r="B37"/>
  <c r="H8" i="4" s="1"/>
  <c r="B38" i="5"/>
  <c r="H9" i="4" s="1"/>
  <c r="B39" i="5"/>
  <c r="H10" i="4" s="1"/>
  <c r="B40" i="5"/>
  <c r="H11" i="4" s="1"/>
  <c r="B41" i="5"/>
  <c r="H12" i="4" s="1"/>
  <c r="B42" i="5"/>
  <c r="H13" i="4" s="1"/>
  <c r="B43" i="5"/>
  <c r="H14" i="4" s="1"/>
  <c r="B44" i="5"/>
  <c r="H15" i="4" s="1"/>
  <c r="B45" i="5"/>
  <c r="H16" i="4" s="1"/>
  <c r="B46" i="5"/>
  <c r="H17" i="4" s="1"/>
  <c r="B47" i="5"/>
  <c r="H18" i="4" s="1"/>
  <c r="B48" i="5"/>
  <c r="H19" i="4" s="1"/>
  <c r="B49" i="5"/>
  <c r="H20" i="4" s="1"/>
  <c r="B50" i="5"/>
  <c r="H21" i="4" s="1"/>
  <c r="B51" i="5"/>
  <c r="H22" i="4" s="1"/>
  <c r="B52" i="5"/>
  <c r="H23" i="4" s="1"/>
  <c r="B53" i="5"/>
  <c r="H24" i="4" s="1"/>
  <c r="B54" i="5"/>
  <c r="H25" i="4" s="1"/>
  <c r="B55" i="5"/>
  <c r="H26" i="4" s="1"/>
  <c r="B56" i="5"/>
  <c r="H27" i="4" s="1"/>
  <c r="B57" i="5"/>
  <c r="H28" i="4" s="1"/>
  <c r="B58" i="5"/>
  <c r="H29" i="4" s="1"/>
  <c r="B59" i="5"/>
  <c r="H30" i="4" s="1"/>
  <c r="B60" i="5"/>
  <c r="H31" i="4" s="1"/>
  <c r="B61" i="5"/>
  <c r="H32" i="4" s="1"/>
  <c r="K62" i="5"/>
  <c r="B67"/>
  <c r="K8" i="4" s="1"/>
  <c r="B68" i="5"/>
  <c r="K9" i="4" s="1"/>
  <c r="B69" i="5"/>
  <c r="K10" i="4" s="1"/>
  <c r="B70" i="5"/>
  <c r="K11" i="4" s="1"/>
  <c r="B71" i="5"/>
  <c r="K12" i="4" s="1"/>
  <c r="B72" i="5"/>
  <c r="K13" i="4" s="1"/>
  <c r="B73" i="5"/>
  <c r="K14" i="4" s="1"/>
  <c r="B74" i="5"/>
  <c r="K15" i="4" s="1"/>
  <c r="B75" i="5"/>
  <c r="K16" i="4" s="1"/>
  <c r="B76" i="5"/>
  <c r="K17" i="4" s="1"/>
  <c r="B77" i="5"/>
  <c r="K18" i="4" s="1"/>
  <c r="B78" i="5"/>
  <c r="K19" i="4" s="1"/>
  <c r="B79" i="5"/>
  <c r="K20" i="4" s="1"/>
  <c r="B80" i="5"/>
  <c r="K21" i="4" s="1"/>
  <c r="B81" i="5"/>
  <c r="K22" i="4" s="1"/>
  <c r="B82" i="5"/>
  <c r="K23" i="4" s="1"/>
  <c r="B83" i="5"/>
  <c r="K24" i="4" s="1"/>
  <c r="B84" i="5"/>
  <c r="K25" i="4" s="1"/>
  <c r="K26"/>
  <c r="B86" i="5"/>
  <c r="K27" i="4" s="1"/>
  <c r="B87" i="5"/>
  <c r="K28" i="4" s="1"/>
  <c r="B88" i="5"/>
  <c r="K29" i="4" s="1"/>
  <c r="B89" i="5"/>
  <c r="K30" i="4" s="1"/>
  <c r="K31"/>
  <c r="B91" i="5"/>
  <c r="K32" i="4" s="1"/>
  <c r="K92" i="5"/>
  <c r="B97"/>
  <c r="N8" i="4" s="1"/>
  <c r="B98" i="5"/>
  <c r="N9" i="4" s="1"/>
  <c r="B99" i="5"/>
  <c r="N10" i="4" s="1"/>
  <c r="B100" i="5"/>
  <c r="N11" i="4" s="1"/>
  <c r="B101" i="5"/>
  <c r="N12" i="4" s="1"/>
  <c r="B102" i="5"/>
  <c r="N13" i="4" s="1"/>
  <c r="B103" i="5"/>
  <c r="N14" i="4" s="1"/>
  <c r="B104" i="5"/>
  <c r="N15" i="4" s="1"/>
  <c r="B105" i="5"/>
  <c r="N16" i="4" s="1"/>
  <c r="B106" i="5"/>
  <c r="N17" i="4" s="1"/>
  <c r="B107" i="5"/>
  <c r="N18" i="4" s="1"/>
  <c r="B108" i="5"/>
  <c r="N19" i="4" s="1"/>
  <c r="B109" i="5"/>
  <c r="N20" i="4" s="1"/>
  <c r="B110" i="5"/>
  <c r="N21" i="4" s="1"/>
  <c r="B111" i="5"/>
  <c r="N22" i="4" s="1"/>
  <c r="B112" i="5"/>
  <c r="N23" i="4" s="1"/>
  <c r="B113" i="5"/>
  <c r="N24" i="4" s="1"/>
  <c r="B114" i="5"/>
  <c r="N25" i="4" s="1"/>
  <c r="B115" i="5"/>
  <c r="N26" i="4" s="1"/>
  <c r="B116" i="5"/>
  <c r="N27" i="4" s="1"/>
  <c r="B117" i="5"/>
  <c r="N28" i="4" s="1"/>
  <c r="B118" i="5"/>
  <c r="N29" i="4" s="1"/>
  <c r="B119" i="5"/>
  <c r="N30" i="4" s="1"/>
  <c r="B120" i="5"/>
  <c r="N31" i="4" s="1"/>
  <c r="B121" i="5"/>
  <c r="N32" i="4" s="1"/>
  <c r="K122" i="5"/>
  <c r="B127"/>
  <c r="Q8" i="4" s="1"/>
  <c r="B128" i="5"/>
  <c r="Q9" i="4" s="1"/>
  <c r="B129" i="5"/>
  <c r="Q10" i="4" s="1"/>
  <c r="B130" i="5"/>
  <c r="Q11" i="4" s="1"/>
  <c r="B131" i="5"/>
  <c r="Q12" i="4" s="1"/>
  <c r="B132" i="5"/>
  <c r="Q13" i="4" s="1"/>
  <c r="B133" i="5"/>
  <c r="Q14" i="4" s="1"/>
  <c r="B134" i="5"/>
  <c r="Q15" i="4" s="1"/>
  <c r="B135" i="5"/>
  <c r="Q16" i="4" s="1"/>
  <c r="B136" i="5"/>
  <c r="Q17" i="4" s="1"/>
  <c r="B137" i="5"/>
  <c r="Q18" i="4" s="1"/>
  <c r="B138" i="5"/>
  <c r="Q19" i="4" s="1"/>
  <c r="B139" i="5"/>
  <c r="Q20" i="4" s="1"/>
  <c r="B140" i="5"/>
  <c r="Q21" i="4" s="1"/>
  <c r="B141" i="5"/>
  <c r="Q22" i="4" s="1"/>
  <c r="B142" i="5"/>
  <c r="Q23" i="4" s="1"/>
  <c r="B143" i="5"/>
  <c r="Q24" i="4" s="1"/>
  <c r="B144" i="5"/>
  <c r="Q25" i="4" s="1"/>
  <c r="B145" i="5"/>
  <c r="Q26" i="4" s="1"/>
  <c r="B146" i="5"/>
  <c r="Q27" i="4" s="1"/>
  <c r="B147" i="5"/>
  <c r="Q28" i="4" s="1"/>
  <c r="B148" i="5"/>
  <c r="Q29" i="4" s="1"/>
  <c r="B149" i="5"/>
  <c r="Q30" i="4" s="1"/>
  <c r="B150" i="5"/>
  <c r="Q31" i="4" s="1"/>
  <c r="B151" i="5"/>
  <c r="Q32" i="4" s="1"/>
  <c r="K152" i="5"/>
  <c r="B157"/>
  <c r="T8" i="28" s="1"/>
  <c r="D157" i="5"/>
  <c r="V8" i="28" s="1"/>
  <c r="B158" i="5"/>
  <c r="D158"/>
  <c r="B159"/>
  <c r="D159"/>
  <c r="B160"/>
  <c r="D160"/>
  <c r="V11" i="28" s="1"/>
  <c r="B161" i="5"/>
  <c r="D161"/>
  <c r="B162"/>
  <c r="T13" i="28" s="1"/>
  <c r="D162" i="5"/>
  <c r="B163"/>
  <c r="D163"/>
  <c r="V14" i="28" s="1"/>
  <c r="B164" i="5"/>
  <c r="D164"/>
  <c r="B165"/>
  <c r="D165"/>
  <c r="B166"/>
  <c r="D166"/>
  <c r="B167"/>
  <c r="D167"/>
  <c r="B168"/>
  <c r="T19" i="28" s="1"/>
  <c r="D168" i="5"/>
  <c r="B169"/>
  <c r="D169"/>
  <c r="B170"/>
  <c r="D170"/>
  <c r="B171"/>
  <c r="D171"/>
  <c r="B172"/>
  <c r="D172"/>
  <c r="B173"/>
  <c r="D173"/>
  <c r="B174"/>
  <c r="D174"/>
  <c r="B175"/>
  <c r="T26" i="28" s="1"/>
  <c r="D175" i="5"/>
  <c r="B176"/>
  <c r="D176"/>
  <c r="B177"/>
  <c r="D177"/>
  <c r="V28" i="28" s="1"/>
  <c r="B178" i="5"/>
  <c r="D178"/>
  <c r="B179"/>
  <c r="D179"/>
  <c r="V30" i="28" s="1"/>
  <c r="B180" i="5"/>
  <c r="D180"/>
  <c r="G180"/>
  <c r="B181"/>
  <c r="D181"/>
  <c r="K182"/>
  <c r="B187"/>
  <c r="W8" i="28" s="1"/>
  <c r="D187" i="5"/>
  <c r="Y8" i="28" s="1"/>
  <c r="B188" i="5"/>
  <c r="D188"/>
  <c r="B189"/>
  <c r="D189"/>
  <c r="B190"/>
  <c r="D190"/>
  <c r="H190"/>
  <c r="B191"/>
  <c r="D191"/>
  <c r="B192"/>
  <c r="D192"/>
  <c r="B193"/>
  <c r="D193"/>
  <c r="B194"/>
  <c r="D194"/>
  <c r="B195"/>
  <c r="D195"/>
  <c r="G195"/>
  <c r="B196"/>
  <c r="D196"/>
  <c r="B197"/>
  <c r="D197"/>
  <c r="B198"/>
  <c r="D198"/>
  <c r="B199"/>
  <c r="D199"/>
  <c r="B200"/>
  <c r="D200"/>
  <c r="B201"/>
  <c r="D201"/>
  <c r="B202"/>
  <c r="D202"/>
  <c r="Y23" i="28" s="1"/>
  <c r="B203" i="5"/>
  <c r="D203"/>
  <c r="B204"/>
  <c r="D204"/>
  <c r="B205"/>
  <c r="D205"/>
  <c r="B206"/>
  <c r="D206"/>
  <c r="B207"/>
  <c r="D207"/>
  <c r="B208"/>
  <c r="D208"/>
  <c r="B209"/>
  <c r="D209"/>
  <c r="B210"/>
  <c r="W31" i="28" s="1"/>
  <c r="D210" i="5"/>
  <c r="Y31" i="28" s="1"/>
  <c r="B211" i="5"/>
  <c r="D211"/>
  <c r="K212"/>
  <c r="B217"/>
  <c r="D217"/>
  <c r="B218"/>
  <c r="Z9" i="28" s="1"/>
  <c r="D218" i="5"/>
  <c r="B219"/>
  <c r="D219"/>
  <c r="AB10" i="28" s="1"/>
  <c r="B220" i="5"/>
  <c r="D220"/>
  <c r="B221"/>
  <c r="D221"/>
  <c r="B222"/>
  <c r="D222"/>
  <c r="AB13" i="28" s="1"/>
  <c r="B223" i="5"/>
  <c r="D223"/>
  <c r="B224"/>
  <c r="Z15" i="28" s="1"/>
  <c r="D224" i="5"/>
  <c r="B225"/>
  <c r="D225"/>
  <c r="B226"/>
  <c r="D226"/>
  <c r="B227"/>
  <c r="D227"/>
  <c r="B228"/>
  <c r="D228"/>
  <c r="B229"/>
  <c r="Z20" i="28" s="1"/>
  <c r="D229" i="5"/>
  <c r="AB20" i="28" s="1"/>
  <c r="B230" i="5"/>
  <c r="D230"/>
  <c r="G230"/>
  <c r="AB53" i="28" s="1"/>
  <c r="B231" i="5"/>
  <c r="D231"/>
  <c r="B232"/>
  <c r="D232"/>
  <c r="B233"/>
  <c r="D233"/>
  <c r="B234"/>
  <c r="D234"/>
  <c r="B235"/>
  <c r="D235"/>
  <c r="B236"/>
  <c r="D236"/>
  <c r="B237"/>
  <c r="Z28" i="28" s="1"/>
  <c r="D237" i="5"/>
  <c r="B238"/>
  <c r="D238"/>
  <c r="B239"/>
  <c r="D239"/>
  <c r="B240"/>
  <c r="D240"/>
  <c r="B241"/>
  <c r="D241"/>
  <c r="H241"/>
  <c r="K242"/>
  <c r="B247"/>
  <c r="D247"/>
  <c r="H247"/>
  <c r="AC104" i="28" s="1"/>
  <c r="B248" i="5"/>
  <c r="AC9" i="28" s="1"/>
  <c r="D248" i="5"/>
  <c r="B249"/>
  <c r="D249"/>
  <c r="AE10" i="28" s="1"/>
  <c r="B250" i="5"/>
  <c r="D250"/>
  <c r="B251"/>
  <c r="AC12" i="28" s="1"/>
  <c r="D251" i="5"/>
  <c r="B252"/>
  <c r="D252"/>
  <c r="B253"/>
  <c r="D253"/>
  <c r="B254"/>
  <c r="AC15" i="28" s="1"/>
  <c r="D254" i="5"/>
  <c r="B255"/>
  <c r="D255"/>
  <c r="B256"/>
  <c r="D256"/>
  <c r="B257"/>
  <c r="D257"/>
  <c r="B258"/>
  <c r="D258"/>
  <c r="B259"/>
  <c r="D259"/>
  <c r="B260"/>
  <c r="D260"/>
  <c r="B261"/>
  <c r="D261"/>
  <c r="B262"/>
  <c r="D262"/>
  <c r="B263"/>
  <c r="D263"/>
  <c r="AE24" i="28" s="1"/>
  <c r="B264" i="5"/>
  <c r="D264"/>
  <c r="B265"/>
  <c r="AC26" i="28" s="1"/>
  <c r="D265" i="5"/>
  <c r="AE26" i="28" s="1"/>
  <c r="B266" i="5"/>
  <c r="D266"/>
  <c r="B267"/>
  <c r="D267"/>
  <c r="B268"/>
  <c r="D268"/>
  <c r="H268"/>
  <c r="B269"/>
  <c r="D269"/>
  <c r="B270"/>
  <c r="AC31" i="28" s="1"/>
  <c r="D270" i="5"/>
  <c r="B271"/>
  <c r="D271"/>
  <c r="K272"/>
  <c r="B277"/>
  <c r="D277"/>
  <c r="B278"/>
  <c r="AF9" i="28" s="1"/>
  <c r="D278" i="5"/>
  <c r="B279"/>
  <c r="D279"/>
  <c r="AH10" i="28" s="1"/>
  <c r="B280" i="5"/>
  <c r="D280"/>
  <c r="B281"/>
  <c r="D281"/>
  <c r="B282"/>
  <c r="D282"/>
  <c r="B283"/>
  <c r="AF14" i="28" s="1"/>
  <c r="D283" i="5"/>
  <c r="B284"/>
  <c r="D284"/>
  <c r="B285"/>
  <c r="D285"/>
  <c r="AH16" i="28" s="1"/>
  <c r="B286" i="5"/>
  <c r="D286"/>
  <c r="B287"/>
  <c r="D287"/>
  <c r="B288"/>
  <c r="D288"/>
  <c r="B289"/>
  <c r="D289"/>
  <c r="B290"/>
  <c r="D290"/>
  <c r="AH21" i="28" s="1"/>
  <c r="B291" i="5"/>
  <c r="D291"/>
  <c r="B292"/>
  <c r="D292"/>
  <c r="B293"/>
  <c r="D293"/>
  <c r="B294"/>
  <c r="D294"/>
  <c r="B295"/>
  <c r="D295"/>
  <c r="H295"/>
  <c r="B296"/>
  <c r="D296"/>
  <c r="B297"/>
  <c r="AF28" i="28" s="1"/>
  <c r="D297" i="5"/>
  <c r="B298"/>
  <c r="D298"/>
  <c r="B299"/>
  <c r="D299"/>
  <c r="B300"/>
  <c r="D300"/>
  <c r="B301"/>
  <c r="D301"/>
  <c r="E71"/>
  <c r="K44" i="4" s="1"/>
  <c r="E107" i="5"/>
  <c r="N50" i="4" s="1"/>
  <c r="E247" i="5"/>
  <c r="AC40" i="28" s="1"/>
  <c r="J248" i="5"/>
  <c r="E250"/>
  <c r="E251"/>
  <c r="E266"/>
  <c r="AC59" i="28" s="1"/>
  <c r="E267" i="5"/>
  <c r="J268"/>
  <c r="J270"/>
  <c r="E218"/>
  <c r="E219"/>
  <c r="E234"/>
  <c r="E235"/>
  <c r="J234"/>
  <c r="J236"/>
  <c r="E279"/>
  <c r="AF42" i="28" s="1"/>
  <c r="E295" i="5"/>
  <c r="J292"/>
  <c r="H284"/>
  <c r="G208"/>
  <c r="H207"/>
  <c r="G299"/>
  <c r="H267"/>
  <c r="G264"/>
  <c r="G229"/>
  <c r="H228"/>
  <c r="G190"/>
  <c r="H189"/>
  <c r="H112"/>
  <c r="N119" i="4" s="1"/>
  <c r="E45" i="5"/>
  <c r="H48" i="4" s="1"/>
  <c r="E53" i="5"/>
  <c r="H56" i="4" s="1"/>
  <c r="E61" i="5"/>
  <c r="H64" i="4" s="1"/>
  <c r="H48" i="5"/>
  <c r="H115" i="4" s="1"/>
  <c r="H10" i="5"/>
  <c r="E107" i="4" s="1"/>
  <c r="H8" i="5"/>
  <c r="E105" i="4" s="1"/>
  <c r="J167" i="5"/>
  <c r="E164"/>
  <c r="T47" i="28" s="1"/>
  <c r="E180" i="5"/>
  <c r="G297"/>
  <c r="H253"/>
  <c r="H234"/>
  <c r="G196"/>
  <c r="Y49" i="28" s="1"/>
  <c r="H180" i="5"/>
  <c r="E108" i="4"/>
  <c r="H270" i="5"/>
  <c r="H254"/>
  <c r="G240"/>
  <c r="G224"/>
  <c r="J217"/>
  <c r="AB104" i="28" s="1"/>
  <c r="G189" i="5"/>
  <c r="J210"/>
  <c r="J189"/>
  <c r="E210"/>
  <c r="E203"/>
  <c r="E199"/>
  <c r="E193"/>
  <c r="W46" i="28" s="1"/>
  <c r="E189" i="5"/>
  <c r="W42" i="28" s="1"/>
  <c r="J203" i="5"/>
  <c r="Y120" i="28" s="1"/>
  <c r="J195" i="5"/>
  <c r="Y112" i="28" s="1"/>
  <c r="K234" i="5"/>
  <c r="E113"/>
  <c r="N56" i="4" s="1"/>
  <c r="H110" i="5"/>
  <c r="N117" i="4" s="1"/>
  <c r="E115" i="5"/>
  <c r="N58" i="4" s="1"/>
  <c r="E99" i="5"/>
  <c r="N42" i="4" s="1"/>
  <c r="H107" i="5"/>
  <c r="N114" i="4" s="1"/>
  <c r="E121" i="5"/>
  <c r="N64" i="4" s="1"/>
  <c r="E105" i="5"/>
  <c r="N48" i="4" s="1"/>
  <c r="E117" i="5"/>
  <c r="N60" i="4" s="1"/>
  <c r="E109" i="5"/>
  <c r="N52" i="4" s="1"/>
  <c r="E101" i="5"/>
  <c r="N44" i="4" s="1"/>
  <c r="H102" i="5"/>
  <c r="N109" i="4" s="1"/>
  <c r="E119" i="5"/>
  <c r="N62" i="4" s="1"/>
  <c r="E111" i="5"/>
  <c r="N54" i="4" s="1"/>
  <c r="E103" i="5"/>
  <c r="N46" i="4" s="1"/>
  <c r="E47" i="5"/>
  <c r="H50" i="4" s="1"/>
  <c r="H37" i="5"/>
  <c r="H104" i="4" s="1"/>
  <c r="E59" i="5"/>
  <c r="H62" i="4" s="1"/>
  <c r="E51" i="5"/>
  <c r="H54" i="4" s="1"/>
  <c r="E43" i="5"/>
  <c r="H46" i="4" s="1"/>
  <c r="H56" i="5"/>
  <c r="H123" i="4" s="1"/>
  <c r="E55" i="5"/>
  <c r="H58" i="4" s="1"/>
  <c r="E57" i="5"/>
  <c r="H60" i="4" s="1"/>
  <c r="E49" i="5"/>
  <c r="H52" i="4" s="1"/>
  <c r="E41" i="5"/>
  <c r="H44" i="4" s="1"/>
  <c r="H88" i="5"/>
  <c r="K125" i="4" s="1"/>
  <c r="H41" i="5"/>
  <c r="H108" i="4" s="1"/>
  <c r="H45" i="5"/>
  <c r="H112" i="4" s="1"/>
  <c r="H49" i="5"/>
  <c r="H116" i="4" s="1"/>
  <c r="H53" i="5"/>
  <c r="H120" i="4" s="1"/>
  <c r="H57" i="5"/>
  <c r="H124" i="4" s="1"/>
  <c r="H61" i="5"/>
  <c r="H128" i="4" s="1"/>
  <c r="H40" i="5"/>
  <c r="H107" i="4" s="1"/>
  <c r="H46" i="5"/>
  <c r="H113" i="4" s="1"/>
  <c r="H50" i="5"/>
  <c r="H117" i="4" s="1"/>
  <c r="H54" i="5"/>
  <c r="H121" i="4" s="1"/>
  <c r="E38" i="5"/>
  <c r="H41" i="4" s="1"/>
  <c r="E40" i="5"/>
  <c r="H43" i="4" s="1"/>
  <c r="E42" i="5"/>
  <c r="H45" i="4" s="1"/>
  <c r="E44" i="5"/>
  <c r="H47" i="4" s="1"/>
  <c r="E46" i="5"/>
  <c r="H49" i="4" s="1"/>
  <c r="E48" i="5"/>
  <c r="H51" i="4" s="1"/>
  <c r="E50" i="5"/>
  <c r="H53" i="4" s="1"/>
  <c r="E52" i="5"/>
  <c r="H55" i="4" s="1"/>
  <c r="E54" i="5"/>
  <c r="H57" i="4" s="1"/>
  <c r="E56" i="5"/>
  <c r="H59" i="4" s="1"/>
  <c r="E58" i="5"/>
  <c r="H61" i="4" s="1"/>
  <c r="E60" i="5"/>
  <c r="H63" i="4" s="1"/>
  <c r="E37" i="5"/>
  <c r="H44"/>
  <c r="H111" i="4" s="1"/>
  <c r="H52" i="5"/>
  <c r="H119" i="4" s="1"/>
  <c r="H60" i="5"/>
  <c r="H127" i="4" s="1"/>
  <c r="H39" i="5"/>
  <c r="H106" i="4" s="1"/>
  <c r="H43" i="5"/>
  <c r="H110" i="4" s="1"/>
  <c r="H47" i="5"/>
  <c r="H114" i="4" s="1"/>
  <c r="H51" i="5"/>
  <c r="H118" i="4" s="1"/>
  <c r="H55" i="5"/>
  <c r="H122" i="4" s="1"/>
  <c r="H59" i="5"/>
  <c r="H126" i="4" s="1"/>
  <c r="H38" i="5"/>
  <c r="H105" i="4" s="1"/>
  <c r="H42" i="5"/>
  <c r="H109" i="4" s="1"/>
  <c r="H58" i="5"/>
  <c r="H125" i="4" s="1"/>
  <c r="H101" i="5"/>
  <c r="N108" i="4" s="1"/>
  <c r="H105" i="5"/>
  <c r="N112" i="4" s="1"/>
  <c r="H109" i="5"/>
  <c r="N116" i="4" s="1"/>
  <c r="H118" i="5"/>
  <c r="N125" i="4" s="1"/>
  <c r="H106" i="5"/>
  <c r="N113" i="4" s="1"/>
  <c r="H97" i="5"/>
  <c r="N104" i="4" s="1"/>
  <c r="H108" i="5"/>
  <c r="N115" i="4" s="1"/>
  <c r="H113" i="5"/>
  <c r="N120" i="4" s="1"/>
  <c r="H117" i="5"/>
  <c r="N124" i="4" s="1"/>
  <c r="H121" i="5"/>
  <c r="N128" i="4" s="1"/>
  <c r="E97" i="5"/>
  <c r="N40" i="4" s="1"/>
  <c r="E98" i="5"/>
  <c r="N41" i="4" s="1"/>
  <c r="E100" i="5"/>
  <c r="N43" i="4" s="1"/>
  <c r="E102" i="5"/>
  <c r="N45" i="4" s="1"/>
  <c r="E104" i="5"/>
  <c r="N47" i="4" s="1"/>
  <c r="E106" i="5"/>
  <c r="N49" i="4" s="1"/>
  <c r="E108" i="5"/>
  <c r="E110"/>
  <c r="N53" i="4" s="1"/>
  <c r="E112" i="5"/>
  <c r="N55" i="4" s="1"/>
  <c r="E114" i="5"/>
  <c r="N57" i="4" s="1"/>
  <c r="E116" i="5"/>
  <c r="N59" i="4" s="1"/>
  <c r="E118" i="5"/>
  <c r="N61" i="4" s="1"/>
  <c r="E120" i="5"/>
  <c r="N63" i="4" s="1"/>
  <c r="H120" i="5"/>
  <c r="N127" i="4" s="1"/>
  <c r="H104" i="5"/>
  <c r="N111" i="4" s="1"/>
  <c r="H115" i="5"/>
  <c r="N122" i="4" s="1"/>
  <c r="H99" i="5"/>
  <c r="N106" i="4" s="1"/>
  <c r="H98" i="5"/>
  <c r="N105" i="4" s="1"/>
  <c r="H116" i="5"/>
  <c r="N123" i="4" s="1"/>
  <c r="H100" i="5"/>
  <c r="N107" i="4" s="1"/>
  <c r="H114" i="5"/>
  <c r="N121" i="4" s="1"/>
  <c r="H119" i="5"/>
  <c r="N126" i="4" s="1"/>
  <c r="H111" i="5"/>
  <c r="N118" i="4" s="1"/>
  <c r="H103" i="5"/>
  <c r="N110" i="4" s="1"/>
  <c r="H16" i="5"/>
  <c r="E113" i="4" s="1"/>
  <c r="H24" i="5"/>
  <c r="E121" i="4" s="1"/>
  <c r="H28" i="5"/>
  <c r="E125" i="4" s="1"/>
  <c r="E7" i="5"/>
  <c r="E40" i="4" s="1"/>
  <c r="E9" i="5"/>
  <c r="E42" i="4" s="1"/>
  <c r="E11" i="5"/>
  <c r="E44" i="4" s="1"/>
  <c r="E13" i="5"/>
  <c r="E46" i="4" s="1"/>
  <c r="E15" i="5"/>
  <c r="E48" i="4" s="1"/>
  <c r="E17" i="5"/>
  <c r="E50" i="4" s="1"/>
  <c r="E19" i="5"/>
  <c r="E52" i="4" s="1"/>
  <c r="E21" i="5"/>
  <c r="E54" i="4" s="1"/>
  <c r="E23" i="5"/>
  <c r="E56" i="4" s="1"/>
  <c r="E25" i="5"/>
  <c r="E58" i="4" s="1"/>
  <c r="E27" i="5"/>
  <c r="E60" i="4" s="1"/>
  <c r="E29" i="5"/>
  <c r="E62" i="4" s="1"/>
  <c r="E31" i="5"/>
  <c r="E64" i="4" s="1"/>
  <c r="H15" i="5"/>
  <c r="E112" i="4" s="1"/>
  <c r="H19" i="5"/>
  <c r="E116" i="4" s="1"/>
  <c r="H21" i="5"/>
  <c r="E118" i="4" s="1"/>
  <c r="H25" i="5"/>
  <c r="E122" i="4" s="1"/>
  <c r="H7" i="5"/>
  <c r="E104" i="4" s="1"/>
  <c r="H12" i="5"/>
  <c r="E109" i="4" s="1"/>
  <c r="H14" i="5"/>
  <c r="E111" i="4" s="1"/>
  <c r="H9" i="5"/>
  <c r="E106" i="4" s="1"/>
  <c r="H20" i="5"/>
  <c r="E117" i="4" s="1"/>
  <c r="E8" i="5"/>
  <c r="E41" i="4" s="1"/>
  <c r="E10" i="5"/>
  <c r="E43" i="4" s="1"/>
  <c r="E12" i="5"/>
  <c r="E14"/>
  <c r="E16"/>
  <c r="E49" i="4" s="1"/>
  <c r="E18" i="5"/>
  <c r="E51" i="4" s="1"/>
  <c r="E20" i="5"/>
  <c r="E53" i="4" s="1"/>
  <c r="E22" i="5"/>
  <c r="E55" i="4" s="1"/>
  <c r="E24" i="5"/>
  <c r="E26"/>
  <c r="E59" i="4" s="1"/>
  <c r="E28" i="5"/>
  <c r="E61" i="4" s="1"/>
  <c r="E30" i="5"/>
  <c r="E63" i="4" s="1"/>
  <c r="H13" i="5"/>
  <c r="E110" i="4" s="1"/>
  <c r="H17" i="5"/>
  <c r="E114" i="4" s="1"/>
  <c r="H23" i="5"/>
  <c r="E120" i="4" s="1"/>
  <c r="H27" i="5"/>
  <c r="E124" i="4" s="1"/>
  <c r="H29" i="5"/>
  <c r="E126" i="4" s="1"/>
  <c r="H31" i="5"/>
  <c r="E128" i="4" s="1"/>
  <c r="H30" i="5"/>
  <c r="E127" i="4" s="1"/>
  <c r="H26" i="5"/>
  <c r="E123" i="4" s="1"/>
  <c r="H22" i="5"/>
  <c r="E119" i="4" s="1"/>
  <c r="H18" i="5"/>
  <c r="E115" i="4" s="1"/>
  <c r="Q7" i="5"/>
  <c r="Q67"/>
  <c r="E39"/>
  <c r="H42" i="4" s="1"/>
  <c r="D36" i="5"/>
  <c r="D66"/>
  <c r="D126"/>
  <c r="M99"/>
  <c r="W52" i="4" l="1"/>
  <c r="W52" i="28"/>
  <c r="W63" i="4"/>
  <c r="W63" i="28"/>
  <c r="Y127" i="4"/>
  <c r="Y127" i="28"/>
  <c r="AB63" i="4"/>
  <c r="AB63" i="28"/>
  <c r="AC127" i="4"/>
  <c r="AC127" i="28"/>
  <c r="T127" i="4"/>
  <c r="T127" i="28"/>
  <c r="Z121" i="4"/>
  <c r="Z121" i="28"/>
  <c r="AH60" i="4"/>
  <c r="AH60" i="28"/>
  <c r="Y43" i="4"/>
  <c r="Y43" i="28"/>
  <c r="AB52" i="4"/>
  <c r="AB52" i="28"/>
  <c r="AC124" i="4"/>
  <c r="AC124" i="28"/>
  <c r="W124" i="4"/>
  <c r="W124" i="28"/>
  <c r="AF111" i="4"/>
  <c r="AF111" i="28"/>
  <c r="AF58" i="4"/>
  <c r="AF58" i="28"/>
  <c r="AB123" i="4"/>
  <c r="AB123" i="28"/>
  <c r="Z58" i="4"/>
  <c r="Z58" i="28"/>
  <c r="Z42" i="4"/>
  <c r="Z42" i="28"/>
  <c r="AE127" i="4"/>
  <c r="AE127" i="28"/>
  <c r="AC60" i="4"/>
  <c r="AC60" i="28"/>
  <c r="AC44" i="4"/>
  <c r="AC44" i="28"/>
  <c r="AE105" i="4"/>
  <c r="AE105" i="28"/>
  <c r="AH32" i="4"/>
  <c r="AH32" i="28"/>
  <c r="AH31" i="4"/>
  <c r="AH31" i="28"/>
  <c r="AH30" i="4"/>
  <c r="AH30" i="28"/>
  <c r="AH29" i="4"/>
  <c r="AH29" i="28"/>
  <c r="AH28" i="4"/>
  <c r="AH28" i="28"/>
  <c r="AH27" i="4"/>
  <c r="AH27" i="28"/>
  <c r="AF122" i="4"/>
  <c r="AF122" i="28"/>
  <c r="AF26" i="4"/>
  <c r="AF26" i="28"/>
  <c r="AF25" i="4"/>
  <c r="AF25" i="28"/>
  <c r="AF24" i="4"/>
  <c r="AF24" i="28"/>
  <c r="AF23" i="4"/>
  <c r="AF23" i="28"/>
  <c r="AF22" i="4"/>
  <c r="AF22" i="28"/>
  <c r="AF21" i="4"/>
  <c r="AF21" i="28"/>
  <c r="AF20" i="4"/>
  <c r="AF20" i="28"/>
  <c r="AF19" i="4"/>
  <c r="AF19" i="28"/>
  <c r="AF18" i="4"/>
  <c r="AF18" i="28"/>
  <c r="AF17" i="4"/>
  <c r="AF17" i="28"/>
  <c r="AF16" i="4"/>
  <c r="AF16" i="28"/>
  <c r="AF15" i="4"/>
  <c r="AF15" i="28"/>
  <c r="AF13" i="4"/>
  <c r="AF13" i="28"/>
  <c r="AF12" i="4"/>
  <c r="AF12" i="28"/>
  <c r="AF11" i="4"/>
  <c r="AF11" i="28"/>
  <c r="AF10" i="4"/>
  <c r="AF10" i="28"/>
  <c r="AF8" i="4"/>
  <c r="AF8" i="28"/>
  <c r="AE32" i="4"/>
  <c r="AE32" i="28"/>
  <c r="AE31" i="4"/>
  <c r="AE31" i="28"/>
  <c r="AE30" i="4"/>
  <c r="AE30" i="28"/>
  <c r="AC125" i="4"/>
  <c r="AC125" i="28"/>
  <c r="AC29" i="4"/>
  <c r="AC29" i="28"/>
  <c r="AC28" i="4"/>
  <c r="AC28" i="28"/>
  <c r="AC27" i="4"/>
  <c r="AC27" i="28"/>
  <c r="AC25" i="4"/>
  <c r="AC25" i="28"/>
  <c r="AC24" i="4"/>
  <c r="AC24" i="28"/>
  <c r="AC23" i="4"/>
  <c r="AC23" i="28"/>
  <c r="AC22" i="4"/>
  <c r="AC22" i="28"/>
  <c r="AC21" i="4"/>
  <c r="AC21" i="28"/>
  <c r="AC20" i="4"/>
  <c r="AC20" i="28"/>
  <c r="AC19" i="4"/>
  <c r="AC19" i="28"/>
  <c r="AC18" i="4"/>
  <c r="AC18" i="28"/>
  <c r="AC17" i="4"/>
  <c r="AC17" i="28"/>
  <c r="AC16" i="4"/>
  <c r="AC16" i="28"/>
  <c r="AC14" i="4"/>
  <c r="AC14" i="28"/>
  <c r="AC13" i="4"/>
  <c r="AC13" i="28"/>
  <c r="AC11" i="4"/>
  <c r="AC11" i="28"/>
  <c r="AC10" i="4"/>
  <c r="AC10" i="28"/>
  <c r="AE8" i="4"/>
  <c r="AE8" i="28"/>
  <c r="AB32" i="4"/>
  <c r="AB32" i="28"/>
  <c r="AB31" i="4"/>
  <c r="AB31" i="28"/>
  <c r="AB30" i="4"/>
  <c r="AB30" i="28"/>
  <c r="AB29" i="4"/>
  <c r="AB29" i="28"/>
  <c r="AB28" i="4"/>
  <c r="AB28" i="28"/>
  <c r="AB27" i="4"/>
  <c r="AB27" i="28"/>
  <c r="AB26" i="4"/>
  <c r="AB26" i="28"/>
  <c r="AB25" i="4"/>
  <c r="AB25" i="28"/>
  <c r="AB24" i="4"/>
  <c r="AB24" i="28"/>
  <c r="AB23" i="4"/>
  <c r="AB23" i="28"/>
  <c r="AB22" i="4"/>
  <c r="AB22" i="28"/>
  <c r="Z21" i="4"/>
  <c r="Z21" i="28"/>
  <c r="Z19" i="4"/>
  <c r="Z19" i="28"/>
  <c r="Z18" i="4"/>
  <c r="Z18" i="28"/>
  <c r="Z17" i="4"/>
  <c r="Z17" i="28"/>
  <c r="Z16" i="4"/>
  <c r="Z16" i="28"/>
  <c r="Z14" i="4"/>
  <c r="Z14" i="28"/>
  <c r="Z13" i="4"/>
  <c r="Z13" i="28"/>
  <c r="Z12" i="4"/>
  <c r="Z12" i="28"/>
  <c r="Z11" i="4"/>
  <c r="Z11" i="28"/>
  <c r="Z10" i="4"/>
  <c r="Z10" i="28"/>
  <c r="Z8" i="4"/>
  <c r="Z8" i="28"/>
  <c r="Y32" i="4"/>
  <c r="Y32" i="28"/>
  <c r="Y30" i="4"/>
  <c r="Y30" i="28"/>
  <c r="Y29" i="4"/>
  <c r="Y29" i="28"/>
  <c r="Y28" i="4"/>
  <c r="Y28" i="28"/>
  <c r="Y27" i="4"/>
  <c r="Y27" i="28"/>
  <c r="Y26" i="4"/>
  <c r="Y26" i="28"/>
  <c r="Y25" i="4"/>
  <c r="Y25" i="28"/>
  <c r="Y24" i="4"/>
  <c r="Y24" i="28"/>
  <c r="Y22" i="4"/>
  <c r="Y22" i="28"/>
  <c r="Y21" i="4"/>
  <c r="Y21" i="28"/>
  <c r="Y20" i="4"/>
  <c r="Y20" i="28"/>
  <c r="Y19" i="4"/>
  <c r="Y19" i="28"/>
  <c r="Y18" i="4"/>
  <c r="Y18" i="28"/>
  <c r="Y17" i="4"/>
  <c r="Y17" i="28"/>
  <c r="Y48" i="4"/>
  <c r="Y48" i="28"/>
  <c r="W16" i="4"/>
  <c r="W16" i="28"/>
  <c r="W15" i="4"/>
  <c r="W15" i="28"/>
  <c r="W14" i="4"/>
  <c r="W14" i="28"/>
  <c r="W13" i="4"/>
  <c r="W13" i="28"/>
  <c r="W12" i="4"/>
  <c r="W12" i="28"/>
  <c r="Y11" i="4"/>
  <c r="Y11" i="28"/>
  <c r="Y10" i="4"/>
  <c r="Y10" i="28"/>
  <c r="Y9" i="4"/>
  <c r="Y9" i="28"/>
  <c r="T32" i="4"/>
  <c r="T32" i="28"/>
  <c r="V31" i="4"/>
  <c r="V31" i="28"/>
  <c r="D31" s="1"/>
  <c r="V29" i="4"/>
  <c r="V29" i="28"/>
  <c r="V27" i="4"/>
  <c r="V27" i="28"/>
  <c r="V26" i="4"/>
  <c r="V26" i="28"/>
  <c r="V25" i="4"/>
  <c r="V25" i="28"/>
  <c r="V24" i="4"/>
  <c r="V24" i="28"/>
  <c r="V23" i="4"/>
  <c r="V23" i="28"/>
  <c r="V22" i="4"/>
  <c r="V22" i="28"/>
  <c r="V21" i="4"/>
  <c r="V21" i="28"/>
  <c r="V20" i="4"/>
  <c r="V20" i="28"/>
  <c r="V19" i="4"/>
  <c r="V19" i="28"/>
  <c r="V18" i="4"/>
  <c r="V18" i="28"/>
  <c r="V17" i="4"/>
  <c r="V17" i="28"/>
  <c r="V16" i="4"/>
  <c r="V16" i="28"/>
  <c r="V15" i="4"/>
  <c r="V15" i="28"/>
  <c r="V13" i="4"/>
  <c r="V13" i="28"/>
  <c r="V12" i="4"/>
  <c r="V12" i="28"/>
  <c r="V10" i="4"/>
  <c r="V10" i="28"/>
  <c r="D10" s="1"/>
  <c r="V9" i="4"/>
  <c r="V9" i="28"/>
  <c r="V7" s="1"/>
  <c r="D8"/>
  <c r="D30"/>
  <c r="D14"/>
  <c r="Z89" i="4"/>
  <c r="Z89" i="28"/>
  <c r="W56" i="4"/>
  <c r="W56" i="28"/>
  <c r="Y106" i="4"/>
  <c r="Y106" i="28"/>
  <c r="Y42" i="4"/>
  <c r="Y42" i="28"/>
  <c r="AB47" i="4"/>
  <c r="AB47" i="28"/>
  <c r="AC111" i="4"/>
  <c r="AC111" i="28"/>
  <c r="AC110" i="4"/>
  <c r="AC110" i="28"/>
  <c r="T63" i="4"/>
  <c r="T63" i="28"/>
  <c r="V114" i="4"/>
  <c r="V114" i="28"/>
  <c r="W106" i="4"/>
  <c r="W106" i="28"/>
  <c r="Z115" i="4"/>
  <c r="Z115" i="28"/>
  <c r="AE57" i="4"/>
  <c r="AE57" i="28"/>
  <c r="AH62" i="4"/>
  <c r="AH62" i="28"/>
  <c r="Y61" i="4"/>
  <c r="Y61" i="28"/>
  <c r="AH119" i="4"/>
  <c r="AH119" i="28"/>
  <c r="AB121" i="4"/>
  <c r="AB121" i="28"/>
  <c r="Z57" i="4"/>
  <c r="Z57" i="28"/>
  <c r="Z41" i="4"/>
  <c r="Z41" i="28"/>
  <c r="AE125" i="4"/>
  <c r="AE125" i="28"/>
  <c r="AC43" i="4"/>
  <c r="AC43" i="28"/>
  <c r="AF32" i="4"/>
  <c r="AF32" i="28"/>
  <c r="AF31" i="4"/>
  <c r="AF31" i="28"/>
  <c r="AF30" i="4"/>
  <c r="AF30" i="28"/>
  <c r="AF29" i="4"/>
  <c r="AF29" i="28"/>
  <c r="AF27" i="4"/>
  <c r="AF27" i="28"/>
  <c r="AH26" i="4"/>
  <c r="AH26" i="28"/>
  <c r="AH25" i="4"/>
  <c r="AH25" i="28"/>
  <c r="AH24" i="4"/>
  <c r="AH24" i="28"/>
  <c r="AH23" i="4"/>
  <c r="AH23" i="28"/>
  <c r="AH22" i="4"/>
  <c r="AH22" i="28"/>
  <c r="AH20" i="4"/>
  <c r="AH20" i="28"/>
  <c r="AH19" i="4"/>
  <c r="AH19" i="28"/>
  <c r="AH18" i="4"/>
  <c r="AH18" i="28"/>
  <c r="AH17" i="4"/>
  <c r="AH17" i="28"/>
  <c r="AH15" i="4"/>
  <c r="AH15" i="28"/>
  <c r="AH14" i="4"/>
  <c r="AH14" i="28"/>
  <c r="AH13" i="4"/>
  <c r="AH13" i="28"/>
  <c r="AH12" i="4"/>
  <c r="AH12" i="28"/>
  <c r="AH11" i="4"/>
  <c r="AH11" i="28"/>
  <c r="AH9" i="4"/>
  <c r="AH9" i="28"/>
  <c r="AH8" i="4"/>
  <c r="AH8" i="28"/>
  <c r="AH7" s="1"/>
  <c r="AC32" i="4"/>
  <c r="AC32" i="28"/>
  <c r="AC30" i="4"/>
  <c r="AC30" i="28"/>
  <c r="AE29" i="4"/>
  <c r="AE29" i="28"/>
  <c r="AE28" i="4"/>
  <c r="AE28" i="28"/>
  <c r="D28" s="1"/>
  <c r="AE27" i="4"/>
  <c r="AE27" i="28"/>
  <c r="AE25" i="4"/>
  <c r="D25" s="1"/>
  <c r="AE25" i="28"/>
  <c r="AE23" i="4"/>
  <c r="AE23" i="28"/>
  <c r="AE22" i="4"/>
  <c r="AE22" i="28"/>
  <c r="AE21" i="4"/>
  <c r="AE21" i="28"/>
  <c r="AE20" i="4"/>
  <c r="AE20" i="28"/>
  <c r="AE19" i="4"/>
  <c r="AE19" i="28"/>
  <c r="AE18" i="4"/>
  <c r="AE18" i="28"/>
  <c r="AE17" i="4"/>
  <c r="AE17" i="28"/>
  <c r="AE16" i="4"/>
  <c r="AE16" i="28"/>
  <c r="AE15" i="4"/>
  <c r="AE15" i="28"/>
  <c r="AE14" i="4"/>
  <c r="AE14" i="28"/>
  <c r="AE13" i="4"/>
  <c r="AE13" i="28"/>
  <c r="AE12" i="4"/>
  <c r="AE12" i="28"/>
  <c r="AE11" i="4"/>
  <c r="AE11" i="28"/>
  <c r="AE9" i="4"/>
  <c r="AE9" i="28"/>
  <c r="AC8" i="4"/>
  <c r="AC8" i="28"/>
  <c r="AC7" s="1"/>
  <c r="Z128" i="4"/>
  <c r="Z128" i="28"/>
  <c r="Z32" i="4"/>
  <c r="Z32" i="28"/>
  <c r="Z31" i="4"/>
  <c r="Z31" i="28"/>
  <c r="Z30" i="4"/>
  <c r="Z30" i="28"/>
  <c r="Z29" i="4"/>
  <c r="Z29" i="28"/>
  <c r="Z27" i="4"/>
  <c r="Z27" i="28"/>
  <c r="Z26" i="4"/>
  <c r="Z26" i="28"/>
  <c r="Z25" i="4"/>
  <c r="Z25" i="28"/>
  <c r="Z24" i="4"/>
  <c r="Z24" i="28"/>
  <c r="Z23" i="4"/>
  <c r="Z23" i="28"/>
  <c r="Z22" i="4"/>
  <c r="Z22" i="28"/>
  <c r="AB21" i="4"/>
  <c r="AB21" i="28"/>
  <c r="AB19" i="4"/>
  <c r="AB19" i="28"/>
  <c r="AB18" i="4"/>
  <c r="AB18" i="28"/>
  <c r="AB17" i="4"/>
  <c r="AB17" i="28"/>
  <c r="AB16" i="4"/>
  <c r="AB16" i="28"/>
  <c r="AB15" i="4"/>
  <c r="AB15" i="28"/>
  <c r="AB14" i="4"/>
  <c r="AB14" i="28"/>
  <c r="AB12" i="4"/>
  <c r="AB12" i="28"/>
  <c r="AB11" i="4"/>
  <c r="AB11" i="28"/>
  <c r="D11" s="1"/>
  <c r="AB9" i="4"/>
  <c r="AB9" i="28"/>
  <c r="AB8" i="4"/>
  <c r="AB8" i="28"/>
  <c r="AB7" s="1"/>
  <c r="W32" i="4"/>
  <c r="W32" i="28"/>
  <c r="W30" i="4"/>
  <c r="W30" i="28"/>
  <c r="W29" i="4"/>
  <c r="W29" i="28"/>
  <c r="W28" i="4"/>
  <c r="W28" i="28"/>
  <c r="W27" i="4"/>
  <c r="W27" i="28"/>
  <c r="W26" i="4"/>
  <c r="W26" i="28"/>
  <c r="W25" i="4"/>
  <c r="W25" i="28"/>
  <c r="W24" i="4"/>
  <c r="W24" i="28"/>
  <c r="W23" i="4"/>
  <c r="W23" i="28"/>
  <c r="W22" i="4"/>
  <c r="W22" i="28"/>
  <c r="W21" i="4"/>
  <c r="W21" i="28"/>
  <c r="W20" i="4"/>
  <c r="W20" i="28"/>
  <c r="W19" i="4"/>
  <c r="W19" i="28"/>
  <c r="W18" i="4"/>
  <c r="W18" i="28"/>
  <c r="W17" i="4"/>
  <c r="W17" i="28"/>
  <c r="Y16" i="4"/>
  <c r="Y16" i="28"/>
  <c r="Y15" i="4"/>
  <c r="Y15" i="28"/>
  <c r="Y14" i="4"/>
  <c r="Y14" i="28"/>
  <c r="Y13" i="4"/>
  <c r="Y13" i="28"/>
  <c r="Y12" i="4"/>
  <c r="Y12" i="28"/>
  <c r="Y7" s="1"/>
  <c r="W107" i="4"/>
  <c r="W107" i="28"/>
  <c r="W11" i="4"/>
  <c r="W11" i="28"/>
  <c r="W10" i="4"/>
  <c r="W10" i="28"/>
  <c r="W9" i="4"/>
  <c r="W9" i="28"/>
  <c r="V32" i="4"/>
  <c r="V32" i="28"/>
  <c r="D32" s="1"/>
  <c r="V63" i="4"/>
  <c r="V63" i="28"/>
  <c r="T31" i="4"/>
  <c r="T31" i="28"/>
  <c r="B31" s="1"/>
  <c r="T30" i="4"/>
  <c r="T30" i="28"/>
  <c r="B30" s="1"/>
  <c r="T29" i="4"/>
  <c r="T29" i="28"/>
  <c r="B29" s="1"/>
  <c r="T28" i="4"/>
  <c r="T28" i="28"/>
  <c r="B28" s="1"/>
  <c r="T27" i="4"/>
  <c r="T27" i="28"/>
  <c r="B27" s="1"/>
  <c r="T25" i="4"/>
  <c r="T25" i="28"/>
  <c r="B25" s="1"/>
  <c r="T24" i="4"/>
  <c r="T24" i="28"/>
  <c r="B24" s="1"/>
  <c r="T23" i="4"/>
  <c r="T23" i="28"/>
  <c r="B23" s="1"/>
  <c r="T22" i="4"/>
  <c r="T22" i="28"/>
  <c r="B22" s="1"/>
  <c r="T21" i="4"/>
  <c r="T21" i="28"/>
  <c r="B21" s="1"/>
  <c r="T20" i="4"/>
  <c r="T20" i="28"/>
  <c r="B20" s="1"/>
  <c r="T18" i="4"/>
  <c r="T18" i="28"/>
  <c r="B18" s="1"/>
  <c r="T17" i="4"/>
  <c r="T17" i="28"/>
  <c r="B17" s="1"/>
  <c r="T16" i="4"/>
  <c r="T16" i="28"/>
  <c r="B16" s="1"/>
  <c r="T15" i="4"/>
  <c r="T15" i="28"/>
  <c r="B15" s="1"/>
  <c r="T14" i="4"/>
  <c r="T14" i="28"/>
  <c r="B14" s="1"/>
  <c r="T12" i="4"/>
  <c r="T12" i="28"/>
  <c r="B12" s="1"/>
  <c r="T11" i="4"/>
  <c r="T11" i="28"/>
  <c r="B11" s="1"/>
  <c r="T10" i="4"/>
  <c r="T10" i="28"/>
  <c r="B10" s="1"/>
  <c r="T9" i="4"/>
  <c r="T9" i="28"/>
  <c r="B9" s="1"/>
  <c r="T7"/>
  <c r="B8"/>
  <c r="AF106" i="4"/>
  <c r="AF106" i="28"/>
  <c r="W7"/>
  <c r="B26"/>
  <c r="B19"/>
  <c r="B13"/>
  <c r="K14" i="5"/>
  <c r="E79" i="4" s="1"/>
  <c r="E146" i="5"/>
  <c r="Q59" i="4" s="1"/>
  <c r="P63"/>
  <c r="P55"/>
  <c r="P128"/>
  <c r="P121"/>
  <c r="P113"/>
  <c r="P105"/>
  <c r="P57"/>
  <c r="P114"/>
  <c r="P58"/>
  <c r="P49"/>
  <c r="P41"/>
  <c r="P112"/>
  <c r="P50"/>
  <c r="P44"/>
  <c r="P119"/>
  <c r="P127"/>
  <c r="P47"/>
  <c r="P104"/>
  <c r="P64"/>
  <c r="P125"/>
  <c r="P117"/>
  <c r="P109"/>
  <c r="P61"/>
  <c r="P122"/>
  <c r="P106"/>
  <c r="P53"/>
  <c r="P45"/>
  <c r="P60"/>
  <c r="P42"/>
  <c r="P56"/>
  <c r="P116"/>
  <c r="P108"/>
  <c r="P111"/>
  <c r="P110"/>
  <c r="P126"/>
  <c r="P46"/>
  <c r="P74"/>
  <c r="P123"/>
  <c r="P115"/>
  <c r="P107"/>
  <c r="P59"/>
  <c r="P118"/>
  <c r="P62"/>
  <c r="P51"/>
  <c r="P43"/>
  <c r="P120"/>
  <c r="P54"/>
  <c r="P40"/>
  <c r="P52"/>
  <c r="P48"/>
  <c r="P124"/>
  <c r="E145" i="5"/>
  <c r="Q58" i="4" s="1"/>
  <c r="M104" i="5"/>
  <c r="M113"/>
  <c r="M107"/>
  <c r="M111"/>
  <c r="K107"/>
  <c r="N82" i="4" s="1"/>
  <c r="M115" i="5"/>
  <c r="M116"/>
  <c r="K57"/>
  <c r="H92" i="4" s="1"/>
  <c r="K53" i="5"/>
  <c r="H88" i="4" s="1"/>
  <c r="K59" i="5"/>
  <c r="H94" i="4" s="1"/>
  <c r="Q36" i="5"/>
  <c r="K45"/>
  <c r="H80" i="4" s="1"/>
  <c r="K56" i="5"/>
  <c r="H91" i="4" s="1"/>
  <c r="K21" i="5"/>
  <c r="E86" i="4" s="1"/>
  <c r="K23" i="5"/>
  <c r="E88" i="4" s="1"/>
  <c r="V47"/>
  <c r="K24" i="5"/>
  <c r="E89" i="4" s="1"/>
  <c r="E57"/>
  <c r="M195" i="5"/>
  <c r="Y112" i="4"/>
  <c r="AC26"/>
  <c r="Z20"/>
  <c r="W8"/>
  <c r="B186" i="5"/>
  <c r="Q186"/>
  <c r="K11"/>
  <c r="E76" i="4" s="1"/>
  <c r="K41" i="5"/>
  <c r="H76" i="4" s="1"/>
  <c r="K49" i="5"/>
  <c r="H84" i="4" s="1"/>
  <c r="Y120"/>
  <c r="H293" i="5"/>
  <c r="AF120" i="28" s="1"/>
  <c r="J175" i="5"/>
  <c r="E159"/>
  <c r="T42" i="28" s="1"/>
  <c r="E157" i="5"/>
  <c r="T40" i="28" s="1"/>
  <c r="J290" i="5"/>
  <c r="E278"/>
  <c r="AF41" i="28" s="1"/>
  <c r="AC59" i="4"/>
  <c r="AC40"/>
  <c r="K247" i="5"/>
  <c r="AF28" i="4"/>
  <c r="AC31"/>
  <c r="AE10"/>
  <c r="AC104"/>
  <c r="V14"/>
  <c r="V8"/>
  <c r="G249" i="5"/>
  <c r="G257"/>
  <c r="AE50" i="28" s="1"/>
  <c r="G265" i="5"/>
  <c r="J251"/>
  <c r="J259"/>
  <c r="J267"/>
  <c r="E248"/>
  <c r="AC41" i="28" s="1"/>
  <c r="E252" i="5"/>
  <c r="AC45" i="28" s="1"/>
  <c r="E256" i="5"/>
  <c r="AC49" i="28" s="1"/>
  <c r="E260" i="5"/>
  <c r="AC53" i="28" s="1"/>
  <c r="E264" i="5"/>
  <c r="E268"/>
  <c r="AC61" i="28" s="1"/>
  <c r="J249" i="5"/>
  <c r="J256"/>
  <c r="J264"/>
  <c r="H257"/>
  <c r="H271"/>
  <c r="H263"/>
  <c r="H255"/>
  <c r="G270"/>
  <c r="AE63" i="28" s="1"/>
  <c r="H261" i="5"/>
  <c r="J247"/>
  <c r="AE104" i="28" s="1"/>
  <c r="G263" i="5"/>
  <c r="H258"/>
  <c r="G251"/>
  <c r="AE44" i="28" s="1"/>
  <c r="H248" i="5"/>
  <c r="H256"/>
  <c r="H264"/>
  <c r="J253"/>
  <c r="J261"/>
  <c r="J269"/>
  <c r="E249"/>
  <c r="AC42" i="28" s="1"/>
  <c r="E253" i="5"/>
  <c r="AC46" i="28" s="1"/>
  <c r="E257" i="5"/>
  <c r="E261"/>
  <c r="AC54" i="28" s="1"/>
  <c r="E265" i="5"/>
  <c r="E269"/>
  <c r="J250"/>
  <c r="J258"/>
  <c r="J266"/>
  <c r="G266"/>
  <c r="AE59" i="28" s="1"/>
  <c r="G250" i="5"/>
  <c r="AE43" i="28" s="1"/>
  <c r="G268" i="5"/>
  <c r="AE61" i="28" s="1"/>
  <c r="G260" i="5"/>
  <c r="AE53" i="28" s="1"/>
  <c r="G252" i="5"/>
  <c r="AE45" i="28" s="1"/>
  <c r="H269" i="5"/>
  <c r="G254"/>
  <c r="AE47" i="28" s="1"/>
  <c r="G267" i="5"/>
  <c r="AE60" i="28" s="1"/>
  <c r="H262" i="5"/>
  <c r="AC119" i="28" s="1"/>
  <c r="G255" i="5"/>
  <c r="AE48" i="28" s="1"/>
  <c r="H250" i="5"/>
  <c r="AC107" i="28" s="1"/>
  <c r="H260" i="5"/>
  <c r="J255"/>
  <c r="J271"/>
  <c r="E254"/>
  <c r="E262"/>
  <c r="E270"/>
  <c r="J260"/>
  <c r="H265"/>
  <c r="H259"/>
  <c r="G253"/>
  <c r="AE46" i="28" s="1"/>
  <c r="G269" i="5"/>
  <c r="AE62" i="28" s="1"/>
  <c r="J257" i="5"/>
  <c r="G247"/>
  <c r="AE40" i="28" s="1"/>
  <c r="E255" i="5"/>
  <c r="AC48" i="28" s="1"/>
  <c r="E263" i="5"/>
  <c r="E271"/>
  <c r="AC64" i="28" s="1"/>
  <c r="J262" i="5"/>
  <c r="G258"/>
  <c r="AE51" i="28" s="1"/>
  <c r="G256" i="5"/>
  <c r="AE49" i="28" s="1"/>
  <c r="G271" i="5"/>
  <c r="AE64" i="28" s="1"/>
  <c r="G222" i="5"/>
  <c r="G238"/>
  <c r="J221"/>
  <c r="J237"/>
  <c r="E222"/>
  <c r="Z45" i="28" s="1"/>
  <c r="E230" i="5"/>
  <c r="Z53" i="28" s="1"/>
  <c r="E238" i="5"/>
  <c r="Z61" i="28" s="1"/>
  <c r="J226" i="5"/>
  <c r="H230"/>
  <c r="G237"/>
  <c r="AB60" i="28" s="1"/>
  <c r="G221" i="5"/>
  <c r="AB44" i="28" s="1"/>
  <c r="H218" i="5"/>
  <c r="H223"/>
  <c r="H233"/>
  <c r="J223"/>
  <c r="J239"/>
  <c r="E223"/>
  <c r="Z46" i="28" s="1"/>
  <c r="E231" i="5"/>
  <c r="Z54" i="28" s="1"/>
  <c r="E239" i="5"/>
  <c r="Z62" i="28" s="1"/>
  <c r="J228" i="5"/>
  <c r="G223"/>
  <c r="AB46" i="28" s="1"/>
  <c r="H236" i="5"/>
  <c r="H220"/>
  <c r="G235"/>
  <c r="AB58" i="28" s="1"/>
  <c r="H194" i="5"/>
  <c r="H202"/>
  <c r="H210"/>
  <c r="G200"/>
  <c r="G210"/>
  <c r="G202"/>
  <c r="G194"/>
  <c r="J187"/>
  <c r="Y104" i="28" s="1"/>
  <c r="G204" i="5"/>
  <c r="Y57" i="28" s="1"/>
  <c r="G192" i="5"/>
  <c r="G209"/>
  <c r="Y62" i="28" s="1"/>
  <c r="G201" i="5"/>
  <c r="Y54" i="28" s="1"/>
  <c r="G193" i="5"/>
  <c r="Y46" i="28" s="1"/>
  <c r="J208" i="5"/>
  <c r="J200"/>
  <c r="J192"/>
  <c r="E187"/>
  <c r="W40" i="28" s="1"/>
  <c r="E208" i="5"/>
  <c r="W61" i="28" s="1"/>
  <c r="E204" i="5"/>
  <c r="W57" i="28" s="1"/>
  <c r="E200" i="5"/>
  <c r="E196"/>
  <c r="W49" i="28" s="1"/>
  <c r="E192" i="5"/>
  <c r="W45" i="28" s="1"/>
  <c r="E188" i="5"/>
  <c r="J207"/>
  <c r="J199"/>
  <c r="G191"/>
  <c r="Y44" i="28" s="1"/>
  <c r="G199" i="5"/>
  <c r="Y52" i="28" s="1"/>
  <c r="G207" i="5"/>
  <c r="Y60" i="28" s="1"/>
  <c r="H199" i="5"/>
  <c r="H209"/>
  <c r="H201"/>
  <c r="H193"/>
  <c r="H203"/>
  <c r="H191"/>
  <c r="H208"/>
  <c r="H200"/>
  <c r="H192"/>
  <c r="J206"/>
  <c r="J198"/>
  <c r="J190"/>
  <c r="G203"/>
  <c r="G188"/>
  <c r="G198"/>
  <c r="Y51" i="28" s="1"/>
  <c r="H195" i="5"/>
  <c r="H204"/>
  <c r="H188"/>
  <c r="J202"/>
  <c r="J188"/>
  <c r="E207"/>
  <c r="W60" i="28" s="1"/>
  <c r="E202" i="5"/>
  <c r="W55" i="28" s="1"/>
  <c r="E197" i="5"/>
  <c r="E191"/>
  <c r="W44" i="28" s="1"/>
  <c r="J211" i="5"/>
  <c r="Y128" i="28" s="1"/>
  <c r="J201" i="5"/>
  <c r="H198"/>
  <c r="H197"/>
  <c r="G197"/>
  <c r="J196"/>
  <c r="E211"/>
  <c r="W64" i="28" s="1"/>
  <c r="E206" i="5"/>
  <c r="E201"/>
  <c r="W54" i="28" s="1"/>
  <c r="E195" i="5"/>
  <c r="W48" i="28" s="1"/>
  <c r="E190" i="5"/>
  <c r="J209"/>
  <c r="J197"/>
  <c r="E150"/>
  <c r="Q63" i="4" s="1"/>
  <c r="K60" i="5"/>
  <c r="H95" i="4" s="1"/>
  <c r="M120" i="5"/>
  <c r="K61"/>
  <c r="H96" i="4" s="1"/>
  <c r="K12" i="5"/>
  <c r="E77" i="4" s="1"/>
  <c r="E45"/>
  <c r="M197" i="5"/>
  <c r="J205"/>
  <c r="E194"/>
  <c r="W47" i="28" s="1"/>
  <c r="E205" i="5"/>
  <c r="W58" i="28" s="1"/>
  <c r="J194" i="5"/>
  <c r="H196"/>
  <c r="G228"/>
  <c r="AB51" i="28" s="1"/>
  <c r="G259" i="5"/>
  <c r="AE52" i="28" s="1"/>
  <c r="H211" i="5"/>
  <c r="G262"/>
  <c r="AE55" i="28" s="1"/>
  <c r="J170" i="5"/>
  <c r="E172"/>
  <c r="T55" i="28" s="1"/>
  <c r="J181" i="5"/>
  <c r="G167"/>
  <c r="V50" i="28" s="1"/>
  <c r="H205" i="5"/>
  <c r="G248"/>
  <c r="AE41" i="28" s="1"/>
  <c r="G283" i="5"/>
  <c r="AH46" i="28" s="1"/>
  <c r="J191" i="5"/>
  <c r="G239"/>
  <c r="AB62" i="28" s="1"/>
  <c r="J278" i="5"/>
  <c r="E287"/>
  <c r="AF50" i="28" s="1"/>
  <c r="J291" i="5"/>
  <c r="J220"/>
  <c r="E227"/>
  <c r="J231"/>
  <c r="J254"/>
  <c r="E259"/>
  <c r="AC52" i="28" s="1"/>
  <c r="J265" i="5"/>
  <c r="AH16" i="4"/>
  <c r="AF9"/>
  <c r="B276" i="5"/>
  <c r="H252"/>
  <c r="AC12" i="4"/>
  <c r="B12" s="1"/>
  <c r="AB13"/>
  <c r="D216" i="5"/>
  <c r="Y31" i="4"/>
  <c r="M210" i="5"/>
  <c r="H206"/>
  <c r="T8" i="4"/>
  <c r="B156" i="5"/>
  <c r="K189"/>
  <c r="W42" i="4"/>
  <c r="AB104"/>
  <c r="T47"/>
  <c r="AF42"/>
  <c r="K279" i="5"/>
  <c r="Q246"/>
  <c r="AB53" i="4"/>
  <c r="T26"/>
  <c r="J157" i="5"/>
  <c r="V104" i="28" s="1"/>
  <c r="G160" i="5"/>
  <c r="G168"/>
  <c r="V51" i="28" s="1"/>
  <c r="D51" s="1"/>
  <c r="G176" i="5"/>
  <c r="V59" i="28" s="1"/>
  <c r="H176" i="5"/>
  <c r="H174"/>
  <c r="H166"/>
  <c r="H158"/>
  <c r="J161"/>
  <c r="J169"/>
  <c r="J177"/>
  <c r="G157"/>
  <c r="V40" i="28" s="1"/>
  <c r="E161" i="5"/>
  <c r="T44" i="28" s="1"/>
  <c r="E165" i="5"/>
  <c r="T48" i="28" s="1"/>
  <c r="E169" i="5"/>
  <c r="T52" i="28" s="1"/>
  <c r="E173" i="5"/>
  <c r="E177"/>
  <c r="T60" i="28" s="1"/>
  <c r="E181" i="5"/>
  <c r="T64" i="28" s="1"/>
  <c r="J164" i="5"/>
  <c r="J172"/>
  <c r="G173"/>
  <c r="V56" i="28" s="1"/>
  <c r="H164" i="5"/>
  <c r="G178"/>
  <c r="V61" i="28" s="1"/>
  <c r="H173" i="5"/>
  <c r="G166"/>
  <c r="V49" i="28" s="1"/>
  <c r="D49" s="1"/>
  <c r="H161" i="5"/>
  <c r="H159"/>
  <c r="H167"/>
  <c r="H175"/>
  <c r="G169"/>
  <c r="V52" i="28" s="1"/>
  <c r="D52" s="1"/>
  <c r="G179" i="5"/>
  <c r="G171"/>
  <c r="V54" i="28" s="1"/>
  <c r="D54" s="1"/>
  <c r="G163" i="5"/>
  <c r="J163"/>
  <c r="J171"/>
  <c r="J178"/>
  <c r="E158"/>
  <c r="T41" i="28" s="1"/>
  <c r="E162" i="5"/>
  <c r="E166"/>
  <c r="T49" i="28" s="1"/>
  <c r="E170" i="5"/>
  <c r="E174"/>
  <c r="T57" i="28" s="1"/>
  <c r="E178" i="5"/>
  <c r="T61" i="28" s="1"/>
  <c r="J158" i="5"/>
  <c r="J166"/>
  <c r="J174"/>
  <c r="H172"/>
  <c r="G161"/>
  <c r="V44" i="28" s="1"/>
  <c r="D44" s="1"/>
  <c r="H177" i="5"/>
  <c r="G170"/>
  <c r="V53" i="28" s="1"/>
  <c r="H165" i="5"/>
  <c r="H157"/>
  <c r="T104" i="28" s="1"/>
  <c r="H163" i="5"/>
  <c r="H179"/>
  <c r="H178"/>
  <c r="H162"/>
  <c r="J159"/>
  <c r="J176"/>
  <c r="E160"/>
  <c r="T43" i="28" s="1"/>
  <c r="E168" i="5"/>
  <c r="E176"/>
  <c r="T59" i="28" s="1"/>
  <c r="J162" i="5"/>
  <c r="J179"/>
  <c r="G165"/>
  <c r="V48" i="28" s="1"/>
  <c r="G174" i="5"/>
  <c r="V57" i="28" s="1"/>
  <c r="D57" s="1"/>
  <c r="G162" i="5"/>
  <c r="V45" i="28" s="1"/>
  <c r="G172" i="5"/>
  <c r="V55" i="28" s="1"/>
  <c r="G177" i="5"/>
  <c r="G175"/>
  <c r="V58" i="28" s="1"/>
  <c r="G159" i="5"/>
  <c r="V42" i="28" s="1"/>
  <c r="J165" i="5"/>
  <c r="J180"/>
  <c r="V127" i="28" s="1"/>
  <c r="E163" i="5"/>
  <c r="E171"/>
  <c r="T54" i="28" s="1"/>
  <c r="E179" i="5"/>
  <c r="J168"/>
  <c r="G181"/>
  <c r="V64" i="28" s="1"/>
  <c r="H160" i="5"/>
  <c r="H181"/>
  <c r="H169"/>
  <c r="G158"/>
  <c r="V41" i="28" s="1"/>
  <c r="G284" i="5"/>
  <c r="AH47" i="28" s="1"/>
  <c r="G292" i="5"/>
  <c r="AH55" i="28" s="1"/>
  <c r="G300" i="5"/>
  <c r="AH63" i="28" s="1"/>
  <c r="J285" i="5"/>
  <c r="J293"/>
  <c r="J301"/>
  <c r="E280"/>
  <c r="AF43" i="28" s="1"/>
  <c r="E284" i="5"/>
  <c r="AF47" i="28" s="1"/>
  <c r="E288" i="5"/>
  <c r="E292"/>
  <c r="E296"/>
  <c r="AF59" i="28" s="1"/>
  <c r="E300" i="5"/>
  <c r="J279"/>
  <c r="J286"/>
  <c r="J294"/>
  <c r="G293"/>
  <c r="AH56" i="28" s="1"/>
  <c r="G281" i="5"/>
  <c r="AH44" i="28" s="1"/>
  <c r="G298" i="5"/>
  <c r="AH61" i="28" s="1"/>
  <c r="H298" i="5"/>
  <c r="H290"/>
  <c r="H282"/>
  <c r="H296"/>
  <c r="H301"/>
  <c r="AF128" i="28" s="1"/>
  <c r="H285" i="5"/>
  <c r="H283"/>
  <c r="H291"/>
  <c r="H299"/>
  <c r="J287"/>
  <c r="J295"/>
  <c r="G277"/>
  <c r="AH40" i="28" s="1"/>
  <c r="E281" i="5"/>
  <c r="AF44" i="28" s="1"/>
  <c r="E285" i="5"/>
  <c r="AF48" i="28" s="1"/>
  <c r="E289" i="5"/>
  <c r="AF52" i="28" s="1"/>
  <c r="E293" i="5"/>
  <c r="E297"/>
  <c r="E301"/>
  <c r="J280"/>
  <c r="J288"/>
  <c r="J296"/>
  <c r="H292"/>
  <c r="AF119" i="28" s="1"/>
  <c r="H297" i="5"/>
  <c r="G282"/>
  <c r="AH45" i="28" s="1"/>
  <c r="G295" i="5"/>
  <c r="AH58" i="28" s="1"/>
  <c r="G287" i="5"/>
  <c r="AH50" i="28" s="1"/>
  <c r="G279" i="5"/>
  <c r="G289"/>
  <c r="AH52" i="28" s="1"/>
  <c r="G294" i="5"/>
  <c r="AH57" i="28" s="1"/>
  <c r="G278" i="5"/>
  <c r="AH41" i="28" s="1"/>
  <c r="H287" i="5"/>
  <c r="J281"/>
  <c r="J297"/>
  <c r="E282"/>
  <c r="AF45" i="28" s="1"/>
  <c r="E290" i="5"/>
  <c r="E298"/>
  <c r="AF61" i="28" s="1"/>
  <c r="J282" i="5"/>
  <c r="J298"/>
  <c r="G301"/>
  <c r="G290"/>
  <c r="H294"/>
  <c r="H278"/>
  <c r="H280"/>
  <c r="G286"/>
  <c r="AH49" i="28" s="1"/>
  <c r="J277" i="5"/>
  <c r="AH104" i="28" s="1"/>
  <c r="G280" i="5"/>
  <c r="G296"/>
  <c r="J283"/>
  <c r="J299"/>
  <c r="E283"/>
  <c r="E291"/>
  <c r="E299"/>
  <c r="J284"/>
  <c r="J300"/>
  <c r="H300"/>
  <c r="H289"/>
  <c r="G291"/>
  <c r="AH54" i="28" s="1"/>
  <c r="H277" i="5"/>
  <c r="AF104" i="28" s="1"/>
  <c r="E47" i="4"/>
  <c r="E103"/>
  <c r="K267" i="5"/>
  <c r="M301"/>
  <c r="W46" i="4"/>
  <c r="Y49"/>
  <c r="M196" i="5"/>
  <c r="E175"/>
  <c r="H281"/>
  <c r="G285"/>
  <c r="E294"/>
  <c r="AF57" i="28" s="1"/>
  <c r="K8" i="5"/>
  <c r="E73" i="4" s="1"/>
  <c r="K48" i="5"/>
  <c r="H83" i="4" s="1"/>
  <c r="K180" i="5"/>
  <c r="M297"/>
  <c r="K295"/>
  <c r="K299"/>
  <c r="J193"/>
  <c r="G187"/>
  <c r="Y40" i="28" s="1"/>
  <c r="E198" i="5"/>
  <c r="W51" i="28" s="1"/>
  <c r="E209" i="5"/>
  <c r="W62" i="28" s="1"/>
  <c r="J204" i="5"/>
  <c r="G205"/>
  <c r="Y58" i="28" s="1"/>
  <c r="H235" i="5"/>
  <c r="H266"/>
  <c r="H288"/>
  <c r="AF115" i="28" s="1"/>
  <c r="J160" i="5"/>
  <c r="E167"/>
  <c r="T50" i="28" s="1"/>
  <c r="J173" i="5"/>
  <c r="H170"/>
  <c r="G206"/>
  <c r="H251"/>
  <c r="H286"/>
  <c r="H168"/>
  <c r="H249"/>
  <c r="E277"/>
  <c r="AF40" i="28" s="1"/>
  <c r="E286" i="5"/>
  <c r="J289"/>
  <c r="J219"/>
  <c r="E226"/>
  <c r="Z49" i="28" s="1"/>
  <c r="J229" i="5"/>
  <c r="J252"/>
  <c r="E258"/>
  <c r="AC51" i="28" s="1"/>
  <c r="J263" i="5"/>
  <c r="AH21" i="4"/>
  <c r="G288" i="5"/>
  <c r="AH51" i="28" s="1"/>
  <c r="AF14" i="4"/>
  <c r="AF7" s="1"/>
  <c r="AE26"/>
  <c r="D26" s="1"/>
  <c r="AE24"/>
  <c r="D24" s="1"/>
  <c r="G261" i="5"/>
  <c r="AE54" i="28" s="1"/>
  <c r="AC15" i="4"/>
  <c r="K254" i="5"/>
  <c r="AB20" i="4"/>
  <c r="D20" s="1"/>
  <c r="M229" i="5"/>
  <c r="H225"/>
  <c r="Z15" i="4"/>
  <c r="Z9"/>
  <c r="B216" i="5"/>
  <c r="Q216"/>
  <c r="G211"/>
  <c r="W31" i="4"/>
  <c r="B31" s="1"/>
  <c r="K210" i="5"/>
  <c r="V30" i="4"/>
  <c r="M179" i="5"/>
  <c r="V28" i="4"/>
  <c r="D28" s="1"/>
  <c r="M177" i="5"/>
  <c r="H171"/>
  <c r="T19" i="4"/>
  <c r="K168" i="5"/>
  <c r="H221"/>
  <c r="H229"/>
  <c r="H237"/>
  <c r="E217"/>
  <c r="Z40" i="28" s="1"/>
  <c r="J225" i="5"/>
  <c r="J233"/>
  <c r="J241"/>
  <c r="E220"/>
  <c r="E224"/>
  <c r="E228"/>
  <c r="Z51" i="28" s="1"/>
  <c r="E232" i="5"/>
  <c r="Z55" i="28" s="1"/>
  <c r="E236" i="5"/>
  <c r="Z59" i="28" s="1"/>
  <c r="E240" i="5"/>
  <c r="Z63" i="28" s="1"/>
  <c r="J222" i="5"/>
  <c r="J230"/>
  <c r="J238"/>
  <c r="H238"/>
  <c r="H222"/>
  <c r="G241"/>
  <c r="AB64" i="28" s="1"/>
  <c r="G233" i="5"/>
  <c r="AB56" i="28" s="1"/>
  <c r="G225" i="5"/>
  <c r="AB48" i="28" s="1"/>
  <c r="G227" i="5"/>
  <c r="AB50" i="28" s="1"/>
  <c r="H217" i="5"/>
  <c r="Z104" i="28" s="1"/>
  <c r="H239" i="5"/>
  <c r="G232"/>
  <c r="AB55" i="28" s="1"/>
  <c r="H227" i="5"/>
  <c r="Z114" i="28" s="1"/>
  <c r="G220" i="5"/>
  <c r="AB43" i="28" s="1"/>
  <c r="G218" i="5"/>
  <c r="AB41" i="28" s="1"/>
  <c r="G226" i="5"/>
  <c r="AB49" i="28" s="1"/>
  <c r="G234" i="5"/>
  <c r="AB57" i="28" s="1"/>
  <c r="J218" i="5"/>
  <c r="J227"/>
  <c r="J235"/>
  <c r="G217"/>
  <c r="AB40" i="28" s="1"/>
  <c r="E221" i="5"/>
  <c r="Z44" i="28" s="1"/>
  <c r="E225" i="5"/>
  <c r="Z48" i="28" s="1"/>
  <c r="E229" i="5"/>
  <c r="E233"/>
  <c r="Z56" i="28" s="1"/>
  <c r="E237" i="5"/>
  <c r="E241"/>
  <c r="J224"/>
  <c r="AB111" i="28" s="1"/>
  <c r="J232" i="5"/>
  <c r="J240"/>
  <c r="G231"/>
  <c r="AB54" i="28" s="1"/>
  <c r="G219" i="5"/>
  <c r="H240"/>
  <c r="H232"/>
  <c r="H224"/>
  <c r="H226"/>
  <c r="G236"/>
  <c r="AB59" i="28" s="1"/>
  <c r="H231" i="5"/>
  <c r="H219"/>
  <c r="Z106" i="28" s="1"/>
  <c r="H187" i="5"/>
  <c r="W104" i="28" s="1"/>
  <c r="M240" i="5"/>
  <c r="K264"/>
  <c r="AH10" i="4"/>
  <c r="AH7" s="1"/>
  <c r="AB10"/>
  <c r="Y23"/>
  <c r="M202" i="5"/>
  <c r="V11" i="4"/>
  <c r="D11" s="1"/>
  <c r="AC9"/>
  <c r="AC7" s="1"/>
  <c r="B246" i="5"/>
  <c r="Z28" i="4"/>
  <c r="K237" i="5"/>
  <c r="Y8" i="4"/>
  <c r="D186" i="5"/>
  <c r="T13" i="4"/>
  <c r="K162" i="5"/>
  <c r="H147"/>
  <c r="Q124" i="4" s="1"/>
  <c r="E7"/>
  <c r="H103"/>
  <c r="K37" i="5"/>
  <c r="H72" i="4" s="1"/>
  <c r="H40"/>
  <c r="H39" s="1"/>
  <c r="H7"/>
  <c r="K7"/>
  <c r="H148" i="5"/>
  <c r="Q125" i="4" s="1"/>
  <c r="E134" i="5"/>
  <c r="Q47" i="4" s="1"/>
  <c r="H145" i="5"/>
  <c r="Q122" i="4" s="1"/>
  <c r="Q7"/>
  <c r="K108" i="5"/>
  <c r="N83" i="4" s="1"/>
  <c r="N51"/>
  <c r="N39" s="1"/>
  <c r="N103"/>
  <c r="N7"/>
  <c r="K98" i="5"/>
  <c r="N73" i="4" s="1"/>
  <c r="K102" i="5"/>
  <c r="N77" i="4" s="1"/>
  <c r="H135" i="5"/>
  <c r="Q112" i="4" s="1"/>
  <c r="H139" i="5"/>
  <c r="Q116" i="4" s="1"/>
  <c r="E137" i="5"/>
  <c r="Q50" i="4" s="1"/>
  <c r="H141" i="5"/>
  <c r="Q118" i="4" s="1"/>
  <c r="E136" i="5"/>
  <c r="Q49" i="4" s="1"/>
  <c r="H149" i="5"/>
  <c r="Q126" i="4" s="1"/>
  <c r="H134" i="5"/>
  <c r="Q111" i="4" s="1"/>
  <c r="E144" i="5"/>
  <c r="Q57" i="4" s="1"/>
  <c r="E138" i="5"/>
  <c r="Q51" i="4" s="1"/>
  <c r="H133" i="5"/>
  <c r="Q110" i="4" s="1"/>
  <c r="E128" i="5"/>
  <c r="Q41" i="4" s="1"/>
  <c r="H129" i="5"/>
  <c r="Q106" i="4" s="1"/>
  <c r="E133" i="5"/>
  <c r="Q46" i="4" s="1"/>
  <c r="E141" i="5"/>
  <c r="Q54" i="4" s="1"/>
  <c r="E149" i="5"/>
  <c r="Q62" i="4" s="1"/>
  <c r="E148" i="5"/>
  <c r="Q61" i="4" s="1"/>
  <c r="H151" i="5"/>
  <c r="Q128" i="4" s="1"/>
  <c r="K110" i="5"/>
  <c r="N85" i="4" s="1"/>
  <c r="K109" i="5"/>
  <c r="N84" i="4" s="1"/>
  <c r="K100" i="5"/>
  <c r="N75" i="4" s="1"/>
  <c r="H140" i="5"/>
  <c r="Q117" i="4" s="1"/>
  <c r="H142" i="5"/>
  <c r="Q119" i="4" s="1"/>
  <c r="H130" i="5"/>
  <c r="Q107" i="4" s="1"/>
  <c r="H131" i="5"/>
  <c r="Q108" i="4" s="1"/>
  <c r="E127" i="5"/>
  <c r="Q40" i="4" s="1"/>
  <c r="E132" i="5"/>
  <c r="Q45" i="4" s="1"/>
  <c r="H146" i="5"/>
  <c r="Q123" i="4" s="1"/>
  <c r="H128" i="5"/>
  <c r="Q105" i="4" s="1"/>
  <c r="H127" i="5"/>
  <c r="Q104" i="4" s="1"/>
  <c r="H150" i="5"/>
  <c r="Q127" i="4" s="1"/>
  <c r="J150" i="5"/>
  <c r="S127" i="4" s="1"/>
  <c r="J148" i="5"/>
  <c r="S125" i="4" s="1"/>
  <c r="J146" i="5"/>
  <c r="S123" i="4" s="1"/>
  <c r="J144" i="5"/>
  <c r="S121" i="4" s="1"/>
  <c r="J142" i="5"/>
  <c r="S119" i="4" s="1"/>
  <c r="J140" i="5"/>
  <c r="S117" i="4" s="1"/>
  <c r="J138" i="5"/>
  <c r="S115" i="4" s="1"/>
  <c r="J136" i="5"/>
  <c r="S113" i="4" s="1"/>
  <c r="J134" i="5"/>
  <c r="S111" i="4" s="1"/>
  <c r="J132" i="5"/>
  <c r="S109" i="4" s="1"/>
  <c r="J130" i="5"/>
  <c r="S107" i="4" s="1"/>
  <c r="J128" i="5"/>
  <c r="S105" i="4" s="1"/>
  <c r="G150" i="5"/>
  <c r="S63" i="4" s="1"/>
  <c r="G148" i="5"/>
  <c r="S61" i="4" s="1"/>
  <c r="G146" i="5"/>
  <c r="S59" i="4" s="1"/>
  <c r="G144" i="5"/>
  <c r="S57" i="4" s="1"/>
  <c r="G142" i="5"/>
  <c r="S55" i="4" s="1"/>
  <c r="G140" i="5"/>
  <c r="S53" i="4" s="1"/>
  <c r="G138" i="5"/>
  <c r="S51" i="4" s="1"/>
  <c r="G136" i="5"/>
  <c r="S49" i="4" s="1"/>
  <c r="G134" i="5"/>
  <c r="S47" i="4" s="1"/>
  <c r="G132" i="5"/>
  <c r="S45" i="4" s="1"/>
  <c r="G130" i="5"/>
  <c r="S43" i="4" s="1"/>
  <c r="G128" i="5"/>
  <c r="S41" i="4" s="1"/>
  <c r="J151" i="5"/>
  <c r="S128" i="4" s="1"/>
  <c r="J149" i="5"/>
  <c r="S126" i="4" s="1"/>
  <c r="J147" i="5"/>
  <c r="S124" i="4" s="1"/>
  <c r="J145" i="5"/>
  <c r="S122" i="4" s="1"/>
  <c r="J143" i="5"/>
  <c r="S120" i="4" s="1"/>
  <c r="J141" i="5"/>
  <c r="S118" i="4" s="1"/>
  <c r="J139" i="5"/>
  <c r="S116" i="4" s="1"/>
  <c r="J137" i="5"/>
  <c r="S114" i="4" s="1"/>
  <c r="J135" i="5"/>
  <c r="S112" i="4" s="1"/>
  <c r="J133" i="5"/>
  <c r="S110" i="4" s="1"/>
  <c r="J131" i="5"/>
  <c r="S108" i="4" s="1"/>
  <c r="J129" i="5"/>
  <c r="S106" i="4" s="1"/>
  <c r="J127" i="5"/>
  <c r="S104" i="4" s="1"/>
  <c r="G151" i="5"/>
  <c r="S64" i="4" s="1"/>
  <c r="G149" i="5"/>
  <c r="S62" i="4" s="1"/>
  <c r="G147" i="5"/>
  <c r="S60" i="4" s="1"/>
  <c r="G145" i="5"/>
  <c r="S58" i="4" s="1"/>
  <c r="G143" i="5"/>
  <c r="S56" i="4" s="1"/>
  <c r="G141" i="5"/>
  <c r="S54" i="4" s="1"/>
  <c r="G139" i="5"/>
  <c r="S52" i="4" s="1"/>
  <c r="G137" i="5"/>
  <c r="S50" i="4" s="1"/>
  <c r="G135" i="5"/>
  <c r="S48" i="4" s="1"/>
  <c r="G133" i="5"/>
  <c r="S46" i="4" s="1"/>
  <c r="G131" i="5"/>
  <c r="S44" i="4" s="1"/>
  <c r="G129" i="5"/>
  <c r="S42" i="4" s="1"/>
  <c r="G127" i="5"/>
  <c r="S40" i="4" s="1"/>
  <c r="K97" i="5"/>
  <c r="N72" i="4" s="1"/>
  <c r="K112" i="5"/>
  <c r="N87" i="4" s="1"/>
  <c r="K105" i="5"/>
  <c r="N80" i="4" s="1"/>
  <c r="Q276" i="5"/>
  <c r="D18" i="4"/>
  <c r="B26"/>
  <c r="D22"/>
  <c r="K188" i="5"/>
  <c r="K199"/>
  <c r="K203"/>
  <c r="K190"/>
  <c r="Q66"/>
  <c r="E81"/>
  <c r="K54" i="4" s="1"/>
  <c r="H69" i="5"/>
  <c r="K106" i="4" s="1"/>
  <c r="E76" i="5"/>
  <c r="K49" i="4" s="1"/>
  <c r="H83" i="5"/>
  <c r="K120" i="4" s="1"/>
  <c r="E70" i="5"/>
  <c r="K43" i="4" s="1"/>
  <c r="H74" i="5"/>
  <c r="K111" i="4" s="1"/>
  <c r="E67" i="5"/>
  <c r="K40" i="4" s="1"/>
  <c r="H76" i="5"/>
  <c r="K113" i="4" s="1"/>
  <c r="E84" i="5"/>
  <c r="K57" i="4" s="1"/>
  <c r="E87" i="5"/>
  <c r="K60" i="4" s="1"/>
  <c r="E79" i="5"/>
  <c r="K52" i="4" s="1"/>
  <c r="H80" i="5"/>
  <c r="K117" i="4" s="1"/>
  <c r="H89" i="5"/>
  <c r="K126" i="4" s="1"/>
  <c r="E82" i="5"/>
  <c r="K55" i="4" s="1"/>
  <c r="H77" i="5"/>
  <c r="K114" i="4" s="1"/>
  <c r="E80" i="5"/>
  <c r="K53" i="4" s="1"/>
  <c r="H87" i="5"/>
  <c r="K124" i="4" s="1"/>
  <c r="B66" i="5"/>
  <c r="H72"/>
  <c r="K109" i="4" s="1"/>
  <c r="K127"/>
  <c r="H86" i="5"/>
  <c r="K123" i="4" s="1"/>
  <c r="E75" i="5"/>
  <c r="K48" i="4" s="1"/>
  <c r="H75" i="5"/>
  <c r="K112" i="4" s="1"/>
  <c r="H67" i="5"/>
  <c r="K104" i="4" s="1"/>
  <c r="H84" i="5"/>
  <c r="K121" i="4" s="1"/>
  <c r="E86" i="5"/>
  <c r="K59" i="4" s="1"/>
  <c r="H82" i="5"/>
  <c r="K119" i="4" s="1"/>
  <c r="E89" i="5"/>
  <c r="K62" i="4" s="1"/>
  <c r="E72" i="5"/>
  <c r="K45" i="4" s="1"/>
  <c r="K122"/>
  <c r="H81" i="5"/>
  <c r="H73"/>
  <c r="K110" i="4" s="1"/>
  <c r="E68" i="5"/>
  <c r="K41" i="4" s="1"/>
  <c r="E90" i="5"/>
  <c r="K63" i="4" s="1"/>
  <c r="H68" i="5"/>
  <c r="K105" i="4" s="1"/>
  <c r="E74" i="5"/>
  <c r="K47" i="4" s="1"/>
  <c r="E88" i="5"/>
  <c r="K61" i="4" s="1"/>
  <c r="E83" i="5"/>
  <c r="K56" i="4" s="1"/>
  <c r="E91" i="5"/>
  <c r="K64" i="4" s="1"/>
  <c r="E69" i="5"/>
  <c r="K42" i="4" s="1"/>
  <c r="E73" i="5"/>
  <c r="K46" i="4" s="1"/>
  <c r="E77" i="5"/>
  <c r="K50" i="4" s="1"/>
  <c r="H71" i="5"/>
  <c r="K108" i="4" s="1"/>
  <c r="H79" i="5"/>
  <c r="K116" i="4" s="1"/>
  <c r="E78" i="5"/>
  <c r="K51" i="4" s="1"/>
  <c r="H91" i="5"/>
  <c r="K128" i="4" s="1"/>
  <c r="H78" i="5"/>
  <c r="K115" i="4" s="1"/>
  <c r="H70" i="5"/>
  <c r="K107" i="4" s="1"/>
  <c r="K58"/>
  <c r="M127"/>
  <c r="J88" i="5"/>
  <c r="M125" i="4" s="1"/>
  <c r="J86" i="5"/>
  <c r="M123" i="4" s="1"/>
  <c r="J84" i="5"/>
  <c r="M121" i="4" s="1"/>
  <c r="J82" i="5"/>
  <c r="M119" i="4" s="1"/>
  <c r="J80" i="5"/>
  <c r="M117" i="4" s="1"/>
  <c r="J78" i="5"/>
  <c r="M115" i="4" s="1"/>
  <c r="J76" i="5"/>
  <c r="M113" i="4" s="1"/>
  <c r="J74" i="5"/>
  <c r="M111" i="4" s="1"/>
  <c r="J72" i="5"/>
  <c r="M109" i="4" s="1"/>
  <c r="J70" i="5"/>
  <c r="M107" i="4" s="1"/>
  <c r="J68" i="5"/>
  <c r="M105" i="4" s="1"/>
  <c r="G91" i="5"/>
  <c r="M64" i="4" s="1"/>
  <c r="G89" i="5"/>
  <c r="M62" i="4" s="1"/>
  <c r="G87" i="5"/>
  <c r="M60" i="4" s="1"/>
  <c r="M58"/>
  <c r="G83" i="5"/>
  <c r="M56" i="4" s="1"/>
  <c r="G81" i="5"/>
  <c r="M54" i="4" s="1"/>
  <c r="G79" i="5"/>
  <c r="M52" i="4" s="1"/>
  <c r="G77" i="5"/>
  <c r="M50" i="4" s="1"/>
  <c r="G75" i="5"/>
  <c r="M48" i="4" s="1"/>
  <c r="G73" i="5"/>
  <c r="M46" i="4" s="1"/>
  <c r="G71" i="5"/>
  <c r="M44" i="4" s="1"/>
  <c r="G69" i="5"/>
  <c r="M42" i="4" s="1"/>
  <c r="G67" i="5"/>
  <c r="M40" i="4" s="1"/>
  <c r="J91" i="5"/>
  <c r="M128" i="4" s="1"/>
  <c r="J89" i="5"/>
  <c r="M126" i="4" s="1"/>
  <c r="J87" i="5"/>
  <c r="M124" i="4" s="1"/>
  <c r="M122"/>
  <c r="J83" i="5"/>
  <c r="M120" i="4" s="1"/>
  <c r="J81" i="5"/>
  <c r="M118" i="4" s="1"/>
  <c r="J79" i="5"/>
  <c r="M116" i="4" s="1"/>
  <c r="J77" i="5"/>
  <c r="M114" i="4" s="1"/>
  <c r="J75" i="5"/>
  <c r="M112" i="4" s="1"/>
  <c r="J73" i="5"/>
  <c r="M110" i="4" s="1"/>
  <c r="J71" i="5"/>
  <c r="M108" i="4" s="1"/>
  <c r="J69" i="5"/>
  <c r="M106" i="4" s="1"/>
  <c r="J67" i="5"/>
  <c r="M104" i="4" s="1"/>
  <c r="G90" i="5"/>
  <c r="M63" i="4" s="1"/>
  <c r="G88" i="5"/>
  <c r="G86"/>
  <c r="G84"/>
  <c r="M57" i="4" s="1"/>
  <c r="G82" i="5"/>
  <c r="M55" i="4" s="1"/>
  <c r="G80" i="5"/>
  <c r="M53" i="4" s="1"/>
  <c r="G78" i="5"/>
  <c r="M51" i="4" s="1"/>
  <c r="G76" i="5"/>
  <c r="M49" i="4" s="1"/>
  <c r="G74" i="5"/>
  <c r="M47" i="4" s="1"/>
  <c r="G72" i="5"/>
  <c r="M45" i="4" s="1"/>
  <c r="G70" i="5"/>
  <c r="M43" i="4" s="1"/>
  <c r="G68" i="5"/>
  <c r="M41" i="4" s="1"/>
  <c r="K39" i="5"/>
  <c r="H74" i="4" s="1"/>
  <c r="K46" i="5"/>
  <c r="H81" i="4" s="1"/>
  <c r="B36" i="5"/>
  <c r="K47"/>
  <c r="H82" i="4" s="1"/>
  <c r="H36" i="5"/>
  <c r="K42"/>
  <c r="H77" i="4" s="1"/>
  <c r="K40" i="5"/>
  <c r="H75" i="4" s="1"/>
  <c r="K51" i="5"/>
  <c r="H86" i="4" s="1"/>
  <c r="K55" i="5"/>
  <c r="H90" i="4" s="1"/>
  <c r="K43" i="5"/>
  <c r="H78" i="4" s="1"/>
  <c r="K44" i="5"/>
  <c r="H79" i="4" s="1"/>
  <c r="K50" i="5"/>
  <c r="H85" i="4" s="1"/>
  <c r="J61" i="5"/>
  <c r="J128" i="4" s="1"/>
  <c r="J59" i="5"/>
  <c r="J126" i="4" s="1"/>
  <c r="J57" i="5"/>
  <c r="J124" i="4" s="1"/>
  <c r="J55" i="5"/>
  <c r="J122" i="4" s="1"/>
  <c r="J53" i="5"/>
  <c r="J120" i="4" s="1"/>
  <c r="J51" i="5"/>
  <c r="J118" i="4" s="1"/>
  <c r="J49" i="5"/>
  <c r="J116" i="4" s="1"/>
  <c r="J47" i="5"/>
  <c r="J114" i="4" s="1"/>
  <c r="J45" i="5"/>
  <c r="J112" i="4" s="1"/>
  <c r="J43" i="5"/>
  <c r="J110" i="4" s="1"/>
  <c r="J41" i="5"/>
  <c r="J108" i="4" s="1"/>
  <c r="J39" i="5"/>
  <c r="J106" i="4" s="1"/>
  <c r="J37" i="5"/>
  <c r="J104" i="4" s="1"/>
  <c r="G61" i="5"/>
  <c r="J64" i="4" s="1"/>
  <c r="G59" i="5"/>
  <c r="J62" i="4" s="1"/>
  <c r="G57" i="5"/>
  <c r="J60" i="4" s="1"/>
  <c r="G55" i="5"/>
  <c r="J58" i="4" s="1"/>
  <c r="G53" i="5"/>
  <c r="J56" i="4" s="1"/>
  <c r="G51" i="5"/>
  <c r="J54" i="4" s="1"/>
  <c r="G49" i="5"/>
  <c r="J52" i="4" s="1"/>
  <c r="G47" i="5"/>
  <c r="J50" i="4" s="1"/>
  <c r="G45" i="5"/>
  <c r="J48" i="4" s="1"/>
  <c r="G43" i="5"/>
  <c r="J46" i="4" s="1"/>
  <c r="G41" i="5"/>
  <c r="J44" i="4" s="1"/>
  <c r="G39" i="5"/>
  <c r="J42" i="4" s="1"/>
  <c r="G37" i="5"/>
  <c r="J40" i="4" s="1"/>
  <c r="J60" i="5"/>
  <c r="J127" i="4" s="1"/>
  <c r="J58" i="5"/>
  <c r="J125" i="4" s="1"/>
  <c r="J56" i="5"/>
  <c r="J123" i="4" s="1"/>
  <c r="J54" i="5"/>
  <c r="J121" i="4" s="1"/>
  <c r="J52" i="5"/>
  <c r="J119" i="4" s="1"/>
  <c r="J50" i="5"/>
  <c r="J117" i="4" s="1"/>
  <c r="J48" i="5"/>
  <c r="J115" i="4" s="1"/>
  <c r="J46" i="5"/>
  <c r="J113" i="4" s="1"/>
  <c r="J44" i="5"/>
  <c r="J111" i="4" s="1"/>
  <c r="J42" i="5"/>
  <c r="J109" i="4" s="1"/>
  <c r="J40" i="5"/>
  <c r="J107" i="4" s="1"/>
  <c r="J38" i="5"/>
  <c r="J105" i="4" s="1"/>
  <c r="G60" i="5"/>
  <c r="J63" i="4" s="1"/>
  <c r="G58" i="5"/>
  <c r="J61" i="4" s="1"/>
  <c r="G56" i="5"/>
  <c r="G54"/>
  <c r="J57" i="4" s="1"/>
  <c r="G52" i="5"/>
  <c r="J55" i="4" s="1"/>
  <c r="G50" i="5"/>
  <c r="J53" i="4" s="1"/>
  <c r="G48" i="5"/>
  <c r="J51" i="4" s="1"/>
  <c r="G46" i="5"/>
  <c r="J49" i="4" s="1"/>
  <c r="G44" i="5"/>
  <c r="J47" i="4" s="1"/>
  <c r="G42" i="5"/>
  <c r="J45" i="4" s="1"/>
  <c r="G40" i="5"/>
  <c r="G38"/>
  <c r="J41" i="4" s="1"/>
  <c r="K29" i="5"/>
  <c r="E94" i="4" s="1"/>
  <c r="K30" i="5"/>
  <c r="E95" i="4" s="1"/>
  <c r="K7" i="5"/>
  <c r="E72" i="4" s="1"/>
  <c r="K10" i="5"/>
  <c r="E75" i="4" s="1"/>
  <c r="K13" i="5"/>
  <c r="E78" i="4" s="1"/>
  <c r="K15" i="5"/>
  <c r="E80" i="4" s="1"/>
  <c r="K16" i="5"/>
  <c r="E81" i="4" s="1"/>
  <c r="K19" i="5"/>
  <c r="E84" i="4" s="1"/>
  <c r="K28" i="5"/>
  <c r="E93" i="4" s="1"/>
  <c r="K25" i="5"/>
  <c r="E90" i="4" s="1"/>
  <c r="K9" i="5"/>
  <c r="E74" i="4" s="1"/>
  <c r="K18" i="5"/>
  <c r="E83" i="4" s="1"/>
  <c r="K17" i="5"/>
  <c r="E82" i="4" s="1"/>
  <c r="R6" i="5"/>
  <c r="K20"/>
  <c r="E85" i="4" s="1"/>
  <c r="J30" i="5"/>
  <c r="G127" i="4" s="1"/>
  <c r="J28" i="5"/>
  <c r="G125" i="4" s="1"/>
  <c r="J26" i="5"/>
  <c r="G123" i="4" s="1"/>
  <c r="J24" i="5"/>
  <c r="G121" i="4" s="1"/>
  <c r="J22" i="5"/>
  <c r="G119" i="4" s="1"/>
  <c r="J20" i="5"/>
  <c r="G117" i="4" s="1"/>
  <c r="J18" i="5"/>
  <c r="G115" i="4" s="1"/>
  <c r="J16" i="5"/>
  <c r="G113" i="4" s="1"/>
  <c r="J14" i="5"/>
  <c r="G111" i="4" s="1"/>
  <c r="J12" i="5"/>
  <c r="G109" i="4" s="1"/>
  <c r="J10" i="5"/>
  <c r="G107" i="4" s="1"/>
  <c r="J8" i="5"/>
  <c r="G105" i="4" s="1"/>
  <c r="G31" i="5"/>
  <c r="G64" i="4" s="1"/>
  <c r="G29" i="5"/>
  <c r="G62" i="4" s="1"/>
  <c r="G27" i="5"/>
  <c r="G60" i="4" s="1"/>
  <c r="G25" i="5"/>
  <c r="G58" i="4" s="1"/>
  <c r="G23" i="5"/>
  <c r="G56" i="4" s="1"/>
  <c r="G21" i="5"/>
  <c r="G54" i="4" s="1"/>
  <c r="G19" i="5"/>
  <c r="G52" i="4" s="1"/>
  <c r="G17" i="5"/>
  <c r="G50" i="4" s="1"/>
  <c r="G15" i="5"/>
  <c r="G48" i="4" s="1"/>
  <c r="G13" i="5"/>
  <c r="G46" i="4" s="1"/>
  <c r="G11" i="5"/>
  <c r="G44" i="4" s="1"/>
  <c r="G9" i="5"/>
  <c r="G42" i="4" s="1"/>
  <c r="G7" i="5"/>
  <c r="G40" i="4" s="1"/>
  <c r="J31" i="5"/>
  <c r="G128" i="4" s="1"/>
  <c r="J29" i="5"/>
  <c r="G126" i="4" s="1"/>
  <c r="J27" i="5"/>
  <c r="G124" i="4" s="1"/>
  <c r="J25" i="5"/>
  <c r="G122" i="4" s="1"/>
  <c r="J23" i="5"/>
  <c r="G120" i="4" s="1"/>
  <c r="J21" i="5"/>
  <c r="G118" i="4" s="1"/>
  <c r="J19" i="5"/>
  <c r="G116" i="4" s="1"/>
  <c r="J17" i="5"/>
  <c r="G114" i="4" s="1"/>
  <c r="J15" i="5"/>
  <c r="G112" i="4" s="1"/>
  <c r="J13" i="5"/>
  <c r="G110" i="4" s="1"/>
  <c r="J11" i="5"/>
  <c r="G108" i="4" s="1"/>
  <c r="J9" i="5"/>
  <c r="G106" i="4" s="1"/>
  <c r="J7" i="5"/>
  <c r="G104" i="4" s="1"/>
  <c r="G30" i="5"/>
  <c r="G63" i="4" s="1"/>
  <c r="G28" i="5"/>
  <c r="G61" i="4" s="1"/>
  <c r="G26" i="5"/>
  <c r="G59" i="4" s="1"/>
  <c r="G24" i="5"/>
  <c r="G57" i="4" s="1"/>
  <c r="G22" i="5"/>
  <c r="G55" i="4" s="1"/>
  <c r="G20" i="5"/>
  <c r="G53" i="4" s="1"/>
  <c r="G18" i="5"/>
  <c r="G51" i="4" s="1"/>
  <c r="G16" i="5"/>
  <c r="G49" i="4" s="1"/>
  <c r="G14" i="5"/>
  <c r="G47" i="4" s="1"/>
  <c r="G12" i="5"/>
  <c r="G45" i="4" s="1"/>
  <c r="G10" i="5"/>
  <c r="G43" i="4" s="1"/>
  <c r="G8" i="5"/>
  <c r="G41" i="4" s="1"/>
  <c r="K22" i="5"/>
  <c r="E87" i="4" s="1"/>
  <c r="B6" i="5"/>
  <c r="B22" i="4"/>
  <c r="E131" i="5"/>
  <c r="Q96"/>
  <c r="K119"/>
  <c r="N94" i="4" s="1"/>
  <c r="K111" i="5"/>
  <c r="N86" i="4" s="1"/>
  <c r="K118" i="5"/>
  <c r="N93" i="4" s="1"/>
  <c r="D23"/>
  <c r="Q37" i="5"/>
  <c r="D16" i="4"/>
  <c r="K38" i="5"/>
  <c r="H73" i="4" s="1"/>
  <c r="K58" i="5"/>
  <c r="H93" i="4" s="1"/>
  <c r="R36" i="5"/>
  <c r="E36"/>
  <c r="K54"/>
  <c r="H89" i="4" s="1"/>
  <c r="K52" i="5"/>
  <c r="H87" i="4" s="1"/>
  <c r="B23"/>
  <c r="B21"/>
  <c r="B18"/>
  <c r="B27"/>
  <c r="B126" i="5"/>
  <c r="E135"/>
  <c r="Q48" i="4" s="1"/>
  <c r="E139" i="5"/>
  <c r="Q52" i="4" s="1"/>
  <c r="E143" i="5"/>
  <c r="Q56" i="4" s="1"/>
  <c r="E147" i="5"/>
  <c r="Q60" i="4" s="1"/>
  <c r="E151" i="5"/>
  <c r="Q64" i="4" s="1"/>
  <c r="H137" i="5"/>
  <c r="Q114" i="4" s="1"/>
  <c r="H143" i="5"/>
  <c r="Q120" i="4" s="1"/>
  <c r="H136" i="5"/>
  <c r="E140"/>
  <c r="Q53" i="4" s="1"/>
  <c r="H144" i="5"/>
  <c r="Q121" i="4" s="1"/>
  <c r="E142" i="5"/>
  <c r="Q55" i="4" s="1"/>
  <c r="H132" i="5"/>
  <c r="E129"/>
  <c r="Q42" i="4" s="1"/>
  <c r="D12"/>
  <c r="M118" i="5"/>
  <c r="H138"/>
  <c r="E130"/>
  <c r="B24" i="4"/>
  <c r="K134" i="5"/>
  <c r="Q79" i="4" s="1"/>
  <c r="K103" i="5"/>
  <c r="N78" i="4" s="1"/>
  <c r="M102" i="5"/>
  <c r="K101"/>
  <c r="N76" i="4" s="1"/>
  <c r="K113" i="5"/>
  <c r="N88" i="4" s="1"/>
  <c r="K114" i="5"/>
  <c r="N89" i="4" s="1"/>
  <c r="M108" i="5"/>
  <c r="K117"/>
  <c r="N92" i="4" s="1"/>
  <c r="M101" i="5"/>
  <c r="K115"/>
  <c r="N90" i="4" s="1"/>
  <c r="M110" i="5"/>
  <c r="M117"/>
  <c r="D96"/>
  <c r="B96"/>
  <c r="B19" i="4"/>
  <c r="K120" i="5"/>
  <c r="N95" i="4" s="1"/>
  <c r="K104" i="5"/>
  <c r="N79" i="4" s="1"/>
  <c r="E96" i="5"/>
  <c r="B25" i="4"/>
  <c r="B16"/>
  <c r="M100" i="5"/>
  <c r="Q126"/>
  <c r="Q127"/>
  <c r="K145"/>
  <c r="Q90" i="4" s="1"/>
  <c r="D31"/>
  <c r="D30"/>
  <c r="D27"/>
  <c r="B14"/>
  <c r="B11"/>
  <c r="B32"/>
  <c r="B28"/>
  <c r="D15"/>
  <c r="D14"/>
  <c r="M103" i="5"/>
  <c r="J96"/>
  <c r="R96"/>
  <c r="K106"/>
  <c r="N81" i="4" s="1"/>
  <c r="K121" i="5"/>
  <c r="N96" i="4" s="1"/>
  <c r="G96" i="5"/>
  <c r="B8" i="4"/>
  <c r="D9"/>
  <c r="D32"/>
  <c r="B30"/>
  <c r="H96" i="5"/>
  <c r="M97"/>
  <c r="M106"/>
  <c r="M112"/>
  <c r="M114"/>
  <c r="M121"/>
  <c r="M119"/>
  <c r="M109"/>
  <c r="K116"/>
  <c r="N91" i="4" s="1"/>
  <c r="M105" i="5"/>
  <c r="K99"/>
  <c r="N74" i="4" s="1"/>
  <c r="Q97" i="5"/>
  <c r="B29" i="4"/>
  <c r="B20"/>
  <c r="B17"/>
  <c r="D13"/>
  <c r="D29"/>
  <c r="D21"/>
  <c r="D19"/>
  <c r="D17"/>
  <c r="B13"/>
  <c r="Q6" i="5"/>
  <c r="B10" i="4"/>
  <c r="K26" i="5"/>
  <c r="E91" i="4" s="1"/>
  <c r="E6" i="5"/>
  <c r="K27"/>
  <c r="E92" i="4" s="1"/>
  <c r="K31" i="5"/>
  <c r="E96" i="4" s="1"/>
  <c r="H6" i="5"/>
  <c r="M206"/>
  <c r="M208"/>
  <c r="M189"/>
  <c r="K269"/>
  <c r="K170"/>
  <c r="Q277"/>
  <c r="D276"/>
  <c r="D156"/>
  <c r="Q156"/>
  <c r="K220"/>
  <c r="M296"/>
  <c r="K286"/>
  <c r="D246"/>
  <c r="Q217"/>
  <c r="Q187"/>
  <c r="Q157"/>
  <c r="Q247"/>
  <c r="B47" i="28" l="1"/>
  <c r="AH91" i="4"/>
  <c r="AH91" i="28"/>
  <c r="Y74" i="4"/>
  <c r="Y74" i="28"/>
  <c r="Y91" i="4"/>
  <c r="Y91" i="28"/>
  <c r="AF81" i="4"/>
  <c r="AF81" i="28"/>
  <c r="Z75" i="4"/>
  <c r="Z75" i="28"/>
  <c r="AC94" i="4"/>
  <c r="AC94" i="28"/>
  <c r="Y93" i="4"/>
  <c r="Y93" i="28"/>
  <c r="W88" i="4"/>
  <c r="W88" i="28"/>
  <c r="W73" i="4"/>
  <c r="W73" i="28"/>
  <c r="T77" i="4"/>
  <c r="T77" i="28"/>
  <c r="Z92" i="4"/>
  <c r="Z92" i="28"/>
  <c r="AB95" i="4"/>
  <c r="AB95" i="28"/>
  <c r="Z111" i="4"/>
  <c r="Z111" i="28"/>
  <c r="Z127" i="4"/>
  <c r="Z127" i="28"/>
  <c r="AB119" i="4"/>
  <c r="AB119" i="28"/>
  <c r="Z64" i="4"/>
  <c r="Z64" i="28"/>
  <c r="AB114" i="4"/>
  <c r="AB114" i="28"/>
  <c r="Z126" i="4"/>
  <c r="B126" s="1"/>
  <c r="Z126" i="28"/>
  <c r="Z109" i="4"/>
  <c r="Z109" i="28"/>
  <c r="AB125" i="4"/>
  <c r="AB125" i="28"/>
  <c r="AB109" i="4"/>
  <c r="AB109" i="28"/>
  <c r="Z43" i="4"/>
  <c r="Z43" i="28"/>
  <c r="AB120" i="4"/>
  <c r="AB120" i="28"/>
  <c r="Z116" i="4"/>
  <c r="Z116" i="28"/>
  <c r="T83" i="4"/>
  <c r="T83" i="28"/>
  <c r="T118" i="4"/>
  <c r="T118" i="28"/>
  <c r="Z112" i="4"/>
  <c r="Z112" i="28"/>
  <c r="AB116" i="4"/>
  <c r="AB116" i="28"/>
  <c r="AB106" i="4"/>
  <c r="AB106" i="28"/>
  <c r="AF49" i="4"/>
  <c r="AF49" i="28"/>
  <c r="AC106" i="4"/>
  <c r="AC106" i="28"/>
  <c r="AF113" i="4"/>
  <c r="AF113" i="28"/>
  <c r="Y59" i="4"/>
  <c r="Y59" i="28"/>
  <c r="D59" s="1"/>
  <c r="V120" i="4"/>
  <c r="V120" i="28"/>
  <c r="V107" i="4"/>
  <c r="V107" i="28"/>
  <c r="AC123" i="4"/>
  <c r="AC123" i="28"/>
  <c r="AF94" i="4"/>
  <c r="AF94" i="28"/>
  <c r="AH92" i="4"/>
  <c r="AH92" i="28"/>
  <c r="AH48" i="4"/>
  <c r="AH48" i="28"/>
  <c r="D48" s="1"/>
  <c r="T58" i="4"/>
  <c r="T58" i="28"/>
  <c r="AH96" i="4"/>
  <c r="AH96" i="28"/>
  <c r="AF116" i="4"/>
  <c r="AF116" i="28"/>
  <c r="AH127" i="4"/>
  <c r="AH127" i="28"/>
  <c r="AF62" i="4"/>
  <c r="AF62" i="28"/>
  <c r="AF46" i="4"/>
  <c r="AF46" i="28"/>
  <c r="AH110" i="4"/>
  <c r="AH110" i="28"/>
  <c r="AH43" i="4"/>
  <c r="AH43" i="28"/>
  <c r="AF105" i="4"/>
  <c r="AF105" i="28"/>
  <c r="AH53" i="4"/>
  <c r="AH53" i="28"/>
  <c r="AH125" i="4"/>
  <c r="AH125" i="28"/>
  <c r="AH108" i="4"/>
  <c r="AH108" i="28"/>
  <c r="AH115" i="4"/>
  <c r="AH115" i="28"/>
  <c r="AF64" i="4"/>
  <c r="AF64" i="28"/>
  <c r="AF56" i="4"/>
  <c r="AF56" i="28"/>
  <c r="AH114" i="4"/>
  <c r="AH114" i="28"/>
  <c r="AF118" i="4"/>
  <c r="AF118" i="28"/>
  <c r="AF112" i="4"/>
  <c r="AF112" i="28"/>
  <c r="AF123" i="4"/>
  <c r="AF123" i="28"/>
  <c r="AF117" i="4"/>
  <c r="AF117" i="28"/>
  <c r="AH113" i="4"/>
  <c r="AH113" i="28"/>
  <c r="AF63" i="4"/>
  <c r="B63" s="1"/>
  <c r="AF63" i="28"/>
  <c r="AF55" i="4"/>
  <c r="AF55" i="28"/>
  <c r="AH128" i="4"/>
  <c r="AH128" i="28"/>
  <c r="AH112" i="4"/>
  <c r="AH112" i="28"/>
  <c r="T128" i="4"/>
  <c r="T128" i="28"/>
  <c r="T62" i="4"/>
  <c r="T62" i="28"/>
  <c r="T46" i="4"/>
  <c r="T46" i="28"/>
  <c r="B46" s="1"/>
  <c r="V112" i="4"/>
  <c r="V112" i="28"/>
  <c r="V126" i="4"/>
  <c r="D126" s="1"/>
  <c r="V126" i="28"/>
  <c r="V106" i="4"/>
  <c r="V106" i="28"/>
  <c r="T125" i="4"/>
  <c r="T125" i="28"/>
  <c r="T110" i="4"/>
  <c r="B110" s="1"/>
  <c r="T110" i="28"/>
  <c r="T112" i="4"/>
  <c r="B112" s="1"/>
  <c r="T112" i="28"/>
  <c r="T124" i="4"/>
  <c r="B124" s="1"/>
  <c r="T124" i="28"/>
  <c r="T119" i="4"/>
  <c r="T119" i="28"/>
  <c r="V113" i="4"/>
  <c r="V113" i="28"/>
  <c r="T53" i="4"/>
  <c r="B53" s="1"/>
  <c r="T53" i="28"/>
  <c r="T45" i="4"/>
  <c r="B45" s="1"/>
  <c r="T45" i="28"/>
  <c r="B45" s="1"/>
  <c r="V125" i="4"/>
  <c r="V125" i="28"/>
  <c r="V110" i="4"/>
  <c r="D110" s="1"/>
  <c r="V110" i="28"/>
  <c r="T114" i="4"/>
  <c r="T114" i="28"/>
  <c r="T108" i="4"/>
  <c r="B108" s="1"/>
  <c r="T108" i="28"/>
  <c r="T120" i="4"/>
  <c r="T120" i="28"/>
  <c r="T111" i="4"/>
  <c r="B111" s="1"/>
  <c r="T111" i="28"/>
  <c r="V119" i="4"/>
  <c r="V119" i="28"/>
  <c r="T56" i="4"/>
  <c r="T56" i="28"/>
  <c r="V116" i="4"/>
  <c r="D116" s="1"/>
  <c r="V116" i="28"/>
  <c r="T105" i="4"/>
  <c r="B105" s="1"/>
  <c r="T105" i="28"/>
  <c r="T121" i="4"/>
  <c r="T121" i="28"/>
  <c r="V43" i="4"/>
  <c r="V43" i="28"/>
  <c r="D43" s="1"/>
  <c r="W74" i="4"/>
  <c r="W74" i="28"/>
  <c r="Y95" i="4"/>
  <c r="Y95" i="28"/>
  <c r="AC109" i="4"/>
  <c r="AC109" i="28"/>
  <c r="AE122" i="4"/>
  <c r="AE122" i="28"/>
  <c r="AE111" i="4"/>
  <c r="AE111" i="28"/>
  <c r="Z50" i="4"/>
  <c r="Z50" i="28"/>
  <c r="AH118" i="4"/>
  <c r="AH118" i="28"/>
  <c r="AH105" i="4"/>
  <c r="AH105" i="28"/>
  <c r="Y108" i="4"/>
  <c r="D108" s="1"/>
  <c r="Y108" i="28"/>
  <c r="W113" i="4"/>
  <c r="W113" i="28"/>
  <c r="Y122" i="4"/>
  <c r="Y122" i="28"/>
  <c r="Y114" i="4"/>
  <c r="D114" s="1"/>
  <c r="Y114" i="28"/>
  <c r="W43" i="4"/>
  <c r="W43" i="28"/>
  <c r="Y50" i="4"/>
  <c r="Y50" i="28"/>
  <c r="D50" s="1"/>
  <c r="W115" i="4"/>
  <c r="W115" i="28"/>
  <c r="W50" i="4"/>
  <c r="W50" i="28"/>
  <c r="Y119" i="4"/>
  <c r="Y119" i="28"/>
  <c r="W121" i="4"/>
  <c r="W121" i="28"/>
  <c r="Y56" i="4"/>
  <c r="Y56" i="28"/>
  <c r="D56" s="1"/>
  <c r="Y115" i="4"/>
  <c r="D115" s="1"/>
  <c r="Y115" i="28"/>
  <c r="W109" i="4"/>
  <c r="W109" i="28"/>
  <c r="W125" i="4"/>
  <c r="W125" i="28"/>
  <c r="W120" i="4"/>
  <c r="W120" i="28"/>
  <c r="W118" i="4"/>
  <c r="W118" i="28"/>
  <c r="W116" i="4"/>
  <c r="W116" i="28"/>
  <c r="Y116" i="4"/>
  <c r="Y116" i="28"/>
  <c r="W41" i="4"/>
  <c r="W41" i="28"/>
  <c r="Y117" i="4"/>
  <c r="D117" s="1"/>
  <c r="Y117" i="28"/>
  <c r="Y47" i="4"/>
  <c r="Y47" i="28"/>
  <c r="D47" s="1"/>
  <c r="Y63" i="4"/>
  <c r="Y63" i="28"/>
  <c r="D63" s="1"/>
  <c r="W127" i="4"/>
  <c r="W127" i="28"/>
  <c r="W111" i="4"/>
  <c r="W111" i="28"/>
  <c r="Z107" i="4"/>
  <c r="Z107" i="28"/>
  <c r="AB110" i="4"/>
  <c r="AB110" i="28"/>
  <c r="Z110" i="4"/>
  <c r="Z110" i="28"/>
  <c r="Z117" i="4"/>
  <c r="Z117" i="28"/>
  <c r="AB108" i="4"/>
  <c r="AB108" i="28"/>
  <c r="AB45" i="4"/>
  <c r="AB45" i="28"/>
  <c r="AE119" i="4"/>
  <c r="AE119" i="28"/>
  <c r="AC56" i="4"/>
  <c r="AC56" i="28"/>
  <c r="AC116" i="4"/>
  <c r="AC116" i="28"/>
  <c r="AE117" i="4"/>
  <c r="AE117" i="28"/>
  <c r="AC55" i="4"/>
  <c r="AC55" i="28"/>
  <c r="AE128" i="4"/>
  <c r="AE128" i="28"/>
  <c r="AC117" i="4"/>
  <c r="AC117" i="28"/>
  <c r="AC126" i="4"/>
  <c r="AC126" i="28"/>
  <c r="AE123" i="4"/>
  <c r="D123" s="1"/>
  <c r="AE123" i="28"/>
  <c r="AE107" i="4"/>
  <c r="AE107" i="28"/>
  <c r="AC58" i="4"/>
  <c r="AC58" i="28"/>
  <c r="AC50" i="4"/>
  <c r="AC50" i="28"/>
  <c r="AE118" i="4"/>
  <c r="AE118" i="28"/>
  <c r="AC121" i="4"/>
  <c r="AC121" i="28"/>
  <c r="AC105" i="4"/>
  <c r="AC105" i="28"/>
  <c r="AC115" i="4"/>
  <c r="AC115" i="28"/>
  <c r="AC120" i="4"/>
  <c r="AC120" i="28"/>
  <c r="AC114" i="4"/>
  <c r="AC114" i="28"/>
  <c r="AE113" i="4"/>
  <c r="AE113" i="28"/>
  <c r="AE124" i="4"/>
  <c r="AE124" i="28"/>
  <c r="AE108" i="4"/>
  <c r="AE108" i="28"/>
  <c r="B40"/>
  <c r="V122" i="4"/>
  <c r="V122" i="28"/>
  <c r="Y80" i="4"/>
  <c r="Y80" i="28"/>
  <c r="M238" i="5"/>
  <c r="B43" i="28"/>
  <c r="B61"/>
  <c r="B64"/>
  <c r="B48"/>
  <c r="M217" i="5"/>
  <c r="M222"/>
  <c r="B55" i="28"/>
  <c r="T85" i="4"/>
  <c r="T85" i="28"/>
  <c r="W75" i="4"/>
  <c r="W75" i="28"/>
  <c r="W84" i="4"/>
  <c r="W84" i="28"/>
  <c r="Y87" i="4"/>
  <c r="Y87" i="28"/>
  <c r="AC89" i="4"/>
  <c r="AC89" i="28"/>
  <c r="Z118" i="4"/>
  <c r="Z118" i="28"/>
  <c r="Z113" i="4"/>
  <c r="Z113" i="28"/>
  <c r="Z119" i="4"/>
  <c r="Z119" i="28"/>
  <c r="AB42" i="4"/>
  <c r="AB42" i="28"/>
  <c r="D42" s="1"/>
  <c r="AB127" i="4"/>
  <c r="AB127" i="28"/>
  <c r="D127" s="1"/>
  <c r="Z60" i="4"/>
  <c r="Z60" i="28"/>
  <c r="Z52" i="4"/>
  <c r="Z52" i="28"/>
  <c r="B52" s="1"/>
  <c r="AB122" i="4"/>
  <c r="AB122" i="28"/>
  <c r="AB105" i="4"/>
  <c r="AB105" i="28"/>
  <c r="Z125" i="4"/>
  <c r="Z125" i="28"/>
  <c r="AB117" i="4"/>
  <c r="AB117" i="28"/>
  <c r="Z47" i="4"/>
  <c r="Z47" i="28"/>
  <c r="Z39" s="1"/>
  <c r="AB128" i="4"/>
  <c r="AB128" i="28"/>
  <c r="AB112" i="4"/>
  <c r="AB112" i="28"/>
  <c r="Z124" i="4"/>
  <c r="Z124" i="28"/>
  <c r="Z108" i="4"/>
  <c r="Z108" i="28"/>
  <c r="V92" i="4"/>
  <c r="V92" i="28"/>
  <c r="V94" i="4"/>
  <c r="V94" i="28"/>
  <c r="W95" i="4"/>
  <c r="W95" i="28"/>
  <c r="Y64" i="4"/>
  <c r="Y64" i="28"/>
  <c r="D64" s="1"/>
  <c r="AB84" i="4"/>
  <c r="AB84" i="28"/>
  <c r="AC79" i="4"/>
  <c r="AC79" i="28"/>
  <c r="AE120" i="4"/>
  <c r="AE120" i="28"/>
  <c r="AE109" i="4"/>
  <c r="AE109" i="28"/>
  <c r="AH116" i="4"/>
  <c r="AH116" i="28"/>
  <c r="T115" i="4"/>
  <c r="T115" i="28"/>
  <c r="B115" s="1"/>
  <c r="AC108" i="4"/>
  <c r="AC108" i="28"/>
  <c r="T117" i="4"/>
  <c r="T117" i="28"/>
  <c r="Z122" i="4"/>
  <c r="Z122" i="28"/>
  <c r="Y121" i="4"/>
  <c r="Y121" i="28"/>
  <c r="Y110" i="4"/>
  <c r="Y110" i="28"/>
  <c r="AF90" i="4"/>
  <c r="AF90" i="28"/>
  <c r="T95" i="4"/>
  <c r="T95" i="28"/>
  <c r="AF108" i="4"/>
  <c r="AF108" i="28"/>
  <c r="Y81" i="4"/>
  <c r="Y81" i="28"/>
  <c r="AC92" i="4"/>
  <c r="AC92" i="28"/>
  <c r="AF127" i="4"/>
  <c r="AF127" i="28"/>
  <c r="B127" s="1"/>
  <c r="AH111" i="4"/>
  <c r="AH111" i="28"/>
  <c r="AF54" i="4"/>
  <c r="AF54" i="28"/>
  <c r="AH126" i="4"/>
  <c r="AH126" i="28"/>
  <c r="AH59" i="4"/>
  <c r="AH59" i="28"/>
  <c r="AF107" i="4"/>
  <c r="AF107" i="28"/>
  <c r="AF103" s="1"/>
  <c r="AF121" i="4"/>
  <c r="AF121" i="28"/>
  <c r="AH64" i="4"/>
  <c r="AH64" i="28"/>
  <c r="AH109" i="4"/>
  <c r="AH109" i="28"/>
  <c r="AF53" i="4"/>
  <c r="AF53" i="28"/>
  <c r="AH124" i="4"/>
  <c r="AH124" i="28"/>
  <c r="AF114" i="4"/>
  <c r="AF114" i="28"/>
  <c r="AH42" i="4"/>
  <c r="AH42" i="28"/>
  <c r="AH39" s="1"/>
  <c r="AF124" i="4"/>
  <c r="AF124" i="28"/>
  <c r="AH123" i="4"/>
  <c r="AH123" i="28"/>
  <c r="AH107" i="4"/>
  <c r="AH107" i="28"/>
  <c r="AF60" i="4"/>
  <c r="AF60" i="28"/>
  <c r="AH122" i="4"/>
  <c r="AH122" i="28"/>
  <c r="AF126" i="4"/>
  <c r="AF126" i="28"/>
  <c r="AF110" i="4"/>
  <c r="AF110" i="28"/>
  <c r="AF109" i="4"/>
  <c r="AF109" i="28"/>
  <c r="AF125" i="4"/>
  <c r="AF125" i="28"/>
  <c r="AH121" i="4"/>
  <c r="AH121" i="28"/>
  <c r="AH106" i="4"/>
  <c r="AH106" i="28"/>
  <c r="AH103" s="1"/>
  <c r="AF51" i="4"/>
  <c r="AF51" i="28"/>
  <c r="AF39" s="1"/>
  <c r="AH120" i="4"/>
  <c r="AH120" i="28"/>
  <c r="T116" i="4"/>
  <c r="T116" i="28"/>
  <c r="B116" s="1"/>
  <c r="T107" i="4"/>
  <c r="T107" i="28"/>
  <c r="B107" s="1"/>
  <c r="V115" i="4"/>
  <c r="V115" i="28"/>
  <c r="V60" i="4"/>
  <c r="V60" i="28"/>
  <c r="D60" s="1"/>
  <c r="V109" i="4"/>
  <c r="V109" i="28"/>
  <c r="T51" i="4"/>
  <c r="T51" i="28"/>
  <c r="B51" s="1"/>
  <c r="V123" i="4"/>
  <c r="V123" i="28"/>
  <c r="T109" i="4"/>
  <c r="T109" i="28"/>
  <c r="B109" s="1"/>
  <c r="T126" i="4"/>
  <c r="T126" i="28"/>
  <c r="B104"/>
  <c r="V121" i="4"/>
  <c r="V121" i="28"/>
  <c r="V105" i="4"/>
  <c r="V105" i="28"/>
  <c r="V118" i="4"/>
  <c r="V118" i="28"/>
  <c r="V46" i="4"/>
  <c r="V46" i="28"/>
  <c r="D46" s="1"/>
  <c r="V62" i="4"/>
  <c r="V62" i="28"/>
  <c r="D62" s="1"/>
  <c r="T122" i="4"/>
  <c r="T122" i="28"/>
  <c r="T106" i="4"/>
  <c r="T106" i="28"/>
  <c r="B106" s="1"/>
  <c r="V111" i="4"/>
  <c r="V111" i="28"/>
  <c r="V124" i="4"/>
  <c r="V124" i="28"/>
  <c r="V108" i="4"/>
  <c r="V108" i="28"/>
  <c r="D108" s="1"/>
  <c r="T113" i="4"/>
  <c r="T113" i="28"/>
  <c r="T123" i="4"/>
  <c r="T123" i="28"/>
  <c r="AF74" i="4"/>
  <c r="AF74" i="28"/>
  <c r="W123" i="4"/>
  <c r="W123" i="28"/>
  <c r="AB118" i="4"/>
  <c r="AB118" i="28"/>
  <c r="AB107" i="4"/>
  <c r="AB107" i="28"/>
  <c r="W122" i="4"/>
  <c r="W122" i="28"/>
  <c r="V128" i="4"/>
  <c r="V128" i="28"/>
  <c r="D128" s="1"/>
  <c r="V117" i="4"/>
  <c r="V117" i="28"/>
  <c r="W128" i="4"/>
  <c r="W128" i="28"/>
  <c r="Y111" i="4"/>
  <c r="Y111" i="28"/>
  <c r="Y82" i="4"/>
  <c r="Y82" i="28"/>
  <c r="Y126" i="4"/>
  <c r="Y126" i="28"/>
  <c r="W59" i="4"/>
  <c r="W59" i="28"/>
  <c r="B59" s="1"/>
  <c r="Y113" i="4"/>
  <c r="Y113" i="28"/>
  <c r="W114" i="4"/>
  <c r="W114" i="28"/>
  <c r="Y118" i="4"/>
  <c r="Y118" i="28"/>
  <c r="Y105" i="4"/>
  <c r="Y105" i="28"/>
  <c r="Y103" s="1"/>
  <c r="W105" i="4"/>
  <c r="W105" i="28"/>
  <c r="W103" s="1"/>
  <c r="W112" i="4"/>
  <c r="W112" i="28"/>
  <c r="Y41" i="4"/>
  <c r="Y41" i="28"/>
  <c r="D41" s="1"/>
  <c r="Y107" i="4"/>
  <c r="Y107" i="28"/>
  <c r="Y123" i="4"/>
  <c r="Y123" i="28"/>
  <c r="W117" i="4"/>
  <c r="W117" i="28"/>
  <c r="W108" i="4"/>
  <c r="W108" i="28"/>
  <c r="W110" i="4"/>
  <c r="W110" i="28"/>
  <c r="W126" i="4"/>
  <c r="W126" i="28"/>
  <c r="Y124" i="4"/>
  <c r="Y124" i="28"/>
  <c r="W53" i="4"/>
  <c r="W53" i="28"/>
  <c r="W39" s="1"/>
  <c r="Y109" i="4"/>
  <c r="Y109" i="28"/>
  <c r="Y125" i="4"/>
  <c r="Y125" i="28"/>
  <c r="Y45" i="4"/>
  <c r="Y45" i="28"/>
  <c r="D45" s="1"/>
  <c r="Y55" i="4"/>
  <c r="Y55" i="28"/>
  <c r="D55" s="1"/>
  <c r="Y53" i="4"/>
  <c r="Y53" i="28"/>
  <c r="D53" s="1"/>
  <c r="W119" i="4"/>
  <c r="W119" i="28"/>
  <c r="Z123" i="4"/>
  <c r="Z123" i="28"/>
  <c r="AB115" i="4"/>
  <c r="AB115" i="28"/>
  <c r="AB126" i="4"/>
  <c r="AB126" i="28"/>
  <c r="Z120" i="4"/>
  <c r="Z120" i="28"/>
  <c r="Z105" i="4"/>
  <c r="Z105" i="28"/>
  <c r="AB113" i="4"/>
  <c r="AB113" i="28"/>
  <c r="AB124" i="4"/>
  <c r="AB124" i="28"/>
  <c r="AB61" i="4"/>
  <c r="AB61" i="28"/>
  <c r="D61" s="1"/>
  <c r="AE114" i="4"/>
  <c r="AE114" i="28"/>
  <c r="AC122" i="4"/>
  <c r="AC122" i="28"/>
  <c r="AC63" i="4"/>
  <c r="AC63" i="28"/>
  <c r="B63" s="1"/>
  <c r="AC47" i="4"/>
  <c r="AC47" i="28"/>
  <c r="AC39" s="1"/>
  <c r="AE112" i="4"/>
  <c r="AE112" i="28"/>
  <c r="AE115" i="4"/>
  <c r="AE115" i="28"/>
  <c r="AC62" i="4"/>
  <c r="AC62" i="28"/>
  <c r="AE126" i="4"/>
  <c r="AE126" i="28"/>
  <c r="AE110" i="4"/>
  <c r="AE110" i="28"/>
  <c r="AC113" i="4"/>
  <c r="AC113" i="28"/>
  <c r="AE56" i="4"/>
  <c r="AE56" i="28"/>
  <c r="AC118" i="4"/>
  <c r="AC118" i="28"/>
  <c r="AC112" i="4"/>
  <c r="AC112" i="28"/>
  <c r="AC128" i="4"/>
  <c r="AC128" i="28"/>
  <c r="AE121" i="4"/>
  <c r="AE121" i="28"/>
  <c r="AE106" i="4"/>
  <c r="AE106" i="28"/>
  <c r="AC57" i="4"/>
  <c r="AC57" i="28"/>
  <c r="B57" s="1"/>
  <c r="AE116" i="4"/>
  <c r="AE116" i="28"/>
  <c r="AE58" i="4"/>
  <c r="AE58" i="28"/>
  <c r="D58" s="1"/>
  <c r="AE42" i="4"/>
  <c r="AE42" i="28"/>
  <c r="AE39" s="1"/>
  <c r="AC72" i="4"/>
  <c r="AC72" i="28"/>
  <c r="AH117" i="4"/>
  <c r="AH117" i="28"/>
  <c r="B125" i="4"/>
  <c r="Z103" i="28"/>
  <c r="B50"/>
  <c r="B54"/>
  <c r="B49"/>
  <c r="B41"/>
  <c r="B60"/>
  <c r="B44"/>
  <c r="K164" i="5"/>
  <c r="M249"/>
  <c r="B42" i="28"/>
  <c r="D9"/>
  <c r="D12"/>
  <c r="D7" s="1"/>
  <c r="D13"/>
  <c r="D15"/>
  <c r="D16"/>
  <c r="D17"/>
  <c r="D18"/>
  <c r="D19"/>
  <c r="D20"/>
  <c r="D21"/>
  <c r="D22"/>
  <c r="D23"/>
  <c r="D24"/>
  <c r="D25"/>
  <c r="D26"/>
  <c r="D27"/>
  <c r="D29"/>
  <c r="B32"/>
  <c r="B7" s="1"/>
  <c r="Z7"/>
  <c r="AE7"/>
  <c r="AF7"/>
  <c r="AE103"/>
  <c r="P103" i="4"/>
  <c r="K67" i="5"/>
  <c r="K72" i="4" s="1"/>
  <c r="B117"/>
  <c r="P39"/>
  <c r="K127" i="5"/>
  <c r="Q72" i="4" s="1"/>
  <c r="K141" i="5"/>
  <c r="Q86" i="4" s="1"/>
  <c r="K131" i="5"/>
  <c r="Q76" i="4" s="1"/>
  <c r="P96"/>
  <c r="P86"/>
  <c r="P89"/>
  <c r="P75"/>
  <c r="P94"/>
  <c r="P81"/>
  <c r="P78"/>
  <c r="P85"/>
  <c r="P83"/>
  <c r="P77"/>
  <c r="P93"/>
  <c r="P79"/>
  <c r="P39" i="28"/>
  <c r="D40"/>
  <c r="P103"/>
  <c r="D104"/>
  <c r="P80" i="4"/>
  <c r="P72"/>
  <c r="P95"/>
  <c r="P76"/>
  <c r="P91"/>
  <c r="P82"/>
  <c r="P84"/>
  <c r="P87"/>
  <c r="P92"/>
  <c r="P90"/>
  <c r="P88"/>
  <c r="Y7"/>
  <c r="D10"/>
  <c r="T7"/>
  <c r="Z7"/>
  <c r="V7"/>
  <c r="B127"/>
  <c r="AE7"/>
  <c r="K69" i="5"/>
  <c r="K74" i="4" s="1"/>
  <c r="K85" i="5"/>
  <c r="K90" i="4" s="1"/>
  <c r="K82" i="5"/>
  <c r="K87" i="4" s="1"/>
  <c r="M148" i="5"/>
  <c r="S93" i="4" s="1"/>
  <c r="K148" i="5"/>
  <c r="Q93" i="4" s="1"/>
  <c r="M143" i="5"/>
  <c r="S88" i="4" s="1"/>
  <c r="B122"/>
  <c r="K149" i="5"/>
  <c r="Q94" i="4" s="1"/>
  <c r="K128" i="5"/>
  <c r="Q73" i="4" s="1"/>
  <c r="M142" i="5"/>
  <c r="S87" i="4" s="1"/>
  <c r="K146" i="5"/>
  <c r="Q91" i="4" s="1"/>
  <c r="D105"/>
  <c r="D120"/>
  <c r="D118"/>
  <c r="D113"/>
  <c r="M60" i="5"/>
  <c r="J95" i="4" s="1"/>
  <c r="D119"/>
  <c r="M52" i="5"/>
  <c r="J87" i="4" s="1"/>
  <c r="D109"/>
  <c r="D125"/>
  <c r="E39"/>
  <c r="D107"/>
  <c r="E71"/>
  <c r="W104"/>
  <c r="H186" i="5"/>
  <c r="AB49" i="4"/>
  <c r="M226" i="5"/>
  <c r="AB48" i="4"/>
  <c r="M225" i="5"/>
  <c r="Z63" i="4"/>
  <c r="K240" i="5"/>
  <c r="AF40" i="4"/>
  <c r="K277" i="5"/>
  <c r="R276"/>
  <c r="E276"/>
  <c r="T50" i="4"/>
  <c r="K167" i="5"/>
  <c r="W51" i="4"/>
  <c r="K198" i="5"/>
  <c r="AF52" i="4"/>
  <c r="K289" i="5"/>
  <c r="AH44" i="4"/>
  <c r="M281" i="5"/>
  <c r="AH47" i="4"/>
  <c r="M284" i="5"/>
  <c r="T54" i="4"/>
  <c r="K171" i="5"/>
  <c r="V45" i="4"/>
  <c r="M162" i="5"/>
  <c r="V53" i="4"/>
  <c r="M170" i="5"/>
  <c r="T57" i="4"/>
  <c r="K174" i="5"/>
  <c r="V49" i="4"/>
  <c r="M166" i="5"/>
  <c r="T60" i="4"/>
  <c r="K177" i="5"/>
  <c r="V104" i="4"/>
  <c r="J156" i="5"/>
  <c r="M285"/>
  <c r="V50" i="4"/>
  <c r="M167" i="5"/>
  <c r="W44" i="4"/>
  <c r="K191" i="5"/>
  <c r="Y60" i="4"/>
  <c r="M207" i="5"/>
  <c r="Y54" i="4"/>
  <c r="D54" s="1"/>
  <c r="M201" i="5"/>
  <c r="Y104" i="4"/>
  <c r="J186" i="5"/>
  <c r="AE64" i="4"/>
  <c r="M271" i="5"/>
  <c r="AE47" i="4"/>
  <c r="M254" i="5"/>
  <c r="AF41" i="4"/>
  <c r="K278" i="5"/>
  <c r="K265"/>
  <c r="M200"/>
  <c r="H66"/>
  <c r="E66"/>
  <c r="B15" i="4"/>
  <c r="K71" i="5"/>
  <c r="K76" i="4" s="1"/>
  <c r="K219" i="5"/>
  <c r="Z106" i="4"/>
  <c r="AB54"/>
  <c r="M231" i="5"/>
  <c r="Z48" i="4"/>
  <c r="K225" i="5"/>
  <c r="AB41" i="4"/>
  <c r="M218" i="5"/>
  <c r="AB73" i="28" s="1"/>
  <c r="AB56" i="4"/>
  <c r="M233" i="5"/>
  <c r="Z59" i="4"/>
  <c r="K236" i="5"/>
  <c r="Z40" i="4"/>
  <c r="E216" i="5"/>
  <c r="R216"/>
  <c r="K217"/>
  <c r="AH51" i="4"/>
  <c r="M288" i="5"/>
  <c r="Y58" i="4"/>
  <c r="M205" i="5"/>
  <c r="K193"/>
  <c r="AH41" i="4"/>
  <c r="M278" i="5"/>
  <c r="K292"/>
  <c r="AF119" i="4"/>
  <c r="AF48"/>
  <c r="K285" i="5"/>
  <c r="AH56" i="4"/>
  <c r="M293" i="5"/>
  <c r="AF47" i="4"/>
  <c r="K284" i="5"/>
  <c r="V41" i="4"/>
  <c r="M158" i="5"/>
  <c r="V57" i="4"/>
  <c r="M174" i="5"/>
  <c r="V54" i="4"/>
  <c r="M171" i="5"/>
  <c r="Y52" i="4"/>
  <c r="M199" i="5"/>
  <c r="W57" i="4"/>
  <c r="K204" i="5"/>
  <c r="Y62" i="4"/>
  <c r="M209" i="5"/>
  <c r="Z61" i="4"/>
  <c r="K238" i="5"/>
  <c r="AE49" i="4"/>
  <c r="M256" i="5"/>
  <c r="AE62" i="4"/>
  <c r="M269" i="5"/>
  <c r="AC53" i="4"/>
  <c r="K260" i="5"/>
  <c r="AE50" i="4"/>
  <c r="M257" i="5"/>
  <c r="M163"/>
  <c r="K297"/>
  <c r="K241"/>
  <c r="K290"/>
  <c r="K179"/>
  <c r="M192"/>
  <c r="M129"/>
  <c r="S74" i="4" s="1"/>
  <c r="K132" i="5"/>
  <c r="Q77" i="4" s="1"/>
  <c r="G103"/>
  <c r="R186" i="5"/>
  <c r="K206"/>
  <c r="M160"/>
  <c r="AB7" i="4"/>
  <c r="Z44"/>
  <c r="K221" i="5"/>
  <c r="AB43" i="4"/>
  <c r="M220" i="5"/>
  <c r="Z104" i="4"/>
  <c r="H216" i="5"/>
  <c r="AB64" i="4"/>
  <c r="D64" s="1"/>
  <c r="M241" i="5"/>
  <c r="Z55" i="4"/>
  <c r="K232" i="5"/>
  <c r="AE54" i="4"/>
  <c r="M261" i="5"/>
  <c r="M290"/>
  <c r="K288"/>
  <c r="AF115" i="4"/>
  <c r="AH54"/>
  <c r="M291" i="5"/>
  <c r="AH104" i="4"/>
  <c r="J276" i="5"/>
  <c r="AH57" i="4"/>
  <c r="M294" i="5"/>
  <c r="AH58" i="4"/>
  <c r="M295" i="5"/>
  <c r="AF44" i="4"/>
  <c r="K281" i="5"/>
  <c r="K301"/>
  <c r="AF128" i="4"/>
  <c r="B128" s="1"/>
  <c r="AF59"/>
  <c r="K296" i="5"/>
  <c r="AF43" i="4"/>
  <c r="K280" i="5"/>
  <c r="AH63" i="4"/>
  <c r="M300" i="5"/>
  <c r="V127" i="4"/>
  <c r="M180" i="5"/>
  <c r="V48" i="4"/>
  <c r="M165" i="5"/>
  <c r="T104" i="4"/>
  <c r="H156" i="5"/>
  <c r="V44" i="4"/>
  <c r="M161" i="5"/>
  <c r="T49" i="4"/>
  <c r="K166" i="5"/>
  <c r="V61" i="4"/>
  <c r="M178" i="5"/>
  <c r="T52" i="4"/>
  <c r="K169" i="5"/>
  <c r="V51" i="4"/>
  <c r="M168" i="5"/>
  <c r="J216"/>
  <c r="AE41" i="4"/>
  <c r="M248" i="5"/>
  <c r="T55" i="4"/>
  <c r="K172" i="5"/>
  <c r="AE52" i="4"/>
  <c r="M259" i="5"/>
  <c r="K205"/>
  <c r="W58" i="4"/>
  <c r="M299" i="5"/>
  <c r="W48" i="4"/>
  <c r="K195" i="5"/>
  <c r="K202"/>
  <c r="W55" i="4"/>
  <c r="Y44"/>
  <c r="M191" i="5"/>
  <c r="K192"/>
  <c r="W45" i="4"/>
  <c r="K208" i="5"/>
  <c r="W61" i="4"/>
  <c r="B61" s="1"/>
  <c r="Z54"/>
  <c r="K231" i="5"/>
  <c r="AB60" i="4"/>
  <c r="M237" i="5"/>
  <c r="Z53" i="4"/>
  <c r="K230" i="5"/>
  <c r="AE51" i="4"/>
  <c r="M258" i="5"/>
  <c r="AC48" i="4"/>
  <c r="K255" i="5"/>
  <c r="AE46" i="4"/>
  <c r="M253" i="5"/>
  <c r="K262"/>
  <c r="AC119" i="4"/>
  <c r="AE45"/>
  <c r="M252" i="5"/>
  <c r="AE59" i="4"/>
  <c r="M266" i="5"/>
  <c r="AC46" i="4"/>
  <c r="K253" i="5"/>
  <c r="AE44" i="4"/>
  <c r="M251" i="5"/>
  <c r="AC49" i="4"/>
  <c r="K256" i="5"/>
  <c r="K266"/>
  <c r="T40" i="4"/>
  <c r="E156" i="5"/>
  <c r="K157"/>
  <c r="R156"/>
  <c r="K229"/>
  <c r="M164"/>
  <c r="AB111" i="4"/>
  <c r="D111" s="1"/>
  <c r="M224" i="5"/>
  <c r="AB55" i="4"/>
  <c r="M232" i="5"/>
  <c r="Z49" i="4"/>
  <c r="K226" i="5"/>
  <c r="V42" i="4"/>
  <c r="M159" i="5"/>
  <c r="T41" i="4"/>
  <c r="K158" i="5"/>
  <c r="V56" i="4"/>
  <c r="M173" i="5"/>
  <c r="T44" i="4"/>
  <c r="K161" i="5"/>
  <c r="AE55" i="4"/>
  <c r="M262" i="5"/>
  <c r="AB58" i="4"/>
  <c r="M235" i="5"/>
  <c r="AC64" i="4"/>
  <c r="K271" i="5"/>
  <c r="AC107" i="4"/>
  <c r="B107" s="1"/>
  <c r="K250" i="5"/>
  <c r="AE61" i="4"/>
  <c r="M268" i="5"/>
  <c r="AC54" i="4"/>
  <c r="K261" i="5"/>
  <c r="AC41" i="4"/>
  <c r="K248" i="5"/>
  <c r="AC103" i="4"/>
  <c r="M280" i="5"/>
  <c r="M188"/>
  <c r="K133"/>
  <c r="Q78" i="4" s="1"/>
  <c r="M279" i="5"/>
  <c r="K291"/>
  <c r="M265"/>
  <c r="AC51" i="4"/>
  <c r="K258" i="5"/>
  <c r="G186"/>
  <c r="Y40" i="4"/>
  <c r="R187" i="5"/>
  <c r="M187"/>
  <c r="AF104" i="4"/>
  <c r="H276" i="5"/>
  <c r="AF45" i="4"/>
  <c r="K282" i="5"/>
  <c r="AH50" i="4"/>
  <c r="M287" i="5"/>
  <c r="V64" i="4"/>
  <c r="M181" i="5"/>
  <c r="V58" i="4"/>
  <c r="M175" i="5"/>
  <c r="T59" i="4"/>
  <c r="K176" i="5"/>
  <c r="V40" i="4"/>
  <c r="R157" i="5"/>
  <c r="G156"/>
  <c r="V59" i="4"/>
  <c r="M176" i="5"/>
  <c r="K175"/>
  <c r="AF50" i="4"/>
  <c r="K287" i="5"/>
  <c r="AH46" i="4"/>
  <c r="M283" i="5"/>
  <c r="W64" i="4"/>
  <c r="K211" i="5"/>
  <c r="Y51" i="4"/>
  <c r="M198" i="5"/>
  <c r="Z62" i="4"/>
  <c r="K239" i="5"/>
  <c r="AB44" i="4"/>
  <c r="M221" i="5"/>
  <c r="AE48" i="4"/>
  <c r="M255" i="5"/>
  <c r="AE43" i="4"/>
  <c r="M250" i="5"/>
  <c r="M247"/>
  <c r="AE72" i="28" s="1"/>
  <c r="AE104" i="4"/>
  <c r="AE103" s="1"/>
  <c r="J246" i="5"/>
  <c r="K293"/>
  <c r="AF120" i="4"/>
  <c r="W7"/>
  <c r="K151" i="5"/>
  <c r="Q96" i="4" s="1"/>
  <c r="M147" i="5"/>
  <c r="S92" i="4" s="1"/>
  <c r="M48" i="5"/>
  <c r="J83" i="4" s="1"/>
  <c r="J36" i="5"/>
  <c r="K235"/>
  <c r="K263"/>
  <c r="K163"/>
  <c r="M194"/>
  <c r="M190"/>
  <c r="D8" i="4"/>
  <c r="K150" i="5"/>
  <c r="Q95" i="4" s="1"/>
  <c r="K136" i="5"/>
  <c r="Q81" i="4" s="1"/>
  <c r="M42" i="5"/>
  <c r="J77" i="4" s="1"/>
  <c r="G39"/>
  <c r="R66" i="5"/>
  <c r="K76"/>
  <c r="K81" i="4" s="1"/>
  <c r="K197" i="5"/>
  <c r="K200"/>
  <c r="M219"/>
  <c r="K257"/>
  <c r="K300"/>
  <c r="AB59" i="4"/>
  <c r="M236" i="5"/>
  <c r="Z56" i="4"/>
  <c r="B56" s="1"/>
  <c r="K233" i="5"/>
  <c r="AB40" i="4"/>
  <c r="R217" i="5"/>
  <c r="G216"/>
  <c r="AB57" i="4"/>
  <c r="M234" i="5"/>
  <c r="K227"/>
  <c r="Z114" i="4"/>
  <c r="B114" s="1"/>
  <c r="AB50"/>
  <c r="M227" i="5"/>
  <c r="Z51" i="4"/>
  <c r="B51" s="1"/>
  <c r="K228" i="5"/>
  <c r="K218"/>
  <c r="K224"/>
  <c r="M263"/>
  <c r="K283"/>
  <c r="W62" i="4"/>
  <c r="K209" i="5"/>
  <c r="K173"/>
  <c r="AF57" i="4"/>
  <c r="K294" i="5"/>
  <c r="M264"/>
  <c r="AH49" i="4"/>
  <c r="M286" i="5"/>
  <c r="AF61" i="4"/>
  <c r="K298" i="5"/>
  <c r="AH52" i="4"/>
  <c r="M289" i="5"/>
  <c r="AH45" i="4"/>
  <c r="M282" i="5"/>
  <c r="AH40" i="4"/>
  <c r="M277" i="5"/>
  <c r="R277"/>
  <c r="G276"/>
  <c r="AH61" i="4"/>
  <c r="M298" i="5"/>
  <c r="AH55" i="4"/>
  <c r="M292" i="5"/>
  <c r="V55" i="4"/>
  <c r="M172" i="5"/>
  <c r="T43" i="4"/>
  <c r="K160" i="5"/>
  <c r="T61" i="4"/>
  <c r="K178" i="5"/>
  <c r="V52" i="4"/>
  <c r="M169" i="5"/>
  <c r="T64" i="4"/>
  <c r="K181" i="5"/>
  <c r="T48" i="4"/>
  <c r="K165" i="5"/>
  <c r="M230"/>
  <c r="AB103" i="4"/>
  <c r="K251" i="5"/>
  <c r="AC52" i="4"/>
  <c r="K259" i="5"/>
  <c r="AB62" i="4"/>
  <c r="D62" s="1"/>
  <c r="M239" i="5"/>
  <c r="AB51" i="4"/>
  <c r="M228" i="5"/>
  <c r="K194"/>
  <c r="W47" i="4"/>
  <c r="B47" s="1"/>
  <c r="R246" i="5"/>
  <c r="W54" i="4"/>
  <c r="K201" i="5"/>
  <c r="M211"/>
  <c r="Y128" i="4"/>
  <c r="D128" s="1"/>
  <c r="W60"/>
  <c r="B60" s="1"/>
  <c r="K207" i="5"/>
  <c r="W49" i="4"/>
  <c r="K196" i="5"/>
  <c r="W40" i="4"/>
  <c r="E186" i="5"/>
  <c r="K187"/>
  <c r="W72" i="28" s="1"/>
  <c r="Y46" i="4"/>
  <c r="M193" i="5"/>
  <c r="Y57" i="4"/>
  <c r="M204" i="5"/>
  <c r="AB46" i="4"/>
  <c r="M223" i="5"/>
  <c r="Z46" i="4"/>
  <c r="B46" s="1"/>
  <c r="K223" i="5"/>
  <c r="Z45" i="4"/>
  <c r="K222" i="5"/>
  <c r="AE40" i="4"/>
  <c r="G246" i="5"/>
  <c r="R247"/>
  <c r="AE60" i="4"/>
  <c r="M267" i="5"/>
  <c r="AE53" i="4"/>
  <c r="M260" i="5"/>
  <c r="AC42" i="4"/>
  <c r="K249" i="5"/>
  <c r="AE63" i="4"/>
  <c r="M270" i="5"/>
  <c r="AC61" i="4"/>
  <c r="K268" i="5"/>
  <c r="AC45" i="4"/>
  <c r="K252" i="5"/>
  <c r="M157"/>
  <c r="V72" i="28" s="1"/>
  <c r="H246" i="5"/>
  <c r="K270"/>
  <c r="E246"/>
  <c r="T42" i="4"/>
  <c r="B42" s="1"/>
  <c r="K159" i="5"/>
  <c r="M203"/>
  <c r="M44"/>
  <c r="J79" i="4" s="1"/>
  <c r="M40" i="5"/>
  <c r="J75" i="4" s="1"/>
  <c r="J43"/>
  <c r="M56" i="5"/>
  <c r="J91" i="4" s="1"/>
  <c r="J59"/>
  <c r="J103"/>
  <c r="H71"/>
  <c r="M103"/>
  <c r="M88" i="5"/>
  <c r="M93" i="4" s="1"/>
  <c r="M61"/>
  <c r="M86" i="5"/>
  <c r="M91" i="4" s="1"/>
  <c r="M59"/>
  <c r="K81" i="5"/>
  <c r="K86" i="4" s="1"/>
  <c r="K118"/>
  <c r="M91" i="5"/>
  <c r="M96" i="4" s="1"/>
  <c r="K89" i="5"/>
  <c r="K94" i="4" s="1"/>
  <c r="K75" i="5"/>
  <c r="K80" i="4" s="1"/>
  <c r="D112"/>
  <c r="D124"/>
  <c r="K39"/>
  <c r="D106"/>
  <c r="M136" i="5"/>
  <c r="S81" i="4" s="1"/>
  <c r="M137" i="5"/>
  <c r="S82" i="4" s="1"/>
  <c r="M128" i="5"/>
  <c r="S73" i="4" s="1"/>
  <c r="M149" i="5"/>
  <c r="S94" i="4" s="1"/>
  <c r="M141" i="5"/>
  <c r="S86" i="4" s="1"/>
  <c r="S103"/>
  <c r="M135" i="5"/>
  <c r="S80" i="4" s="1"/>
  <c r="K139" i="5"/>
  <c r="Q84" i="4" s="1"/>
  <c r="M138" i="5"/>
  <c r="S83" i="4" s="1"/>
  <c r="K137" i="5"/>
  <c r="Q82" i="4" s="1"/>
  <c r="M133" i="5"/>
  <c r="S78" i="4" s="1"/>
  <c r="M134" i="5"/>
  <c r="S79" i="4" s="1"/>
  <c r="K147" i="5"/>
  <c r="Q92" i="4" s="1"/>
  <c r="M145" i="5"/>
  <c r="S90" i="4" s="1"/>
  <c r="K138" i="5"/>
  <c r="Q83" i="4" s="1"/>
  <c r="Q115"/>
  <c r="B115" s="1"/>
  <c r="Q113"/>
  <c r="K130" i="5"/>
  <c r="Q75" i="4" s="1"/>
  <c r="Q43"/>
  <c r="Q109"/>
  <c r="B109" s="1"/>
  <c r="Q44"/>
  <c r="S39"/>
  <c r="N71"/>
  <c r="D122"/>
  <c r="K96" i="5"/>
  <c r="T96" s="1"/>
  <c r="O96" s="1"/>
  <c r="G66"/>
  <c r="K86"/>
  <c r="B123" i="4"/>
  <c r="K80" i="5"/>
  <c r="K85" i="4" s="1"/>
  <c r="R67" i="5"/>
  <c r="K84"/>
  <c r="K89" i="4" s="1"/>
  <c r="K72" i="5"/>
  <c r="K87"/>
  <c r="K92" i="4" s="1"/>
  <c r="M70" i="5"/>
  <c r="M75" i="4" s="1"/>
  <c r="M74" i="5"/>
  <c r="M79" i="4" s="1"/>
  <c r="M78" i="5"/>
  <c r="M83" i="4" s="1"/>
  <c r="M82" i="5"/>
  <c r="M87" i="4" s="1"/>
  <c r="D63"/>
  <c r="M90" i="5"/>
  <c r="M95" i="4" s="1"/>
  <c r="M67" i="5"/>
  <c r="M72" i="4" s="1"/>
  <c r="M71" i="5"/>
  <c r="M76" i="4" s="1"/>
  <c r="M75" i="5"/>
  <c r="M80" i="4" s="1"/>
  <c r="M79" i="5"/>
  <c r="M84" i="4" s="1"/>
  <c r="M83" i="5"/>
  <c r="M88" i="4" s="1"/>
  <c r="M87" i="5"/>
  <c r="M92" i="4" s="1"/>
  <c r="B116"/>
  <c r="K79" i="5"/>
  <c r="K83"/>
  <c r="K88" i="4" s="1"/>
  <c r="K68" i="5"/>
  <c r="K73" i="4" s="1"/>
  <c r="B106"/>
  <c r="K74" i="5"/>
  <c r="K73"/>
  <c r="K78" i="4" s="1"/>
  <c r="K78" i="5"/>
  <c r="K83" i="4" s="1"/>
  <c r="K77" i="5"/>
  <c r="M68"/>
  <c r="M73" i="4" s="1"/>
  <c r="M72" i="5"/>
  <c r="M77" i="4" s="1"/>
  <c r="M76" i="5"/>
  <c r="M81" i="4" s="1"/>
  <c r="M80" i="5"/>
  <c r="M85" i="4" s="1"/>
  <c r="M84" i="5"/>
  <c r="M89" i="4" s="1"/>
  <c r="J66" i="5"/>
  <c r="M69"/>
  <c r="M74" i="4" s="1"/>
  <c r="M73" i="5"/>
  <c r="M78" i="4" s="1"/>
  <c r="M77" i="5"/>
  <c r="M82" i="4" s="1"/>
  <c r="M81" i="5"/>
  <c r="M86" i="4" s="1"/>
  <c r="M85" i="5"/>
  <c r="M90" i="4" s="1"/>
  <c r="M89" i="5"/>
  <c r="M94" i="4" s="1"/>
  <c r="K88" i="5"/>
  <c r="K93" i="4" s="1"/>
  <c r="K90" i="5"/>
  <c r="K95" i="4" s="1"/>
  <c r="K91" i="5"/>
  <c r="K70"/>
  <c r="K75" i="4" s="1"/>
  <c r="G36" i="5"/>
  <c r="M39"/>
  <c r="J74" i="4" s="1"/>
  <c r="M43" i="5"/>
  <c r="J78" i="4" s="1"/>
  <c r="M47" i="5"/>
  <c r="J82" i="4" s="1"/>
  <c r="M51" i="5"/>
  <c r="J86" i="4" s="1"/>
  <c r="M55" i="5"/>
  <c r="J90" i="4" s="1"/>
  <c r="M59" i="5"/>
  <c r="J94" i="4" s="1"/>
  <c r="M38" i="5"/>
  <c r="J73" i="4" s="1"/>
  <c r="M46" i="5"/>
  <c r="J81" i="4" s="1"/>
  <c r="M50" i="5"/>
  <c r="J85" i="4" s="1"/>
  <c r="M54" i="5"/>
  <c r="J89" i="4" s="1"/>
  <c r="M58" i="5"/>
  <c r="J93" i="4" s="1"/>
  <c r="R37" i="5"/>
  <c r="M37"/>
  <c r="J72" i="4" s="1"/>
  <c r="M41" i="5"/>
  <c r="J76" i="4" s="1"/>
  <c r="M45" i="5"/>
  <c r="J80" i="4" s="1"/>
  <c r="M49" i="5"/>
  <c r="J84" i="4" s="1"/>
  <c r="M53" i="5"/>
  <c r="J88" i="4" s="1"/>
  <c r="M57" i="5"/>
  <c r="J92" i="4" s="1"/>
  <c r="M61" i="5"/>
  <c r="J96" i="4" s="1"/>
  <c r="K6" i="5"/>
  <c r="T6" s="1"/>
  <c r="O6" s="1"/>
  <c r="M10"/>
  <c r="G75" i="4" s="1"/>
  <c r="M14" i="5"/>
  <c r="G79" i="4" s="1"/>
  <c r="M18" i="5"/>
  <c r="G83" i="4" s="1"/>
  <c r="M22" i="5"/>
  <c r="G87" i="4" s="1"/>
  <c r="M26" i="5"/>
  <c r="G91" i="4" s="1"/>
  <c r="M30" i="5"/>
  <c r="G95" i="4" s="1"/>
  <c r="R7" i="5"/>
  <c r="M7"/>
  <c r="G72" i="4" s="1"/>
  <c r="G6" i="5"/>
  <c r="M11"/>
  <c r="G76" i="4" s="1"/>
  <c r="M15" i="5"/>
  <c r="M19"/>
  <c r="G84" i="4" s="1"/>
  <c r="M23" i="5"/>
  <c r="G88" i="4" s="1"/>
  <c r="M27" i="5"/>
  <c r="G92" i="4" s="1"/>
  <c r="M31" i="5"/>
  <c r="G96" i="4" s="1"/>
  <c r="M8" i="5"/>
  <c r="G73" i="4" s="1"/>
  <c r="M12" i="5"/>
  <c r="G77" i="4" s="1"/>
  <c r="M16" i="5"/>
  <c r="G81" i="4" s="1"/>
  <c r="M20" i="5"/>
  <c r="G85" i="4" s="1"/>
  <c r="M24" i="5"/>
  <c r="G89" i="4" s="1"/>
  <c r="M28" i="5"/>
  <c r="J6"/>
  <c r="M9"/>
  <c r="M13"/>
  <c r="G78" i="4" s="1"/>
  <c r="M17" i="5"/>
  <c r="G82" i="4" s="1"/>
  <c r="M21" i="5"/>
  <c r="G86" i="4" s="1"/>
  <c r="M25" i="5"/>
  <c r="G90" i="4" s="1"/>
  <c r="M29" i="5"/>
  <c r="G94" i="4" s="1"/>
  <c r="J126" i="5"/>
  <c r="M140"/>
  <c r="S85" i="4" s="1"/>
  <c r="M146" i="5"/>
  <c r="S91" i="4" s="1"/>
  <c r="H126" i="5"/>
  <c r="R126"/>
  <c r="K36"/>
  <c r="T36" s="1"/>
  <c r="O36" s="1"/>
  <c r="S36"/>
  <c r="K142"/>
  <c r="M139"/>
  <c r="K144"/>
  <c r="M151"/>
  <c r="K140"/>
  <c r="Q85" i="4" s="1"/>
  <c r="M144" i="5"/>
  <c r="S89" i="4" s="1"/>
  <c r="R127" i="5"/>
  <c r="E126"/>
  <c r="K129"/>
  <c r="Q74" i="4" s="1"/>
  <c r="G126" i="5"/>
  <c r="M150"/>
  <c r="S95" i="4" s="1"/>
  <c r="M127" i="5"/>
  <c r="S72" i="4" s="1"/>
  <c r="M130" i="5"/>
  <c r="S75" i="4" s="1"/>
  <c r="K143" i="5"/>
  <c r="M132"/>
  <c r="S77" i="4" s="1"/>
  <c r="K135" i="5"/>
  <c r="M131"/>
  <c r="S76" i="4" s="1"/>
  <c r="R97" i="5"/>
  <c r="M98"/>
  <c r="S96"/>
  <c r="S6"/>
  <c r="B119" i="4"/>
  <c r="B9"/>
  <c r="S187" i="5"/>
  <c r="K216"/>
  <c r="T216" s="1"/>
  <c r="O216" s="1"/>
  <c r="T74" i="4" l="1"/>
  <c r="T74" i="28"/>
  <c r="AC77" i="4"/>
  <c r="AC77" i="28"/>
  <c r="AC93" i="4"/>
  <c r="AC93" i="28"/>
  <c r="AE95" i="4"/>
  <c r="AE95" i="28"/>
  <c r="AC74" i="4"/>
  <c r="AC74" i="28"/>
  <c r="AE85" i="4"/>
  <c r="AE85" i="28"/>
  <c r="AE92" i="4"/>
  <c r="AE92" i="28"/>
  <c r="W81" i="4"/>
  <c r="W81" i="28"/>
  <c r="W92" i="4"/>
  <c r="W92" i="28"/>
  <c r="W86" i="4"/>
  <c r="W86" i="28"/>
  <c r="W79" i="4"/>
  <c r="W79" i="28"/>
  <c r="T80" i="4"/>
  <c r="T80" i="28"/>
  <c r="T96" i="4"/>
  <c r="T96" i="28"/>
  <c r="V84" i="4"/>
  <c r="V84" i="28"/>
  <c r="T93" i="4"/>
  <c r="T93" i="28"/>
  <c r="T75" i="4"/>
  <c r="T75" i="28"/>
  <c r="V87" i="4"/>
  <c r="V87" i="28"/>
  <c r="AH87" i="4"/>
  <c r="AH87" i="28"/>
  <c r="AH93" i="4"/>
  <c r="AH93" i="28"/>
  <c r="AH72" i="4"/>
  <c r="AH72" i="28"/>
  <c r="AH77" i="4"/>
  <c r="AH77" i="28"/>
  <c r="AH84" i="4"/>
  <c r="AH84" i="28"/>
  <c r="AF93" i="4"/>
  <c r="AF93" i="28"/>
  <c r="AH81" i="4"/>
  <c r="AH81" i="28"/>
  <c r="AE89" i="4"/>
  <c r="AE89" i="28"/>
  <c r="W94" i="4"/>
  <c r="W94" i="28"/>
  <c r="AF78" i="4"/>
  <c r="AF78" i="28"/>
  <c r="Z79" i="4"/>
  <c r="Z79" i="28"/>
  <c r="Z83" i="4"/>
  <c r="Z83" i="28"/>
  <c r="AB82" i="4"/>
  <c r="AB82" i="28"/>
  <c r="AB89" i="4"/>
  <c r="AB89" i="28"/>
  <c r="AC82" i="4"/>
  <c r="AC82" i="28"/>
  <c r="W85" i="4"/>
  <c r="W85" i="28"/>
  <c r="Y79" i="4"/>
  <c r="Y79" i="28"/>
  <c r="AC88" i="4"/>
  <c r="AC88" i="28"/>
  <c r="AF88" i="4"/>
  <c r="AF88" i="28"/>
  <c r="AE75" i="4"/>
  <c r="AE75" i="28"/>
  <c r="AE80" i="4"/>
  <c r="AE80" i="28"/>
  <c r="AB76" i="4"/>
  <c r="AB76" i="28"/>
  <c r="Z94" i="4"/>
  <c r="Z94" i="28"/>
  <c r="Y83" i="4"/>
  <c r="Y83" i="28"/>
  <c r="W96" i="4"/>
  <c r="W96" i="28"/>
  <c r="AH78" i="4"/>
  <c r="AH78" i="28"/>
  <c r="AF82" i="4"/>
  <c r="AF82" i="28"/>
  <c r="T90" i="4"/>
  <c r="T90" i="28"/>
  <c r="T91" i="4"/>
  <c r="T91" i="28"/>
  <c r="V90" i="4"/>
  <c r="V90" i="28"/>
  <c r="V96" i="4"/>
  <c r="V96" i="28"/>
  <c r="AH82" i="4"/>
  <c r="AH82" i="28"/>
  <c r="AF77" i="4"/>
  <c r="AF77" i="28"/>
  <c r="Y72" i="4"/>
  <c r="Y72" i="28"/>
  <c r="AC83" i="4"/>
  <c r="AC83" i="28"/>
  <c r="AE90" i="4"/>
  <c r="AE90" i="28"/>
  <c r="AH74" i="4"/>
  <c r="AH74" i="28"/>
  <c r="Y73" i="4"/>
  <c r="Y73" i="28"/>
  <c r="Z84" i="4"/>
  <c r="Z84" i="28"/>
  <c r="T72" i="4"/>
  <c r="T72" i="28"/>
  <c r="AC81" i="4"/>
  <c r="AC81" i="28"/>
  <c r="AE76" i="4"/>
  <c r="AE76" i="28"/>
  <c r="AC78" i="4"/>
  <c r="AC78" i="28"/>
  <c r="AE91" i="4"/>
  <c r="AE91" i="28"/>
  <c r="AE77" i="4"/>
  <c r="AE77" i="28"/>
  <c r="AE78" i="4"/>
  <c r="AE78" i="28"/>
  <c r="AC80" i="4"/>
  <c r="AC80" i="28"/>
  <c r="AE83" i="4"/>
  <c r="AE83" i="28"/>
  <c r="Z85" i="4"/>
  <c r="Z85" i="28"/>
  <c r="AB92" i="4"/>
  <c r="AB92" i="28"/>
  <c r="Z86" i="4"/>
  <c r="Z86" i="28"/>
  <c r="Y76" i="4"/>
  <c r="Y76" i="28"/>
  <c r="W80" i="4"/>
  <c r="W80" i="28"/>
  <c r="AH94" i="4"/>
  <c r="AH94" i="28"/>
  <c r="W90" i="4"/>
  <c r="W90" i="28"/>
  <c r="V83" i="4"/>
  <c r="V83" i="28"/>
  <c r="T84" i="4"/>
  <c r="T84" i="28"/>
  <c r="V93" i="4"/>
  <c r="V93" i="28"/>
  <c r="T81" i="4"/>
  <c r="T81" i="28"/>
  <c r="V76" i="4"/>
  <c r="V76" i="28"/>
  <c r="V80" i="4"/>
  <c r="V80" i="28"/>
  <c r="V95" i="4"/>
  <c r="V95" i="28"/>
  <c r="AH95" i="4"/>
  <c r="AH95" i="28"/>
  <c r="AF75" i="4"/>
  <c r="AF75" i="28"/>
  <c r="AF91" i="4"/>
  <c r="AF91" i="28"/>
  <c r="AF76" i="4"/>
  <c r="AF76" i="28"/>
  <c r="AH90" i="4"/>
  <c r="AH90" i="28"/>
  <c r="AH89" i="4"/>
  <c r="AH89" i="28"/>
  <c r="AH86" i="4"/>
  <c r="AH86" i="28"/>
  <c r="AH85" i="4"/>
  <c r="AH85" i="28"/>
  <c r="V75" i="4"/>
  <c r="V75" i="28"/>
  <c r="Y77" i="4"/>
  <c r="Y77" i="28"/>
  <c r="AF85" i="4"/>
  <c r="AF85" i="28"/>
  <c r="AF92" i="4"/>
  <c r="AF92" i="28"/>
  <c r="AE82" i="4"/>
  <c r="AE82" i="28"/>
  <c r="AC85" i="4"/>
  <c r="AC85" i="28"/>
  <c r="AE94" i="4"/>
  <c r="AE94" i="28"/>
  <c r="AE81" i="4"/>
  <c r="AE81" i="28"/>
  <c r="Z93" i="4"/>
  <c r="Z93" i="28"/>
  <c r="Y94" i="4"/>
  <c r="Y94" i="28"/>
  <c r="D94" s="1"/>
  <c r="W89" i="4"/>
  <c r="W89" i="28"/>
  <c r="Y84" i="4"/>
  <c r="Y84" i="28"/>
  <c r="V86" i="4"/>
  <c r="V86" i="28"/>
  <c r="V89" i="4"/>
  <c r="V89" i="28"/>
  <c r="V73" i="4"/>
  <c r="V73" i="28"/>
  <c r="AF79" i="4"/>
  <c r="AF79" i="28"/>
  <c r="AH88" i="4"/>
  <c r="AH88" i="28"/>
  <c r="AF80" i="4"/>
  <c r="AF80" i="28"/>
  <c r="AH73" i="4"/>
  <c r="AH73" i="28"/>
  <c r="W78" i="4"/>
  <c r="W78" i="28"/>
  <c r="Z74" i="4"/>
  <c r="Z74" i="28"/>
  <c r="AC90" i="4"/>
  <c r="AC90" i="28"/>
  <c r="T92" i="4"/>
  <c r="T92" i="28"/>
  <c r="B92" s="1"/>
  <c r="V81" i="4"/>
  <c r="V81" i="28"/>
  <c r="T89" i="4"/>
  <c r="T89" i="28"/>
  <c r="V85" i="4"/>
  <c r="V85" i="28"/>
  <c r="V77" i="4"/>
  <c r="V77" i="28"/>
  <c r="T86" i="4"/>
  <c r="T86" i="28"/>
  <c r="AH79" i="4"/>
  <c r="AH79" i="28"/>
  <c r="AH76" i="4"/>
  <c r="AH76" i="28"/>
  <c r="AF84" i="4"/>
  <c r="AF84" i="28"/>
  <c r="W83" i="4"/>
  <c r="W83" i="28"/>
  <c r="T82" i="4"/>
  <c r="T82" i="28"/>
  <c r="AF72" i="4"/>
  <c r="AF72" i="28"/>
  <c r="Z95" i="4"/>
  <c r="Z95" i="28"/>
  <c r="AB80" i="4"/>
  <c r="AB80" i="28"/>
  <c r="AB81" i="4"/>
  <c r="AB81" i="28"/>
  <c r="AE74" i="4"/>
  <c r="AE74" i="28"/>
  <c r="T79" i="4"/>
  <c r="T79" i="28"/>
  <c r="B79" s="1"/>
  <c r="AB72" i="4"/>
  <c r="AB72" i="28"/>
  <c r="Y88" i="4"/>
  <c r="Y88" i="28"/>
  <c r="AC95" i="4"/>
  <c r="AC95" i="28"/>
  <c r="Z77" i="4"/>
  <c r="Z77" i="28"/>
  <c r="Z78" i="4"/>
  <c r="Z78" i="28"/>
  <c r="AB78" i="4"/>
  <c r="AB78" i="28"/>
  <c r="Y89" i="4"/>
  <c r="Y89" i="28"/>
  <c r="Y78" i="4"/>
  <c r="Y78" i="28"/>
  <c r="Y96" i="4"/>
  <c r="Y96" i="28"/>
  <c r="AB83" i="4"/>
  <c r="AB83" i="28"/>
  <c r="AB94" i="4"/>
  <c r="AB94" i="28"/>
  <c r="AC84" i="4"/>
  <c r="AC84" i="28"/>
  <c r="AC76" i="4"/>
  <c r="AC76" i="28"/>
  <c r="AB85" i="4"/>
  <c r="AB85" i="28"/>
  <c r="AF89" i="4"/>
  <c r="AF89" i="28"/>
  <c r="T88" i="4"/>
  <c r="T88" i="28"/>
  <c r="AE88" i="4"/>
  <c r="AE88" i="28"/>
  <c r="Z73" i="4"/>
  <c r="Z73" i="28"/>
  <c r="Z82" i="4"/>
  <c r="Z82" i="28"/>
  <c r="Z88" i="4"/>
  <c r="Z88" i="28"/>
  <c r="AB91" i="4"/>
  <c r="AB91" i="28"/>
  <c r="AF95" i="4"/>
  <c r="AF95" i="28"/>
  <c r="AB74" i="4"/>
  <c r="AB74" i="28"/>
  <c r="W82" i="4"/>
  <c r="W82" i="28"/>
  <c r="Y75" i="4"/>
  <c r="Y75" i="28"/>
  <c r="T78" i="4"/>
  <c r="T78" i="28"/>
  <c r="B78" s="1"/>
  <c r="Z90" i="4"/>
  <c r="Z90" i="28"/>
  <c r="V91" i="4"/>
  <c r="V91" i="28"/>
  <c r="D91" s="1"/>
  <c r="AF86" i="4"/>
  <c r="AF86" i="28"/>
  <c r="AH75" i="4"/>
  <c r="AH75" i="28"/>
  <c r="AC73" i="4"/>
  <c r="AC73" i="28"/>
  <c r="AC86" i="4"/>
  <c r="AC86" i="28"/>
  <c r="AE93" i="4"/>
  <c r="AE93" i="28"/>
  <c r="AC75" i="4"/>
  <c r="AC75" i="28"/>
  <c r="AC96" i="4"/>
  <c r="AC96" i="28"/>
  <c r="AB90" i="4"/>
  <c r="AB90" i="28"/>
  <c r="AE87" i="4"/>
  <c r="AE87" i="28"/>
  <c r="T76" i="4"/>
  <c r="T76" i="28"/>
  <c r="V88" i="4"/>
  <c r="V88" i="28"/>
  <c r="T73" i="4"/>
  <c r="T73" i="28"/>
  <c r="V74" i="4"/>
  <c r="V74" i="28"/>
  <c r="D74" s="1"/>
  <c r="Z81" i="4"/>
  <c r="Z81" i="28"/>
  <c r="AB87" i="4"/>
  <c r="AB87" i="28"/>
  <c r="AB79" i="4"/>
  <c r="AB79" i="28"/>
  <c r="V79" i="4"/>
  <c r="V79" i="28"/>
  <c r="AC91" i="4"/>
  <c r="AC91" i="28"/>
  <c r="AC87" i="4"/>
  <c r="AC87" i="28"/>
  <c r="W93" i="4"/>
  <c r="W93" i="28"/>
  <c r="W77" i="4"/>
  <c r="W77" i="28"/>
  <c r="W87" i="4"/>
  <c r="W87" i="28"/>
  <c r="AE84" i="4"/>
  <c r="AE84" i="28"/>
  <c r="T87" i="4"/>
  <c r="T87" i="28"/>
  <c r="AE73" i="4"/>
  <c r="AE73" i="28"/>
  <c r="AF96" i="4"/>
  <c r="AF96" i="28"/>
  <c r="AF83" i="4"/>
  <c r="AF83" i="28"/>
  <c r="AE86" i="4"/>
  <c r="AE86" i="28"/>
  <c r="Z87" i="4"/>
  <c r="Z87" i="28"/>
  <c r="AB96" i="4"/>
  <c r="AB96" i="28"/>
  <c r="AB75" i="4"/>
  <c r="AB75" i="28"/>
  <c r="Z76" i="4"/>
  <c r="Z76" i="28"/>
  <c r="W91" i="4"/>
  <c r="W91" i="28"/>
  <c r="T94" i="4"/>
  <c r="T94" i="28"/>
  <c r="B94" s="1"/>
  <c r="Z96" i="4"/>
  <c r="Z96" i="28"/>
  <c r="V78" i="4"/>
  <c r="V78" i="28"/>
  <c r="D78" s="1"/>
  <c r="AF87" i="4"/>
  <c r="AF87" i="28"/>
  <c r="Y90" i="4"/>
  <c r="Y90" i="28"/>
  <c r="AH83" i="4"/>
  <c r="AH83" i="28"/>
  <c r="Z72" i="4"/>
  <c r="Z72" i="28"/>
  <c r="Z91" i="4"/>
  <c r="Z91" i="28"/>
  <c r="AB88" i="4"/>
  <c r="AB88" i="28"/>
  <c r="Z80" i="4"/>
  <c r="Z80" i="28"/>
  <c r="AB86" i="4"/>
  <c r="AB86" i="28"/>
  <c r="Y85" i="4"/>
  <c r="Y85" i="28"/>
  <c r="AF73" i="4"/>
  <c r="AF73" i="28"/>
  <c r="AE79" i="4"/>
  <c r="AE79" i="28"/>
  <c r="AE96" i="4"/>
  <c r="AE96" i="28"/>
  <c r="Y86" i="4"/>
  <c r="Y86" i="28"/>
  <c r="Y92" i="4"/>
  <c r="Y92" i="28"/>
  <c r="D92" s="1"/>
  <c r="W76" i="4"/>
  <c r="W76" i="28"/>
  <c r="V82" i="4"/>
  <c r="V82" i="28"/>
  <c r="D82" s="1"/>
  <c r="AH80" i="4"/>
  <c r="AH80" i="28"/>
  <c r="AB77" i="4"/>
  <c r="AB77" i="28"/>
  <c r="AB93" i="4"/>
  <c r="AB93" i="28"/>
  <c r="B95" i="4"/>
  <c r="B41"/>
  <c r="B55"/>
  <c r="AC71" i="28"/>
  <c r="D117"/>
  <c r="B123"/>
  <c r="B113"/>
  <c r="D124"/>
  <c r="D111"/>
  <c r="B122"/>
  <c r="D118"/>
  <c r="D105"/>
  <c r="D121"/>
  <c r="B126"/>
  <c r="D123"/>
  <c r="D109"/>
  <c r="D115"/>
  <c r="B95"/>
  <c r="B117"/>
  <c r="AB103"/>
  <c r="B85"/>
  <c r="Y39"/>
  <c r="AB39"/>
  <c r="T39"/>
  <c r="S276" i="5"/>
  <c r="K276"/>
  <c r="T276" s="1"/>
  <c r="O276" s="1"/>
  <c r="B43" i="4"/>
  <c r="B113"/>
  <c r="B118"/>
  <c r="V71" i="28"/>
  <c r="W71"/>
  <c r="B64" i="4"/>
  <c r="D55"/>
  <c r="B120"/>
  <c r="AE71" i="28"/>
  <c r="B58" i="4"/>
  <c r="T103"/>
  <c r="D127"/>
  <c r="AH103"/>
  <c r="B50"/>
  <c r="W103"/>
  <c r="D39" i="28"/>
  <c r="V103"/>
  <c r="T103"/>
  <c r="V39"/>
  <c r="D122"/>
  <c r="AC103"/>
  <c r="D114"/>
  <c r="B121"/>
  <c r="B105"/>
  <c r="B103" s="1"/>
  <c r="D116"/>
  <c r="B56"/>
  <c r="D119"/>
  <c r="B111"/>
  <c r="B120"/>
  <c r="B108"/>
  <c r="B114"/>
  <c r="D110"/>
  <c r="D103" s="1"/>
  <c r="D125"/>
  <c r="B53"/>
  <c r="B39" s="1"/>
  <c r="D113"/>
  <c r="B119"/>
  <c r="B124"/>
  <c r="B112"/>
  <c r="B110"/>
  <c r="B125"/>
  <c r="D106"/>
  <c r="D126"/>
  <c r="D112"/>
  <c r="B62"/>
  <c r="B128"/>
  <c r="B58"/>
  <c r="D107"/>
  <c r="D120"/>
  <c r="B118"/>
  <c r="B83"/>
  <c r="B77"/>
  <c r="B86" i="4"/>
  <c r="P71" i="28"/>
  <c r="D72"/>
  <c r="P73" i="4"/>
  <c r="P71" s="1"/>
  <c r="D73" i="28"/>
  <c r="B44" i="4"/>
  <c r="B94"/>
  <c r="B48"/>
  <c r="B62"/>
  <c r="D44"/>
  <c r="B52"/>
  <c r="B76"/>
  <c r="B90"/>
  <c r="D92"/>
  <c r="AC39"/>
  <c r="W39"/>
  <c r="B54"/>
  <c r="AH39"/>
  <c r="B59"/>
  <c r="AC71"/>
  <c r="B57"/>
  <c r="Z103"/>
  <c r="Y39"/>
  <c r="B40"/>
  <c r="B93"/>
  <c r="B81"/>
  <c r="M39"/>
  <c r="B85"/>
  <c r="D79"/>
  <c r="D7"/>
  <c r="D83"/>
  <c r="M216" i="5"/>
  <c r="T217" s="1"/>
  <c r="O217" s="1"/>
  <c r="A212" s="1"/>
  <c r="T71" i="4"/>
  <c r="S246" i="5"/>
  <c r="AB39" i="4"/>
  <c r="V39"/>
  <c r="AF103"/>
  <c r="Z71"/>
  <c r="AB73"/>
  <c r="AB71" s="1"/>
  <c r="S217" i="5"/>
  <c r="Y103" i="4"/>
  <c r="V103"/>
  <c r="B104"/>
  <c r="K156" i="5"/>
  <c r="T156" s="1"/>
  <c r="O156" s="1"/>
  <c r="D40" i="4"/>
  <c r="G80"/>
  <c r="D80" s="1"/>
  <c r="S156" i="5"/>
  <c r="S216"/>
  <c r="S277"/>
  <c r="D59" i="4"/>
  <c r="W72"/>
  <c r="S186" i="5"/>
  <c r="K186"/>
  <c r="T186" s="1"/>
  <c r="O186" s="1"/>
  <c r="Y71" i="4"/>
  <c r="T39"/>
  <c r="AF71"/>
  <c r="V72"/>
  <c r="V71" s="1"/>
  <c r="M156" i="5"/>
  <c r="T157" s="1"/>
  <c r="O157" s="1"/>
  <c r="S157"/>
  <c r="S37"/>
  <c r="G74" i="4"/>
  <c r="M276" i="5"/>
  <c r="T277" s="1"/>
  <c r="O277" s="1"/>
  <c r="M186"/>
  <c r="T187" s="1"/>
  <c r="O187" s="1"/>
  <c r="A182" s="1"/>
  <c r="K246"/>
  <c r="T246" s="1"/>
  <c r="O246" s="1"/>
  <c r="G93" i="4"/>
  <c r="D93" s="1"/>
  <c r="AE39"/>
  <c r="AH71"/>
  <c r="AE72"/>
  <c r="AE71" s="1"/>
  <c r="S247" i="5"/>
  <c r="M246"/>
  <c r="T247" s="1"/>
  <c r="O247" s="1"/>
  <c r="B49" i="4"/>
  <c r="AF39"/>
  <c r="Z39"/>
  <c r="J39"/>
  <c r="J71"/>
  <c r="K103"/>
  <c r="K96"/>
  <c r="B96" s="1"/>
  <c r="K79"/>
  <c r="B79" s="1"/>
  <c r="K84"/>
  <c r="B84" s="1"/>
  <c r="K91"/>
  <c r="B91" s="1"/>
  <c r="K82"/>
  <c r="B82" s="1"/>
  <c r="K77"/>
  <c r="B77" s="1"/>
  <c r="M71"/>
  <c r="M96" i="5"/>
  <c r="T97" s="1"/>
  <c r="O97" s="1"/>
  <c r="A92" s="1"/>
  <c r="Q103" i="4"/>
  <c r="B83"/>
  <c r="B92"/>
  <c r="Q39"/>
  <c r="Q80"/>
  <c r="Q88"/>
  <c r="B88" s="1"/>
  <c r="Q89"/>
  <c r="B89" s="1"/>
  <c r="Q87"/>
  <c r="B87" s="1"/>
  <c r="S84"/>
  <c r="D84" s="1"/>
  <c r="S96"/>
  <c r="D96" s="1"/>
  <c r="D76"/>
  <c r="D75"/>
  <c r="D95"/>
  <c r="D89"/>
  <c r="D52"/>
  <c r="D91"/>
  <c r="D90"/>
  <c r="D46"/>
  <c r="D61"/>
  <c r="D57"/>
  <c r="D49"/>
  <c r="D94"/>
  <c r="D86"/>
  <c r="D42"/>
  <c r="D87"/>
  <c r="D43"/>
  <c r="K66" i="5"/>
  <c r="T66" s="1"/>
  <c r="O66" s="1"/>
  <c r="S67"/>
  <c r="D77" i="4"/>
  <c r="D58"/>
  <c r="D50"/>
  <c r="D53"/>
  <c r="D56"/>
  <c r="D48"/>
  <c r="D51"/>
  <c r="D47"/>
  <c r="D81"/>
  <c r="D82"/>
  <c r="D85"/>
  <c r="D78"/>
  <c r="D45"/>
  <c r="D60"/>
  <c r="D88"/>
  <c r="M66" i="5"/>
  <c r="T67" s="1"/>
  <c r="O67" s="1"/>
  <c r="S66"/>
  <c r="M36"/>
  <c r="T37" s="1"/>
  <c r="O37" s="1"/>
  <c r="A32" s="1"/>
  <c r="S7"/>
  <c r="M6"/>
  <c r="T7" s="1"/>
  <c r="O7" s="1"/>
  <c r="A2" s="1"/>
  <c r="D104" i="4"/>
  <c r="K126" i="5"/>
  <c r="T126" s="1"/>
  <c r="O126" s="1"/>
  <c r="S126"/>
  <c r="B74" i="4"/>
  <c r="B75"/>
  <c r="M126" i="5"/>
  <c r="T127" s="1"/>
  <c r="O127" s="1"/>
  <c r="D121" i="4"/>
  <c r="S127" i="5"/>
  <c r="B121" i="4"/>
  <c r="S97" i="5"/>
  <c r="D41" i="4"/>
  <c r="B78"/>
  <c r="B7"/>
  <c r="A272" i="5"/>
  <c r="T71" i="28" l="1"/>
  <c r="B72"/>
  <c r="Z71"/>
  <c r="B87"/>
  <c r="D79"/>
  <c r="B73"/>
  <c r="D88"/>
  <c r="B76"/>
  <c r="B88"/>
  <c r="AB71"/>
  <c r="AF71"/>
  <c r="B82"/>
  <c r="B86"/>
  <c r="D77"/>
  <c r="D85"/>
  <c r="B89"/>
  <c r="D81"/>
  <c r="D89"/>
  <c r="D86"/>
  <c r="D75"/>
  <c r="D71" s="1"/>
  <c r="D95"/>
  <c r="D80"/>
  <c r="D76"/>
  <c r="B81"/>
  <c r="D93"/>
  <c r="B84"/>
  <c r="D83"/>
  <c r="Y71"/>
  <c r="D96"/>
  <c r="D90"/>
  <c r="B91"/>
  <c r="B90"/>
  <c r="AH71"/>
  <c r="D87"/>
  <c r="B75"/>
  <c r="B93"/>
  <c r="D84"/>
  <c r="B96"/>
  <c r="B80"/>
  <c r="B74"/>
  <c r="A242" i="5"/>
  <c r="B39" i="4"/>
  <c r="G71"/>
  <c r="D74"/>
  <c r="A62" i="5"/>
  <c r="W71" i="4"/>
  <c r="B72"/>
  <c r="A152" i="5"/>
  <c r="K71" i="4"/>
  <c r="Q71"/>
  <c r="S71"/>
  <c r="B80"/>
  <c r="D73"/>
  <c r="A122" i="5"/>
  <c r="B73" i="4"/>
  <c r="B103"/>
  <c r="D72"/>
  <c r="D103"/>
  <c r="D39"/>
  <c r="B71" i="28" l="1"/>
  <c r="D71" i="4"/>
  <c r="B71"/>
</calcChain>
</file>

<file path=xl/sharedStrings.xml><?xml version="1.0" encoding="utf-8"?>
<sst xmlns="http://schemas.openxmlformats.org/spreadsheetml/2006/main" count="14077" uniqueCount="1270">
  <si>
    <t>공</t>
    <phoneticPr fontId="12" type="noConversion"/>
  </si>
  <si>
    <t>미등기</t>
    <phoneticPr fontId="12" type="noConversion"/>
  </si>
  <si>
    <t>용인 수지 풍덕천동 1168
 진산마을삼성5차@517-1503</t>
    <phoneticPr fontId="12" type="noConversion"/>
  </si>
  <si>
    <t>대두리 534-3</t>
    <phoneticPr fontId="12" type="noConversion"/>
  </si>
  <si>
    <t xml:space="preserve">서산시 음암면 성암리 
328-4 </t>
    <phoneticPr fontId="12" type="noConversion"/>
  </si>
  <si>
    <t>수원시 장안구 정자동 
42-15</t>
    <phoneticPr fontId="12" type="noConversion"/>
  </si>
  <si>
    <t>서산시 음암면 성암리 
328-4</t>
    <phoneticPr fontId="12" type="noConversion"/>
  </si>
  <si>
    <t>충청남도</t>
    <phoneticPr fontId="12" type="noConversion"/>
  </si>
  <si>
    <t>계</t>
  </si>
  <si>
    <t>구분</t>
  </si>
  <si>
    <t>필지</t>
  </si>
  <si>
    <t>/</t>
  </si>
  <si>
    <t>면적(㎡)</t>
  </si>
  <si>
    <t>전</t>
  </si>
  <si>
    <t>답</t>
  </si>
  <si>
    <t>임야</t>
  </si>
  <si>
    <t>대지</t>
  </si>
  <si>
    <t>도로</t>
  </si>
  <si>
    <t>구거</t>
  </si>
  <si>
    <t>하천</t>
  </si>
  <si>
    <t>유지</t>
  </si>
  <si>
    <t>제방</t>
  </si>
  <si>
    <t>과수원</t>
  </si>
  <si>
    <t>공장</t>
  </si>
  <si>
    <t>목장</t>
  </si>
  <si>
    <t>학교용지</t>
  </si>
  <si>
    <t>철도</t>
  </si>
  <si>
    <t>묘지</t>
  </si>
  <si>
    <t>수도</t>
  </si>
  <si>
    <t>잡종지</t>
  </si>
  <si>
    <t>종교</t>
  </si>
  <si>
    <t>염전</t>
  </si>
  <si>
    <t>공원</t>
  </si>
  <si>
    <t>체육</t>
  </si>
  <si>
    <t>유원지</t>
  </si>
  <si>
    <t>국  유  지</t>
  </si>
  <si>
    <t>사  유  지</t>
  </si>
  <si>
    <t>비고</t>
  </si>
  <si>
    <t>면 적 (㎡)</t>
  </si>
  <si>
    <t>총계</t>
  </si>
  <si>
    <t>국유지</t>
  </si>
  <si>
    <t>사유지</t>
  </si>
  <si>
    <t>국유지+사유지</t>
  </si>
  <si>
    <t>면적</t>
  </si>
  <si>
    <t>공  유  지</t>
  </si>
  <si>
    <t>일련</t>
  </si>
  <si>
    <t>지 번</t>
  </si>
  <si>
    <t>지목</t>
  </si>
  <si>
    <t>지 적</t>
  </si>
  <si>
    <t>편입면적</t>
  </si>
  <si>
    <t>실제이용상황</t>
  </si>
  <si>
    <t>소  유  자</t>
  </si>
  <si>
    <t>관  계  인</t>
  </si>
  <si>
    <t>번호</t>
  </si>
  <si>
    <t>면 적</t>
  </si>
  <si>
    <t>성  명</t>
  </si>
  <si>
    <t>주  소</t>
  </si>
  <si>
    <t>권리관계</t>
  </si>
  <si>
    <t>소   계</t>
  </si>
  <si>
    <t>비  고</t>
    <phoneticPr fontId="5" type="noConversion"/>
  </si>
  <si>
    <t>국유지 편입용지 집계표</t>
    <phoneticPr fontId="5" type="noConversion"/>
  </si>
  <si>
    <t>사유지 편입용지 집계표</t>
    <phoneticPr fontId="5" type="noConversion"/>
  </si>
  <si>
    <t>공유지 편입용지 집계표</t>
    <phoneticPr fontId="5" type="noConversion"/>
  </si>
  <si>
    <t>공  유  지</t>
    <phoneticPr fontId="5" type="noConversion"/>
  </si>
  <si>
    <t>용  지  조  서</t>
    <phoneticPr fontId="12" type="noConversion"/>
  </si>
  <si>
    <r>
      <t>( ㎡</t>
    </r>
    <r>
      <rPr>
        <vertAlign val="superscript"/>
        <sz val="10"/>
        <rFont val="돋움체"/>
        <family val="3"/>
        <charset val="129"/>
      </rPr>
      <t xml:space="preserve"> </t>
    </r>
    <r>
      <rPr>
        <sz val="10"/>
        <rFont val="돋움체"/>
        <family val="3"/>
        <charset val="129"/>
      </rPr>
      <t>)</t>
    </r>
  </si>
  <si>
    <t>주차장</t>
    <phoneticPr fontId="5" type="noConversion"/>
  </si>
  <si>
    <t>주유소용지</t>
    <phoneticPr fontId="5" type="noConversion"/>
  </si>
  <si>
    <t>미지번</t>
    <phoneticPr fontId="5" type="noConversion"/>
  </si>
  <si>
    <t>주차장</t>
    <phoneticPr fontId="5" type="noConversion"/>
  </si>
  <si>
    <t>미지번</t>
    <phoneticPr fontId="5" type="noConversion"/>
  </si>
  <si>
    <t>주차장</t>
    <phoneticPr fontId="5" type="noConversion"/>
  </si>
  <si>
    <t>미지번</t>
    <phoneticPr fontId="5" type="noConversion"/>
  </si>
  <si>
    <t>총   계</t>
    <phoneticPr fontId="12" type="noConversion"/>
  </si>
  <si>
    <t>서산시 부석면 대두리</t>
    <phoneticPr fontId="12" type="noConversion"/>
  </si>
  <si>
    <t>창고용지</t>
    <phoneticPr fontId="5" type="noConversion"/>
  </si>
  <si>
    <t>공시지가</t>
    <phoneticPr fontId="12" type="noConversion"/>
  </si>
  <si>
    <t>서  산  시</t>
    <phoneticPr fontId="5" type="noConversion"/>
  </si>
  <si>
    <t>부 석 면</t>
    <phoneticPr fontId="5" type="noConversion"/>
  </si>
  <si>
    <t>대두리</t>
    <phoneticPr fontId="5" type="noConversion"/>
  </si>
  <si>
    <t>봉락리</t>
    <phoneticPr fontId="5" type="noConversion"/>
  </si>
  <si>
    <t>칠전리</t>
    <phoneticPr fontId="5" type="noConversion"/>
  </si>
  <si>
    <t>마룡리</t>
    <phoneticPr fontId="5" type="noConversion"/>
  </si>
  <si>
    <t>창 리</t>
    <phoneticPr fontId="5" type="noConversion"/>
  </si>
  <si>
    <t>도</t>
    <phoneticPr fontId="12" type="noConversion"/>
  </si>
  <si>
    <t>전</t>
    <phoneticPr fontId="12" type="noConversion"/>
  </si>
  <si>
    <t>251-1</t>
    <phoneticPr fontId="12" type="noConversion"/>
  </si>
  <si>
    <t>구</t>
    <phoneticPr fontId="12" type="noConversion"/>
  </si>
  <si>
    <t>임</t>
    <phoneticPr fontId="12" type="noConversion"/>
  </si>
  <si>
    <t>답</t>
    <phoneticPr fontId="12" type="noConversion"/>
  </si>
  <si>
    <t>대</t>
    <phoneticPr fontId="12" type="noConversion"/>
  </si>
  <si>
    <t>253-2</t>
    <phoneticPr fontId="12" type="noConversion"/>
  </si>
  <si>
    <t>251-2</t>
    <phoneticPr fontId="12" type="noConversion"/>
  </si>
  <si>
    <t>351-1</t>
    <phoneticPr fontId="12" type="noConversion"/>
  </si>
  <si>
    <t>350-6</t>
    <phoneticPr fontId="12" type="noConversion"/>
  </si>
  <si>
    <t>257-6</t>
    <phoneticPr fontId="12" type="noConversion"/>
  </si>
  <si>
    <t>280-5</t>
    <phoneticPr fontId="12" type="noConversion"/>
  </si>
  <si>
    <t>공</t>
    <phoneticPr fontId="12" type="noConversion"/>
  </si>
  <si>
    <t>국</t>
    <phoneticPr fontId="12" type="noConversion"/>
  </si>
  <si>
    <t>서산시</t>
    <phoneticPr fontId="12" type="noConversion"/>
  </si>
  <si>
    <t>부석면 칠전리 34</t>
    <phoneticPr fontId="12" type="noConversion"/>
  </si>
  <si>
    <t>농림수산식품부</t>
    <phoneticPr fontId="12" type="noConversion"/>
  </si>
  <si>
    <t>국토해양부</t>
    <phoneticPr fontId="12" type="noConversion"/>
  </si>
  <si>
    <t>804</t>
    <phoneticPr fontId="12" type="noConversion"/>
  </si>
  <si>
    <t>246-13</t>
    <phoneticPr fontId="12" type="noConversion"/>
  </si>
  <si>
    <t>답</t>
    <phoneticPr fontId="12" type="noConversion"/>
  </si>
  <si>
    <t>이태식</t>
    <phoneticPr fontId="12" type="noConversion"/>
  </si>
  <si>
    <t>194-2</t>
    <phoneticPr fontId="12" type="noConversion"/>
  </si>
  <si>
    <t>193</t>
    <phoneticPr fontId="12" type="noConversion"/>
  </si>
  <si>
    <t>대</t>
    <phoneticPr fontId="12" type="noConversion"/>
  </si>
  <si>
    <t>강선모</t>
    <phoneticPr fontId="12" type="noConversion"/>
  </si>
  <si>
    <t>688-10</t>
    <phoneticPr fontId="12" type="noConversion"/>
  </si>
  <si>
    <t>217-5</t>
    <phoneticPr fontId="12" type="noConversion"/>
  </si>
  <si>
    <t>799</t>
    <phoneticPr fontId="12" type="noConversion"/>
  </si>
  <si>
    <t>229-2</t>
    <phoneticPr fontId="12" type="noConversion"/>
  </si>
  <si>
    <t>800-1</t>
    <phoneticPr fontId="12" type="noConversion"/>
  </si>
  <si>
    <t>187-6</t>
    <phoneticPr fontId="12" type="noConversion"/>
  </si>
  <si>
    <t>222-4</t>
    <phoneticPr fontId="12" type="noConversion"/>
  </si>
  <si>
    <t>이종섭</t>
    <phoneticPr fontId="12" type="noConversion"/>
  </si>
  <si>
    <t>223-1</t>
    <phoneticPr fontId="12" type="noConversion"/>
  </si>
  <si>
    <t>188-4</t>
    <phoneticPr fontId="12" type="noConversion"/>
  </si>
  <si>
    <t>188-5</t>
    <phoneticPr fontId="12" type="noConversion"/>
  </si>
  <si>
    <t>802-1</t>
    <phoneticPr fontId="12" type="noConversion"/>
  </si>
  <si>
    <t>188-6</t>
    <phoneticPr fontId="12" type="noConversion"/>
  </si>
  <si>
    <t>280-7</t>
    <phoneticPr fontId="12" type="noConversion"/>
  </si>
  <si>
    <t>이휘숙</t>
    <phoneticPr fontId="12" type="noConversion"/>
  </si>
  <si>
    <t>280-8</t>
    <phoneticPr fontId="12" type="noConversion"/>
  </si>
  <si>
    <t>박은숙</t>
    <phoneticPr fontId="12" type="noConversion"/>
  </si>
  <si>
    <t>279-7</t>
    <phoneticPr fontId="12" type="noConversion"/>
  </si>
  <si>
    <t>279-8</t>
    <phoneticPr fontId="12" type="noConversion"/>
  </si>
  <si>
    <t>275-5</t>
    <phoneticPr fontId="12" type="noConversion"/>
  </si>
  <si>
    <t>유병천</t>
    <phoneticPr fontId="12" type="noConversion"/>
  </si>
  <si>
    <t>274-5</t>
    <phoneticPr fontId="12" type="noConversion"/>
  </si>
  <si>
    <t>김장배</t>
    <phoneticPr fontId="12" type="noConversion"/>
  </si>
  <si>
    <t>289-8</t>
    <phoneticPr fontId="12" type="noConversion"/>
  </si>
  <si>
    <t>임</t>
    <phoneticPr fontId="12" type="noConversion"/>
  </si>
  <si>
    <t>293-8</t>
    <phoneticPr fontId="12" type="noConversion"/>
  </si>
  <si>
    <t>박정희</t>
    <phoneticPr fontId="12" type="noConversion"/>
  </si>
  <si>
    <t>288-3</t>
    <phoneticPr fontId="12" type="noConversion"/>
  </si>
  <si>
    <t>289-1</t>
    <phoneticPr fontId="12" type="noConversion"/>
  </si>
  <si>
    <t>산68-1</t>
    <phoneticPr fontId="12" type="noConversion"/>
  </si>
  <si>
    <t>이형구</t>
    <phoneticPr fontId="12" type="noConversion"/>
  </si>
  <si>
    <t>부석면 대두리 198-1</t>
    <phoneticPr fontId="12" type="noConversion"/>
  </si>
  <si>
    <t>이계호</t>
    <phoneticPr fontId="12" type="noConversion"/>
  </si>
  <si>
    <t>이희설</t>
    <phoneticPr fontId="12" type="noConversion"/>
  </si>
  <si>
    <t>한용우</t>
    <phoneticPr fontId="12" type="noConversion"/>
  </si>
  <si>
    <t>임</t>
  </si>
  <si>
    <t>부석면 지산리 1242</t>
  </si>
  <si>
    <t>이종철</t>
  </si>
  <si>
    <t>485-6</t>
  </si>
  <si>
    <t>부석면 칠전리 509</t>
  </si>
  <si>
    <t>박재원</t>
  </si>
  <si>
    <t>480-18</t>
  </si>
  <si>
    <t>480-16</t>
  </si>
  <si>
    <t>지목변경</t>
    <phoneticPr fontId="12" type="noConversion"/>
  </si>
  <si>
    <t>사유지 면적변경</t>
    <phoneticPr fontId="12" type="noConversion"/>
  </si>
  <si>
    <t>공유림</t>
    <phoneticPr fontId="12" type="noConversion"/>
  </si>
  <si>
    <t>177-3</t>
    <phoneticPr fontId="12" type="noConversion"/>
  </si>
  <si>
    <t>217-3</t>
    <phoneticPr fontId="12" type="noConversion"/>
  </si>
  <si>
    <t>221-3</t>
    <phoneticPr fontId="12" type="noConversion"/>
  </si>
  <si>
    <t>220-2</t>
    <phoneticPr fontId="12" type="noConversion"/>
  </si>
  <si>
    <t>220-3</t>
    <phoneticPr fontId="12" type="noConversion"/>
  </si>
  <si>
    <t>219-4</t>
    <phoneticPr fontId="12" type="noConversion"/>
  </si>
  <si>
    <t>222-3</t>
    <phoneticPr fontId="12" type="noConversion"/>
  </si>
  <si>
    <t>207-1</t>
    <phoneticPr fontId="12" type="noConversion"/>
  </si>
  <si>
    <t>206-1</t>
    <phoneticPr fontId="12" type="noConversion"/>
  </si>
  <si>
    <t>688-9</t>
    <phoneticPr fontId="12" type="noConversion"/>
  </si>
  <si>
    <t>243-1</t>
    <phoneticPr fontId="12" type="noConversion"/>
  </si>
  <si>
    <t>244-1</t>
    <phoneticPr fontId="12" type="noConversion"/>
  </si>
  <si>
    <t>245-1</t>
    <phoneticPr fontId="12" type="noConversion"/>
  </si>
  <si>
    <t>246-2</t>
    <phoneticPr fontId="12" type="noConversion"/>
  </si>
  <si>
    <t>279-5</t>
    <phoneticPr fontId="12" type="noConversion"/>
  </si>
  <si>
    <t>279-2</t>
    <phoneticPr fontId="12" type="noConversion"/>
  </si>
  <si>
    <t>279-6</t>
    <phoneticPr fontId="12" type="noConversion"/>
  </si>
  <si>
    <t>276-1</t>
    <phoneticPr fontId="12" type="noConversion"/>
  </si>
  <si>
    <t>276-4</t>
    <phoneticPr fontId="12" type="noConversion"/>
  </si>
  <si>
    <t>275-3</t>
    <phoneticPr fontId="12" type="noConversion"/>
  </si>
  <si>
    <t>274-2</t>
    <phoneticPr fontId="12" type="noConversion"/>
  </si>
  <si>
    <t>288-4</t>
    <phoneticPr fontId="12" type="noConversion"/>
  </si>
  <si>
    <t>276-3</t>
    <phoneticPr fontId="12" type="noConversion"/>
  </si>
  <si>
    <t>275-1</t>
    <phoneticPr fontId="12" type="noConversion"/>
  </si>
  <si>
    <t>산66-3</t>
    <phoneticPr fontId="12" type="noConversion"/>
  </si>
  <si>
    <t>289-4</t>
    <phoneticPr fontId="12" type="noConversion"/>
  </si>
  <si>
    <t>289-6</t>
    <phoneticPr fontId="12" type="noConversion"/>
  </si>
  <si>
    <t>289-7</t>
    <phoneticPr fontId="12" type="noConversion"/>
  </si>
  <si>
    <t>155-2</t>
    <phoneticPr fontId="12" type="noConversion"/>
  </si>
  <si>
    <t>154-3</t>
    <phoneticPr fontId="12" type="noConversion"/>
  </si>
  <si>
    <t>152-3</t>
    <phoneticPr fontId="12" type="noConversion"/>
  </si>
  <si>
    <t>152-2</t>
    <phoneticPr fontId="12" type="noConversion"/>
  </si>
  <si>
    <t>153-2</t>
    <phoneticPr fontId="12" type="noConversion"/>
  </si>
  <si>
    <t>산74-3</t>
    <phoneticPr fontId="12" type="noConversion"/>
  </si>
  <si>
    <t>115-1</t>
    <phoneticPr fontId="12" type="noConversion"/>
  </si>
  <si>
    <t>858</t>
    <phoneticPr fontId="12" type="noConversion"/>
  </si>
  <si>
    <t>114-2</t>
    <phoneticPr fontId="12" type="noConversion"/>
  </si>
  <si>
    <t>110-3</t>
    <phoneticPr fontId="12" type="noConversion"/>
  </si>
  <si>
    <t>110-1</t>
    <phoneticPr fontId="12" type="noConversion"/>
  </si>
  <si>
    <t>150-6</t>
    <phoneticPr fontId="12" type="noConversion"/>
  </si>
  <si>
    <t>150-1</t>
    <phoneticPr fontId="12" type="noConversion"/>
  </si>
  <si>
    <t>151-1</t>
    <phoneticPr fontId="12" type="noConversion"/>
  </si>
  <si>
    <t>산75-5</t>
    <phoneticPr fontId="12" type="noConversion"/>
  </si>
  <si>
    <t>산75-6</t>
    <phoneticPr fontId="12" type="noConversion"/>
  </si>
  <si>
    <t>산75-7</t>
    <phoneticPr fontId="12" type="noConversion"/>
  </si>
  <si>
    <t>0-5</t>
    <phoneticPr fontId="12" type="noConversion"/>
  </si>
  <si>
    <t>138-3</t>
    <phoneticPr fontId="12" type="noConversion"/>
  </si>
  <si>
    <t>138-2</t>
    <phoneticPr fontId="12" type="noConversion"/>
  </si>
  <si>
    <t>407-4</t>
    <phoneticPr fontId="12" type="noConversion"/>
  </si>
  <si>
    <t>405-2</t>
    <phoneticPr fontId="12" type="noConversion"/>
  </si>
  <si>
    <t>400-3</t>
    <phoneticPr fontId="12" type="noConversion"/>
  </si>
  <si>
    <t>399-3</t>
    <phoneticPr fontId="12" type="noConversion"/>
  </si>
  <si>
    <t>398-2</t>
    <phoneticPr fontId="12" type="noConversion"/>
  </si>
  <si>
    <t>852-8</t>
    <phoneticPr fontId="12" type="noConversion"/>
  </si>
  <si>
    <t>139-2</t>
    <phoneticPr fontId="12" type="noConversion"/>
  </si>
  <si>
    <t>409-4</t>
    <phoneticPr fontId="12" type="noConversion"/>
  </si>
  <si>
    <t>408-2</t>
    <phoneticPr fontId="12" type="noConversion"/>
  </si>
  <si>
    <t>413-2</t>
    <phoneticPr fontId="12" type="noConversion"/>
  </si>
  <si>
    <t>414-1</t>
    <phoneticPr fontId="12" type="noConversion"/>
  </si>
  <si>
    <t>233-9</t>
    <phoneticPr fontId="12" type="noConversion"/>
  </si>
  <si>
    <t>233-6</t>
    <phoneticPr fontId="12" type="noConversion"/>
  </si>
  <si>
    <t>산50-16</t>
    <phoneticPr fontId="12" type="noConversion"/>
  </si>
  <si>
    <t>산51-1</t>
    <phoneticPr fontId="12" type="noConversion"/>
  </si>
  <si>
    <t>251-4</t>
    <phoneticPr fontId="12" type="noConversion"/>
  </si>
  <si>
    <t>570</t>
    <phoneticPr fontId="12" type="noConversion"/>
  </si>
  <si>
    <t>241-5</t>
    <phoneticPr fontId="12" type="noConversion"/>
  </si>
  <si>
    <t>산53-19</t>
    <phoneticPr fontId="12" type="noConversion"/>
  </si>
  <si>
    <t>255-2</t>
    <phoneticPr fontId="12" type="noConversion"/>
  </si>
  <si>
    <t>256-2</t>
    <phoneticPr fontId="12" type="noConversion"/>
  </si>
  <si>
    <t>257-4</t>
    <phoneticPr fontId="12" type="noConversion"/>
  </si>
  <si>
    <t>254-2</t>
    <phoneticPr fontId="12" type="noConversion"/>
  </si>
  <si>
    <t>570-2</t>
    <phoneticPr fontId="12" type="noConversion"/>
  </si>
  <si>
    <t>254-9</t>
    <phoneticPr fontId="12" type="noConversion"/>
  </si>
  <si>
    <t>258-4</t>
    <phoneticPr fontId="12" type="noConversion"/>
  </si>
  <si>
    <t>363-10</t>
    <phoneticPr fontId="12" type="noConversion"/>
  </si>
  <si>
    <t>362-2</t>
    <phoneticPr fontId="12" type="noConversion"/>
  </si>
  <si>
    <t>363-12</t>
    <phoneticPr fontId="12" type="noConversion"/>
  </si>
  <si>
    <t>362-5</t>
    <phoneticPr fontId="12" type="noConversion"/>
  </si>
  <si>
    <t>351-2</t>
    <phoneticPr fontId="12" type="noConversion"/>
  </si>
  <si>
    <t>351-6</t>
    <phoneticPr fontId="12" type="noConversion"/>
  </si>
  <si>
    <t>350-4</t>
    <phoneticPr fontId="12" type="noConversion"/>
  </si>
  <si>
    <t>348-3</t>
    <phoneticPr fontId="12" type="noConversion"/>
  </si>
  <si>
    <t>346-1</t>
    <phoneticPr fontId="12" type="noConversion"/>
  </si>
  <si>
    <t>산93-2</t>
    <phoneticPr fontId="12" type="noConversion"/>
  </si>
  <si>
    <t>산94-9</t>
    <phoneticPr fontId="12" type="noConversion"/>
  </si>
  <si>
    <t>산89-1</t>
    <phoneticPr fontId="12" type="noConversion"/>
  </si>
  <si>
    <t>산110-1</t>
    <phoneticPr fontId="12" type="noConversion"/>
  </si>
  <si>
    <t>산87-1</t>
    <phoneticPr fontId="12" type="noConversion"/>
  </si>
  <si>
    <t>산113-6</t>
    <phoneticPr fontId="12" type="noConversion"/>
  </si>
  <si>
    <t>480-3</t>
    <phoneticPr fontId="12" type="noConversion"/>
  </si>
  <si>
    <t>산113-5</t>
    <phoneticPr fontId="12" type="noConversion"/>
  </si>
  <si>
    <t>332-6</t>
    <phoneticPr fontId="12" type="noConversion"/>
  </si>
  <si>
    <t>282-4</t>
    <phoneticPr fontId="12" type="noConversion"/>
  </si>
  <si>
    <t>248-8</t>
    <phoneticPr fontId="12" type="noConversion"/>
  </si>
  <si>
    <t>254-1</t>
    <phoneticPr fontId="12" type="noConversion"/>
  </si>
  <si>
    <t>332</t>
    <phoneticPr fontId="12" type="noConversion"/>
  </si>
  <si>
    <t>254-5</t>
    <phoneticPr fontId="12" type="noConversion"/>
  </si>
  <si>
    <t>253-3</t>
    <phoneticPr fontId="12" type="noConversion"/>
  </si>
  <si>
    <t>249-5</t>
    <phoneticPr fontId="12" type="noConversion"/>
  </si>
  <si>
    <t>249-6</t>
    <phoneticPr fontId="12" type="noConversion"/>
  </si>
  <si>
    <t>286-82</t>
    <phoneticPr fontId="12" type="noConversion"/>
  </si>
  <si>
    <t>잡</t>
    <phoneticPr fontId="12" type="noConversion"/>
  </si>
  <si>
    <t>286-83</t>
    <phoneticPr fontId="12" type="noConversion"/>
  </si>
  <si>
    <t>286-8</t>
    <phoneticPr fontId="12" type="noConversion"/>
  </si>
  <si>
    <t>286-52</t>
    <phoneticPr fontId="12" type="noConversion"/>
  </si>
  <si>
    <t>이희순</t>
    <phoneticPr fontId="12" type="noConversion"/>
  </si>
  <si>
    <t>서산시 부석면 강당리 469</t>
    <phoneticPr fontId="12" type="noConversion"/>
  </si>
  <si>
    <t>이용구</t>
    <phoneticPr fontId="12" type="noConversion"/>
  </si>
  <si>
    <t xml:space="preserve">이용구 </t>
    <phoneticPr fontId="12" type="noConversion"/>
  </si>
  <si>
    <t>방산갑순</t>
    <phoneticPr fontId="12" type="noConversion"/>
  </si>
  <si>
    <t>서산시 부석면 봉락리 182</t>
    <phoneticPr fontId="12" type="noConversion"/>
  </si>
  <si>
    <t>이종천</t>
    <phoneticPr fontId="12" type="noConversion"/>
  </si>
  <si>
    <t>서산시 부석면 봉락리 88</t>
    <phoneticPr fontId="12" type="noConversion"/>
  </si>
  <si>
    <t>서산시 부석면 마룡리 115</t>
    <phoneticPr fontId="12" type="noConversion"/>
  </si>
  <si>
    <t xml:space="preserve">지용선 </t>
    <phoneticPr fontId="12" type="noConversion"/>
  </si>
  <si>
    <t>경기도 부천시 원미동 186</t>
    <phoneticPr fontId="12" type="noConversion"/>
  </si>
  <si>
    <t>이능학</t>
    <phoneticPr fontId="12" type="noConversion"/>
  </si>
  <si>
    <t>서산시 부석면 칠전리 360</t>
    <phoneticPr fontId="12" type="noConversion"/>
  </si>
  <si>
    <t>김옥자</t>
    <phoneticPr fontId="12" type="noConversion"/>
  </si>
  <si>
    <t>서산시 부석면 대두리 146</t>
    <phoneticPr fontId="12" type="noConversion"/>
  </si>
  <si>
    <t>246-4</t>
    <phoneticPr fontId="12" type="noConversion"/>
  </si>
  <si>
    <t>부석면 대두리 66</t>
    <phoneticPr fontId="12" type="noConversion"/>
  </si>
  <si>
    <t>아산시 탕정면 호산리 195다세대주택 101</t>
    <phoneticPr fontId="12" type="noConversion"/>
  </si>
  <si>
    <t>서산군 부석면 지산리 275</t>
    <phoneticPr fontId="12" type="noConversion"/>
  </si>
  <si>
    <t>부석면 취평리 299-2</t>
    <phoneticPr fontId="12" type="noConversion"/>
  </si>
  <si>
    <t>수원시 장안구 정자동 922 청솔주공@616-602</t>
    <phoneticPr fontId="12" type="noConversion"/>
  </si>
  <si>
    <t>서울 영등포구 시흥동 39-3</t>
    <phoneticPr fontId="12" type="noConversion"/>
  </si>
  <si>
    <t>서울 동작구 사당동 223-12</t>
    <phoneticPr fontId="12" type="noConversion"/>
  </si>
  <si>
    <t>대두리 541</t>
    <phoneticPr fontId="12" type="noConversion"/>
  </si>
  <si>
    <t>소  계</t>
    <phoneticPr fontId="12" type="noConversion"/>
  </si>
  <si>
    <t>581</t>
    <phoneticPr fontId="12" type="noConversion"/>
  </si>
  <si>
    <t>361-6</t>
    <phoneticPr fontId="12" type="noConversion"/>
  </si>
  <si>
    <t>332-4</t>
    <phoneticPr fontId="12" type="noConversion"/>
  </si>
  <si>
    <t>282-2</t>
    <phoneticPr fontId="12" type="noConversion"/>
  </si>
  <si>
    <t>350-2</t>
    <phoneticPr fontId="12" type="noConversion"/>
  </si>
  <si>
    <t>684-1</t>
    <phoneticPr fontId="12" type="noConversion"/>
  </si>
  <si>
    <t>당초</t>
    <phoneticPr fontId="12" type="noConversion"/>
  </si>
  <si>
    <t>변경</t>
    <phoneticPr fontId="12" type="noConversion"/>
  </si>
  <si>
    <t>변경 소유자</t>
    <phoneticPr fontId="12" type="noConversion"/>
  </si>
  <si>
    <t>당초 소유자</t>
    <phoneticPr fontId="12" type="noConversion"/>
  </si>
  <si>
    <t>420-11</t>
    <phoneticPr fontId="12" type="noConversion"/>
  </si>
  <si>
    <t>420-15</t>
    <phoneticPr fontId="12" type="noConversion"/>
  </si>
  <si>
    <t>420-14</t>
    <phoneticPr fontId="12" type="noConversion"/>
  </si>
  <si>
    <t>420-16</t>
    <phoneticPr fontId="12" type="noConversion"/>
  </si>
  <si>
    <t>분할전</t>
    <phoneticPr fontId="12" type="noConversion"/>
  </si>
  <si>
    <t>분할후</t>
    <phoneticPr fontId="12" type="noConversion"/>
  </si>
  <si>
    <t>증감</t>
    <phoneticPr fontId="12" type="noConversion"/>
  </si>
  <si>
    <t>106-6</t>
    <phoneticPr fontId="12" type="noConversion"/>
  </si>
  <si>
    <t>임</t>
    <phoneticPr fontId="12" type="noConversion"/>
  </si>
  <si>
    <t>산87-5</t>
    <phoneticPr fontId="12" type="noConversion"/>
  </si>
  <si>
    <t>전</t>
    <phoneticPr fontId="12" type="noConversion"/>
  </si>
  <si>
    <t>국</t>
    <phoneticPr fontId="12" type="noConversion"/>
  </si>
  <si>
    <t>답</t>
    <phoneticPr fontId="12" type="noConversion"/>
  </si>
  <si>
    <t>154-5</t>
    <phoneticPr fontId="12" type="noConversion"/>
  </si>
  <si>
    <t>154-6</t>
    <phoneticPr fontId="12" type="noConversion"/>
  </si>
  <si>
    <t>창</t>
    <phoneticPr fontId="12" type="noConversion"/>
  </si>
  <si>
    <t>153-7</t>
    <phoneticPr fontId="12" type="noConversion"/>
  </si>
  <si>
    <t>180-13</t>
    <phoneticPr fontId="12" type="noConversion"/>
  </si>
  <si>
    <t>0-2</t>
    <phoneticPr fontId="12" type="noConversion"/>
  </si>
  <si>
    <t>가</t>
    <phoneticPr fontId="12" type="noConversion"/>
  </si>
  <si>
    <t>153-9</t>
    <phoneticPr fontId="12" type="noConversion"/>
  </si>
  <si>
    <t>184-9</t>
    <phoneticPr fontId="12" type="noConversion"/>
  </si>
  <si>
    <t>189-9</t>
    <phoneticPr fontId="12" type="noConversion"/>
  </si>
  <si>
    <t>189-8</t>
    <phoneticPr fontId="12" type="noConversion"/>
  </si>
  <si>
    <t>이희철</t>
    <phoneticPr fontId="12" type="noConversion"/>
  </si>
  <si>
    <t>서산시 예천동 524-5 
현대@ 103-901</t>
    <phoneticPr fontId="12" type="noConversion"/>
  </si>
  <si>
    <t>150-7</t>
    <phoneticPr fontId="12" type="noConversion"/>
  </si>
  <si>
    <t>151-7</t>
    <phoneticPr fontId="12" type="noConversion"/>
  </si>
  <si>
    <t>잡</t>
    <phoneticPr fontId="12" type="noConversion"/>
  </si>
  <si>
    <t>도</t>
    <phoneticPr fontId="12" type="noConversion"/>
  </si>
  <si>
    <t>406-3</t>
    <phoneticPr fontId="12" type="noConversion"/>
  </si>
  <si>
    <t>407-2</t>
    <phoneticPr fontId="12" type="noConversion"/>
  </si>
  <si>
    <t>407-3</t>
    <phoneticPr fontId="12" type="noConversion"/>
  </si>
  <si>
    <t>405-6</t>
    <phoneticPr fontId="12" type="noConversion"/>
  </si>
  <si>
    <t>405-3</t>
    <phoneticPr fontId="12" type="noConversion"/>
  </si>
  <si>
    <t>404-5</t>
    <phoneticPr fontId="12" type="noConversion"/>
  </si>
  <si>
    <t>답</t>
    <phoneticPr fontId="12" type="noConversion"/>
  </si>
  <si>
    <t>1138-1</t>
    <phoneticPr fontId="12" type="noConversion"/>
  </si>
  <si>
    <t>1139-1</t>
    <phoneticPr fontId="12" type="noConversion"/>
  </si>
  <si>
    <t>유희곤
 외5인</t>
    <phoneticPr fontId="12" type="noConversion"/>
  </si>
  <si>
    <t>409-8</t>
    <phoneticPr fontId="12" type="noConversion"/>
  </si>
  <si>
    <t>409-9</t>
    <phoneticPr fontId="12" type="noConversion"/>
  </si>
  <si>
    <t>408-7</t>
    <phoneticPr fontId="12" type="noConversion"/>
  </si>
  <si>
    <t>408-8</t>
    <phoneticPr fontId="12" type="noConversion"/>
  </si>
  <si>
    <t>413-1</t>
    <phoneticPr fontId="12" type="noConversion"/>
  </si>
  <si>
    <t>1133-3</t>
    <phoneticPr fontId="12" type="noConversion"/>
  </si>
  <si>
    <t>411-2</t>
    <phoneticPr fontId="12" type="noConversion"/>
  </si>
  <si>
    <t>박춘삼</t>
    <phoneticPr fontId="12" type="noConversion"/>
  </si>
  <si>
    <t>1133-1</t>
    <phoneticPr fontId="12" type="noConversion"/>
  </si>
  <si>
    <t>지제흠 
외3인</t>
    <phoneticPr fontId="12" type="noConversion"/>
  </si>
  <si>
    <t>450-23</t>
    <phoneticPr fontId="12" type="noConversion"/>
  </si>
  <si>
    <t>450-21</t>
    <phoneticPr fontId="12" type="noConversion"/>
  </si>
  <si>
    <t>450-19</t>
    <phoneticPr fontId="12" type="noConversion"/>
  </si>
  <si>
    <t>450-18</t>
    <phoneticPr fontId="12" type="noConversion"/>
  </si>
  <si>
    <t>450-17</t>
    <phoneticPr fontId="12" type="noConversion"/>
  </si>
  <si>
    <t>이광우</t>
    <phoneticPr fontId="12" type="noConversion"/>
  </si>
  <si>
    <t>421-5</t>
    <phoneticPr fontId="12" type="noConversion"/>
  </si>
  <si>
    <t>425-1</t>
    <phoneticPr fontId="12" type="noConversion"/>
  </si>
  <si>
    <t>426-4</t>
    <phoneticPr fontId="12" type="noConversion"/>
  </si>
  <si>
    <t>430-2</t>
    <phoneticPr fontId="12" type="noConversion"/>
  </si>
  <si>
    <t>429</t>
    <phoneticPr fontId="12" type="noConversion"/>
  </si>
  <si>
    <t>852-32</t>
    <phoneticPr fontId="12" type="noConversion"/>
  </si>
  <si>
    <t>369-1</t>
    <phoneticPr fontId="12" type="noConversion"/>
  </si>
  <si>
    <t>371-1</t>
    <phoneticPr fontId="12" type="noConversion"/>
  </si>
  <si>
    <t>368-2</t>
    <phoneticPr fontId="12" type="noConversion"/>
  </si>
  <si>
    <t>362-3</t>
    <phoneticPr fontId="12" type="noConversion"/>
  </si>
  <si>
    <t>363-1</t>
    <phoneticPr fontId="12" type="noConversion"/>
  </si>
  <si>
    <t>355-1</t>
    <phoneticPr fontId="12" type="noConversion"/>
  </si>
  <si>
    <t>353-4</t>
    <phoneticPr fontId="12" type="noConversion"/>
  </si>
  <si>
    <t>임</t>
    <phoneticPr fontId="12" type="noConversion"/>
  </si>
  <si>
    <t>350-6</t>
    <phoneticPr fontId="12" type="noConversion"/>
  </si>
  <si>
    <t>295-11</t>
    <phoneticPr fontId="12" type="noConversion"/>
  </si>
  <si>
    <t>295-9</t>
    <phoneticPr fontId="12" type="noConversion"/>
  </si>
  <si>
    <t>1152-1</t>
    <phoneticPr fontId="12" type="noConversion"/>
  </si>
  <si>
    <t>산86-2</t>
    <phoneticPr fontId="12" type="noConversion"/>
  </si>
  <si>
    <t>산86-1</t>
    <phoneticPr fontId="12" type="noConversion"/>
  </si>
  <si>
    <t>114-1</t>
    <phoneticPr fontId="12" type="noConversion"/>
  </si>
  <si>
    <t>114-3</t>
    <phoneticPr fontId="12" type="noConversion"/>
  </si>
  <si>
    <t>산87-4</t>
    <phoneticPr fontId="12" type="noConversion"/>
  </si>
  <si>
    <t>109-2</t>
    <phoneticPr fontId="12" type="noConversion"/>
  </si>
  <si>
    <t>109-1</t>
    <phoneticPr fontId="12" type="noConversion"/>
  </si>
  <si>
    <t>108-5</t>
    <phoneticPr fontId="12" type="noConversion"/>
  </si>
  <si>
    <t>108-3</t>
    <phoneticPr fontId="12" type="noConversion"/>
  </si>
  <si>
    <t>서산시</t>
    <phoneticPr fontId="12" type="noConversion"/>
  </si>
  <si>
    <t>155-3</t>
    <phoneticPr fontId="12" type="noConversion"/>
  </si>
  <si>
    <t>유</t>
    <phoneticPr fontId="12" type="noConversion"/>
  </si>
  <si>
    <t>6-4</t>
    <phoneticPr fontId="12" type="noConversion"/>
  </si>
  <si>
    <t>김완예</t>
    <phoneticPr fontId="12" type="noConversion"/>
  </si>
  <si>
    <t>35-2</t>
    <phoneticPr fontId="12" type="noConversion"/>
  </si>
  <si>
    <t>33-19</t>
    <phoneticPr fontId="12" type="noConversion"/>
  </si>
  <si>
    <t>679-1</t>
    <phoneticPr fontId="12" type="noConversion"/>
  </si>
  <si>
    <t>304-3</t>
    <phoneticPr fontId="12" type="noConversion"/>
  </si>
  <si>
    <t>도</t>
    <phoneticPr fontId="12" type="noConversion"/>
  </si>
  <si>
    <t>11-2</t>
    <phoneticPr fontId="12" type="noConversion"/>
  </si>
  <si>
    <t>김선갑
 외2인</t>
    <phoneticPr fontId="12" type="noConversion"/>
  </si>
  <si>
    <t>봉락리 627</t>
    <phoneticPr fontId="12" type="noConversion"/>
  </si>
  <si>
    <t>12-12</t>
    <phoneticPr fontId="12" type="noConversion"/>
  </si>
  <si>
    <t>14-7</t>
    <phoneticPr fontId="12" type="noConversion"/>
  </si>
  <si>
    <t>16-1</t>
    <phoneticPr fontId="12" type="noConversion"/>
  </si>
  <si>
    <t>231-4</t>
    <phoneticPr fontId="12" type="noConversion"/>
  </si>
  <si>
    <t>230-10</t>
    <phoneticPr fontId="12" type="noConversion"/>
  </si>
  <si>
    <t>229-5</t>
    <phoneticPr fontId="12" type="noConversion"/>
  </si>
  <si>
    <t>690-1</t>
    <phoneticPr fontId="12" type="noConversion"/>
  </si>
  <si>
    <t>307-6</t>
    <phoneticPr fontId="12" type="noConversion"/>
  </si>
  <si>
    <t>34</t>
    <phoneticPr fontId="12" type="noConversion"/>
  </si>
  <si>
    <t>33-18</t>
    <phoneticPr fontId="12" type="noConversion"/>
  </si>
  <si>
    <t>684</t>
    <phoneticPr fontId="12" type="noConversion"/>
  </si>
  <si>
    <t>15-1</t>
    <phoneticPr fontId="12" type="noConversion"/>
  </si>
  <si>
    <t>230-6</t>
    <phoneticPr fontId="12" type="noConversion"/>
  </si>
  <si>
    <t>689-1</t>
    <phoneticPr fontId="12" type="noConversion"/>
  </si>
  <si>
    <t>560-6</t>
    <phoneticPr fontId="12" type="noConversion"/>
  </si>
  <si>
    <t>224-1</t>
    <phoneticPr fontId="12" type="noConversion"/>
  </si>
  <si>
    <t>225</t>
    <phoneticPr fontId="12" type="noConversion"/>
  </si>
  <si>
    <t>153-13</t>
    <phoneticPr fontId="12" type="noConversion"/>
  </si>
  <si>
    <t>225-4</t>
    <phoneticPr fontId="12" type="noConversion"/>
  </si>
  <si>
    <t>225-29</t>
    <phoneticPr fontId="12" type="noConversion"/>
  </si>
  <si>
    <t>225-26</t>
    <phoneticPr fontId="12" type="noConversion"/>
  </si>
  <si>
    <t>232-16</t>
    <phoneticPr fontId="12" type="noConversion"/>
  </si>
  <si>
    <t>232-3</t>
    <phoneticPr fontId="12" type="noConversion"/>
  </si>
  <si>
    <t>232-22</t>
    <phoneticPr fontId="12" type="noConversion"/>
  </si>
  <si>
    <t>232-15</t>
    <phoneticPr fontId="12" type="noConversion"/>
  </si>
  <si>
    <t>233-2</t>
    <phoneticPr fontId="12" type="noConversion"/>
  </si>
  <si>
    <t>233-3</t>
    <phoneticPr fontId="12" type="noConversion"/>
  </si>
  <si>
    <t>산51</t>
    <phoneticPr fontId="12" type="noConversion"/>
  </si>
  <si>
    <t>250-4</t>
    <phoneticPr fontId="12" type="noConversion"/>
  </si>
  <si>
    <t>256-5</t>
    <phoneticPr fontId="12" type="noConversion"/>
  </si>
  <si>
    <t>263-8</t>
    <phoneticPr fontId="12" type="noConversion"/>
  </si>
  <si>
    <t>672-1</t>
    <phoneticPr fontId="12" type="noConversion"/>
  </si>
  <si>
    <t>375-1</t>
    <phoneticPr fontId="12" type="noConversion"/>
  </si>
  <si>
    <t>363-13</t>
    <phoneticPr fontId="12" type="noConversion"/>
  </si>
  <si>
    <t>559-5</t>
    <phoneticPr fontId="12" type="noConversion"/>
  </si>
  <si>
    <t>559-7</t>
    <phoneticPr fontId="12" type="noConversion"/>
  </si>
  <si>
    <t>693</t>
    <phoneticPr fontId="12" type="noConversion"/>
  </si>
  <si>
    <t>232-20</t>
    <phoneticPr fontId="12" type="noConversion"/>
  </si>
  <si>
    <t>232-21</t>
    <phoneticPr fontId="12" type="noConversion"/>
  </si>
  <si>
    <t>260-8</t>
    <phoneticPr fontId="12" type="noConversion"/>
  </si>
  <si>
    <t>260-10</t>
    <phoneticPr fontId="12" type="noConversion"/>
  </si>
  <si>
    <t>260-12</t>
    <phoneticPr fontId="12" type="noConversion"/>
  </si>
  <si>
    <t>666-1</t>
    <phoneticPr fontId="12" type="noConversion"/>
  </si>
  <si>
    <t>363-15</t>
    <phoneticPr fontId="12" type="noConversion"/>
  </si>
  <si>
    <t>363-14</t>
    <phoneticPr fontId="12" type="noConversion"/>
  </si>
  <si>
    <t>361-9</t>
    <phoneticPr fontId="12" type="noConversion"/>
  </si>
  <si>
    <t>이종식</t>
    <phoneticPr fontId="12" type="noConversion"/>
  </si>
  <si>
    <t>칠전리 360</t>
    <phoneticPr fontId="12" type="noConversion"/>
  </si>
  <si>
    <t>359-4</t>
    <phoneticPr fontId="12" type="noConversion"/>
  </si>
  <si>
    <t>361-7</t>
    <phoneticPr fontId="12" type="noConversion"/>
  </si>
  <si>
    <t>351-7</t>
    <phoneticPr fontId="12" type="noConversion"/>
  </si>
  <si>
    <t>352-2</t>
    <phoneticPr fontId="12" type="noConversion"/>
  </si>
  <si>
    <t>348-8</t>
    <phoneticPr fontId="12" type="noConversion"/>
  </si>
  <si>
    <t>346-4</t>
    <phoneticPr fontId="12" type="noConversion"/>
  </si>
  <si>
    <t>345-6</t>
    <phoneticPr fontId="12" type="noConversion"/>
  </si>
  <si>
    <t>345-10</t>
    <phoneticPr fontId="12" type="noConversion"/>
  </si>
  <si>
    <t>261-9</t>
    <phoneticPr fontId="12" type="noConversion"/>
  </si>
  <si>
    <t>665-1</t>
    <phoneticPr fontId="12" type="noConversion"/>
  </si>
  <si>
    <t>463-4</t>
    <phoneticPr fontId="12" type="noConversion"/>
  </si>
  <si>
    <t>479-7</t>
    <phoneticPr fontId="12" type="noConversion"/>
  </si>
  <si>
    <t>480-14</t>
    <phoneticPr fontId="12" type="noConversion"/>
  </si>
  <si>
    <t>234-63</t>
    <phoneticPr fontId="12" type="noConversion"/>
  </si>
  <si>
    <t>234-58</t>
    <phoneticPr fontId="12" type="noConversion"/>
  </si>
  <si>
    <t>234-62</t>
    <phoneticPr fontId="12" type="noConversion"/>
  </si>
  <si>
    <t>234-64</t>
    <phoneticPr fontId="12" type="noConversion"/>
  </si>
  <si>
    <t>234-61</t>
    <phoneticPr fontId="12" type="noConversion"/>
  </si>
  <si>
    <t>234-59</t>
    <phoneticPr fontId="12" type="noConversion"/>
  </si>
  <si>
    <t>234-60</t>
    <phoneticPr fontId="12" type="noConversion"/>
  </si>
  <si>
    <t>234-57</t>
    <phoneticPr fontId="12" type="noConversion"/>
  </si>
  <si>
    <t>234-65</t>
    <phoneticPr fontId="12" type="noConversion"/>
  </si>
  <si>
    <t>234-67</t>
    <phoneticPr fontId="12" type="noConversion"/>
  </si>
  <si>
    <t>234-56</t>
    <phoneticPr fontId="12" type="noConversion"/>
  </si>
  <si>
    <t>244-3</t>
    <phoneticPr fontId="12" type="noConversion"/>
  </si>
  <si>
    <t>산43</t>
    <phoneticPr fontId="12" type="noConversion"/>
  </si>
  <si>
    <t>담양국씨
희량공파</t>
    <phoneticPr fontId="12" type="noConversion"/>
  </si>
  <si>
    <t>태안군 소원면 모항리 971</t>
    <phoneticPr fontId="12" type="noConversion"/>
  </si>
  <si>
    <t>250-14</t>
    <phoneticPr fontId="12" type="noConversion"/>
  </si>
  <si>
    <t>250-16</t>
    <phoneticPr fontId="12" type="noConversion"/>
  </si>
  <si>
    <t>250-15</t>
    <phoneticPr fontId="12" type="noConversion"/>
  </si>
  <si>
    <t>250-17</t>
    <phoneticPr fontId="12" type="noConversion"/>
  </si>
  <si>
    <t>250-19</t>
    <phoneticPr fontId="12" type="noConversion"/>
  </si>
  <si>
    <t>0-29</t>
    <phoneticPr fontId="12" type="noConversion"/>
  </si>
  <si>
    <t>250-18</t>
    <phoneticPr fontId="12" type="noConversion"/>
  </si>
  <si>
    <t>산93-31</t>
    <phoneticPr fontId="12" type="noConversion"/>
  </si>
  <si>
    <t>257-5</t>
    <phoneticPr fontId="12" type="noConversion"/>
  </si>
  <si>
    <t>257-6</t>
    <phoneticPr fontId="12" type="noConversion"/>
  </si>
  <si>
    <t>277-23</t>
    <phoneticPr fontId="12" type="noConversion"/>
  </si>
  <si>
    <t>277-21</t>
    <phoneticPr fontId="12" type="noConversion"/>
  </si>
  <si>
    <t>신정우
외1인</t>
    <phoneticPr fontId="12" type="noConversion"/>
  </si>
  <si>
    <t>인천시 남동구 구월동 1117-5</t>
    <phoneticPr fontId="12" type="noConversion"/>
  </si>
  <si>
    <t>277-22</t>
    <phoneticPr fontId="12" type="noConversion"/>
  </si>
  <si>
    <t xml:space="preserve">서산시  </t>
    <phoneticPr fontId="12" type="noConversion"/>
  </si>
  <si>
    <t>277-26</t>
    <phoneticPr fontId="12" type="noConversion"/>
  </si>
  <si>
    <t>786</t>
    <phoneticPr fontId="12" type="noConversion"/>
  </si>
  <si>
    <t>277-20</t>
    <phoneticPr fontId="12" type="noConversion"/>
  </si>
  <si>
    <t>278-1</t>
    <phoneticPr fontId="12" type="noConversion"/>
  </si>
  <si>
    <t>279-1</t>
    <phoneticPr fontId="12" type="noConversion"/>
  </si>
  <si>
    <t>산122-1</t>
    <phoneticPr fontId="12" type="noConversion"/>
  </si>
  <si>
    <t>산123-1</t>
    <phoneticPr fontId="12" type="noConversion"/>
  </si>
  <si>
    <t>산122-2</t>
    <phoneticPr fontId="12" type="noConversion"/>
  </si>
  <si>
    <t>421-11</t>
    <phoneticPr fontId="12" type="noConversion"/>
  </si>
  <si>
    <t>421-12</t>
    <phoneticPr fontId="12" type="noConversion"/>
  </si>
  <si>
    <t>421-13</t>
    <phoneticPr fontId="12" type="noConversion"/>
  </si>
  <si>
    <t>산125-1</t>
    <phoneticPr fontId="12" type="noConversion"/>
  </si>
  <si>
    <t>420-2</t>
    <phoneticPr fontId="12" type="noConversion"/>
  </si>
  <si>
    <t>277-27</t>
    <phoneticPr fontId="12" type="noConversion"/>
  </si>
  <si>
    <t>277-28</t>
    <phoneticPr fontId="12" type="noConversion"/>
  </si>
  <si>
    <t>277-25</t>
    <phoneticPr fontId="12" type="noConversion"/>
  </si>
  <si>
    <t>277-5</t>
    <phoneticPr fontId="12" type="noConversion"/>
  </si>
  <si>
    <t>박윤흥</t>
    <phoneticPr fontId="12" type="noConversion"/>
  </si>
  <si>
    <t>마룡리 51</t>
    <phoneticPr fontId="12" type="noConversion"/>
  </si>
  <si>
    <t>280-2</t>
    <phoneticPr fontId="12" type="noConversion"/>
  </si>
  <si>
    <t>432-1</t>
    <phoneticPr fontId="12" type="noConversion"/>
  </si>
  <si>
    <t>430-1</t>
    <phoneticPr fontId="12" type="noConversion"/>
  </si>
  <si>
    <t>429-1</t>
    <phoneticPr fontId="12" type="noConversion"/>
  </si>
  <si>
    <t>423-1</t>
    <phoneticPr fontId="12" type="noConversion"/>
  </si>
  <si>
    <t>422-1</t>
    <phoneticPr fontId="12" type="noConversion"/>
  </si>
  <si>
    <t>624</t>
    <phoneticPr fontId="12" type="noConversion"/>
  </si>
  <si>
    <t>421-10</t>
    <phoneticPr fontId="12" type="noConversion"/>
  </si>
  <si>
    <t>479-4</t>
    <phoneticPr fontId="12" type="noConversion"/>
  </si>
  <si>
    <t>479-6</t>
    <phoneticPr fontId="12" type="noConversion"/>
  </si>
  <si>
    <t>1023-1</t>
    <phoneticPr fontId="12" type="noConversion"/>
  </si>
  <si>
    <t>645-12</t>
    <phoneticPr fontId="12" type="noConversion"/>
  </si>
  <si>
    <t>645-13</t>
    <phoneticPr fontId="12" type="noConversion"/>
  </si>
  <si>
    <t>645-14</t>
    <phoneticPr fontId="12" type="noConversion"/>
  </si>
  <si>
    <t>645-15</t>
    <phoneticPr fontId="12" type="noConversion"/>
  </si>
  <si>
    <t>645-16</t>
    <phoneticPr fontId="12" type="noConversion"/>
  </si>
  <si>
    <t>645-17</t>
    <phoneticPr fontId="12" type="noConversion"/>
  </si>
  <si>
    <t>645-18</t>
    <phoneticPr fontId="12" type="noConversion"/>
  </si>
  <si>
    <t>645-19</t>
    <phoneticPr fontId="12" type="noConversion"/>
  </si>
  <si>
    <t>645-20</t>
    <phoneticPr fontId="12" type="noConversion"/>
  </si>
  <si>
    <t>645-21</t>
    <phoneticPr fontId="12" type="noConversion"/>
  </si>
  <si>
    <t>645-22</t>
    <phoneticPr fontId="12" type="noConversion"/>
  </si>
  <si>
    <t>1032-1</t>
    <phoneticPr fontId="12" type="noConversion"/>
  </si>
  <si>
    <t>1029-1</t>
    <phoneticPr fontId="12" type="noConversion"/>
  </si>
  <si>
    <t>천</t>
    <phoneticPr fontId="12" type="noConversion"/>
  </si>
  <si>
    <t>644-10</t>
    <phoneticPr fontId="12" type="noConversion"/>
  </si>
  <si>
    <t>420-8</t>
    <phoneticPr fontId="12" type="noConversion"/>
  </si>
  <si>
    <t>479-3</t>
    <phoneticPr fontId="12" type="noConversion"/>
  </si>
  <si>
    <t>1030-1</t>
    <phoneticPr fontId="12" type="noConversion"/>
  </si>
  <si>
    <t>1031-1</t>
    <phoneticPr fontId="12" type="noConversion"/>
  </si>
  <si>
    <t>642-7</t>
    <phoneticPr fontId="12" type="noConversion"/>
  </si>
  <si>
    <t>642-8</t>
    <phoneticPr fontId="12" type="noConversion"/>
  </si>
  <si>
    <t>1035</t>
    <phoneticPr fontId="12" type="noConversion"/>
  </si>
  <si>
    <t>642-9</t>
    <phoneticPr fontId="12" type="noConversion"/>
  </si>
  <si>
    <t>642-10</t>
    <phoneticPr fontId="12" type="noConversion"/>
  </si>
  <si>
    <t>642-11</t>
    <phoneticPr fontId="12" type="noConversion"/>
  </si>
  <si>
    <t>642-12</t>
    <phoneticPr fontId="12" type="noConversion"/>
  </si>
  <si>
    <t>643-10</t>
    <phoneticPr fontId="12" type="noConversion"/>
  </si>
  <si>
    <t>644-11</t>
    <phoneticPr fontId="12" type="noConversion"/>
  </si>
  <si>
    <t>644-12</t>
    <phoneticPr fontId="12" type="noConversion"/>
  </si>
  <si>
    <t>644-13</t>
    <phoneticPr fontId="12" type="noConversion"/>
  </si>
  <si>
    <t>644-14</t>
    <phoneticPr fontId="12" type="noConversion"/>
  </si>
  <si>
    <t>644-15</t>
    <phoneticPr fontId="12" type="noConversion"/>
  </si>
  <si>
    <t>644-16</t>
    <phoneticPr fontId="12" type="noConversion"/>
  </si>
  <si>
    <t>644-17</t>
    <phoneticPr fontId="12" type="noConversion"/>
  </si>
  <si>
    <t>644-18</t>
    <phoneticPr fontId="12" type="noConversion"/>
  </si>
  <si>
    <t>1041-1</t>
    <phoneticPr fontId="12" type="noConversion"/>
  </si>
  <si>
    <t>742-7</t>
    <phoneticPr fontId="12" type="noConversion"/>
  </si>
  <si>
    <t>643-11</t>
    <phoneticPr fontId="12" type="noConversion"/>
  </si>
  <si>
    <t>643-12</t>
    <phoneticPr fontId="12" type="noConversion"/>
  </si>
  <si>
    <t>643-14</t>
    <phoneticPr fontId="12" type="noConversion"/>
  </si>
  <si>
    <t>1043</t>
    <phoneticPr fontId="12" type="noConversion"/>
  </si>
  <si>
    <t>1044</t>
    <phoneticPr fontId="12" type="noConversion"/>
  </si>
  <si>
    <t>643-15</t>
    <phoneticPr fontId="12" type="noConversion"/>
  </si>
  <si>
    <t>643-16</t>
    <phoneticPr fontId="12" type="noConversion"/>
  </si>
  <si>
    <t>643-17</t>
    <phoneticPr fontId="12" type="noConversion"/>
  </si>
  <si>
    <t>643-18</t>
    <phoneticPr fontId="12" type="noConversion"/>
  </si>
  <si>
    <t>1048-1</t>
    <phoneticPr fontId="12" type="noConversion"/>
  </si>
  <si>
    <t>716</t>
    <phoneticPr fontId="12" type="noConversion"/>
  </si>
  <si>
    <t>0-12</t>
    <phoneticPr fontId="12" type="noConversion"/>
  </si>
  <si>
    <t>산40-12</t>
    <phoneticPr fontId="12" type="noConversion"/>
  </si>
  <si>
    <t>산41-1</t>
    <phoneticPr fontId="12" type="noConversion"/>
  </si>
  <si>
    <t>산42-2</t>
    <phoneticPr fontId="12" type="noConversion"/>
  </si>
  <si>
    <t>산43-5</t>
    <phoneticPr fontId="12" type="noConversion"/>
  </si>
  <si>
    <t>793</t>
    <phoneticPr fontId="12" type="noConversion"/>
  </si>
  <si>
    <t>산47-1</t>
    <phoneticPr fontId="12" type="noConversion"/>
  </si>
  <si>
    <t>산93-14</t>
    <phoneticPr fontId="12" type="noConversion"/>
  </si>
  <si>
    <t>산93-15</t>
    <phoneticPr fontId="12" type="noConversion"/>
  </si>
  <si>
    <t>산92-2</t>
    <phoneticPr fontId="12" type="noConversion"/>
  </si>
  <si>
    <t>산93-16</t>
    <phoneticPr fontId="12" type="noConversion"/>
  </si>
  <si>
    <t>산92-3</t>
    <phoneticPr fontId="12" type="noConversion"/>
  </si>
  <si>
    <t>19-7</t>
    <phoneticPr fontId="12" type="noConversion"/>
  </si>
  <si>
    <t>19-9</t>
    <phoneticPr fontId="12" type="noConversion"/>
  </si>
  <si>
    <t>19-8</t>
    <phoneticPr fontId="12" type="noConversion"/>
  </si>
  <si>
    <t>산35-11</t>
    <phoneticPr fontId="12" type="noConversion"/>
  </si>
  <si>
    <t>산35-9</t>
    <phoneticPr fontId="12" type="noConversion"/>
  </si>
  <si>
    <t>15-8</t>
    <phoneticPr fontId="12" type="noConversion"/>
  </si>
  <si>
    <t>산34-3</t>
    <phoneticPr fontId="12" type="noConversion"/>
  </si>
  <si>
    <t>40-5</t>
    <phoneticPr fontId="12" type="noConversion"/>
  </si>
  <si>
    <t>14-11</t>
    <phoneticPr fontId="12" type="noConversion"/>
  </si>
  <si>
    <t>40-4</t>
    <phoneticPr fontId="12" type="noConversion"/>
  </si>
  <si>
    <t>산38-7</t>
    <phoneticPr fontId="12" type="noConversion"/>
  </si>
  <si>
    <t>40-6</t>
    <phoneticPr fontId="12" type="noConversion"/>
  </si>
  <si>
    <t>40-7</t>
    <phoneticPr fontId="12" type="noConversion"/>
  </si>
  <si>
    <t>20-3</t>
    <phoneticPr fontId="12" type="noConversion"/>
  </si>
  <si>
    <t>산36-1</t>
    <phoneticPr fontId="12" type="noConversion"/>
  </si>
  <si>
    <t>39-3</t>
    <phoneticPr fontId="12" type="noConversion"/>
  </si>
  <si>
    <t>39-5</t>
    <phoneticPr fontId="12" type="noConversion"/>
  </si>
  <si>
    <t>66-6</t>
    <phoneticPr fontId="12" type="noConversion"/>
  </si>
  <si>
    <t>66-10</t>
    <phoneticPr fontId="12" type="noConversion"/>
  </si>
  <si>
    <t>66-8</t>
    <phoneticPr fontId="12" type="noConversion"/>
  </si>
  <si>
    <t>66-12</t>
    <phoneticPr fontId="12" type="noConversion"/>
  </si>
  <si>
    <t>손영자
 외1인</t>
    <phoneticPr fontId="12" type="noConversion"/>
  </si>
  <si>
    <t>도봉구 도봉동 30-1 
도봉한신@ 114-201</t>
    <phoneticPr fontId="12" type="noConversion"/>
  </si>
  <si>
    <t>65-1</t>
    <phoneticPr fontId="12" type="noConversion"/>
  </si>
  <si>
    <t>70-2</t>
    <phoneticPr fontId="12" type="noConversion"/>
  </si>
  <si>
    <t>손영자 
외1인</t>
    <phoneticPr fontId="12" type="noConversion"/>
  </si>
  <si>
    <t>99-1</t>
    <phoneticPr fontId="12" type="noConversion"/>
  </si>
  <si>
    <t>98-1</t>
    <phoneticPr fontId="12" type="noConversion"/>
  </si>
  <si>
    <t>90-1</t>
    <phoneticPr fontId="12" type="noConversion"/>
  </si>
  <si>
    <t>89-1</t>
    <phoneticPr fontId="12" type="noConversion"/>
  </si>
  <si>
    <t>88-1</t>
    <phoneticPr fontId="12" type="noConversion"/>
  </si>
  <si>
    <t>89-2</t>
    <phoneticPr fontId="12" type="noConversion"/>
  </si>
  <si>
    <t>90-2</t>
    <phoneticPr fontId="12" type="noConversion"/>
  </si>
  <si>
    <t>91-1</t>
    <phoneticPr fontId="12" type="noConversion"/>
  </si>
  <si>
    <t>96-4</t>
    <phoneticPr fontId="12" type="noConversion"/>
  </si>
  <si>
    <t>96-5</t>
    <phoneticPr fontId="12" type="noConversion"/>
  </si>
  <si>
    <t>산림청</t>
    <phoneticPr fontId="12" type="noConversion"/>
  </si>
  <si>
    <t>95-2</t>
    <phoneticPr fontId="12" type="noConversion"/>
  </si>
  <si>
    <t>96-6</t>
    <phoneticPr fontId="12" type="noConversion"/>
  </si>
  <si>
    <t>94-7</t>
    <phoneticPr fontId="12" type="noConversion"/>
  </si>
  <si>
    <t>94-8</t>
    <phoneticPr fontId="12" type="noConversion"/>
  </si>
  <si>
    <t>92-2</t>
    <phoneticPr fontId="12" type="noConversion"/>
  </si>
  <si>
    <t>92-3</t>
    <phoneticPr fontId="12" type="noConversion"/>
  </si>
  <si>
    <t>93-1</t>
    <phoneticPr fontId="12" type="noConversion"/>
  </si>
  <si>
    <t>81-17</t>
    <phoneticPr fontId="12" type="noConversion"/>
  </si>
  <si>
    <t>81-15</t>
    <phoneticPr fontId="12" type="noConversion"/>
  </si>
  <si>
    <t>81-8</t>
    <phoneticPr fontId="12" type="noConversion"/>
  </si>
  <si>
    <t>제</t>
    <phoneticPr fontId="12" type="noConversion"/>
  </si>
  <si>
    <t>231-33</t>
    <phoneticPr fontId="12" type="noConversion"/>
  </si>
  <si>
    <t>81-16</t>
    <phoneticPr fontId="12" type="noConversion"/>
  </si>
  <si>
    <t>39-6</t>
    <phoneticPr fontId="12" type="noConversion"/>
  </si>
  <si>
    <t>71-3</t>
    <phoneticPr fontId="12" type="noConversion"/>
  </si>
  <si>
    <t>71-4</t>
    <phoneticPr fontId="12" type="noConversion"/>
  </si>
  <si>
    <t>85-1</t>
    <phoneticPr fontId="12" type="noConversion"/>
  </si>
  <si>
    <t>87</t>
    <phoneticPr fontId="12" type="noConversion"/>
  </si>
  <si>
    <t>84-4</t>
    <phoneticPr fontId="12" type="noConversion"/>
  </si>
  <si>
    <t>81-12</t>
    <phoneticPr fontId="12" type="noConversion"/>
  </si>
  <si>
    <t>81-13</t>
    <phoneticPr fontId="12" type="noConversion"/>
  </si>
  <si>
    <t>81-14</t>
    <phoneticPr fontId="12" type="noConversion"/>
  </si>
  <si>
    <t>231-30</t>
    <phoneticPr fontId="12" type="noConversion"/>
  </si>
  <si>
    <t>231-31</t>
    <phoneticPr fontId="12" type="noConversion"/>
  </si>
  <si>
    <t>231-32</t>
    <phoneticPr fontId="12" type="noConversion"/>
  </si>
  <si>
    <t>212-21</t>
    <phoneticPr fontId="12" type="noConversion"/>
  </si>
  <si>
    <t>212-24</t>
    <phoneticPr fontId="12" type="noConversion"/>
  </si>
  <si>
    <t>237-4</t>
    <phoneticPr fontId="12" type="noConversion"/>
  </si>
  <si>
    <t>237-5</t>
    <phoneticPr fontId="12" type="noConversion"/>
  </si>
  <si>
    <t>212-19</t>
    <phoneticPr fontId="12" type="noConversion"/>
  </si>
  <si>
    <t>252-5</t>
    <phoneticPr fontId="12" type="noConversion"/>
  </si>
  <si>
    <t>252-8</t>
    <phoneticPr fontId="12" type="noConversion"/>
  </si>
  <si>
    <t>252-7</t>
    <phoneticPr fontId="12" type="noConversion"/>
  </si>
  <si>
    <t>252-6</t>
    <phoneticPr fontId="12" type="noConversion"/>
  </si>
  <si>
    <t>254-6</t>
    <phoneticPr fontId="12" type="noConversion"/>
  </si>
  <si>
    <t>253-2</t>
    <phoneticPr fontId="12" type="noConversion"/>
  </si>
  <si>
    <t>253-4</t>
    <phoneticPr fontId="12" type="noConversion"/>
  </si>
  <si>
    <t>251-1</t>
    <phoneticPr fontId="12" type="noConversion"/>
  </si>
  <si>
    <t>251-10</t>
    <phoneticPr fontId="12" type="noConversion"/>
  </si>
  <si>
    <t>248-15</t>
    <phoneticPr fontId="12" type="noConversion"/>
  </si>
  <si>
    <t>251-11</t>
    <phoneticPr fontId="12" type="noConversion"/>
  </si>
  <si>
    <t>251-8</t>
    <phoneticPr fontId="12" type="noConversion"/>
  </si>
  <si>
    <t>251-12</t>
    <phoneticPr fontId="12" type="noConversion"/>
  </si>
  <si>
    <t>251-9</t>
    <phoneticPr fontId="12" type="noConversion"/>
  </si>
  <si>
    <t>332-2</t>
    <phoneticPr fontId="12" type="noConversion"/>
  </si>
  <si>
    <t>248-14</t>
    <phoneticPr fontId="12" type="noConversion"/>
  </si>
  <si>
    <t>332-7</t>
    <phoneticPr fontId="12" type="noConversion"/>
  </si>
  <si>
    <t>286-109</t>
    <phoneticPr fontId="12" type="noConversion"/>
  </si>
  <si>
    <t>332-8</t>
    <phoneticPr fontId="12" type="noConversion"/>
  </si>
  <si>
    <t>247-3</t>
    <phoneticPr fontId="12" type="noConversion"/>
  </si>
  <si>
    <t>231-35</t>
    <phoneticPr fontId="12" type="noConversion"/>
  </si>
  <si>
    <t>231-34</t>
    <phoneticPr fontId="12" type="noConversion"/>
  </si>
  <si>
    <t>박대우</t>
    <phoneticPr fontId="12" type="noConversion"/>
  </si>
  <si>
    <t>서울 노원구 하계동 148 
시영@604-1405</t>
    <phoneticPr fontId="12" type="noConversion"/>
  </si>
  <si>
    <t>227-1</t>
    <phoneticPr fontId="12" type="noConversion"/>
  </si>
  <si>
    <t>236-1</t>
    <phoneticPr fontId="12" type="noConversion"/>
  </si>
  <si>
    <t>237-3</t>
    <phoneticPr fontId="12" type="noConversion"/>
  </si>
  <si>
    <t>238-1</t>
    <phoneticPr fontId="12" type="noConversion"/>
  </si>
  <si>
    <t>240-1</t>
    <phoneticPr fontId="12" type="noConversion"/>
  </si>
  <si>
    <t>242-23</t>
    <phoneticPr fontId="12" type="noConversion"/>
  </si>
  <si>
    <t>242-26</t>
    <phoneticPr fontId="12" type="noConversion"/>
  </si>
  <si>
    <t>242-25</t>
    <phoneticPr fontId="12" type="noConversion"/>
  </si>
  <si>
    <t>242-22</t>
    <phoneticPr fontId="12" type="noConversion"/>
  </si>
  <si>
    <t>212-13</t>
    <phoneticPr fontId="12" type="noConversion"/>
  </si>
  <si>
    <t>212-12</t>
    <phoneticPr fontId="12" type="noConversion"/>
  </si>
  <si>
    <t>242-24</t>
    <phoneticPr fontId="12" type="noConversion"/>
  </si>
  <si>
    <t>산58-31</t>
    <phoneticPr fontId="12" type="noConversion"/>
  </si>
  <si>
    <t>산58-32</t>
    <phoneticPr fontId="12" type="noConversion"/>
  </si>
  <si>
    <t>251-3</t>
    <phoneticPr fontId="12" type="noConversion"/>
  </si>
  <si>
    <t>251-6</t>
    <phoneticPr fontId="12" type="noConversion"/>
  </si>
  <si>
    <t>249-7</t>
    <phoneticPr fontId="12" type="noConversion"/>
  </si>
  <si>
    <t>286-110</t>
    <phoneticPr fontId="12" type="noConversion"/>
  </si>
  <si>
    <t>산58-30</t>
    <phoneticPr fontId="12" type="noConversion"/>
  </si>
  <si>
    <t>334</t>
    <phoneticPr fontId="12" type="noConversion"/>
  </si>
  <si>
    <t>303-1</t>
    <phoneticPr fontId="12" type="noConversion"/>
  </si>
  <si>
    <t>332-1</t>
    <phoneticPr fontId="12" type="noConversion"/>
  </si>
  <si>
    <t>248-12</t>
    <phoneticPr fontId="12" type="noConversion"/>
  </si>
  <si>
    <t>250-1</t>
    <phoneticPr fontId="12" type="noConversion"/>
  </si>
  <si>
    <t>산60-9</t>
    <phoneticPr fontId="12" type="noConversion"/>
  </si>
  <si>
    <t>250</t>
    <phoneticPr fontId="12" type="noConversion"/>
  </si>
  <si>
    <t>김동희
 외1인</t>
    <phoneticPr fontId="12" type="noConversion"/>
  </si>
  <si>
    <t>예산군 봉산면 신리</t>
    <phoneticPr fontId="12" type="noConversion"/>
  </si>
  <si>
    <t>248-6</t>
    <phoneticPr fontId="12" type="noConversion"/>
  </si>
  <si>
    <t>248-2</t>
    <phoneticPr fontId="12" type="noConversion"/>
  </si>
  <si>
    <t>332-5</t>
    <phoneticPr fontId="12" type="noConversion"/>
  </si>
  <si>
    <t>286-2</t>
    <phoneticPr fontId="12" type="noConversion"/>
  </si>
  <si>
    <t>286-81</t>
    <phoneticPr fontId="12" type="noConversion"/>
  </si>
  <si>
    <t>286-68</t>
    <phoneticPr fontId="12" type="noConversion"/>
  </si>
  <si>
    <t>247-2</t>
    <phoneticPr fontId="12" type="noConversion"/>
  </si>
  <si>
    <t>154-2</t>
    <phoneticPr fontId="12" type="noConversion"/>
  </si>
  <si>
    <t>857</t>
    <phoneticPr fontId="12" type="noConversion"/>
  </si>
  <si>
    <t>409-3</t>
    <phoneticPr fontId="12" type="noConversion"/>
  </si>
  <si>
    <t>384-3</t>
    <phoneticPr fontId="12" type="noConversion"/>
  </si>
  <si>
    <t>361-3</t>
    <phoneticPr fontId="12" type="noConversion"/>
  </si>
  <si>
    <t>산46-2</t>
    <phoneticPr fontId="12" type="noConversion"/>
  </si>
  <si>
    <t>245-17</t>
    <phoneticPr fontId="12" type="noConversion"/>
  </si>
  <si>
    <t>248-11</t>
    <phoneticPr fontId="12" type="noConversion"/>
  </si>
  <si>
    <t>186-3</t>
    <phoneticPr fontId="12" type="noConversion"/>
  </si>
  <si>
    <t>답</t>
    <phoneticPr fontId="12" type="noConversion"/>
  </si>
  <si>
    <t>186-5</t>
    <phoneticPr fontId="12" type="noConversion"/>
  </si>
  <si>
    <t>187-5</t>
    <phoneticPr fontId="12" type="noConversion"/>
  </si>
  <si>
    <t>277-4</t>
    <phoneticPr fontId="12" type="noConversion"/>
  </si>
  <si>
    <t>276-5</t>
    <phoneticPr fontId="12" type="noConversion"/>
  </si>
  <si>
    <t>288-5</t>
    <phoneticPr fontId="12" type="noConversion"/>
  </si>
  <si>
    <t>288-2</t>
    <phoneticPr fontId="12" type="noConversion"/>
  </si>
  <si>
    <t>293-10</t>
    <phoneticPr fontId="12" type="noConversion"/>
  </si>
  <si>
    <t>219-3</t>
    <phoneticPr fontId="12" type="noConversion"/>
  </si>
  <si>
    <t>222-2</t>
    <phoneticPr fontId="12" type="noConversion"/>
  </si>
  <si>
    <t>195-2</t>
    <phoneticPr fontId="12" type="noConversion"/>
  </si>
  <si>
    <t>217-2</t>
    <phoneticPr fontId="12" type="noConversion"/>
  </si>
  <si>
    <t>217-4</t>
    <phoneticPr fontId="12" type="noConversion"/>
  </si>
  <si>
    <t>153-8</t>
    <phoneticPr fontId="12" type="noConversion"/>
  </si>
  <si>
    <t>184-8</t>
    <phoneticPr fontId="12" type="noConversion"/>
  </si>
  <si>
    <t>184-6</t>
    <phoneticPr fontId="12" type="noConversion"/>
  </si>
  <si>
    <t>368-1</t>
    <phoneticPr fontId="12" type="noConversion"/>
  </si>
  <si>
    <t>450-25</t>
    <phoneticPr fontId="12" type="noConversion"/>
  </si>
  <si>
    <t>106-5</t>
    <phoneticPr fontId="12" type="noConversion"/>
  </si>
  <si>
    <t>108-7</t>
    <phoneticPr fontId="12" type="noConversion"/>
  </si>
  <si>
    <t>110-4</t>
    <phoneticPr fontId="12" type="noConversion"/>
  </si>
  <si>
    <t>139-4</t>
    <phoneticPr fontId="12" type="noConversion"/>
  </si>
  <si>
    <t>141-7</t>
    <phoneticPr fontId="12" type="noConversion"/>
  </si>
  <si>
    <t>352-5</t>
    <phoneticPr fontId="12" type="noConversion"/>
  </si>
  <si>
    <t>407-6</t>
    <phoneticPr fontId="12" type="noConversion"/>
  </si>
  <si>
    <t>409-7</t>
    <phoneticPr fontId="12" type="noConversion"/>
  </si>
  <si>
    <t>418-1</t>
    <phoneticPr fontId="12" type="noConversion"/>
  </si>
  <si>
    <t>571</t>
    <phoneticPr fontId="12" type="noConversion"/>
  </si>
  <si>
    <t>479-14</t>
    <phoneticPr fontId="12" type="noConversion"/>
  </si>
  <si>
    <t>742-6</t>
    <phoneticPr fontId="12" type="noConversion"/>
  </si>
  <si>
    <t>19</t>
    <phoneticPr fontId="12" type="noConversion"/>
  </si>
  <si>
    <t>217-12</t>
    <phoneticPr fontId="12" type="noConversion"/>
  </si>
  <si>
    <t>86-1</t>
    <phoneticPr fontId="12" type="noConversion"/>
  </si>
  <si>
    <t>산51-2</t>
    <phoneticPr fontId="12" type="noConversion"/>
  </si>
  <si>
    <t>643-13</t>
    <phoneticPr fontId="12" type="noConversion"/>
  </si>
  <si>
    <t>19-11</t>
    <phoneticPr fontId="12" type="noConversion"/>
  </si>
  <si>
    <t>19-12</t>
    <phoneticPr fontId="12" type="noConversion"/>
  </si>
  <si>
    <t>19-13</t>
    <phoneticPr fontId="12" type="noConversion"/>
  </si>
  <si>
    <t>안성준</t>
    <phoneticPr fontId="12" type="noConversion"/>
  </si>
  <si>
    <t>경기도 안산시 단원구 광덕3로201,316/2102(고잔동,아산고잔3차푸르지오)</t>
    <phoneticPr fontId="12" type="noConversion"/>
  </si>
  <si>
    <t>근저당</t>
    <phoneticPr fontId="12" type="noConversion"/>
  </si>
  <si>
    <t>246-14</t>
    <phoneticPr fontId="12" type="noConversion"/>
  </si>
  <si>
    <t>대두리 66</t>
    <phoneticPr fontId="12" type="noConversion"/>
  </si>
  <si>
    <t>강모훈</t>
    <phoneticPr fontId="12" type="noConversion"/>
  </si>
  <si>
    <t>대두리 저수지 수리계</t>
    <phoneticPr fontId="12" type="noConversion"/>
  </si>
  <si>
    <t>우제수</t>
    <phoneticPr fontId="12" type="noConversion"/>
  </si>
  <si>
    <t>부석면 대두리 197</t>
    <phoneticPr fontId="12" type="noConversion"/>
  </si>
  <si>
    <t>801-1</t>
    <phoneticPr fontId="12" type="noConversion"/>
  </si>
  <si>
    <t>810</t>
    <phoneticPr fontId="12" type="noConversion"/>
  </si>
  <si>
    <t>유갑동 
외3인</t>
    <phoneticPr fontId="12" type="noConversion"/>
  </si>
  <si>
    <t>고희옥</t>
    <phoneticPr fontId="12" type="noConversion"/>
  </si>
  <si>
    <t>부천시 원미구 중동 1113 위브더스테이트 702-1902</t>
    <phoneticPr fontId="12" type="noConversion"/>
  </si>
  <si>
    <t>나신선
 외1인</t>
    <phoneticPr fontId="12" type="noConversion"/>
  </si>
  <si>
    <t>대두리 53</t>
    <phoneticPr fontId="12" type="noConversion"/>
  </si>
  <si>
    <t>오순임</t>
    <phoneticPr fontId="12" type="noConversion"/>
  </si>
  <si>
    <t>인천 남동구 구월동 1397-8 4층</t>
    <phoneticPr fontId="12" type="noConversion"/>
  </si>
  <si>
    <t>장영순</t>
    <phoneticPr fontId="12" type="noConversion"/>
  </si>
  <si>
    <t>인천시 남동구 논현동 634-1한화꿈에그린@610-303</t>
    <phoneticPr fontId="12" type="noConversion"/>
  </si>
  <si>
    <t>293-9</t>
    <phoneticPr fontId="12" type="noConversion"/>
  </si>
  <si>
    <t>689</t>
    <phoneticPr fontId="12" type="noConversion"/>
  </si>
  <si>
    <t>산69-5</t>
    <phoneticPr fontId="12" type="noConversion"/>
  </si>
  <si>
    <t>명재훈
 외1인</t>
    <phoneticPr fontId="12" type="noConversion"/>
  </si>
  <si>
    <t>남양주시 도농동 296-15 
창조@ 에이-302</t>
    <phoneticPr fontId="12" type="noConversion"/>
  </si>
  <si>
    <t>195-1</t>
    <phoneticPr fontId="12" type="noConversion"/>
  </si>
  <si>
    <t>217-1</t>
    <phoneticPr fontId="12" type="noConversion"/>
  </si>
  <si>
    <t>221-1</t>
    <phoneticPr fontId="12" type="noConversion"/>
  </si>
  <si>
    <t>683</t>
    <phoneticPr fontId="12" type="noConversion"/>
  </si>
  <si>
    <t>223-2</t>
    <phoneticPr fontId="12" type="noConversion"/>
  </si>
  <si>
    <t>223-3</t>
    <phoneticPr fontId="12" type="noConversion"/>
  </si>
  <si>
    <t>244-2</t>
    <phoneticPr fontId="12" type="noConversion"/>
  </si>
  <si>
    <t>246-5</t>
    <phoneticPr fontId="12" type="noConversion"/>
  </si>
  <si>
    <t>246-2</t>
    <phoneticPr fontId="12" type="noConversion"/>
  </si>
  <si>
    <t>280-1</t>
    <phoneticPr fontId="12" type="noConversion"/>
  </si>
  <si>
    <t>280-6</t>
    <phoneticPr fontId="12" type="noConversion"/>
  </si>
  <si>
    <t>277-1</t>
    <phoneticPr fontId="12" type="noConversion"/>
  </si>
  <si>
    <t>277-3</t>
    <phoneticPr fontId="12" type="noConversion"/>
  </si>
  <si>
    <t>275-4</t>
    <phoneticPr fontId="12" type="noConversion"/>
  </si>
  <si>
    <t>274-4</t>
    <phoneticPr fontId="12" type="noConversion"/>
  </si>
  <si>
    <t>274-3</t>
    <phoneticPr fontId="12" type="noConversion"/>
  </si>
  <si>
    <t>산68-2</t>
    <phoneticPr fontId="12" type="noConversion"/>
  </si>
  <si>
    <t>106-7</t>
    <phoneticPr fontId="12" type="noConversion"/>
  </si>
  <si>
    <t>155-4</t>
    <phoneticPr fontId="12" type="noConversion"/>
  </si>
  <si>
    <t>153-6</t>
    <phoneticPr fontId="12" type="noConversion"/>
  </si>
  <si>
    <t>153-5</t>
    <phoneticPr fontId="12" type="noConversion"/>
  </si>
  <si>
    <t>150-8</t>
    <phoneticPr fontId="12" type="noConversion"/>
  </si>
  <si>
    <t>부석면 강당리 814</t>
    <phoneticPr fontId="12" type="noConversion"/>
  </si>
  <si>
    <t>151-8</t>
    <phoneticPr fontId="12" type="noConversion"/>
  </si>
  <si>
    <t>138-4</t>
    <phoneticPr fontId="12" type="noConversion"/>
  </si>
  <si>
    <t>1137-1</t>
    <phoneticPr fontId="12" type="noConversion"/>
  </si>
  <si>
    <t>250-20</t>
    <phoneticPr fontId="12" type="noConversion"/>
  </si>
  <si>
    <t>서산시 읍내동 624-5 
부영@ 101-616</t>
    <phoneticPr fontId="12" type="noConversion"/>
  </si>
  <si>
    <t>봉락리 462</t>
    <phoneticPr fontId="12" type="noConversion"/>
  </si>
  <si>
    <t>인천 부평 십정 168-22 
대화빌라 라동 303</t>
    <phoneticPr fontId="12" type="noConversion"/>
  </si>
  <si>
    <t>450-21</t>
    <phoneticPr fontId="12" type="noConversion"/>
  </si>
  <si>
    <t>1133-4</t>
    <phoneticPr fontId="12" type="noConversion"/>
  </si>
  <si>
    <t>852-34</t>
    <phoneticPr fontId="12" type="noConversion"/>
  </si>
  <si>
    <t>421-3</t>
    <phoneticPr fontId="12" type="noConversion"/>
  </si>
  <si>
    <t>서산시 부석면 봉락리 34</t>
    <phoneticPr fontId="12" type="noConversion"/>
  </si>
  <si>
    <t>426-5</t>
    <phoneticPr fontId="12" type="noConversion"/>
  </si>
  <si>
    <t>1136-1</t>
    <phoneticPr fontId="12" type="noConversion"/>
  </si>
  <si>
    <t>370-2</t>
    <phoneticPr fontId="12" type="noConversion"/>
  </si>
  <si>
    <t>373-1</t>
    <phoneticPr fontId="12" type="noConversion"/>
  </si>
  <si>
    <t>865</t>
    <phoneticPr fontId="12" type="noConversion"/>
  </si>
  <si>
    <t>353-3</t>
    <phoneticPr fontId="12" type="noConversion"/>
  </si>
  <si>
    <t>350-6</t>
    <phoneticPr fontId="12" type="noConversion"/>
  </si>
  <si>
    <t>295-11</t>
    <phoneticPr fontId="12" type="noConversion"/>
  </si>
  <si>
    <t>295-9</t>
    <phoneticPr fontId="12" type="noConversion"/>
  </si>
  <si>
    <t>1150-1</t>
    <phoneticPr fontId="12" type="noConversion"/>
  </si>
  <si>
    <t>산87-6</t>
    <phoneticPr fontId="12" type="noConversion"/>
  </si>
  <si>
    <t>150-2</t>
    <phoneticPr fontId="12" type="noConversion"/>
  </si>
  <si>
    <t>150-5</t>
    <phoneticPr fontId="12" type="noConversion"/>
  </si>
  <si>
    <t>859</t>
    <phoneticPr fontId="12" type="noConversion"/>
  </si>
  <si>
    <t>151-3</t>
    <phoneticPr fontId="12" type="noConversion"/>
  </si>
  <si>
    <t>0-1</t>
    <phoneticPr fontId="12" type="noConversion"/>
  </si>
  <si>
    <t>141-2</t>
    <phoneticPr fontId="12" type="noConversion"/>
  </si>
  <si>
    <t>404-2</t>
    <phoneticPr fontId="12" type="noConversion"/>
  </si>
  <si>
    <t>400-2</t>
    <phoneticPr fontId="12" type="noConversion"/>
  </si>
  <si>
    <t>이호출
 외1인</t>
    <phoneticPr fontId="12" type="noConversion"/>
  </si>
  <si>
    <t>399-2</t>
    <phoneticPr fontId="12" type="noConversion"/>
  </si>
  <si>
    <t>396-3</t>
    <phoneticPr fontId="12" type="noConversion"/>
  </si>
  <si>
    <t>396-2</t>
    <phoneticPr fontId="12" type="noConversion"/>
  </si>
  <si>
    <t>408-6</t>
    <phoneticPr fontId="12" type="noConversion"/>
  </si>
  <si>
    <t>417-2</t>
    <phoneticPr fontId="12" type="noConversion"/>
  </si>
  <si>
    <t>855</t>
    <phoneticPr fontId="12" type="noConversion"/>
  </si>
  <si>
    <t>지산영춘</t>
    <phoneticPr fontId="12" type="noConversion"/>
  </si>
  <si>
    <t>서산시 부석면 칠전리 98</t>
    <phoneticPr fontId="12" type="noConversion"/>
  </si>
  <si>
    <t>소  계</t>
    <phoneticPr fontId="12" type="noConversion"/>
  </si>
  <si>
    <t>7-3</t>
    <phoneticPr fontId="12" type="noConversion"/>
  </si>
  <si>
    <t>농림수산식품부</t>
    <phoneticPr fontId="12" type="noConversion"/>
  </si>
  <si>
    <t>35-1</t>
    <phoneticPr fontId="12" type="noConversion"/>
  </si>
  <si>
    <t>임</t>
    <phoneticPr fontId="12" type="noConversion"/>
  </si>
  <si>
    <t>부석면 칠전리 34</t>
    <phoneticPr fontId="12" type="noConversion"/>
  </si>
  <si>
    <t>서산시 부석면 무학로 753-20</t>
    <phoneticPr fontId="12" type="noConversion"/>
  </si>
  <si>
    <t>33-16</t>
    <phoneticPr fontId="12" type="noConversion"/>
  </si>
  <si>
    <t>33-20</t>
    <phoneticPr fontId="12" type="noConversion"/>
  </si>
  <si>
    <t>전</t>
    <phoneticPr fontId="12" type="noConversion"/>
  </si>
  <si>
    <t>304-1</t>
    <phoneticPr fontId="12" type="noConversion"/>
  </si>
  <si>
    <t>답</t>
    <phoneticPr fontId="12" type="noConversion"/>
  </si>
  <si>
    <t>681-1</t>
    <phoneticPr fontId="12" type="noConversion"/>
  </si>
  <si>
    <t>도</t>
    <phoneticPr fontId="12" type="noConversion"/>
  </si>
  <si>
    <t>12-10</t>
    <phoneticPr fontId="12" type="noConversion"/>
  </si>
  <si>
    <t>14-6</t>
    <phoneticPr fontId="12" type="noConversion"/>
  </si>
  <si>
    <t>14-9</t>
    <phoneticPr fontId="12" type="noConversion"/>
  </si>
  <si>
    <t>230-9</t>
    <phoneticPr fontId="12" type="noConversion"/>
  </si>
  <si>
    <t>229-3</t>
    <phoneticPr fontId="12" type="noConversion"/>
  </si>
  <si>
    <t>공</t>
    <phoneticPr fontId="12" type="noConversion"/>
  </si>
  <si>
    <t>충청남도</t>
    <phoneticPr fontId="12" type="noConversion"/>
  </si>
  <si>
    <t>558-7</t>
    <phoneticPr fontId="12" type="noConversion"/>
  </si>
  <si>
    <t>답</t>
    <phoneticPr fontId="12" type="noConversion"/>
  </si>
  <si>
    <t>307-5</t>
    <phoneticPr fontId="12" type="noConversion"/>
  </si>
  <si>
    <t>691-1</t>
    <phoneticPr fontId="12" type="noConversion"/>
  </si>
  <si>
    <t>농림수산식품부</t>
    <phoneticPr fontId="12" type="noConversion"/>
  </si>
  <si>
    <t>9-1</t>
    <phoneticPr fontId="12" type="noConversion"/>
  </si>
  <si>
    <t>유</t>
    <phoneticPr fontId="12" type="noConversion"/>
  </si>
  <si>
    <t>11-3</t>
    <phoneticPr fontId="12" type="noConversion"/>
  </si>
  <si>
    <t>제</t>
    <phoneticPr fontId="12" type="noConversion"/>
  </si>
  <si>
    <t>김양균</t>
    <phoneticPr fontId="12" type="noConversion"/>
  </si>
  <si>
    <t>홍콩헤드라인 6번가 비-3호</t>
    <phoneticPr fontId="12" type="noConversion"/>
  </si>
  <si>
    <t>682-1</t>
    <phoneticPr fontId="12" type="noConversion"/>
  </si>
  <si>
    <t>구</t>
    <phoneticPr fontId="12" type="noConversion"/>
  </si>
  <si>
    <t>농림수산식품부</t>
    <phoneticPr fontId="12" type="noConversion"/>
  </si>
  <si>
    <t>231-3</t>
    <phoneticPr fontId="12" type="noConversion"/>
  </si>
  <si>
    <t>전</t>
    <phoneticPr fontId="12" type="noConversion"/>
  </si>
  <si>
    <t>229-6</t>
    <phoneticPr fontId="12" type="noConversion"/>
  </si>
  <si>
    <t>임</t>
    <phoneticPr fontId="12" type="noConversion"/>
  </si>
  <si>
    <t>박행연 
외1인</t>
    <phoneticPr fontId="12" type="noConversion"/>
  </si>
  <si>
    <t>인천 부평구 삼산동 56-3 삼보@ 1-103</t>
    <phoneticPr fontId="12" type="noConversion"/>
  </si>
  <si>
    <t>559-6</t>
    <phoneticPr fontId="12" type="noConversion"/>
  </si>
  <si>
    <t>전</t>
    <phoneticPr fontId="12" type="noConversion"/>
  </si>
  <si>
    <t>560-3</t>
    <phoneticPr fontId="12" type="noConversion"/>
  </si>
  <si>
    <t>222-3</t>
    <phoneticPr fontId="12" type="noConversion"/>
  </si>
  <si>
    <t>221-4</t>
    <phoneticPr fontId="12" type="noConversion"/>
  </si>
  <si>
    <t>225-27</t>
    <phoneticPr fontId="12" type="noConversion"/>
  </si>
  <si>
    <t>225-28</t>
    <phoneticPr fontId="12" type="noConversion"/>
  </si>
  <si>
    <t>225-30</t>
    <phoneticPr fontId="12" type="noConversion"/>
  </si>
  <si>
    <t>232-23</t>
    <phoneticPr fontId="12" type="noConversion"/>
  </si>
  <si>
    <t>232-19</t>
    <phoneticPr fontId="12" type="noConversion"/>
  </si>
  <si>
    <t>232-11</t>
    <phoneticPr fontId="12" type="noConversion"/>
  </si>
  <si>
    <t>233-11</t>
    <phoneticPr fontId="12" type="noConversion"/>
  </si>
  <si>
    <t>232-13</t>
    <phoneticPr fontId="12" type="noConversion"/>
  </si>
  <si>
    <t>670-1</t>
    <phoneticPr fontId="12" type="noConversion"/>
  </si>
  <si>
    <t>산52-1</t>
    <phoneticPr fontId="12" type="noConversion"/>
  </si>
  <si>
    <t>256-4</t>
    <phoneticPr fontId="12" type="noConversion"/>
  </si>
  <si>
    <t>257-7</t>
    <phoneticPr fontId="12" type="noConversion"/>
  </si>
  <si>
    <t>671-1</t>
    <phoneticPr fontId="12" type="noConversion"/>
  </si>
  <si>
    <t>263-9</t>
    <phoneticPr fontId="12" type="noConversion"/>
  </si>
  <si>
    <t>673-1</t>
    <phoneticPr fontId="12" type="noConversion"/>
  </si>
  <si>
    <t>362-1</t>
    <phoneticPr fontId="12" type="noConversion"/>
  </si>
  <si>
    <t>363-6</t>
    <phoneticPr fontId="12" type="noConversion"/>
  </si>
  <si>
    <t>559-4</t>
    <phoneticPr fontId="12" type="noConversion"/>
  </si>
  <si>
    <t>687</t>
    <phoneticPr fontId="12" type="noConversion"/>
  </si>
  <si>
    <t>686</t>
    <phoneticPr fontId="12" type="noConversion"/>
  </si>
  <si>
    <t>도</t>
    <phoneticPr fontId="12" type="noConversion"/>
  </si>
  <si>
    <t>694</t>
    <phoneticPr fontId="12" type="noConversion"/>
  </si>
  <si>
    <t>232-8</t>
    <phoneticPr fontId="12" type="noConversion"/>
  </si>
  <si>
    <t>253-8</t>
    <phoneticPr fontId="12" type="noConversion"/>
  </si>
  <si>
    <t>260-9</t>
    <phoneticPr fontId="12" type="noConversion"/>
  </si>
  <si>
    <t>260-11</t>
    <phoneticPr fontId="12" type="noConversion"/>
  </si>
  <si>
    <t>260-13</t>
    <phoneticPr fontId="12" type="noConversion"/>
  </si>
  <si>
    <t>261-7</t>
    <phoneticPr fontId="12" type="noConversion"/>
  </si>
  <si>
    <t>363-16</t>
    <phoneticPr fontId="12" type="noConversion"/>
  </si>
  <si>
    <t>362-4</t>
    <phoneticPr fontId="12" type="noConversion"/>
  </si>
  <si>
    <t>361-5</t>
    <phoneticPr fontId="12" type="noConversion"/>
  </si>
  <si>
    <t>361-8</t>
    <phoneticPr fontId="12" type="noConversion"/>
  </si>
  <si>
    <t>서산시</t>
    <phoneticPr fontId="12" type="noConversion"/>
  </si>
  <si>
    <t>351-5</t>
    <phoneticPr fontId="12" type="noConversion"/>
  </si>
  <si>
    <t>361-4</t>
    <phoneticPr fontId="12" type="noConversion"/>
  </si>
  <si>
    <t>359-3</t>
    <phoneticPr fontId="12" type="noConversion"/>
  </si>
  <si>
    <t>359-2</t>
    <phoneticPr fontId="12" type="noConversion"/>
  </si>
  <si>
    <t>지종희</t>
    <phoneticPr fontId="12" type="noConversion"/>
  </si>
  <si>
    <t>351-8</t>
    <phoneticPr fontId="12" type="noConversion"/>
  </si>
  <si>
    <t>352-1</t>
    <phoneticPr fontId="12" type="noConversion"/>
  </si>
  <si>
    <t>351-9</t>
    <phoneticPr fontId="12" type="noConversion"/>
  </si>
  <si>
    <t>창</t>
    <phoneticPr fontId="12" type="noConversion"/>
  </si>
  <si>
    <t>350-7</t>
    <phoneticPr fontId="12" type="noConversion"/>
  </si>
  <si>
    <t>348-9</t>
    <phoneticPr fontId="12" type="noConversion"/>
  </si>
  <si>
    <t>345-7</t>
    <phoneticPr fontId="12" type="noConversion"/>
  </si>
  <si>
    <t>345-9</t>
    <phoneticPr fontId="12" type="noConversion"/>
  </si>
  <si>
    <t>261-8</t>
    <phoneticPr fontId="12" type="noConversion"/>
  </si>
  <si>
    <t>666-3</t>
    <phoneticPr fontId="12" type="noConversion"/>
  </si>
  <si>
    <t>386-3</t>
    <phoneticPr fontId="12" type="noConversion"/>
  </si>
  <si>
    <t>463-3</t>
    <phoneticPr fontId="12" type="noConversion"/>
  </si>
  <si>
    <t>479-6</t>
    <phoneticPr fontId="12" type="noConversion"/>
  </si>
  <si>
    <t>산111</t>
    <phoneticPr fontId="12" type="noConversion"/>
  </si>
  <si>
    <t>480-13</t>
    <phoneticPr fontId="12" type="noConversion"/>
  </si>
  <si>
    <t>480-15</t>
    <phoneticPr fontId="12" type="noConversion"/>
  </si>
  <si>
    <t>480-17</t>
    <phoneticPr fontId="12" type="noConversion"/>
  </si>
  <si>
    <t>485-4</t>
    <phoneticPr fontId="12" type="noConversion"/>
  </si>
  <si>
    <t>485-5</t>
    <phoneticPr fontId="12" type="noConversion"/>
  </si>
  <si>
    <t>233-5</t>
    <phoneticPr fontId="12" type="noConversion"/>
  </si>
  <si>
    <t>233-10</t>
    <phoneticPr fontId="12" type="noConversion"/>
  </si>
  <si>
    <t>578</t>
    <phoneticPr fontId="12" type="noConversion"/>
  </si>
  <si>
    <t>산52</t>
    <phoneticPr fontId="12" type="noConversion"/>
  </si>
  <si>
    <t>251-3</t>
    <phoneticPr fontId="12" type="noConversion"/>
  </si>
  <si>
    <t>산52-2</t>
    <phoneticPr fontId="12" type="noConversion"/>
  </si>
  <si>
    <t>산53-17</t>
    <phoneticPr fontId="12" type="noConversion"/>
  </si>
  <si>
    <t>산53-18</t>
    <phoneticPr fontId="12" type="noConversion"/>
  </si>
  <si>
    <t>255-1</t>
    <phoneticPr fontId="12" type="noConversion"/>
  </si>
  <si>
    <t>256-3</t>
    <phoneticPr fontId="12" type="noConversion"/>
  </si>
  <si>
    <t>257-2</t>
    <phoneticPr fontId="12" type="noConversion"/>
  </si>
  <si>
    <t>571</t>
    <phoneticPr fontId="12" type="noConversion"/>
  </si>
  <si>
    <t>258-2</t>
    <phoneticPr fontId="12" type="noConversion"/>
  </si>
  <si>
    <t>376-1</t>
    <phoneticPr fontId="12" type="noConversion"/>
  </si>
  <si>
    <t>377-1</t>
    <phoneticPr fontId="12" type="noConversion"/>
  </si>
  <si>
    <t>지한국</t>
    <phoneticPr fontId="12" type="noConversion"/>
  </si>
  <si>
    <t>서산시 부석면 창리 293</t>
    <phoneticPr fontId="12" type="noConversion"/>
  </si>
  <si>
    <t>383-2</t>
    <phoneticPr fontId="12" type="noConversion"/>
  </si>
  <si>
    <t>383-3</t>
    <phoneticPr fontId="12" type="noConversion"/>
  </si>
  <si>
    <t>363-11</t>
    <phoneticPr fontId="12" type="noConversion"/>
  </si>
  <si>
    <t>363-5</t>
    <phoneticPr fontId="12" type="noConversion"/>
  </si>
  <si>
    <t xml:space="preserve">서산시  </t>
    <phoneticPr fontId="12" type="noConversion"/>
  </si>
  <si>
    <t>362-3</t>
    <phoneticPr fontId="12" type="noConversion"/>
  </si>
  <si>
    <t>361-2</t>
    <phoneticPr fontId="12" type="noConversion"/>
  </si>
  <si>
    <t>서산시 부석면 칠전리 360</t>
    <phoneticPr fontId="12" type="noConversion"/>
  </si>
  <si>
    <t>384-2</t>
    <phoneticPr fontId="12" type="noConversion"/>
  </si>
  <si>
    <t>570-4</t>
    <phoneticPr fontId="12" type="noConversion"/>
  </si>
  <si>
    <t>350-5</t>
    <phoneticPr fontId="12" type="noConversion"/>
  </si>
  <si>
    <t>348-6</t>
    <phoneticPr fontId="12" type="noConversion"/>
  </si>
  <si>
    <t>348-7</t>
    <phoneticPr fontId="12" type="noConversion"/>
  </si>
  <si>
    <t>346-3</t>
    <phoneticPr fontId="12" type="noConversion"/>
  </si>
  <si>
    <t>산92-1</t>
    <phoneticPr fontId="12" type="noConversion"/>
  </si>
  <si>
    <t>산90-3</t>
    <phoneticPr fontId="12" type="noConversion"/>
  </si>
  <si>
    <t>산88-1</t>
    <phoneticPr fontId="12" type="noConversion"/>
  </si>
  <si>
    <t>산112-6</t>
    <phoneticPr fontId="12" type="noConversion"/>
  </si>
  <si>
    <t>산111-1</t>
    <phoneticPr fontId="12" type="noConversion"/>
  </si>
  <si>
    <t>480-2</t>
    <phoneticPr fontId="12" type="noConversion"/>
  </si>
  <si>
    <t>산113-4</t>
    <phoneticPr fontId="12" type="noConversion"/>
  </si>
  <si>
    <t>산118-2</t>
    <phoneticPr fontId="12" type="noConversion"/>
  </si>
  <si>
    <t>282-17</t>
    <phoneticPr fontId="12" type="noConversion"/>
  </si>
  <si>
    <t>251-17</t>
    <phoneticPr fontId="12" type="noConversion"/>
  </si>
  <si>
    <t>249-2</t>
    <phoneticPr fontId="12" type="noConversion"/>
  </si>
  <si>
    <t>286-101</t>
    <phoneticPr fontId="12" type="noConversion"/>
  </si>
  <si>
    <t>286-10</t>
    <phoneticPr fontId="12" type="noConversion"/>
  </si>
  <si>
    <t>81-9</t>
    <phoneticPr fontId="12" type="noConversion"/>
  </si>
  <si>
    <t>81-11</t>
    <phoneticPr fontId="12" type="noConversion"/>
  </si>
  <si>
    <t>92</t>
    <phoneticPr fontId="12" type="noConversion"/>
  </si>
  <si>
    <t>93</t>
    <phoneticPr fontId="12" type="noConversion"/>
  </si>
  <si>
    <t>산36-2</t>
    <phoneticPr fontId="12" type="noConversion"/>
  </si>
  <si>
    <t>(당초) 전체 편입용지 집계표</t>
    <phoneticPr fontId="5" type="noConversion"/>
  </si>
  <si>
    <t>(변경) 전체 편입용지 집계표</t>
    <phoneticPr fontId="5" type="noConversion"/>
  </si>
  <si>
    <t>(변경) 편 입 용 지 집 계 표</t>
    <phoneticPr fontId="5" type="noConversion"/>
  </si>
  <si>
    <t>194-5</t>
    <phoneticPr fontId="12" type="noConversion"/>
  </si>
  <si>
    <t>전</t>
    <phoneticPr fontId="12" type="noConversion"/>
  </si>
  <si>
    <t>-</t>
    <phoneticPr fontId="12" type="noConversion"/>
  </si>
  <si>
    <t>공</t>
  </si>
  <si>
    <t>충청남도</t>
  </si>
  <si>
    <t>186-4</t>
  </si>
  <si>
    <t>산9-11</t>
  </si>
  <si>
    <t>도</t>
  </si>
  <si>
    <t>산9-7</t>
  </si>
  <si>
    <t>215-10</t>
  </si>
  <si>
    <t>215-1</t>
  </si>
  <si>
    <t>대</t>
  </si>
  <si>
    <t>215-13</t>
  </si>
  <si>
    <t>803</t>
  </si>
  <si>
    <t>구</t>
  </si>
  <si>
    <t>200-1</t>
  </si>
  <si>
    <t>805</t>
  </si>
  <si>
    <t>215-5</t>
  </si>
  <si>
    <t>215-3</t>
  </si>
  <si>
    <t>215-4</t>
  </si>
  <si>
    <t>215-7</t>
  </si>
  <si>
    <t>216-3</t>
  </si>
  <si>
    <t>216-4</t>
  </si>
  <si>
    <t>216-2</t>
  </si>
  <si>
    <t>216-1</t>
  </si>
  <si>
    <t>186-2</t>
  </si>
  <si>
    <t>201-1</t>
  </si>
  <si>
    <t>246-1</t>
  </si>
  <si>
    <t>246-8</t>
  </si>
  <si>
    <t>203-1</t>
  </si>
  <si>
    <t>807</t>
  </si>
  <si>
    <t>산66-2</t>
  </si>
  <si>
    <t>289-3</t>
  </si>
  <si>
    <t>293-5</t>
  </si>
  <si>
    <t>293-3</t>
  </si>
  <si>
    <t>229</t>
  </si>
  <si>
    <t>유</t>
  </si>
  <si>
    <t>186-1</t>
  </si>
  <si>
    <t>800</t>
  </si>
  <si>
    <t>187-4</t>
  </si>
  <si>
    <t>187-3</t>
  </si>
  <si>
    <t>802</t>
  </si>
  <si>
    <t>188-1</t>
  </si>
  <si>
    <t>188-2</t>
  </si>
  <si>
    <t>188-3</t>
  </si>
  <si>
    <t>280-2</t>
  </si>
  <si>
    <t>280-4</t>
  </si>
  <si>
    <t>279-3</t>
  </si>
  <si>
    <t>279-4</t>
  </si>
  <si>
    <t>277-2</t>
  </si>
  <si>
    <t>276-2</t>
  </si>
  <si>
    <t>275-2</t>
  </si>
  <si>
    <t>274-1</t>
  </si>
  <si>
    <t>288-1</t>
  </si>
  <si>
    <t>231-1</t>
  </si>
  <si>
    <t>796</t>
  </si>
  <si>
    <t>231</t>
  </si>
  <si>
    <t>246-7</t>
  </si>
  <si>
    <t>산63-1</t>
  </si>
  <si>
    <t>688-5</t>
  </si>
  <si>
    <t>801</t>
  </si>
  <si>
    <t>이*구</t>
  </si>
  <si>
    <t>충남 서산시 부석면 대두리 163</t>
  </si>
  <si>
    <t>정*훈</t>
  </si>
  <si>
    <t>충남 서산시 부석면 대두리 산9-1</t>
  </si>
  <si>
    <t>국</t>
  </si>
  <si>
    <t>이*종선 외1</t>
  </si>
  <si>
    <t>서산시 지곡면 지산리 528</t>
  </si>
  <si>
    <t>국토해양부</t>
  </si>
  <si>
    <t>충남 서산시 부석면 대두리 50</t>
  </si>
  <si>
    <t>충청남도 서산시 부석면 대두리 197</t>
  </si>
  <si>
    <t>이*선</t>
  </si>
  <si>
    <t>충남 서산시 부석면 취평2길 17-14</t>
  </si>
  <si>
    <t>이*식</t>
  </si>
  <si>
    <t>충남 서산시 부석면 대두리 66</t>
  </si>
  <si>
    <t>장*순</t>
  </si>
  <si>
    <t>인천광역시 남동구 논현동 634-1 어진마을 한화꿈에그린아파트 610-303</t>
  </si>
  <si>
    <t>박*희</t>
  </si>
  <si>
    <t>서울시 동작구 사당동 223-12</t>
  </si>
  <si>
    <t>대두리저수지수리계</t>
  </si>
  <si>
    <t>충남 서산시 부석면 대두리 534-3</t>
  </si>
  <si>
    <t>우*수</t>
  </si>
  <si>
    <t>충남 서산시 부석면 대두리 198-1</t>
  </si>
  <si>
    <t>이*호</t>
  </si>
  <si>
    <t>충남 아산시 탕정면 호산리 196 다세대주택-101</t>
  </si>
  <si>
    <t>이*섭</t>
  </si>
  <si>
    <t>유*동 외
3인</t>
  </si>
  <si>
    <t>충남 서산시 부석면 지산리 275</t>
  </si>
  <si>
    <t>고*옥</t>
  </si>
  <si>
    <t>경기도 부천시 원미구 중동 1113 
위브더스테이트 702-1902</t>
  </si>
  <si>
    <t>이*숙</t>
  </si>
  <si>
    <t>충남 서산시 음암면 성암리 328-4</t>
  </si>
  <si>
    <t>박*숙</t>
  </si>
  <si>
    <t>경기도 수원시 장안구 정자동 42-15</t>
  </si>
  <si>
    <t>이*설</t>
  </si>
  <si>
    <t>충남 서산시 부석면 취평리 299-2</t>
  </si>
  <si>
    <t>나*선외
1인</t>
  </si>
  <si>
    <t>경기도 수원시 정자동 922 청솔주공아파트 616-602</t>
  </si>
  <si>
    <t>경기도 수원시 정자동 922 
청솔주공아파트 616-602</t>
  </si>
  <si>
    <t>유*천</t>
  </si>
  <si>
    <t>충남 서산시 부석면 대두리 53</t>
  </si>
  <si>
    <t>오*임</t>
  </si>
  <si>
    <t>인천광역시 남동구 구월동 1397-8 4층</t>
  </si>
  <si>
    <t>김*배</t>
  </si>
  <si>
    <t>서울시 영등포구 시흥동 39-3</t>
  </si>
  <si>
    <t>106-15</t>
    <phoneticPr fontId="12" type="noConversion"/>
  </si>
  <si>
    <t>임</t>
    <phoneticPr fontId="12" type="noConversion"/>
  </si>
  <si>
    <t>현대건설㈜</t>
    <phoneticPr fontId="12" type="noConversion"/>
  </si>
  <si>
    <t>서울시 종로구 율곡로 75</t>
    <phoneticPr fontId="12" type="noConversion"/>
  </si>
  <si>
    <t>115-3</t>
    <phoneticPr fontId="12" type="noConversion"/>
  </si>
  <si>
    <t>산89-3</t>
    <phoneticPr fontId="12" type="noConversion"/>
  </si>
  <si>
    <t>354-1</t>
    <phoneticPr fontId="12" type="noConversion"/>
  </si>
  <si>
    <t>420-18</t>
    <phoneticPr fontId="12" type="noConversion"/>
  </si>
  <si>
    <t>충남 서산시 부석면 봉락리 182</t>
  </si>
  <si>
    <t>이남구 
외1인</t>
    <phoneticPr fontId="12" type="noConversion"/>
  </si>
  <si>
    <t>㈜**산업</t>
  </si>
  <si>
    <t>충청남도 서산시 부석면 창리1길 219</t>
  </si>
  <si>
    <t>이*우</t>
  </si>
  <si>
    <t>서산시 무학로(부석면)717-7</t>
  </si>
  <si>
    <t>안*정</t>
  </si>
  <si>
    <t>서산시 율지8로 41-5, 2-406
(동문동, 극동한신아파트)</t>
  </si>
  <si>
    <t>이*무</t>
  </si>
  <si>
    <t>경남 창원시 성산구 가음로68번길 9(가음동)</t>
  </si>
  <si>
    <t>이*영</t>
  </si>
  <si>
    <t>충청남도 당진시 순성면 순성로 153</t>
  </si>
  <si>
    <t>서산시</t>
  </si>
  <si>
    <t>서울시 종로구 율곡로 75</t>
  </si>
  <si>
    <t>전국</t>
    <phoneticPr fontId="5" type="noConversion"/>
  </si>
  <si>
    <t>답국</t>
    <phoneticPr fontId="5" type="noConversion"/>
  </si>
  <si>
    <t>임국</t>
    <phoneticPr fontId="5" type="noConversion"/>
  </si>
  <si>
    <t>대국</t>
    <phoneticPr fontId="5" type="noConversion"/>
  </si>
  <si>
    <t>도국</t>
    <phoneticPr fontId="5" type="noConversion"/>
  </si>
  <si>
    <t>구국</t>
    <phoneticPr fontId="5" type="noConversion"/>
  </si>
  <si>
    <t>하국</t>
    <phoneticPr fontId="5" type="noConversion"/>
  </si>
  <si>
    <t>유국</t>
    <phoneticPr fontId="5" type="noConversion"/>
  </si>
  <si>
    <t>제국</t>
    <phoneticPr fontId="5" type="noConversion"/>
  </si>
  <si>
    <t>과국</t>
    <phoneticPr fontId="5" type="noConversion"/>
  </si>
  <si>
    <t>공국</t>
    <phoneticPr fontId="5" type="noConversion"/>
  </si>
  <si>
    <t>목국</t>
    <phoneticPr fontId="5" type="noConversion"/>
  </si>
  <si>
    <t>학국</t>
    <phoneticPr fontId="5" type="noConversion"/>
  </si>
  <si>
    <t>철국</t>
    <phoneticPr fontId="5" type="noConversion"/>
  </si>
  <si>
    <t>묘국</t>
    <phoneticPr fontId="5" type="noConversion"/>
  </si>
  <si>
    <t>수국</t>
    <phoneticPr fontId="5" type="noConversion"/>
  </si>
  <si>
    <t>잡국</t>
    <phoneticPr fontId="5" type="noConversion"/>
  </si>
  <si>
    <t>종국</t>
    <phoneticPr fontId="5" type="noConversion"/>
  </si>
  <si>
    <t>염국</t>
    <phoneticPr fontId="5" type="noConversion"/>
  </si>
  <si>
    <t>체국</t>
    <phoneticPr fontId="5" type="noConversion"/>
  </si>
  <si>
    <t>원국</t>
    <phoneticPr fontId="5" type="noConversion"/>
  </si>
  <si>
    <t>차국</t>
    <phoneticPr fontId="5" type="noConversion"/>
  </si>
  <si>
    <t>주국</t>
    <phoneticPr fontId="5" type="noConversion"/>
  </si>
  <si>
    <t>국</t>
    <phoneticPr fontId="5" type="noConversion"/>
  </si>
  <si>
    <t>하</t>
  </si>
  <si>
    <t>제</t>
  </si>
  <si>
    <t>과</t>
  </si>
  <si>
    <t>목</t>
  </si>
  <si>
    <t>학</t>
  </si>
  <si>
    <t>철</t>
  </si>
  <si>
    <t>묘</t>
  </si>
  <si>
    <t>수</t>
  </si>
  <si>
    <t>잡</t>
  </si>
  <si>
    <t>종</t>
  </si>
  <si>
    <t>염</t>
  </si>
  <si>
    <t>체</t>
  </si>
  <si>
    <t>원</t>
  </si>
  <si>
    <t>차</t>
  </si>
  <si>
    <t>주</t>
  </si>
  <si>
    <t>전공</t>
    <phoneticPr fontId="5" type="noConversion"/>
  </si>
  <si>
    <t>답공</t>
    <phoneticPr fontId="5" type="noConversion"/>
  </si>
  <si>
    <t>임공</t>
    <phoneticPr fontId="5" type="noConversion"/>
  </si>
  <si>
    <t>대공</t>
    <phoneticPr fontId="5" type="noConversion"/>
  </si>
  <si>
    <t>도공</t>
    <phoneticPr fontId="5" type="noConversion"/>
  </si>
  <si>
    <t>구공</t>
    <phoneticPr fontId="5" type="noConversion"/>
  </si>
  <si>
    <t>하공</t>
    <phoneticPr fontId="5" type="noConversion"/>
  </si>
  <si>
    <t>유공</t>
    <phoneticPr fontId="5" type="noConversion"/>
  </si>
  <si>
    <t>제공</t>
    <phoneticPr fontId="5" type="noConversion"/>
  </si>
  <si>
    <t>과공</t>
    <phoneticPr fontId="5" type="noConversion"/>
  </si>
  <si>
    <t>공공</t>
    <phoneticPr fontId="5" type="noConversion"/>
  </si>
  <si>
    <t>목공</t>
    <phoneticPr fontId="5" type="noConversion"/>
  </si>
  <si>
    <t>학공</t>
    <phoneticPr fontId="5" type="noConversion"/>
  </si>
  <si>
    <t>철공</t>
    <phoneticPr fontId="5" type="noConversion"/>
  </si>
  <si>
    <t>묘공</t>
    <phoneticPr fontId="5" type="noConversion"/>
  </si>
  <si>
    <t>수공</t>
    <phoneticPr fontId="5" type="noConversion"/>
  </si>
  <si>
    <t>잡공</t>
    <phoneticPr fontId="5" type="noConversion"/>
  </si>
  <si>
    <t>종공</t>
    <phoneticPr fontId="5" type="noConversion"/>
  </si>
  <si>
    <t>염공</t>
    <phoneticPr fontId="5" type="noConversion"/>
  </si>
  <si>
    <t>체공</t>
    <phoneticPr fontId="5" type="noConversion"/>
  </si>
  <si>
    <t>원공</t>
    <phoneticPr fontId="5" type="noConversion"/>
  </si>
  <si>
    <t>차공</t>
    <phoneticPr fontId="5" type="noConversion"/>
  </si>
  <si>
    <t>주공</t>
    <phoneticPr fontId="5" type="noConversion"/>
  </si>
  <si>
    <t>공</t>
    <phoneticPr fontId="5" type="noConversion"/>
  </si>
  <si>
    <t>194-4</t>
    <phoneticPr fontId="12" type="noConversion"/>
  </si>
  <si>
    <t>가</t>
    <phoneticPr fontId="5" type="noConversion"/>
  </si>
  <si>
    <t>국</t>
    <phoneticPr fontId="5" type="noConversion"/>
  </si>
  <si>
    <t>가국</t>
    <phoneticPr fontId="5" type="noConversion"/>
  </si>
  <si>
    <t>가공</t>
    <phoneticPr fontId="5" type="noConversion"/>
  </si>
  <si>
    <t>(당초) 편 입 용 지 집 계 표</t>
    <phoneticPr fontId="5" type="noConversion"/>
  </si>
  <si>
    <t>창</t>
    <phoneticPr fontId="5" type="noConversion"/>
  </si>
  <si>
    <t>창국</t>
    <phoneticPr fontId="5" type="noConversion"/>
  </si>
  <si>
    <t>창공</t>
    <phoneticPr fontId="5" type="noConversion"/>
  </si>
  <si>
    <t>천</t>
    <phoneticPr fontId="5" type="noConversion"/>
  </si>
  <si>
    <t>천국</t>
    <phoneticPr fontId="5" type="noConversion"/>
  </si>
  <si>
    <t>천공</t>
    <phoneticPr fontId="5" type="noConversion"/>
  </si>
  <si>
    <t>염전</t>
    <phoneticPr fontId="5" type="noConversion"/>
  </si>
  <si>
    <t>염</t>
    <phoneticPr fontId="5" type="noConversion"/>
  </si>
  <si>
    <t>194-4</t>
    <phoneticPr fontId="12" type="noConversion"/>
  </si>
  <si>
    <t>194-5</t>
    <phoneticPr fontId="5" type="noConversion"/>
  </si>
  <si>
    <t>전</t>
    <phoneticPr fontId="5" type="noConversion"/>
  </si>
  <si>
    <t>사용 또는 수용할 토지세목조서</t>
    <phoneticPr fontId="12" type="noConversion"/>
  </si>
  <si>
    <t>일련
번호</t>
    <phoneticPr fontId="12" type="noConversion"/>
  </si>
  <si>
    <t>소재지</t>
    <phoneticPr fontId="12" type="noConversion"/>
  </si>
  <si>
    <t>지 적
(M2))</t>
    <phoneticPr fontId="12" type="noConversion"/>
  </si>
  <si>
    <t>편입면적(M2)</t>
    <phoneticPr fontId="12" type="noConversion"/>
  </si>
  <si>
    <t>서산시 부석면 대두리</t>
    <phoneticPr fontId="12" type="noConversion"/>
  </si>
  <si>
    <t>서산시 부석면 봉락리</t>
    <phoneticPr fontId="12" type="noConversion"/>
  </si>
  <si>
    <t>서산시 부석면 칠전리</t>
    <phoneticPr fontId="12" type="noConversion"/>
  </si>
  <si>
    <t>서산시 부석면 마룡리</t>
    <phoneticPr fontId="12" type="noConversion"/>
  </si>
  <si>
    <t>서산시 부석면 창리</t>
    <phoneticPr fontId="12" type="noConversion"/>
  </si>
  <si>
    <t>국토교통부</t>
  </si>
  <si>
    <t>농림축산식품부</t>
  </si>
  <si>
    <t>농림축산식품부</t>
    <phoneticPr fontId="12" type="noConversion"/>
  </si>
  <si>
    <t>강*모</t>
    <phoneticPr fontId="12" type="noConversion"/>
  </si>
  <si>
    <t>강*훈</t>
    <phoneticPr fontId="12" type="noConversion"/>
  </si>
  <si>
    <t>강*훈</t>
    <phoneticPr fontId="12" type="noConversion"/>
  </si>
  <si>
    <t>이*식</t>
    <phoneticPr fontId="12" type="noConversion"/>
  </si>
  <si>
    <t>이*식</t>
    <phoneticPr fontId="12" type="noConversion"/>
  </si>
  <si>
    <t>우*수</t>
    <phoneticPr fontId="12" type="noConversion"/>
  </si>
  <si>
    <t>이*구</t>
    <phoneticPr fontId="12" type="noConversion"/>
  </si>
  <si>
    <t>이*호</t>
    <phoneticPr fontId="12" type="noConversion"/>
  </si>
  <si>
    <t>이*섭</t>
    <phoneticPr fontId="12" type="noConversion"/>
  </si>
  <si>
    <t>이*섭</t>
    <phoneticPr fontId="12" type="noConversion"/>
  </si>
  <si>
    <t>유*동 
외3인</t>
    <phoneticPr fontId="12" type="noConversion"/>
  </si>
  <si>
    <t>고*옥</t>
    <phoneticPr fontId="12" type="noConversion"/>
  </si>
  <si>
    <t>이*숙</t>
    <phoneticPr fontId="12" type="noConversion"/>
  </si>
  <si>
    <t>박*숙</t>
    <phoneticPr fontId="12" type="noConversion"/>
  </si>
  <si>
    <t>이*설</t>
    <phoneticPr fontId="12" type="noConversion"/>
  </si>
  <si>
    <t>나*선
 외1인</t>
    <phoneticPr fontId="12" type="noConversion"/>
  </si>
  <si>
    <t>유*천</t>
    <phoneticPr fontId="12" type="noConversion"/>
  </si>
  <si>
    <t>오*임</t>
    <phoneticPr fontId="12" type="noConversion"/>
  </si>
  <si>
    <t>김*배</t>
    <phoneticPr fontId="12" type="noConversion"/>
  </si>
  <si>
    <t>박*희</t>
    <phoneticPr fontId="12" type="noConversion"/>
  </si>
  <si>
    <t>한*우</t>
    <phoneticPr fontId="12" type="noConversion"/>
  </si>
  <si>
    <t>장*순</t>
    <phoneticPr fontId="12" type="noConversion"/>
  </si>
  <si>
    <t>명*훈
 외1인</t>
    <phoneticPr fontId="12" type="noConversion"/>
  </si>
  <si>
    <t>이*순</t>
    <phoneticPr fontId="12" type="noConversion"/>
  </si>
  <si>
    <t>이*철</t>
    <phoneticPr fontId="12" type="noConversion"/>
  </si>
  <si>
    <t>임*숙</t>
    <phoneticPr fontId="12" type="noConversion"/>
  </si>
  <si>
    <t>유*곤
 외5인</t>
    <phoneticPr fontId="12" type="noConversion"/>
  </si>
  <si>
    <t>박*삼</t>
    <phoneticPr fontId="12" type="noConversion"/>
  </si>
  <si>
    <t>박*삼</t>
    <phoneticPr fontId="12" type="noConversion"/>
  </si>
  <si>
    <t>지*흠 
외3인</t>
    <phoneticPr fontId="12" type="noConversion"/>
  </si>
  <si>
    <t>이*우</t>
    <phoneticPr fontId="12" type="noConversion"/>
  </si>
  <si>
    <t>이*구</t>
    <phoneticPr fontId="12" type="noConversion"/>
  </si>
  <si>
    <t xml:space="preserve">이*구 </t>
    <phoneticPr fontId="12" type="noConversion"/>
  </si>
  <si>
    <t>방*갑순</t>
    <phoneticPr fontId="12" type="noConversion"/>
  </si>
  <si>
    <t>이*천</t>
    <phoneticPr fontId="12" type="noConversion"/>
  </si>
  <si>
    <t>이*출
 외1인</t>
    <phoneticPr fontId="12" type="noConversion"/>
  </si>
  <si>
    <t xml:space="preserve">지*선 </t>
    <phoneticPr fontId="12" type="noConversion"/>
  </si>
  <si>
    <t>지*영춘</t>
    <phoneticPr fontId="12" type="noConversion"/>
  </si>
  <si>
    <t>김*예</t>
    <phoneticPr fontId="12" type="noConversion"/>
  </si>
  <si>
    <t>김*갑
 외2인</t>
    <phoneticPr fontId="12" type="noConversion"/>
  </si>
  <si>
    <t>김*균</t>
    <phoneticPr fontId="12" type="noConversion"/>
  </si>
  <si>
    <t>박*연 
외1인</t>
    <phoneticPr fontId="12" type="noConversion"/>
  </si>
  <si>
    <t>이*학</t>
    <phoneticPr fontId="12" type="noConversion"/>
  </si>
  <si>
    <t>지*희</t>
    <phoneticPr fontId="12" type="noConversion"/>
  </si>
  <si>
    <t>지*희</t>
    <phoneticPr fontId="12" type="noConversion"/>
  </si>
  <si>
    <t>박*원</t>
    <phoneticPr fontId="12" type="noConversion"/>
  </si>
  <si>
    <t>이*철</t>
    <phoneticPr fontId="12" type="noConversion"/>
  </si>
  <si>
    <t>지*국</t>
    <phoneticPr fontId="12" type="noConversion"/>
  </si>
  <si>
    <t>이*구 
외1인</t>
    <phoneticPr fontId="12" type="noConversion"/>
  </si>
  <si>
    <t>담양국씨
희량공파</t>
    <phoneticPr fontId="12" type="noConversion"/>
  </si>
  <si>
    <t>신*우
외1인</t>
    <phoneticPr fontId="12" type="noConversion"/>
  </si>
  <si>
    <t>박*흥</t>
    <phoneticPr fontId="12" type="noConversion"/>
  </si>
  <si>
    <t>손*자
 외1인</t>
    <phoneticPr fontId="12" type="noConversion"/>
  </si>
  <si>
    <t>손*자 
외1인</t>
    <phoneticPr fontId="12" type="noConversion"/>
  </si>
  <si>
    <t>박*우</t>
    <phoneticPr fontId="12" type="noConversion"/>
  </si>
  <si>
    <t>김*희
 외1인</t>
    <phoneticPr fontId="12" type="noConversion"/>
  </si>
  <si>
    <t>김*자</t>
    <phoneticPr fontId="12" type="noConversion"/>
  </si>
  <si>
    <t>경지정리로 폐쇄 지번</t>
    <phoneticPr fontId="12" type="noConversion"/>
  </si>
  <si>
    <t>총  계</t>
    <phoneticPr fontId="12" type="noConversion"/>
  </si>
</sst>
</file>

<file path=xl/styles.xml><?xml version="1.0" encoding="utf-8"?>
<styleSheet xmlns="http://schemas.openxmlformats.org/spreadsheetml/2006/main">
  <numFmts count="1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#,##0_ "/>
    <numFmt numFmtId="179" formatCode="#,##0_);[Red]\(#,##0\)"/>
    <numFmt numFmtId="180" formatCode="&quot;₩&quot;#,##0;[Red]&quot;₩&quot;&quot;₩&quot;\-#,##0"/>
    <numFmt numFmtId="181" formatCode="&quot;₩&quot;#,##0.00;[Red]&quot;₩&quot;&quot;₩&quot;&quot;₩&quot;&quot;₩&quot;&quot;₩&quot;&quot;₩&quot;\-#,##0.00"/>
    <numFmt numFmtId="182" formatCode="&quot;₩&quot;#,##0;&quot;₩&quot;&quot;₩&quot;&quot;₩&quot;&quot;₩&quot;&quot;₩&quot;&quot;₩&quot;&quot;₩&quot;&quot;₩&quot;\-#,##0"/>
    <numFmt numFmtId="183" formatCode="&quot;₩&quot;#,##0.00;&quot;₩&quot;&quot;₩&quot;&quot;₩&quot;&quot;₩&quot;&quot;₩&quot;&quot;₩&quot;&quot;₩&quot;&quot;₩&quot;\-#,##0.00"/>
    <numFmt numFmtId="184" formatCode="0;[Red]0"/>
    <numFmt numFmtId="185" formatCode="0_);[Red]\(0\)"/>
    <numFmt numFmtId="186" formatCode="#,##0;[Red]#,##0"/>
    <numFmt numFmtId="187" formatCode="#,##0.0_);[Red]\(#,##0.0\)"/>
    <numFmt numFmtId="188" formatCode="_-* #,##0.0_-;\-* #,##0.0_-;_-* &quot;-&quot;?_-;_-@_-"/>
    <numFmt numFmtId="189" formatCode="_-* #,##0_-;\-* #,##0_-;_-* &quot;-&quot;?_-;_-@_-"/>
    <numFmt numFmtId="190" formatCode="#,##0.0_ "/>
  </numFmts>
  <fonts count="18">
    <font>
      <sz val="11"/>
      <name val="돋움"/>
      <family val="3"/>
      <charset val="129"/>
    </font>
    <font>
      <sz val="11"/>
      <name val="돋움"/>
      <family val="3"/>
      <charset val="129"/>
    </font>
    <font>
      <sz val="12"/>
      <name val="뼻뮝"/>
      <family val="1"/>
      <charset val="129"/>
    </font>
    <font>
      <sz val="10"/>
      <name val="Arial"/>
      <family val="2"/>
    </font>
    <font>
      <sz val="10"/>
      <name val="바탕체"/>
      <family val="1"/>
      <charset val="129"/>
    </font>
    <font>
      <sz val="8"/>
      <name val="돋움"/>
      <family val="3"/>
      <charset val="129"/>
    </font>
    <font>
      <b/>
      <sz val="20"/>
      <name val="돋움체"/>
      <family val="3"/>
      <charset val="129"/>
    </font>
    <font>
      <sz val="10"/>
      <name val="돋움체"/>
      <family val="3"/>
      <charset val="129"/>
    </font>
    <font>
      <sz val="22"/>
      <name val="돋움체"/>
      <family val="3"/>
      <charset val="129"/>
    </font>
    <font>
      <sz val="9"/>
      <name val="돋움체"/>
      <family val="3"/>
      <charset val="129"/>
    </font>
    <font>
      <sz val="11"/>
      <name val="돋움체"/>
      <family val="3"/>
      <charset val="129"/>
    </font>
    <font>
      <b/>
      <sz val="9"/>
      <name val="돋움체"/>
      <family val="3"/>
      <charset val="129"/>
    </font>
    <font>
      <sz val="10"/>
      <name val="Times New Roman"/>
      <family val="1"/>
    </font>
    <font>
      <b/>
      <sz val="24"/>
      <name val="돋움체"/>
      <family val="3"/>
      <charset val="129"/>
    </font>
    <font>
      <vertAlign val="superscript"/>
      <sz val="10"/>
      <name val="돋움체"/>
      <family val="3"/>
      <charset val="129"/>
    </font>
    <font>
      <sz val="8"/>
      <name val="돋움체"/>
      <family val="3"/>
      <charset val="129"/>
    </font>
    <font>
      <sz val="7"/>
      <name val="돋움체"/>
      <family val="3"/>
      <charset val="129"/>
    </font>
    <font>
      <sz val="6"/>
      <name val="돋움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9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1">
    <xf numFmtId="0" fontId="0" fillId="0" borderId="0"/>
    <xf numFmtId="179" fontId="1" fillId="0" borderId="0">
      <protection locked="0"/>
    </xf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9" fontId="1" fillId="0" borderId="0">
      <protection locked="0"/>
    </xf>
    <xf numFmtId="182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79" fontId="1" fillId="0" borderId="0">
      <protection locked="0"/>
    </xf>
    <xf numFmtId="179" fontId="1" fillId="0" borderId="0">
      <protection locked="0"/>
    </xf>
    <xf numFmtId="179" fontId="1" fillId="0" borderId="0">
      <protection locked="0"/>
    </xf>
    <xf numFmtId="179" fontId="1" fillId="0" borderId="0">
      <protection locked="0"/>
    </xf>
    <xf numFmtId="0" fontId="3" fillId="0" borderId="0"/>
    <xf numFmtId="179" fontId="1" fillId="0" borderId="0">
      <protection locked="0"/>
    </xf>
    <xf numFmtId="179" fontId="1" fillId="0" borderId="1">
      <protection locked="0"/>
    </xf>
    <xf numFmtId="0" fontId="2" fillId="0" borderId="0"/>
    <xf numFmtId="41" fontId="1" fillId="0" borderId="0" applyFont="0" applyFill="0" applyBorder="0" applyAlignment="0" applyProtection="0"/>
    <xf numFmtId="180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383">
    <xf numFmtId="0" fontId="0" fillId="0" borderId="0" xfId="0"/>
    <xf numFmtId="0" fontId="8" fillId="0" borderId="0" xfId="19" applyFont="1" applyFill="1" applyBorder="1"/>
    <xf numFmtId="0" fontId="8" fillId="0" borderId="0" xfId="19" applyFont="1" applyFill="1"/>
    <xf numFmtId="0" fontId="7" fillId="0" borderId="0" xfId="19" applyFont="1" applyFill="1"/>
    <xf numFmtId="0" fontId="7" fillId="0" borderId="0" xfId="19" applyFont="1" applyFill="1" applyAlignment="1">
      <alignment horizontal="center"/>
    </xf>
    <xf numFmtId="0" fontId="7" fillId="0" borderId="0" xfId="19" applyFont="1" applyFill="1" applyBorder="1"/>
    <xf numFmtId="0" fontId="9" fillId="0" borderId="0" xfId="19" applyFont="1" applyFill="1" applyBorder="1"/>
    <xf numFmtId="0" fontId="9" fillId="0" borderId="0" xfId="19" applyFont="1" applyFill="1"/>
    <xf numFmtId="0" fontId="9" fillId="0" borderId="2" xfId="20" applyFont="1" applyFill="1" applyBorder="1" applyAlignment="1" applyProtection="1">
      <alignment horizontal="centerContinuous" vertical="center" wrapText="1"/>
    </xf>
    <xf numFmtId="0" fontId="9" fillId="0" borderId="3" xfId="20" applyFont="1" applyFill="1" applyBorder="1" applyAlignment="1" applyProtection="1">
      <alignment horizontal="centerContinuous" vertical="center" wrapText="1"/>
    </xf>
    <xf numFmtId="0" fontId="7" fillId="0" borderId="0" xfId="20" applyFont="1" applyAlignment="1">
      <alignment vertical="center"/>
    </xf>
    <xf numFmtId="0" fontId="10" fillId="0" borderId="0" xfId="20" applyFont="1" applyBorder="1" applyAlignment="1">
      <alignment horizontal="distributed"/>
    </xf>
    <xf numFmtId="0" fontId="10" fillId="0" borderId="0" xfId="20" applyFont="1" applyBorder="1"/>
    <xf numFmtId="0" fontId="10" fillId="0" borderId="0" xfId="20" applyFont="1" applyBorder="1" applyAlignment="1" applyProtection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10" fillId="0" borderId="0" xfId="20" applyFont="1" applyAlignment="1">
      <alignment horizontal="centerContinuous" vertical="center"/>
    </xf>
    <xf numFmtId="0" fontId="10" fillId="0" borderId="0" xfId="20" applyFont="1" applyBorder="1" applyAlignment="1">
      <alignment horizontal="centerContinuous" vertical="center"/>
    </xf>
    <xf numFmtId="0" fontId="7" fillId="0" borderId="0" xfId="20" applyFont="1"/>
    <xf numFmtId="0" fontId="10" fillId="0" borderId="4" xfId="20" applyFont="1" applyBorder="1" applyAlignment="1">
      <alignment horizontal="distributed" wrapText="1"/>
    </xf>
    <xf numFmtId="0" fontId="10" fillId="0" borderId="5" xfId="20" applyFont="1" applyBorder="1" applyAlignment="1">
      <alignment horizontal="centerContinuous" vertical="center"/>
    </xf>
    <xf numFmtId="0" fontId="10" fillId="0" borderId="6" xfId="20" applyFont="1" applyBorder="1" applyAlignment="1">
      <alignment horizontal="centerContinuous" vertical="center"/>
    </xf>
    <xf numFmtId="0" fontId="10" fillId="0" borderId="7" xfId="20" applyFont="1" applyBorder="1" applyAlignment="1">
      <alignment horizontal="centerContinuous" vertical="center"/>
    </xf>
    <xf numFmtId="0" fontId="10" fillId="0" borderId="7" xfId="20" applyFont="1" applyBorder="1" applyAlignment="1">
      <alignment horizontal="distributed" wrapText="1"/>
    </xf>
    <xf numFmtId="0" fontId="9" fillId="0" borderId="0" xfId="20" applyFont="1" applyAlignment="1">
      <alignment horizontal="center" vertical="center"/>
    </xf>
    <xf numFmtId="0" fontId="9" fillId="0" borderId="0" xfId="20" applyFont="1"/>
    <xf numFmtId="0" fontId="10" fillId="0" borderId="8" xfId="20" applyFont="1" applyBorder="1" applyAlignment="1">
      <alignment horizontal="distributed" wrapText="1"/>
    </xf>
    <xf numFmtId="0" fontId="10" fillId="0" borderId="9" xfId="20" applyFont="1" applyBorder="1" applyAlignment="1">
      <alignment horizontal="distributed" vertical="center" wrapText="1"/>
    </xf>
    <xf numFmtId="0" fontId="10" fillId="0" borderId="10" xfId="20" applyFont="1" applyBorder="1" applyAlignment="1">
      <alignment horizontal="distributed" vertical="center" wrapText="1"/>
    </xf>
    <xf numFmtId="0" fontId="10" fillId="0" borderId="11" xfId="20" applyFont="1" applyBorder="1" applyAlignment="1">
      <alignment horizontal="distributed" vertical="center" wrapText="1"/>
    </xf>
    <xf numFmtId="0" fontId="10" fillId="0" borderId="12" xfId="20" applyFont="1" applyBorder="1"/>
    <xf numFmtId="0" fontId="9" fillId="0" borderId="0" xfId="20" applyFont="1" applyAlignment="1">
      <alignment horizontal="center" vertical="center" wrapText="1"/>
    </xf>
    <xf numFmtId="178" fontId="10" fillId="0" borderId="13" xfId="20" applyNumberFormat="1" applyFont="1" applyBorder="1" applyAlignment="1">
      <alignment horizontal="right" vertical="center"/>
    </xf>
    <xf numFmtId="179" fontId="10" fillId="0" borderId="6" xfId="20" applyNumberFormat="1" applyFont="1" applyBorder="1" applyAlignment="1">
      <alignment horizontal="center" vertical="center"/>
    </xf>
    <xf numFmtId="178" fontId="10" fillId="0" borderId="14" xfId="20" applyNumberFormat="1" applyFont="1" applyBorder="1" applyAlignment="1">
      <alignment horizontal="right" vertical="center"/>
    </xf>
    <xf numFmtId="0" fontId="10" fillId="0" borderId="7" xfId="20" applyFont="1" applyBorder="1" applyAlignment="1">
      <alignment horizontal="center" vertical="center"/>
    </xf>
    <xf numFmtId="179" fontId="9" fillId="0" borderId="0" xfId="20" applyNumberFormat="1" applyFont="1" applyAlignment="1">
      <alignment horizontal="center" vertical="center"/>
    </xf>
    <xf numFmtId="178" fontId="10" fillId="0" borderId="15" xfId="20" applyNumberFormat="1" applyFont="1" applyBorder="1" applyAlignment="1">
      <alignment horizontal="right" vertical="center"/>
    </xf>
    <xf numFmtId="179" fontId="10" fillId="0" borderId="16" xfId="20" applyNumberFormat="1" applyFont="1" applyBorder="1" applyAlignment="1">
      <alignment horizontal="center" vertical="center"/>
    </xf>
    <xf numFmtId="178" fontId="10" fillId="0" borderId="17" xfId="20" applyNumberFormat="1" applyFont="1" applyBorder="1" applyAlignment="1">
      <alignment horizontal="right" vertical="center"/>
    </xf>
    <xf numFmtId="0" fontId="10" fillId="0" borderId="17" xfId="20" applyFont="1" applyBorder="1" applyAlignment="1">
      <alignment horizontal="center" vertical="center"/>
    </xf>
    <xf numFmtId="178" fontId="10" fillId="0" borderId="9" xfId="20" applyNumberFormat="1" applyFont="1" applyBorder="1" applyAlignment="1">
      <alignment horizontal="right" vertical="center"/>
    </xf>
    <xf numFmtId="179" fontId="10" fillId="0" borderId="10" xfId="20" applyNumberFormat="1" applyFont="1" applyBorder="1" applyAlignment="1">
      <alignment horizontal="center" vertical="center"/>
    </xf>
    <xf numFmtId="178" fontId="10" fillId="0" borderId="11" xfId="20" applyNumberFormat="1" applyFont="1" applyBorder="1" applyAlignment="1">
      <alignment horizontal="right" vertical="center"/>
    </xf>
    <xf numFmtId="0" fontId="10" fillId="0" borderId="11" xfId="20" applyFont="1" applyBorder="1" applyAlignment="1">
      <alignment horizontal="center" vertical="center"/>
    </xf>
    <xf numFmtId="0" fontId="7" fillId="0" borderId="0" xfId="20" applyFont="1" applyBorder="1"/>
    <xf numFmtId="0" fontId="13" fillId="0" borderId="0" xfId="18" applyFont="1" applyBorder="1" applyAlignment="1" applyProtection="1">
      <alignment horizontal="centerContinuous"/>
    </xf>
    <xf numFmtId="49" fontId="9" fillId="0" borderId="0" xfId="18" applyNumberFormat="1" applyFont="1" applyBorder="1" applyAlignment="1" applyProtection="1">
      <alignment horizontal="centerContinuous"/>
    </xf>
    <xf numFmtId="0" fontId="9" fillId="0" borderId="0" xfId="18" applyFont="1" applyBorder="1" applyAlignment="1" applyProtection="1">
      <alignment horizontal="centerContinuous"/>
    </xf>
    <xf numFmtId="0" fontId="9" fillId="0" borderId="0" xfId="18" applyFont="1" applyBorder="1" applyAlignment="1" applyProtection="1">
      <alignment horizontal="centerContinuous" vertical="center"/>
    </xf>
    <xf numFmtId="0" fontId="9" fillId="0" borderId="0" xfId="18" applyFont="1" applyAlignment="1" applyProtection="1">
      <alignment horizontal="center"/>
    </xf>
    <xf numFmtId="0" fontId="9" fillId="0" borderId="0" xfId="18" applyFont="1" applyBorder="1" applyProtection="1"/>
    <xf numFmtId="0" fontId="9" fillId="0" borderId="0" xfId="18" applyFont="1"/>
    <xf numFmtId="49" fontId="9" fillId="0" borderId="0" xfId="18" applyNumberFormat="1" applyFont="1" applyBorder="1" applyProtection="1"/>
    <xf numFmtId="0" fontId="9" fillId="0" borderId="0" xfId="18" applyFont="1" applyBorder="1" applyAlignment="1" applyProtection="1">
      <alignment horizontal="right" vertical="center"/>
    </xf>
    <xf numFmtId="0" fontId="10" fillId="0" borderId="0" xfId="0" applyFont="1" applyBorder="1"/>
    <xf numFmtId="0" fontId="10" fillId="0" borderId="0" xfId="18" applyFont="1" applyBorder="1" applyAlignment="1" applyProtection="1">
      <alignment horizontal="centerContinuous"/>
    </xf>
    <xf numFmtId="0" fontId="9" fillId="0" borderId="0" xfId="18" applyFont="1" applyBorder="1" applyAlignment="1" applyProtection="1">
      <alignment horizontal="center"/>
    </xf>
    <xf numFmtId="0" fontId="9" fillId="0" borderId="0" xfId="18" applyFont="1" applyProtection="1"/>
    <xf numFmtId="0" fontId="7" fillId="0" borderId="6" xfId="18" applyFont="1" applyFill="1" applyBorder="1" applyAlignment="1" applyProtection="1">
      <alignment horizontal="centerContinuous" vertical="center"/>
    </xf>
    <xf numFmtId="0" fontId="7" fillId="0" borderId="18" xfId="18" applyFont="1" applyFill="1" applyBorder="1" applyAlignment="1" applyProtection="1">
      <alignment horizontal="centerContinuous" vertical="center" wrapText="1"/>
    </xf>
    <xf numFmtId="0" fontId="7" fillId="0" borderId="19" xfId="18" applyFont="1" applyFill="1" applyBorder="1" applyAlignment="1" applyProtection="1">
      <alignment horizontal="centerContinuous" vertical="center"/>
    </xf>
    <xf numFmtId="178" fontId="7" fillId="0" borderId="0" xfId="18" applyNumberFormat="1" applyFont="1" applyBorder="1" applyAlignment="1" applyProtection="1">
      <alignment horizontal="center" vertical="center" wrapText="1"/>
    </xf>
    <xf numFmtId="0" fontId="7" fillId="0" borderId="20" xfId="18" applyFont="1" applyFill="1" applyBorder="1" applyAlignment="1" applyProtection="1">
      <alignment horizontal="center" vertical="top" wrapText="1"/>
    </xf>
    <xf numFmtId="186" fontId="7" fillId="0" borderId="21" xfId="18" applyNumberFormat="1" applyFont="1" applyFill="1" applyBorder="1" applyAlignment="1" applyProtection="1">
      <alignment horizontal="center" vertical="top"/>
    </xf>
    <xf numFmtId="0" fontId="7" fillId="0" borderId="22" xfId="18" applyFont="1" applyFill="1" applyBorder="1" applyAlignment="1" applyProtection="1">
      <alignment horizontal="center" vertical="center" wrapText="1"/>
    </xf>
    <xf numFmtId="0" fontId="7" fillId="0" borderId="22" xfId="18" applyFont="1" applyFill="1" applyBorder="1" applyAlignment="1" applyProtection="1">
      <alignment horizontal="center" vertical="center"/>
    </xf>
    <xf numFmtId="0" fontId="9" fillId="0" borderId="22" xfId="18" applyFont="1" applyFill="1" applyBorder="1" applyAlignment="1" applyProtection="1">
      <alignment horizontal="center" vertical="center" wrapText="1"/>
    </xf>
    <xf numFmtId="0" fontId="9" fillId="0" borderId="0" xfId="18" applyFont="1" applyBorder="1" applyAlignment="1" applyProtection="1">
      <alignment horizontal="center" vertical="top"/>
    </xf>
    <xf numFmtId="178" fontId="9" fillId="0" borderId="0" xfId="18" applyNumberFormat="1" applyFont="1" applyBorder="1" applyAlignment="1" applyProtection="1">
      <alignment horizontal="center" vertical="center"/>
    </xf>
    <xf numFmtId="0" fontId="9" fillId="0" borderId="23" xfId="18" applyNumberFormat="1" applyFont="1" applyBorder="1" applyAlignment="1" applyProtection="1">
      <alignment horizontal="center" vertical="center" wrapText="1"/>
      <protection locked="0"/>
    </xf>
    <xf numFmtId="0" fontId="9" fillId="0" borderId="24" xfId="18" applyNumberFormat="1" applyFont="1" applyBorder="1" applyAlignment="1" applyProtection="1">
      <alignment horizontal="center" vertical="center" wrapText="1"/>
      <protection locked="0"/>
    </xf>
    <xf numFmtId="178" fontId="9" fillId="0" borderId="0" xfId="18" applyNumberFormat="1" applyFont="1" applyBorder="1" applyAlignment="1" applyProtection="1">
      <alignment horizontal="center" vertical="center" wrapText="1"/>
      <protection locked="0"/>
    </xf>
    <xf numFmtId="178" fontId="9" fillId="0" borderId="0" xfId="18" applyNumberFormat="1" applyFont="1" applyBorder="1" applyAlignment="1" applyProtection="1">
      <alignment horizontal="center" vertical="center" wrapText="1"/>
    </xf>
    <xf numFmtId="0" fontId="9" fillId="0" borderId="25" xfId="18" applyNumberFormat="1" applyFont="1" applyBorder="1" applyAlignment="1" applyProtection="1">
      <alignment horizontal="center" vertical="center" wrapText="1"/>
      <protection locked="0"/>
    </xf>
    <xf numFmtId="0" fontId="9" fillId="0" borderId="26" xfId="18" applyNumberFormat="1" applyFont="1" applyBorder="1" applyAlignment="1" applyProtection="1">
      <alignment horizontal="center" vertical="center" wrapText="1"/>
      <protection locked="0"/>
    </xf>
    <xf numFmtId="0" fontId="9" fillId="0" borderId="0" xfId="18" applyFont="1" applyBorder="1" applyAlignment="1" applyProtection="1">
      <alignment horizontal="center" vertical="center"/>
    </xf>
    <xf numFmtId="0" fontId="9" fillId="0" borderId="0" xfId="18" applyFont="1" applyBorder="1" applyAlignment="1" applyProtection="1">
      <alignment horizontal="center" vertical="center" wrapText="1"/>
    </xf>
    <xf numFmtId="0" fontId="9" fillId="0" borderId="27" xfId="18" applyNumberFormat="1" applyFont="1" applyBorder="1" applyAlignment="1" applyProtection="1">
      <alignment horizontal="center" vertical="center" wrapText="1"/>
      <protection locked="0"/>
    </xf>
    <xf numFmtId="0" fontId="9" fillId="0" borderId="28" xfId="18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/>
    <xf numFmtId="0" fontId="11" fillId="0" borderId="29" xfId="18" applyNumberFormat="1" applyFont="1" applyBorder="1" applyAlignment="1" applyProtection="1">
      <alignment horizontal="centerContinuous" vertical="center" wrapText="1"/>
    </xf>
    <xf numFmtId="0" fontId="9" fillId="0" borderId="30" xfId="18" applyNumberFormat="1" applyFont="1" applyBorder="1" applyAlignment="1" applyProtection="1">
      <alignment horizontal="centerContinuous" vertical="center" wrapText="1"/>
    </xf>
    <xf numFmtId="178" fontId="9" fillId="0" borderId="30" xfId="18" applyNumberFormat="1" applyFont="1" applyBorder="1" applyAlignment="1" applyProtection="1">
      <alignment horizontal="right" vertical="center"/>
    </xf>
    <xf numFmtId="0" fontId="9" fillId="0" borderId="30" xfId="18" applyNumberFormat="1" applyFont="1" applyBorder="1" applyAlignment="1" applyProtection="1">
      <alignment horizontal="center" vertical="center" wrapText="1"/>
    </xf>
    <xf numFmtId="0" fontId="9" fillId="0" borderId="31" xfId="18" applyNumberFormat="1" applyFont="1" applyBorder="1" applyAlignment="1" applyProtection="1">
      <alignment horizontal="center" vertical="center" wrapText="1"/>
    </xf>
    <xf numFmtId="0" fontId="9" fillId="0" borderId="32" xfId="18" applyNumberFormat="1" applyFont="1" applyBorder="1" applyAlignment="1" applyProtection="1">
      <alignment horizontal="center" vertical="center" wrapText="1"/>
      <protection locked="0"/>
    </xf>
    <xf numFmtId="0" fontId="9" fillId="0" borderId="33" xfId="18" applyNumberFormat="1" applyFont="1" applyBorder="1" applyAlignment="1" applyProtection="1">
      <alignment horizontal="center" vertical="center" wrapText="1"/>
      <protection locked="0"/>
    </xf>
    <xf numFmtId="0" fontId="9" fillId="0" borderId="34" xfId="18" applyNumberFormat="1" applyFont="1" applyBorder="1" applyAlignment="1" applyProtection="1">
      <alignment horizontal="center" vertical="center" wrapText="1"/>
    </xf>
    <xf numFmtId="49" fontId="9" fillId="0" borderId="25" xfId="18" applyNumberFormat="1" applyFont="1" applyBorder="1" applyAlignment="1" applyProtection="1">
      <alignment horizontal="center" vertical="center" wrapText="1"/>
      <protection locked="0"/>
    </xf>
    <xf numFmtId="178" fontId="9" fillId="0" borderId="25" xfId="18" applyNumberFormat="1" applyFont="1" applyBorder="1" applyAlignment="1" applyProtection="1">
      <alignment horizontal="right" vertical="center"/>
      <protection locked="0"/>
    </xf>
    <xf numFmtId="0" fontId="9" fillId="0" borderId="35" xfId="18" applyNumberFormat="1" applyFont="1" applyBorder="1" applyAlignment="1" applyProtection="1">
      <alignment horizontal="center" vertical="center" wrapText="1"/>
    </xf>
    <xf numFmtId="49" fontId="9" fillId="0" borderId="27" xfId="18" applyNumberFormat="1" applyFont="1" applyBorder="1" applyAlignment="1" applyProtection="1">
      <alignment horizontal="center" vertical="center" wrapText="1"/>
      <protection locked="0"/>
    </xf>
    <xf numFmtId="178" fontId="9" fillId="0" borderId="27" xfId="18" applyNumberFormat="1" applyFont="1" applyBorder="1" applyAlignment="1" applyProtection="1">
      <alignment horizontal="right" vertical="center"/>
      <protection locked="0"/>
    </xf>
    <xf numFmtId="0" fontId="9" fillId="0" borderId="36" xfId="18" applyNumberFormat="1" applyFont="1" applyBorder="1" applyAlignment="1" applyProtection="1">
      <alignment horizontal="center" vertical="center" wrapText="1"/>
    </xf>
    <xf numFmtId="49" fontId="9" fillId="0" borderId="32" xfId="18" applyNumberFormat="1" applyFont="1" applyBorder="1" applyAlignment="1" applyProtection="1">
      <alignment horizontal="center" vertical="center" wrapText="1"/>
      <protection locked="0"/>
    </xf>
    <xf numFmtId="178" fontId="9" fillId="0" borderId="32" xfId="18" applyNumberFormat="1" applyFont="1" applyBorder="1" applyAlignment="1" applyProtection="1">
      <alignment horizontal="right" vertical="center"/>
      <protection locked="0"/>
    </xf>
    <xf numFmtId="0" fontId="9" fillId="0" borderId="31" xfId="18" applyNumberFormat="1" applyFont="1" applyBorder="1" applyAlignment="1" applyProtection="1">
      <alignment horizontal="centerContinuous" vertical="center" wrapText="1"/>
    </xf>
    <xf numFmtId="49" fontId="9" fillId="0" borderId="0" xfId="18" applyNumberFormat="1" applyFont="1"/>
    <xf numFmtId="0" fontId="9" fillId="0" borderId="0" xfId="18" applyFont="1" applyAlignment="1">
      <alignment horizontal="right" vertical="center"/>
    </xf>
    <xf numFmtId="0" fontId="9" fillId="0" borderId="0" xfId="18" applyFont="1" applyBorder="1"/>
    <xf numFmtId="0" fontId="10" fillId="0" borderId="0" xfId="20" applyFont="1" applyBorder="1" applyAlignment="1">
      <alignment horizontal="center" vertical="center" wrapText="1"/>
    </xf>
    <xf numFmtId="178" fontId="10" fillId="0" borderId="0" xfId="20" applyNumberFormat="1" applyFont="1" applyBorder="1" applyAlignment="1">
      <alignment horizontal="distributed" vertical="center"/>
    </xf>
    <xf numFmtId="178" fontId="10" fillId="0" borderId="0" xfId="20" applyNumberFormat="1" applyFont="1" applyBorder="1" applyAlignment="1">
      <alignment horizontal="center" vertical="center" wrapText="1"/>
    </xf>
    <xf numFmtId="0" fontId="7" fillId="0" borderId="37" xfId="19" applyFont="1" applyBorder="1" applyAlignment="1">
      <alignment horizontal="distributed" vertical="center"/>
    </xf>
    <xf numFmtId="0" fontId="7" fillId="0" borderId="38" xfId="19" applyFont="1" applyBorder="1" applyAlignment="1">
      <alignment horizontal="distributed" vertical="center"/>
    </xf>
    <xf numFmtId="0" fontId="7" fillId="0" borderId="38" xfId="19" applyFont="1" applyBorder="1" applyAlignment="1">
      <alignment horizontal="distributed" vertical="center" wrapText="1"/>
    </xf>
    <xf numFmtId="0" fontId="7" fillId="0" borderId="39" xfId="19" applyFont="1" applyBorder="1" applyAlignment="1">
      <alignment horizontal="distributed" vertical="center"/>
    </xf>
    <xf numFmtId="0" fontId="7" fillId="0" borderId="40" xfId="18" applyFont="1" applyFill="1" applyBorder="1" applyAlignment="1" applyProtection="1">
      <alignment horizontal="center" wrapText="1"/>
    </xf>
    <xf numFmtId="186" fontId="7" fillId="0" borderId="41" xfId="18" applyNumberFormat="1" applyFont="1" applyFill="1" applyBorder="1" applyAlignment="1" applyProtection="1">
      <alignment horizontal="center" wrapText="1"/>
    </xf>
    <xf numFmtId="186" fontId="7" fillId="0" borderId="41" xfId="18" applyNumberFormat="1" applyFont="1" applyFill="1" applyBorder="1" applyAlignment="1" applyProtection="1">
      <alignment horizontal="center"/>
    </xf>
    <xf numFmtId="0" fontId="9" fillId="0" borderId="6" xfId="18" applyFont="1" applyFill="1" applyBorder="1" applyAlignment="1" applyProtection="1">
      <alignment horizontal="centerContinuous" vertical="center"/>
    </xf>
    <xf numFmtId="178" fontId="9" fillId="0" borderId="15" xfId="19" applyNumberFormat="1" applyFont="1" applyFill="1" applyBorder="1" applyAlignment="1">
      <alignment horizontal="right" vertical="center"/>
    </xf>
    <xf numFmtId="179" fontId="9" fillId="0" borderId="16" xfId="19" applyNumberFormat="1" applyFont="1" applyFill="1" applyBorder="1" applyAlignment="1">
      <alignment horizontal="center" vertical="center"/>
    </xf>
    <xf numFmtId="178" fontId="9" fillId="0" borderId="42" xfId="19" applyNumberFormat="1" applyFont="1" applyFill="1" applyBorder="1" applyAlignment="1">
      <alignment horizontal="right" vertical="center"/>
    </xf>
    <xf numFmtId="179" fontId="9" fillId="0" borderId="43" xfId="19" applyNumberFormat="1" applyFont="1" applyFill="1" applyBorder="1" applyAlignment="1">
      <alignment horizontal="center" vertical="center"/>
    </xf>
    <xf numFmtId="0" fontId="9" fillId="0" borderId="44" xfId="19" applyFont="1" applyFill="1" applyBorder="1" applyAlignment="1">
      <alignment horizontal="center" vertical="center" wrapText="1"/>
    </xf>
    <xf numFmtId="0" fontId="9" fillId="0" borderId="45" xfId="19" applyFont="1" applyFill="1" applyBorder="1" applyAlignment="1">
      <alignment horizontal="center" vertical="center" wrapText="1"/>
    </xf>
    <xf numFmtId="0" fontId="9" fillId="0" borderId="44" xfId="19" applyFont="1" applyFill="1" applyBorder="1" applyAlignment="1">
      <alignment horizontal="distributed" vertical="center" wrapText="1"/>
    </xf>
    <xf numFmtId="0" fontId="9" fillId="0" borderId="45" xfId="19" applyFont="1" applyFill="1" applyBorder="1" applyAlignment="1">
      <alignment horizontal="distributed" vertical="center" wrapText="1"/>
    </xf>
    <xf numFmtId="0" fontId="9" fillId="0" borderId="46" xfId="19" applyFont="1" applyFill="1" applyBorder="1" applyAlignment="1">
      <alignment horizontal="distributed" wrapText="1"/>
    </xf>
    <xf numFmtId="0" fontId="9" fillId="0" borderId="47" xfId="20" applyFont="1" applyFill="1" applyBorder="1" applyAlignment="1" applyProtection="1">
      <alignment horizontal="centerContinuous" vertical="center" wrapText="1"/>
    </xf>
    <xf numFmtId="0" fontId="9" fillId="0" borderId="48" xfId="20" applyFont="1" applyFill="1" applyBorder="1" applyAlignment="1" applyProtection="1">
      <alignment horizontal="centerContinuous" vertical="center" wrapText="1"/>
    </xf>
    <xf numFmtId="0" fontId="9" fillId="0" borderId="49" xfId="19" applyFont="1" applyFill="1" applyBorder="1" applyAlignment="1">
      <alignment horizontal="distributed" wrapText="1"/>
    </xf>
    <xf numFmtId="0" fontId="9" fillId="0" borderId="49" xfId="19" applyFont="1" applyFill="1" applyBorder="1" applyAlignment="1">
      <alignment horizontal="distributed" vertical="center" wrapText="1"/>
    </xf>
    <xf numFmtId="0" fontId="9" fillId="0" borderId="50" xfId="19" applyFont="1" applyFill="1" applyBorder="1" applyAlignment="1">
      <alignment horizontal="distributed" vertical="center" wrapText="1"/>
    </xf>
    <xf numFmtId="0" fontId="7" fillId="0" borderId="51" xfId="19" applyFont="1" applyBorder="1" applyAlignment="1">
      <alignment horizontal="distributed" vertical="center"/>
    </xf>
    <xf numFmtId="0" fontId="9" fillId="0" borderId="52" xfId="19" applyFont="1" applyFill="1" applyBorder="1"/>
    <xf numFmtId="0" fontId="7" fillId="0" borderId="53" xfId="19" applyFont="1" applyBorder="1" applyAlignment="1">
      <alignment horizontal="distributed" vertical="center"/>
    </xf>
    <xf numFmtId="0" fontId="9" fillId="0" borderId="54" xfId="19" applyFont="1" applyFill="1" applyBorder="1"/>
    <xf numFmtId="0" fontId="7" fillId="0" borderId="53" xfId="19" applyFont="1" applyBorder="1" applyAlignment="1">
      <alignment horizontal="distributed" vertical="center" wrapText="1"/>
    </xf>
    <xf numFmtId="0" fontId="7" fillId="0" borderId="55" xfId="19" applyFont="1" applyBorder="1" applyAlignment="1">
      <alignment horizontal="distributed" vertical="center"/>
    </xf>
    <xf numFmtId="178" fontId="9" fillId="0" borderId="56" xfId="19" applyNumberFormat="1" applyFont="1" applyFill="1" applyBorder="1" applyAlignment="1">
      <alignment horizontal="right" vertical="center"/>
    </xf>
    <xf numFmtId="179" fontId="9" fillId="0" borderId="57" xfId="19" applyNumberFormat="1" applyFont="1" applyFill="1" applyBorder="1" applyAlignment="1">
      <alignment horizontal="center" vertical="center"/>
    </xf>
    <xf numFmtId="0" fontId="9" fillId="0" borderId="58" xfId="19" applyFont="1" applyFill="1" applyBorder="1"/>
    <xf numFmtId="0" fontId="7" fillId="0" borderId="59" xfId="19" applyFont="1" applyBorder="1" applyAlignment="1">
      <alignment horizontal="distributed" vertical="center"/>
    </xf>
    <xf numFmtId="178" fontId="9" fillId="0" borderId="60" xfId="19" applyNumberFormat="1" applyFont="1" applyFill="1" applyBorder="1" applyAlignment="1">
      <alignment horizontal="right" vertical="center"/>
    </xf>
    <xf numFmtId="179" fontId="9" fillId="0" borderId="61" xfId="19" applyNumberFormat="1" applyFont="1" applyFill="1" applyBorder="1" applyAlignment="1">
      <alignment horizontal="center" vertical="center"/>
    </xf>
    <xf numFmtId="0" fontId="9" fillId="0" borderId="62" xfId="19" applyFont="1" applyFill="1" applyBorder="1"/>
    <xf numFmtId="187" fontId="7" fillId="0" borderId="0" xfId="19" applyNumberFormat="1" applyFont="1" applyFill="1" applyAlignment="1">
      <alignment horizontal="right"/>
    </xf>
    <xf numFmtId="187" fontId="9" fillId="0" borderId="63" xfId="19" applyNumberFormat="1" applyFont="1" applyFill="1" applyBorder="1" applyAlignment="1">
      <alignment horizontal="right" vertical="center"/>
    </xf>
    <xf numFmtId="187" fontId="9" fillId="0" borderId="17" xfId="19" applyNumberFormat="1" applyFont="1" applyFill="1" applyBorder="1" applyAlignment="1">
      <alignment horizontal="right" vertical="center"/>
    </xf>
    <xf numFmtId="187" fontId="9" fillId="0" borderId="64" xfId="19" applyNumberFormat="1" applyFont="1" applyFill="1" applyBorder="1" applyAlignment="1">
      <alignment horizontal="right" vertical="center"/>
    </xf>
    <xf numFmtId="187" fontId="9" fillId="0" borderId="65" xfId="19" applyNumberFormat="1" applyFont="1" applyFill="1" applyBorder="1" applyAlignment="1">
      <alignment horizontal="right" vertical="center"/>
    </xf>
    <xf numFmtId="187" fontId="9" fillId="0" borderId="66" xfId="19" applyNumberFormat="1" applyFont="1" applyFill="1" applyBorder="1" applyAlignment="1">
      <alignment horizontal="centerContinuous" vertical="center" wrapText="1"/>
    </xf>
    <xf numFmtId="187" fontId="9" fillId="0" borderId="12" xfId="19" applyNumberFormat="1" applyFont="1" applyFill="1" applyBorder="1" applyAlignment="1">
      <alignment horizontal="centerContinuous" vertical="center" wrapText="1"/>
    </xf>
    <xf numFmtId="187" fontId="9" fillId="0" borderId="67" xfId="19" applyNumberFormat="1" applyFont="1" applyFill="1" applyBorder="1" applyAlignment="1">
      <alignment horizontal="distributed" vertical="center" wrapText="1"/>
    </xf>
    <xf numFmtId="187" fontId="7" fillId="0" borderId="0" xfId="19" applyNumberFormat="1" applyFont="1" applyFill="1" applyBorder="1" applyAlignment="1">
      <alignment horizontal="right"/>
    </xf>
    <xf numFmtId="184" fontId="9" fillId="0" borderId="68" xfId="0" applyNumberFormat="1" applyFont="1" applyFill="1" applyBorder="1" applyAlignment="1">
      <alignment horizontal="center" vertical="center"/>
    </xf>
    <xf numFmtId="185" fontId="9" fillId="0" borderId="23" xfId="0" applyNumberFormat="1" applyFont="1" applyFill="1" applyBorder="1" applyAlignment="1">
      <alignment horizontal="center" vertical="center"/>
    </xf>
    <xf numFmtId="49" fontId="9" fillId="0" borderId="23" xfId="0" applyNumberFormat="1" applyFont="1" applyFill="1" applyBorder="1" applyAlignment="1">
      <alignment horizontal="center" vertical="center"/>
    </xf>
    <xf numFmtId="186" fontId="9" fillId="0" borderId="23" xfId="15" applyNumberFormat="1" applyFont="1" applyFill="1" applyBorder="1" applyAlignment="1">
      <alignment horizontal="center" vertical="center"/>
    </xf>
    <xf numFmtId="178" fontId="9" fillId="0" borderId="23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23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left" vertical="center" wrapText="1"/>
    </xf>
    <xf numFmtId="184" fontId="9" fillId="0" borderId="34" xfId="0" applyNumberFormat="1" applyFont="1" applyFill="1" applyBorder="1" applyAlignment="1">
      <alignment horizontal="center" vertical="center"/>
    </xf>
    <xf numFmtId="185" fontId="9" fillId="0" borderId="25" xfId="0" applyNumberFormat="1" applyFont="1" applyFill="1" applyBorder="1" applyAlignment="1">
      <alignment horizontal="center" vertical="center"/>
    </xf>
    <xf numFmtId="49" fontId="9" fillId="0" borderId="25" xfId="0" applyNumberFormat="1" applyFont="1" applyFill="1" applyBorder="1" applyAlignment="1">
      <alignment horizontal="center" vertical="center"/>
    </xf>
    <xf numFmtId="186" fontId="9" fillId="0" borderId="25" xfId="15" applyNumberFormat="1" applyFont="1" applyFill="1" applyBorder="1" applyAlignment="1">
      <alignment horizontal="center" vertical="center"/>
    </xf>
    <xf numFmtId="178" fontId="9" fillId="0" borderId="25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25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left" vertical="center" wrapText="1"/>
    </xf>
    <xf numFmtId="0" fontId="9" fillId="0" borderId="25" xfId="18" applyFont="1" applyFill="1" applyBorder="1"/>
    <xf numFmtId="184" fontId="9" fillId="0" borderId="35" xfId="0" applyNumberFormat="1" applyFont="1" applyFill="1" applyBorder="1" applyAlignment="1">
      <alignment horizontal="center" vertical="center"/>
    </xf>
    <xf numFmtId="185" fontId="9" fillId="0" borderId="27" xfId="0" applyNumberFormat="1" applyFont="1" applyFill="1" applyBorder="1" applyAlignment="1">
      <alignment horizontal="center" vertical="center"/>
    </xf>
    <xf numFmtId="49" fontId="9" fillId="0" borderId="27" xfId="0" applyNumberFormat="1" applyFont="1" applyFill="1" applyBorder="1" applyAlignment="1">
      <alignment horizontal="center" vertical="center"/>
    </xf>
    <xf numFmtId="186" fontId="9" fillId="0" borderId="27" xfId="15" applyNumberFormat="1" applyFont="1" applyFill="1" applyBorder="1" applyAlignment="1">
      <alignment horizontal="center" vertical="center"/>
    </xf>
    <xf numFmtId="178" fontId="9" fillId="0" borderId="27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27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left" vertical="center" wrapText="1"/>
    </xf>
    <xf numFmtId="184" fontId="9" fillId="0" borderId="36" xfId="0" applyNumberFormat="1" applyFont="1" applyFill="1" applyBorder="1" applyAlignment="1">
      <alignment horizontal="center" vertical="center"/>
    </xf>
    <xf numFmtId="185" fontId="9" fillId="0" borderId="32" xfId="0" applyNumberFormat="1" applyFont="1" applyFill="1" applyBorder="1" applyAlignment="1">
      <alignment horizontal="center" vertical="center"/>
    </xf>
    <xf numFmtId="49" fontId="9" fillId="0" borderId="32" xfId="0" applyNumberFormat="1" applyFont="1" applyFill="1" applyBorder="1" applyAlignment="1">
      <alignment horizontal="center" vertical="center"/>
    </xf>
    <xf numFmtId="186" fontId="9" fillId="0" borderId="32" xfId="15" applyNumberFormat="1" applyFont="1" applyFill="1" applyBorder="1" applyAlignment="1">
      <alignment horizontal="center" vertical="center"/>
    </xf>
    <xf numFmtId="178" fontId="9" fillId="0" borderId="32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32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left" vertical="center" wrapText="1"/>
    </xf>
    <xf numFmtId="184" fontId="9" fillId="0" borderId="29" xfId="0" applyNumberFormat="1" applyFont="1" applyFill="1" applyBorder="1" applyAlignment="1">
      <alignment horizontal="center" vertical="center"/>
    </xf>
    <xf numFmtId="179" fontId="7" fillId="0" borderId="0" xfId="19" applyNumberFormat="1" applyFont="1" applyFill="1" applyAlignment="1">
      <alignment horizontal="right"/>
    </xf>
    <xf numFmtId="179" fontId="9" fillId="0" borderId="67" xfId="19" applyNumberFormat="1" applyFont="1" applyFill="1" applyBorder="1" applyAlignment="1">
      <alignment horizontal="center" vertical="center" wrapText="1"/>
    </xf>
    <xf numFmtId="179" fontId="9" fillId="0" borderId="17" xfId="19" applyNumberFormat="1" applyFont="1" applyFill="1" applyBorder="1" applyAlignment="1">
      <alignment horizontal="right" vertical="center"/>
    </xf>
    <xf numFmtId="179" fontId="9" fillId="0" borderId="64" xfId="19" applyNumberFormat="1" applyFont="1" applyFill="1" applyBorder="1" applyAlignment="1">
      <alignment horizontal="right" vertical="center"/>
    </xf>
    <xf numFmtId="179" fontId="9" fillId="0" borderId="65" xfId="19" applyNumberFormat="1" applyFont="1" applyFill="1" applyBorder="1" applyAlignment="1">
      <alignment horizontal="right" vertical="center"/>
    </xf>
    <xf numFmtId="179" fontId="9" fillId="0" borderId="66" xfId="19" applyNumberFormat="1" applyFont="1" applyFill="1" applyBorder="1" applyAlignment="1">
      <alignment horizontal="centerContinuous" vertical="center" wrapText="1"/>
    </xf>
    <xf numFmtId="179" fontId="9" fillId="0" borderId="12" xfId="19" applyNumberFormat="1" applyFont="1" applyFill="1" applyBorder="1" applyAlignment="1">
      <alignment horizontal="centerContinuous" vertical="center" wrapText="1"/>
    </xf>
    <xf numFmtId="0" fontId="10" fillId="0" borderId="12" xfId="20" applyFont="1" applyBorder="1" applyAlignment="1">
      <alignment horizontal="distributed" vertical="center" wrapText="1"/>
    </xf>
    <xf numFmtId="0" fontId="10" fillId="0" borderId="2" xfId="20" applyFont="1" applyBorder="1" applyAlignment="1">
      <alignment horizontal="distributed" vertical="center" wrapText="1"/>
    </xf>
    <xf numFmtId="0" fontId="10" fillId="0" borderId="3" xfId="20" applyFont="1" applyBorder="1" applyAlignment="1">
      <alignment horizontal="distributed" vertical="center" wrapText="1"/>
    </xf>
    <xf numFmtId="0" fontId="10" fillId="0" borderId="0" xfId="0" applyFont="1" applyBorder="1" applyAlignment="1">
      <alignment horizontal="centerContinuous" vertical="center"/>
    </xf>
    <xf numFmtId="179" fontId="7" fillId="0" borderId="0" xfId="19" applyNumberFormat="1" applyFont="1" applyFill="1" applyBorder="1" applyAlignment="1">
      <alignment horizontal="right"/>
    </xf>
    <xf numFmtId="0" fontId="7" fillId="0" borderId="0" xfId="19" applyFont="1" applyFill="1" applyBorder="1" applyAlignment="1">
      <alignment horizontal="center"/>
    </xf>
    <xf numFmtId="0" fontId="6" fillId="0" borderId="69" xfId="19" applyFont="1" applyFill="1" applyBorder="1" applyAlignment="1">
      <alignment horizontal="centerContinuous"/>
    </xf>
    <xf numFmtId="0" fontId="7" fillId="0" borderId="70" xfId="19" applyFont="1" applyFill="1" applyBorder="1" applyAlignment="1">
      <alignment horizontal="centerContinuous"/>
    </xf>
    <xf numFmtId="0" fontId="8" fillId="0" borderId="70" xfId="19" applyFont="1" applyFill="1" applyBorder="1" applyAlignment="1">
      <alignment horizontal="centerContinuous"/>
    </xf>
    <xf numFmtId="179" fontId="8" fillId="0" borderId="70" xfId="19" applyNumberFormat="1" applyFont="1" applyFill="1" applyBorder="1" applyAlignment="1">
      <alignment horizontal="centerContinuous"/>
    </xf>
    <xf numFmtId="187" fontId="8" fillId="0" borderId="70" xfId="19" applyNumberFormat="1" applyFont="1" applyFill="1" applyBorder="1" applyAlignment="1">
      <alignment horizontal="centerContinuous"/>
    </xf>
    <xf numFmtId="0" fontId="8" fillId="0" borderId="71" xfId="19" applyFont="1" applyFill="1" applyBorder="1" applyAlignment="1">
      <alignment horizontal="centerContinuous"/>
    </xf>
    <xf numFmtId="0" fontId="7" fillId="0" borderId="72" xfId="19" applyFont="1" applyFill="1" applyBorder="1"/>
    <xf numFmtId="0" fontId="7" fillId="0" borderId="73" xfId="19" applyFont="1" applyFill="1" applyBorder="1"/>
    <xf numFmtId="0" fontId="7" fillId="0" borderId="71" xfId="19" applyFont="1" applyFill="1" applyBorder="1" applyAlignment="1">
      <alignment horizontal="centerContinuous"/>
    </xf>
    <xf numFmtId="0" fontId="10" fillId="0" borderId="4" xfId="20" applyFont="1" applyBorder="1" applyAlignment="1">
      <alignment horizontal="center" wrapText="1"/>
    </xf>
    <xf numFmtId="49" fontId="9" fillId="0" borderId="32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32" xfId="18" applyNumberFormat="1" applyFont="1" applyFill="1" applyBorder="1" applyAlignment="1" applyProtection="1">
      <alignment horizontal="center" vertical="center" wrapText="1"/>
      <protection locked="0"/>
    </xf>
    <xf numFmtId="49" fontId="9" fillId="0" borderId="25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25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34" xfId="18" applyNumberFormat="1" applyFont="1" applyFill="1" applyBorder="1" applyAlignment="1" applyProtection="1">
      <alignment horizontal="center" vertical="center" wrapText="1"/>
    </xf>
    <xf numFmtId="0" fontId="9" fillId="0" borderId="26" xfId="18" applyNumberFormat="1" applyFont="1" applyFill="1" applyBorder="1" applyAlignment="1" applyProtection="1">
      <alignment horizontal="center" vertical="center" wrapText="1"/>
      <protection locked="0"/>
    </xf>
    <xf numFmtId="49" fontId="7" fillId="0" borderId="41" xfId="18" applyNumberFormat="1" applyFont="1" applyFill="1" applyBorder="1" applyAlignment="1" applyProtection="1">
      <alignment horizontal="center" wrapText="1"/>
    </xf>
    <xf numFmtId="188" fontId="9" fillId="0" borderId="25" xfId="18" applyNumberFormat="1" applyFont="1" applyFill="1" applyBorder="1" applyAlignment="1" applyProtection="1">
      <alignment horizontal="center" vertical="center"/>
      <protection locked="0"/>
    </xf>
    <xf numFmtId="49" fontId="7" fillId="0" borderId="21" xfId="18" applyNumberFormat="1" applyFont="1" applyFill="1" applyBorder="1" applyAlignment="1" applyProtection="1">
      <alignment horizontal="center" vertical="top"/>
    </xf>
    <xf numFmtId="49" fontId="9" fillId="0" borderId="23" xfId="18" applyNumberFormat="1" applyFont="1" applyFill="1" applyBorder="1" applyAlignment="1" applyProtection="1">
      <alignment horizontal="center" vertical="center" wrapText="1"/>
      <protection locked="0"/>
    </xf>
    <xf numFmtId="188" fontId="9" fillId="0" borderId="32" xfId="18" applyNumberFormat="1" applyFont="1" applyFill="1" applyBorder="1" applyAlignment="1" applyProtection="1">
      <alignment horizontal="right" vertical="center"/>
      <protection locked="0"/>
    </xf>
    <xf numFmtId="188" fontId="9" fillId="0" borderId="25" xfId="18" applyNumberFormat="1" applyFont="1" applyFill="1" applyBorder="1" applyAlignment="1" applyProtection="1">
      <alignment horizontal="right" vertical="center"/>
      <protection locked="0"/>
    </xf>
    <xf numFmtId="190" fontId="10" fillId="0" borderId="14" xfId="20" applyNumberFormat="1" applyFont="1" applyBorder="1" applyAlignment="1">
      <alignment horizontal="right" vertical="center"/>
    </xf>
    <xf numFmtId="190" fontId="10" fillId="0" borderId="17" xfId="20" applyNumberFormat="1" applyFont="1" applyBorder="1" applyAlignment="1">
      <alignment horizontal="right" vertical="center"/>
    </xf>
    <xf numFmtId="190" fontId="10" fillId="0" borderId="11" xfId="20" applyNumberFormat="1" applyFont="1" applyBorder="1" applyAlignment="1">
      <alignment horizontal="right" vertical="center"/>
    </xf>
    <xf numFmtId="0" fontId="10" fillId="0" borderId="77" xfId="20" applyFont="1" applyBorder="1" applyAlignment="1">
      <alignment horizontal="centerContinuous" vertical="center"/>
    </xf>
    <xf numFmtId="0" fontId="10" fillId="0" borderId="78" xfId="20" applyFont="1" applyBorder="1" applyAlignment="1">
      <alignment horizontal="centerContinuous" vertical="center"/>
    </xf>
    <xf numFmtId="0" fontId="10" fillId="0" borderId="79" xfId="20" applyFont="1" applyBorder="1" applyAlignment="1">
      <alignment horizontal="centerContinuous" vertical="center"/>
    </xf>
    <xf numFmtId="0" fontId="6" fillId="0" borderId="0" xfId="19" applyFont="1" applyFill="1" applyBorder="1" applyAlignment="1">
      <alignment horizontal="centerContinuous"/>
    </xf>
    <xf numFmtId="0" fontId="7" fillId="0" borderId="0" xfId="19" applyFont="1" applyFill="1" applyBorder="1" applyAlignment="1">
      <alignment horizontal="centerContinuous"/>
    </xf>
    <xf numFmtId="0" fontId="8" fillId="0" borderId="0" xfId="19" applyFont="1" applyFill="1" applyBorder="1" applyAlignment="1">
      <alignment horizontal="centerContinuous"/>
    </xf>
    <xf numFmtId="179" fontId="8" fillId="0" borderId="0" xfId="19" applyNumberFormat="1" applyFont="1" applyFill="1" applyBorder="1" applyAlignment="1">
      <alignment horizontal="centerContinuous"/>
    </xf>
    <xf numFmtId="187" fontId="8" fillId="0" borderId="0" xfId="19" applyNumberFormat="1" applyFont="1" applyFill="1" applyBorder="1" applyAlignment="1">
      <alignment horizontal="centerContinuous"/>
    </xf>
    <xf numFmtId="0" fontId="7" fillId="0" borderId="80" xfId="19" applyFont="1" applyFill="1" applyBorder="1"/>
    <xf numFmtId="0" fontId="7" fillId="0" borderId="80" xfId="19" quotePrefix="1" applyFont="1" applyFill="1" applyBorder="1" applyAlignment="1">
      <alignment horizontal="center"/>
    </xf>
    <xf numFmtId="179" fontId="7" fillId="0" borderId="80" xfId="19" applyNumberFormat="1" applyFont="1" applyFill="1" applyBorder="1" applyAlignment="1">
      <alignment horizontal="right"/>
    </xf>
    <xf numFmtId="0" fontId="7" fillId="0" borderId="80" xfId="19" applyFont="1" applyFill="1" applyBorder="1" applyAlignment="1">
      <alignment horizontal="center"/>
    </xf>
    <xf numFmtId="187" fontId="7" fillId="0" borderId="80" xfId="19" applyNumberFormat="1" applyFont="1" applyFill="1" applyBorder="1" applyAlignment="1">
      <alignment horizontal="right"/>
    </xf>
    <xf numFmtId="0" fontId="13" fillId="0" borderId="0" xfId="20" applyFont="1" applyBorder="1" applyAlignment="1">
      <alignment horizontal="centerContinuous" vertical="center"/>
    </xf>
    <xf numFmtId="0" fontId="10" fillId="0" borderId="3" xfId="20" applyFont="1" applyBorder="1" applyAlignment="1">
      <alignment horizontal="distributed"/>
    </xf>
    <xf numFmtId="0" fontId="10" fillId="0" borderId="3" xfId="20" applyFont="1" applyBorder="1"/>
    <xf numFmtId="0" fontId="7" fillId="0" borderId="18" xfId="18" applyFont="1" applyFill="1" applyBorder="1" applyAlignment="1" applyProtection="1">
      <alignment horizontal="centerContinuous" vertical="center"/>
    </xf>
    <xf numFmtId="0" fontId="13" fillId="0" borderId="5" xfId="18" applyFont="1" applyFill="1" applyBorder="1" applyAlignment="1" applyProtection="1">
      <alignment horizontal="centerContinuous"/>
    </xf>
    <xf numFmtId="49" fontId="9" fillId="0" borderId="6" xfId="18" applyNumberFormat="1" applyFont="1" applyFill="1" applyBorder="1" applyAlignment="1" applyProtection="1">
      <alignment horizontal="centerContinuous"/>
    </xf>
    <xf numFmtId="0" fontId="9" fillId="0" borderId="6" xfId="18" applyFont="1" applyFill="1" applyBorder="1" applyAlignment="1" applyProtection="1">
      <alignment horizontal="centerContinuous"/>
    </xf>
    <xf numFmtId="187" fontId="9" fillId="0" borderId="6" xfId="18" applyNumberFormat="1" applyFont="1" applyFill="1" applyBorder="1" applyAlignment="1" applyProtection="1">
      <alignment horizontal="centerContinuous"/>
    </xf>
    <xf numFmtId="188" fontId="9" fillId="0" borderId="6" xfId="18" applyNumberFormat="1" applyFont="1" applyFill="1" applyBorder="1" applyAlignment="1" applyProtection="1">
      <alignment horizontal="centerContinuous" vertical="center"/>
    </xf>
    <xf numFmtId="0" fontId="9" fillId="0" borderId="7" xfId="18" applyFont="1" applyFill="1" applyBorder="1" applyAlignment="1" applyProtection="1">
      <alignment horizontal="centerContinuous"/>
    </xf>
    <xf numFmtId="0" fontId="9" fillId="0" borderId="0" xfId="18" applyFont="1" applyFill="1" applyAlignment="1" applyProtection="1">
      <alignment horizontal="center"/>
    </xf>
    <xf numFmtId="41" fontId="9" fillId="0" borderId="0" xfId="15" applyFont="1" applyFill="1" applyBorder="1" applyProtection="1"/>
    <xf numFmtId="0" fontId="9" fillId="0" borderId="0" xfId="18" applyFont="1" applyFill="1" applyBorder="1" applyProtection="1"/>
    <xf numFmtId="0" fontId="9" fillId="0" borderId="0" xfId="18" applyFont="1" applyFill="1"/>
    <xf numFmtId="0" fontId="9" fillId="0" borderId="75" xfId="18" applyFont="1" applyFill="1" applyBorder="1" applyProtection="1"/>
    <xf numFmtId="49" fontId="9" fillId="0" borderId="0" xfId="18" applyNumberFormat="1" applyFont="1" applyFill="1" applyBorder="1" applyProtection="1"/>
    <xf numFmtId="187" fontId="9" fillId="0" borderId="0" xfId="18" applyNumberFormat="1" applyFont="1" applyFill="1" applyBorder="1" applyProtection="1"/>
    <xf numFmtId="188" fontId="9" fillId="0" borderId="0" xfId="18" applyNumberFormat="1" applyFont="1" applyFill="1" applyBorder="1" applyAlignment="1" applyProtection="1">
      <alignment horizontal="right" vertical="center"/>
    </xf>
    <xf numFmtId="0" fontId="9" fillId="0" borderId="0" xfId="18" applyFont="1" applyFill="1" applyBorder="1" applyAlignment="1" applyProtection="1">
      <alignment horizontal="center"/>
    </xf>
    <xf numFmtId="0" fontId="10" fillId="0" borderId="0" xfId="0" applyFont="1" applyFill="1" applyBorder="1"/>
    <xf numFmtId="0" fontId="10" fillId="0" borderId="0" xfId="18" applyFont="1" applyFill="1" applyBorder="1" applyAlignment="1" applyProtection="1">
      <alignment horizontal="centerContinuous"/>
    </xf>
    <xf numFmtId="0" fontId="9" fillId="0" borderId="0" xfId="18" applyFont="1" applyFill="1" applyBorder="1" applyAlignment="1" applyProtection="1">
      <alignment horizontal="centerContinuous"/>
    </xf>
    <xf numFmtId="0" fontId="9" fillId="0" borderId="76" xfId="18" applyFont="1" applyFill="1" applyBorder="1" applyAlignment="1" applyProtection="1">
      <alignment horizontal="centerContinuous"/>
    </xf>
    <xf numFmtId="0" fontId="9" fillId="0" borderId="2" xfId="18" applyFont="1" applyFill="1" applyBorder="1" applyProtection="1"/>
    <xf numFmtId="49" fontId="9" fillId="0" borderId="3" xfId="18" applyNumberFormat="1" applyFont="1" applyFill="1" applyBorder="1" applyProtection="1"/>
    <xf numFmtId="0" fontId="9" fillId="0" borderId="3" xfId="18" applyFont="1" applyFill="1" applyBorder="1" applyProtection="1"/>
    <xf numFmtId="187" fontId="9" fillId="0" borderId="3" xfId="18" applyNumberFormat="1" applyFont="1" applyFill="1" applyBorder="1" applyProtection="1"/>
    <xf numFmtId="188" fontId="9" fillId="0" borderId="3" xfId="18" applyNumberFormat="1" applyFont="1" applyFill="1" applyBorder="1" applyAlignment="1" applyProtection="1">
      <alignment horizontal="right" vertical="center"/>
    </xf>
    <xf numFmtId="0" fontId="9" fillId="0" borderId="3" xfId="18" applyFont="1" applyFill="1" applyBorder="1" applyAlignment="1" applyProtection="1">
      <alignment horizontal="center"/>
    </xf>
    <xf numFmtId="0" fontId="9" fillId="0" borderId="12" xfId="18" applyFont="1" applyFill="1" applyBorder="1" applyProtection="1"/>
    <xf numFmtId="0" fontId="9" fillId="0" borderId="0" xfId="18" applyFont="1" applyFill="1" applyProtection="1"/>
    <xf numFmtId="178" fontId="7" fillId="0" borderId="0" xfId="18" applyNumberFormat="1" applyFont="1" applyFill="1" applyBorder="1" applyAlignment="1" applyProtection="1">
      <alignment horizontal="center" vertical="center" wrapText="1"/>
    </xf>
    <xf numFmtId="178" fontId="9" fillId="0" borderId="0" xfId="18" applyNumberFormat="1" applyFont="1" applyFill="1" applyBorder="1" applyAlignment="1" applyProtection="1">
      <alignment horizontal="center" vertical="center"/>
    </xf>
    <xf numFmtId="0" fontId="9" fillId="0" borderId="36" xfId="18" applyNumberFormat="1" applyFont="1" applyFill="1" applyBorder="1" applyAlignment="1" applyProtection="1">
      <alignment horizontal="center" vertical="center" wrapText="1"/>
    </xf>
    <xf numFmtId="188" fontId="9" fillId="0" borderId="32" xfId="18" applyNumberFormat="1" applyFont="1" applyFill="1" applyBorder="1" applyAlignment="1" applyProtection="1">
      <alignment horizontal="center" vertical="center"/>
      <protection locked="0"/>
    </xf>
    <xf numFmtId="0" fontId="9" fillId="0" borderId="33" xfId="18" applyNumberFormat="1" applyFont="1" applyFill="1" applyBorder="1" applyAlignment="1" applyProtection="1">
      <alignment horizontal="center" vertical="center" wrapText="1"/>
      <protection locked="0"/>
    </xf>
    <xf numFmtId="178" fontId="9" fillId="0" borderId="0" xfId="18" applyNumberFormat="1" applyFont="1" applyFill="1" applyBorder="1" applyAlignment="1" applyProtection="1">
      <alignment horizontal="center" vertical="center" wrapText="1"/>
      <protection locked="0"/>
    </xf>
    <xf numFmtId="41" fontId="9" fillId="0" borderId="0" xfId="15" applyFont="1" applyFill="1" applyBorder="1" applyAlignment="1" applyProtection="1">
      <alignment horizontal="center" vertical="center" wrapText="1"/>
    </xf>
    <xf numFmtId="178" fontId="9" fillId="0" borderId="0" xfId="18" applyNumberFormat="1" applyFont="1" applyFill="1" applyBorder="1" applyAlignment="1" applyProtection="1">
      <alignment horizontal="center" vertical="center" wrapText="1"/>
    </xf>
    <xf numFmtId="41" fontId="9" fillId="0" borderId="0" xfId="15" applyFont="1" applyFill="1" applyBorder="1" applyAlignment="1" applyProtection="1">
      <alignment horizontal="center" vertical="center"/>
    </xf>
    <xf numFmtId="0" fontId="9" fillId="0" borderId="0" xfId="18" applyFont="1" applyFill="1" applyBorder="1" applyAlignment="1" applyProtection="1">
      <alignment horizontal="center" vertical="center" wrapText="1"/>
    </xf>
    <xf numFmtId="0" fontId="15" fillId="0" borderId="26" xfId="18" applyNumberFormat="1" applyFont="1" applyFill="1" applyBorder="1" applyAlignment="1" applyProtection="1">
      <alignment horizontal="center" vertical="center" wrapText="1"/>
      <protection locked="0"/>
    </xf>
    <xf numFmtId="49" fontId="9" fillId="0" borderId="27" xfId="18" applyNumberFormat="1" applyFont="1" applyFill="1" applyBorder="1" applyAlignment="1" applyProtection="1">
      <alignment horizontal="center" vertical="center" wrapText="1"/>
      <protection locked="0"/>
    </xf>
    <xf numFmtId="188" fontId="9" fillId="0" borderId="27" xfId="18" applyNumberFormat="1" applyFont="1" applyFill="1" applyBorder="1" applyAlignment="1" applyProtection="1">
      <alignment horizontal="center" vertical="center"/>
      <protection locked="0"/>
    </xf>
    <xf numFmtId="0" fontId="9" fillId="0" borderId="27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28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29" xfId="18" applyNumberFormat="1" applyFont="1" applyFill="1" applyBorder="1" applyAlignment="1" applyProtection="1">
      <alignment horizontal="centerContinuous" vertical="center" wrapText="1"/>
    </xf>
    <xf numFmtId="49" fontId="9" fillId="0" borderId="30" xfId="18" applyNumberFormat="1" applyFont="1" applyFill="1" applyBorder="1" applyAlignment="1" applyProtection="1">
      <alignment horizontal="centerContinuous" vertical="center" wrapText="1"/>
      <protection locked="0"/>
    </xf>
    <xf numFmtId="188" fontId="9" fillId="0" borderId="30" xfId="18" applyNumberFormat="1" applyFont="1" applyFill="1" applyBorder="1" applyAlignment="1" applyProtection="1">
      <alignment horizontal="center" vertical="center"/>
      <protection locked="0"/>
    </xf>
    <xf numFmtId="0" fontId="9" fillId="0" borderId="30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31" xfId="18" applyNumberFormat="1" applyFont="1" applyFill="1" applyBorder="1" applyAlignment="1" applyProtection="1">
      <alignment horizontal="center" vertical="center" wrapText="1"/>
      <protection locked="0"/>
    </xf>
    <xf numFmtId="188" fontId="9" fillId="0" borderId="25" xfId="18" applyNumberFormat="1" applyFont="1" applyFill="1" applyBorder="1" applyAlignment="1" applyProtection="1">
      <alignment horizontal="center" vertical="center" wrapText="1"/>
      <protection locked="0"/>
    </xf>
    <xf numFmtId="0" fontId="16" fillId="0" borderId="26" xfId="18" applyNumberFormat="1" applyFont="1" applyFill="1" applyBorder="1" applyAlignment="1" applyProtection="1">
      <alignment horizontal="center" vertical="center" wrapText="1"/>
      <protection locked="0"/>
    </xf>
    <xf numFmtId="0" fontId="16" fillId="0" borderId="28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68" xfId="18" applyNumberFormat="1" applyFont="1" applyFill="1" applyBorder="1" applyAlignment="1" applyProtection="1">
      <alignment horizontal="center" vertical="center" wrapText="1"/>
    </xf>
    <xf numFmtId="0" fontId="9" fillId="0" borderId="23" xfId="18" applyNumberFormat="1" applyFont="1" applyFill="1" applyBorder="1" applyAlignment="1" applyProtection="1">
      <alignment horizontal="center" vertical="center" wrapText="1"/>
      <protection locked="0"/>
    </xf>
    <xf numFmtId="0" fontId="16" fillId="0" borderId="24" xfId="18" applyNumberFormat="1" applyFont="1" applyFill="1" applyBorder="1" applyAlignment="1" applyProtection="1">
      <alignment horizontal="center" vertical="center" wrapText="1"/>
      <protection locked="0"/>
    </xf>
    <xf numFmtId="189" fontId="9" fillId="0" borderId="25" xfId="18" applyNumberFormat="1" applyFont="1" applyFill="1" applyBorder="1" applyAlignment="1" applyProtection="1">
      <alignment horizontal="center" vertical="center"/>
      <protection locked="0"/>
    </xf>
    <xf numFmtId="0" fontId="9" fillId="0" borderId="30" xfId="18" applyNumberFormat="1" applyFont="1" applyFill="1" applyBorder="1" applyAlignment="1" applyProtection="1">
      <alignment horizontal="center" vertical="center" wrapText="1"/>
    </xf>
    <xf numFmtId="0" fontId="9" fillId="0" borderId="31" xfId="18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/>
    <xf numFmtId="0" fontId="9" fillId="0" borderId="20" xfId="18" applyNumberFormat="1" applyFont="1" applyFill="1" applyBorder="1" applyAlignment="1" applyProtection="1">
      <alignment horizontal="center" vertical="center" wrapText="1"/>
    </xf>
    <xf numFmtId="49" fontId="9" fillId="0" borderId="21" xfId="18" applyNumberFormat="1" applyFont="1" applyFill="1" applyBorder="1" applyAlignment="1" applyProtection="1">
      <alignment horizontal="center" vertical="center" wrapText="1"/>
      <protection locked="0"/>
    </xf>
    <xf numFmtId="187" fontId="9" fillId="0" borderId="21" xfId="18" applyNumberFormat="1" applyFont="1" applyFill="1" applyBorder="1" applyAlignment="1" applyProtection="1">
      <alignment horizontal="right" vertical="center"/>
      <protection locked="0"/>
    </xf>
    <xf numFmtId="188" fontId="9" fillId="0" borderId="21" xfId="18" applyNumberFormat="1" applyFont="1" applyFill="1" applyBorder="1" applyAlignment="1" applyProtection="1">
      <alignment horizontal="right" vertical="center"/>
      <protection locked="0"/>
    </xf>
    <xf numFmtId="0" fontId="9" fillId="0" borderId="21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74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29" xfId="18" applyNumberFormat="1" applyFont="1" applyFill="1" applyBorder="1" applyAlignment="1" applyProtection="1">
      <alignment horizontal="center" vertical="center" wrapText="1"/>
    </xf>
    <xf numFmtId="49" fontId="9" fillId="0" borderId="30" xfId="18" applyNumberFormat="1" applyFont="1" applyFill="1" applyBorder="1" applyAlignment="1" applyProtection="1">
      <alignment horizontal="center" vertical="center" wrapText="1"/>
      <protection locked="0"/>
    </xf>
    <xf numFmtId="187" fontId="9" fillId="0" borderId="30" xfId="18" applyNumberFormat="1" applyFont="1" applyFill="1" applyBorder="1" applyAlignment="1" applyProtection="1">
      <alignment horizontal="right" vertical="center"/>
      <protection locked="0"/>
    </xf>
    <xf numFmtId="188" fontId="9" fillId="0" borderId="30" xfId="18" applyNumberFormat="1" applyFont="1" applyFill="1" applyBorder="1" applyAlignment="1" applyProtection="1">
      <alignment horizontal="right" vertical="center"/>
      <protection locked="0"/>
    </xf>
    <xf numFmtId="0" fontId="9" fillId="0" borderId="30" xfId="18" applyNumberFormat="1" applyFont="1" applyFill="1" applyBorder="1" applyAlignment="1" applyProtection="1">
      <alignment horizontal="centerContinuous" vertical="center" wrapText="1"/>
    </xf>
    <xf numFmtId="187" fontId="9" fillId="0" borderId="30" xfId="18" applyNumberFormat="1" applyFont="1" applyFill="1" applyBorder="1" applyAlignment="1" applyProtection="1">
      <alignment horizontal="right" vertical="center"/>
    </xf>
    <xf numFmtId="188" fontId="9" fillId="0" borderId="30" xfId="18" applyNumberFormat="1" applyFont="1" applyFill="1" applyBorder="1" applyAlignment="1" applyProtection="1">
      <alignment horizontal="right" vertical="center"/>
    </xf>
    <xf numFmtId="187" fontId="9" fillId="0" borderId="32" xfId="18" applyNumberFormat="1" applyFont="1" applyFill="1" applyBorder="1" applyAlignment="1" applyProtection="1">
      <alignment horizontal="right" vertical="center"/>
      <protection locked="0"/>
    </xf>
    <xf numFmtId="187" fontId="9" fillId="0" borderId="25" xfId="18" applyNumberFormat="1" applyFont="1" applyFill="1" applyBorder="1" applyAlignment="1" applyProtection="1">
      <alignment horizontal="right" vertical="center"/>
      <protection locked="0"/>
    </xf>
    <xf numFmtId="0" fontId="9" fillId="0" borderId="25" xfId="18" applyNumberFormat="1" applyFont="1" applyFill="1" applyBorder="1" applyAlignment="1" applyProtection="1">
      <alignment horizontal="center" vertical="center" wrapText="1"/>
    </xf>
    <xf numFmtId="0" fontId="9" fillId="0" borderId="26" xfId="18" applyNumberFormat="1" applyFont="1" applyFill="1" applyBorder="1" applyAlignment="1" applyProtection="1">
      <alignment horizontal="center" vertical="center" wrapText="1"/>
    </xf>
    <xf numFmtId="0" fontId="9" fillId="0" borderId="0" xfId="18" applyNumberFormat="1" applyFont="1" applyFill="1" applyBorder="1" applyAlignment="1" applyProtection="1">
      <alignment horizontal="center" vertical="center" wrapText="1"/>
    </xf>
    <xf numFmtId="0" fontId="11" fillId="0" borderId="29" xfId="18" applyNumberFormat="1" applyFont="1" applyFill="1" applyBorder="1" applyAlignment="1" applyProtection="1">
      <alignment horizontal="centerContinuous" vertical="center" wrapText="1"/>
    </xf>
    <xf numFmtId="0" fontId="9" fillId="0" borderId="88" xfId="18" applyNumberFormat="1" applyFont="1" applyFill="1" applyBorder="1" applyAlignment="1" applyProtection="1">
      <alignment horizontal="centerContinuous" vertical="center" wrapText="1"/>
    </xf>
    <xf numFmtId="0" fontId="9" fillId="0" borderId="31" xfId="18" applyNumberFormat="1" applyFont="1" applyFill="1" applyBorder="1" applyAlignment="1" applyProtection="1">
      <alignment horizontal="centerContinuous" vertical="center" wrapText="1"/>
    </xf>
    <xf numFmtId="49" fontId="9" fillId="0" borderId="0" xfId="18" applyNumberFormat="1" applyFont="1" applyFill="1"/>
    <xf numFmtId="187" fontId="9" fillId="0" borderId="0" xfId="18" applyNumberFormat="1" applyFont="1" applyFill="1"/>
    <xf numFmtId="188" fontId="9" fillId="0" borderId="0" xfId="18" applyNumberFormat="1" applyFont="1" applyFill="1" applyAlignment="1">
      <alignment horizontal="right" vertical="center"/>
    </xf>
    <xf numFmtId="0" fontId="9" fillId="0" borderId="0" xfId="18" applyFont="1" applyFill="1" applyAlignment="1">
      <alignment horizontal="center"/>
    </xf>
    <xf numFmtId="0" fontId="9" fillId="0" borderId="0" xfId="18" applyFont="1" applyFill="1" applyBorder="1"/>
    <xf numFmtId="41" fontId="9" fillId="0" borderId="0" xfId="15" applyFont="1" applyFill="1" applyBorder="1"/>
    <xf numFmtId="41" fontId="9" fillId="0" borderId="0" xfId="15" applyFont="1" applyFill="1"/>
    <xf numFmtId="0" fontId="13" fillId="0" borderId="0" xfId="18" applyFont="1" applyFill="1" applyBorder="1" applyAlignment="1" applyProtection="1">
      <alignment horizontal="centerContinuous"/>
    </xf>
    <xf numFmtId="49" fontId="9" fillId="0" borderId="0" xfId="18" applyNumberFormat="1" applyFont="1" applyFill="1" applyBorder="1" applyAlignment="1" applyProtection="1">
      <alignment horizontal="centerContinuous"/>
    </xf>
    <xf numFmtId="187" fontId="9" fillId="0" borderId="0" xfId="18" applyNumberFormat="1" applyFont="1" applyFill="1" applyBorder="1" applyAlignment="1" applyProtection="1">
      <alignment horizontal="centerContinuous"/>
    </xf>
    <xf numFmtId="188" fontId="9" fillId="0" borderId="0" xfId="18" applyNumberFormat="1" applyFont="1" applyFill="1" applyBorder="1" applyAlignment="1" applyProtection="1">
      <alignment horizontal="centerContinuous" vertical="center"/>
    </xf>
    <xf numFmtId="188" fontId="15" fillId="0" borderId="30" xfId="18" applyNumberFormat="1" applyFont="1" applyFill="1" applyBorder="1" applyAlignment="1" applyProtection="1">
      <alignment horizontal="center" vertical="center"/>
      <protection locked="0"/>
    </xf>
    <xf numFmtId="0" fontId="7" fillId="0" borderId="86" xfId="18" applyFont="1" applyFill="1" applyBorder="1" applyAlignment="1" applyProtection="1">
      <alignment horizontal="center" vertical="center" wrapText="1"/>
    </xf>
    <xf numFmtId="41" fontId="9" fillId="2" borderId="0" xfId="15" applyFont="1" applyFill="1" applyBorder="1" applyAlignment="1" applyProtection="1">
      <alignment horizontal="center" vertical="center"/>
    </xf>
    <xf numFmtId="178" fontId="9" fillId="2" borderId="0" xfId="18" applyNumberFormat="1" applyFont="1" applyFill="1" applyBorder="1" applyAlignment="1" applyProtection="1">
      <alignment horizontal="center" vertical="center" wrapText="1"/>
    </xf>
    <xf numFmtId="0" fontId="9" fillId="2" borderId="0" xfId="18" applyFont="1" applyFill="1" applyBorder="1" applyAlignment="1" applyProtection="1">
      <alignment horizontal="center" vertical="center" wrapText="1"/>
    </xf>
    <xf numFmtId="0" fontId="9" fillId="2" borderId="0" xfId="18" applyFont="1" applyFill="1"/>
    <xf numFmtId="41" fontId="9" fillId="3" borderId="0" xfId="15" applyFont="1" applyFill="1" applyBorder="1" applyAlignment="1" applyProtection="1">
      <alignment horizontal="center" vertical="center"/>
    </xf>
    <xf numFmtId="178" fontId="9" fillId="3" borderId="0" xfId="18" applyNumberFormat="1" applyFont="1" applyFill="1" applyBorder="1" applyAlignment="1" applyProtection="1">
      <alignment horizontal="center" vertical="center" wrapText="1"/>
    </xf>
    <xf numFmtId="0" fontId="9" fillId="3" borderId="0" xfId="18" applyFont="1" applyFill="1" applyBorder="1" applyAlignment="1" applyProtection="1">
      <alignment horizontal="center" vertical="center" wrapText="1"/>
    </xf>
    <xf numFmtId="0" fontId="9" fillId="3" borderId="0" xfId="18" applyFont="1" applyFill="1"/>
    <xf numFmtId="0" fontId="9" fillId="0" borderId="0" xfId="20" applyFont="1" applyAlignment="1">
      <alignment vertical="center"/>
    </xf>
    <xf numFmtId="187" fontId="9" fillId="0" borderId="23" xfId="18" applyNumberFormat="1" applyFont="1" applyFill="1" applyBorder="1" applyAlignment="1" applyProtection="1">
      <alignment horizontal="right" vertical="center"/>
      <protection locked="0"/>
    </xf>
    <xf numFmtId="188" fontId="9" fillId="0" borderId="23" xfId="18" applyNumberFormat="1" applyFont="1" applyFill="1" applyBorder="1" applyAlignment="1" applyProtection="1">
      <alignment horizontal="right" vertical="center"/>
      <protection locked="0"/>
    </xf>
    <xf numFmtId="0" fontId="9" fillId="0" borderId="24" xfId="18" applyNumberFormat="1" applyFont="1" applyFill="1" applyBorder="1" applyAlignment="1" applyProtection="1">
      <alignment horizontal="center" vertical="center" wrapText="1"/>
      <protection locked="0"/>
    </xf>
    <xf numFmtId="0" fontId="7" fillId="0" borderId="89" xfId="18" applyFont="1" applyFill="1" applyBorder="1" applyAlignment="1" applyProtection="1">
      <alignment horizontal="centerContinuous" vertical="center"/>
    </xf>
    <xf numFmtId="0" fontId="7" fillId="0" borderId="89" xfId="18" applyFont="1" applyFill="1" applyBorder="1" applyAlignment="1" applyProtection="1">
      <alignment horizontal="center" vertical="center"/>
    </xf>
    <xf numFmtId="0" fontId="7" fillId="0" borderId="89" xfId="18" applyFont="1" applyFill="1" applyBorder="1" applyAlignment="1" applyProtection="1">
      <alignment horizontal="center" vertical="center" wrapText="1"/>
    </xf>
    <xf numFmtId="0" fontId="9" fillId="0" borderId="89" xfId="18" applyFont="1" applyFill="1" applyBorder="1" applyAlignment="1" applyProtection="1">
      <alignment horizontal="center" vertical="center" wrapText="1"/>
    </xf>
    <xf numFmtId="49" fontId="9" fillId="0" borderId="89" xfId="18" applyNumberFormat="1" applyFont="1" applyFill="1" applyBorder="1" applyAlignment="1" applyProtection="1">
      <alignment horizontal="center" vertical="center" wrapText="1"/>
      <protection locked="0"/>
    </xf>
    <xf numFmtId="188" fontId="9" fillId="0" borderId="89" xfId="18" applyNumberFormat="1" applyFont="1" applyFill="1" applyBorder="1" applyAlignment="1" applyProtection="1">
      <alignment horizontal="center" vertical="center"/>
      <protection locked="0"/>
    </xf>
    <xf numFmtId="0" fontId="9" fillId="0" borderId="89" xfId="18" applyNumberFormat="1" applyFont="1" applyFill="1" applyBorder="1" applyAlignment="1" applyProtection="1">
      <alignment horizontal="center" vertical="center" wrapText="1"/>
      <protection locked="0"/>
    </xf>
    <xf numFmtId="0" fontId="16" fillId="0" borderId="89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89" xfId="18" applyNumberFormat="1" applyFont="1" applyFill="1" applyBorder="1" applyAlignment="1" applyProtection="1">
      <alignment horizontal="center" vertical="center" wrapText="1"/>
    </xf>
    <xf numFmtId="187" fontId="9" fillId="0" borderId="89" xfId="18" applyNumberFormat="1" applyFont="1" applyFill="1" applyBorder="1" applyAlignment="1" applyProtection="1">
      <alignment horizontal="right" vertical="center"/>
      <protection locked="0"/>
    </xf>
    <xf numFmtId="188" fontId="9" fillId="0" borderId="89" xfId="18" applyNumberFormat="1" applyFont="1" applyFill="1" applyBorder="1" applyAlignment="1" applyProtection="1">
      <alignment horizontal="right" vertical="center"/>
      <protection locked="0"/>
    </xf>
    <xf numFmtId="188" fontId="9" fillId="0" borderId="89" xfId="18" applyNumberFormat="1" applyFont="1" applyFill="1" applyBorder="1" applyAlignment="1" applyProtection="1">
      <alignment horizontal="center" vertical="center" wrapText="1"/>
      <protection locked="0"/>
    </xf>
    <xf numFmtId="0" fontId="15" fillId="0" borderId="89" xfId="18" applyNumberFormat="1" applyFont="1" applyFill="1" applyBorder="1" applyAlignment="1" applyProtection="1">
      <alignment horizontal="center" vertical="center" wrapText="1"/>
      <protection locked="0"/>
    </xf>
    <xf numFmtId="189" fontId="9" fillId="0" borderId="89" xfId="18" applyNumberFormat="1" applyFont="1" applyFill="1" applyBorder="1" applyAlignment="1" applyProtection="1">
      <alignment horizontal="center" vertical="center"/>
      <protection locked="0"/>
    </xf>
    <xf numFmtId="0" fontId="7" fillId="0" borderId="89" xfId="18" applyFont="1" applyFill="1" applyBorder="1" applyAlignment="1" applyProtection="1">
      <alignment horizontal="center" vertical="center"/>
    </xf>
    <xf numFmtId="0" fontId="9" fillId="0" borderId="90" xfId="18" applyNumberFormat="1" applyFont="1" applyFill="1" applyBorder="1" applyAlignment="1" applyProtection="1">
      <alignment horizontal="center" vertical="center" wrapText="1"/>
    </xf>
    <xf numFmtId="0" fontId="9" fillId="0" borderId="91" xfId="18" applyNumberFormat="1" applyFont="1" applyFill="1" applyBorder="1" applyAlignment="1" applyProtection="1">
      <alignment horizontal="center" vertical="center" wrapText="1"/>
    </xf>
    <xf numFmtId="0" fontId="17" fillId="0" borderId="89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81" xfId="19" applyFont="1" applyFill="1" applyBorder="1" applyAlignment="1">
      <alignment horizontal="center" vertical="center"/>
    </xf>
    <xf numFmtId="0" fontId="9" fillId="0" borderId="70" xfId="19" applyFont="1" applyFill="1" applyBorder="1" applyAlignment="1">
      <alignment horizontal="center" vertical="center"/>
    </xf>
    <xf numFmtId="0" fontId="9" fillId="0" borderId="75" xfId="19" applyFont="1" applyFill="1" applyBorder="1" applyAlignment="1">
      <alignment horizontal="center" vertical="center"/>
    </xf>
    <xf numFmtId="0" fontId="9" fillId="0" borderId="0" xfId="19" applyFont="1" applyFill="1" applyBorder="1" applyAlignment="1">
      <alignment horizontal="center" vertical="center"/>
    </xf>
    <xf numFmtId="0" fontId="9" fillId="0" borderId="82" xfId="19" applyFont="1" applyFill="1" applyBorder="1" applyAlignment="1">
      <alignment horizontal="center" vertical="center"/>
    </xf>
    <xf numFmtId="0" fontId="9" fillId="0" borderId="83" xfId="19" applyFont="1" applyFill="1" applyBorder="1" applyAlignment="1">
      <alignment horizontal="center" vertical="center"/>
    </xf>
    <xf numFmtId="0" fontId="9" fillId="0" borderId="84" xfId="19" applyFont="1" applyFill="1" applyBorder="1" applyAlignment="1">
      <alignment horizontal="center" vertical="center"/>
    </xf>
    <xf numFmtId="0" fontId="10" fillId="0" borderId="77" xfId="20" applyFont="1" applyBorder="1" applyAlignment="1">
      <alignment horizontal="center" vertical="center"/>
    </xf>
    <xf numFmtId="0" fontId="10" fillId="0" borderId="78" xfId="20" applyFont="1" applyBorder="1" applyAlignment="1">
      <alignment horizontal="center" vertical="center"/>
    </xf>
    <xf numFmtId="0" fontId="7" fillId="0" borderId="7" xfId="18" applyFont="1" applyFill="1" applyBorder="1" applyAlignment="1" applyProtection="1">
      <alignment horizontal="center" vertical="center"/>
    </xf>
    <xf numFmtId="0" fontId="7" fillId="0" borderId="63" xfId="18" applyFont="1" applyFill="1" applyBorder="1" applyAlignment="1" applyProtection="1">
      <alignment horizontal="center" vertical="center"/>
    </xf>
    <xf numFmtId="41" fontId="7" fillId="0" borderId="85" xfId="15" applyFont="1" applyFill="1" applyBorder="1" applyAlignment="1" applyProtection="1">
      <alignment horizontal="center" vertical="center"/>
    </xf>
    <xf numFmtId="41" fontId="7" fillId="0" borderId="24" xfId="15" applyFont="1" applyFill="1" applyBorder="1" applyAlignment="1" applyProtection="1">
      <alignment horizontal="center" vertical="center"/>
    </xf>
    <xf numFmtId="0" fontId="7" fillId="0" borderId="86" xfId="18" applyFont="1" applyFill="1" applyBorder="1" applyAlignment="1" applyProtection="1">
      <alignment horizontal="center" vertical="center" wrapText="1"/>
    </xf>
    <xf numFmtId="0" fontId="7" fillId="0" borderId="87" xfId="18" applyFont="1" applyFill="1" applyBorder="1" applyAlignment="1" applyProtection="1">
      <alignment horizontal="center" vertical="center" wrapText="1"/>
    </xf>
    <xf numFmtId="0" fontId="7" fillId="0" borderId="41" xfId="18" applyFont="1" applyFill="1" applyBorder="1" applyAlignment="1" applyProtection="1">
      <alignment horizontal="center" vertical="center" wrapText="1"/>
    </xf>
    <xf numFmtId="0" fontId="7" fillId="0" borderId="21" xfId="18" applyFont="1" applyFill="1" applyBorder="1" applyAlignment="1" applyProtection="1">
      <alignment horizontal="center" vertical="center" wrapText="1"/>
    </xf>
    <xf numFmtId="0" fontId="7" fillId="0" borderId="85" xfId="18" applyFont="1" applyFill="1" applyBorder="1" applyAlignment="1" applyProtection="1">
      <alignment horizontal="center" vertical="center"/>
    </xf>
    <xf numFmtId="0" fontId="7" fillId="0" borderId="74" xfId="18" applyFont="1" applyFill="1" applyBorder="1" applyAlignment="1" applyProtection="1">
      <alignment horizontal="center" vertical="center"/>
    </xf>
    <xf numFmtId="0" fontId="9" fillId="0" borderId="77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78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79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89" xfId="18" applyNumberFormat="1" applyFont="1" applyFill="1" applyBorder="1" applyAlignment="1" applyProtection="1">
      <alignment horizontal="center" vertical="center" wrapText="1"/>
    </xf>
    <xf numFmtId="0" fontId="7" fillId="0" borderId="89" xfId="18" applyFont="1" applyFill="1" applyBorder="1" applyAlignment="1" applyProtection="1">
      <alignment horizontal="center" vertical="center" wrapText="1"/>
    </xf>
    <xf numFmtId="0" fontId="7" fillId="0" borderId="89" xfId="18" applyFont="1" applyFill="1" applyBorder="1" applyAlignment="1" applyProtection="1">
      <alignment horizontal="center" vertical="center"/>
    </xf>
    <xf numFmtId="0" fontId="7" fillId="0" borderId="4" xfId="18" applyFont="1" applyFill="1" applyBorder="1" applyAlignment="1" applyProtection="1">
      <alignment horizontal="center" vertical="center"/>
    </xf>
    <xf numFmtId="0" fontId="7" fillId="0" borderId="8" xfId="18" applyFont="1" applyFill="1" applyBorder="1" applyAlignment="1" applyProtection="1">
      <alignment horizontal="center" vertical="center"/>
    </xf>
    <xf numFmtId="49" fontId="7" fillId="0" borderId="41" xfId="18" applyNumberFormat="1" applyFont="1" applyFill="1" applyBorder="1" applyAlignment="1" applyProtection="1">
      <alignment horizontal="center" vertical="center" wrapText="1"/>
    </xf>
    <xf numFmtId="49" fontId="7" fillId="0" borderId="21" xfId="18" applyNumberFormat="1" applyFont="1" applyFill="1" applyBorder="1" applyAlignment="1" applyProtection="1">
      <alignment horizontal="center" vertical="center" wrapText="1"/>
    </xf>
  </cellXfs>
  <cellStyles count="21">
    <cellStyle name="Comma" xfId="1"/>
    <cellStyle name="Comma [0]_ SG&amp;A Bridge " xfId="2"/>
    <cellStyle name="Comma_ SG&amp;A Bridge " xfId="3"/>
    <cellStyle name="Currency" xfId="4"/>
    <cellStyle name="Currency [0]_ SG&amp;A Bridge " xfId="5"/>
    <cellStyle name="Currency_ SG&amp;A Bridge " xfId="6"/>
    <cellStyle name="Date" xfId="7"/>
    <cellStyle name="Fixed" xfId="8"/>
    <cellStyle name="Heading1" xfId="9"/>
    <cellStyle name="Heading2" xfId="10"/>
    <cellStyle name="Normal_ SG&amp;A Bridge " xfId="11"/>
    <cellStyle name="Percent" xfId="12"/>
    <cellStyle name="Total" xfId="13"/>
    <cellStyle name="뷭?_BOOKSHIP" xfId="14"/>
    <cellStyle name="쉼표 [0]" xfId="15" builtinId="6"/>
    <cellStyle name="콤마 [0]_1202" xfId="16"/>
    <cellStyle name="콤마_1202" xfId="17"/>
    <cellStyle name="표준" xfId="0" builtinId="0"/>
    <cellStyle name="표준_용지조서(1)" xfId="18"/>
    <cellStyle name="표준_전체집계표 (10)" xfId="19"/>
    <cellStyle name="표준_집계표" xfId="2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57"/>
  <sheetViews>
    <sheetView showGridLines="0" showZeros="0" view="pageBreakPreview" zoomScaleNormal="100" zoomScaleSheetLayoutView="100" workbookViewId="0">
      <selection activeCell="E9" sqref="E9"/>
    </sheetView>
  </sheetViews>
  <sheetFormatPr defaultRowHeight="18" customHeight="1"/>
  <cols>
    <col min="1" max="1" width="8.77734375" style="3" customWidth="1"/>
    <col min="2" max="2" width="4.77734375" style="4" customWidth="1"/>
    <col min="3" max="3" width="1.77734375" style="3" customWidth="1"/>
    <col min="4" max="4" width="7.77734375" style="177" customWidth="1"/>
    <col min="5" max="5" width="4.33203125" style="4" customWidth="1"/>
    <col min="6" max="6" width="1.77734375" style="3" customWidth="1"/>
    <col min="7" max="7" width="7.77734375" style="177" customWidth="1"/>
    <col min="8" max="8" width="4.33203125" style="4" customWidth="1"/>
    <col min="9" max="9" width="1.77734375" style="3" customWidth="1"/>
    <col min="10" max="10" width="7.77734375" style="177" customWidth="1"/>
    <col min="11" max="11" width="4.33203125" style="4" customWidth="1"/>
    <col min="12" max="12" width="1.77734375" style="3" customWidth="1"/>
    <col min="13" max="13" width="7.77734375" style="177" customWidth="1"/>
    <col min="14" max="14" width="4.33203125" style="4" customWidth="1"/>
    <col min="15" max="15" width="1.77734375" style="3" customWidth="1"/>
    <col min="16" max="16" width="7.77734375" style="177" customWidth="1"/>
    <col min="17" max="17" width="4.33203125" style="4" customWidth="1"/>
    <col min="18" max="18" width="1.77734375" style="3" customWidth="1"/>
    <col min="19" max="19" width="7.77734375" style="138" customWidth="1"/>
    <col min="20" max="20" width="4.33203125" style="4" hidden="1" customWidth="1"/>
    <col min="21" max="21" width="1.77734375" style="3" hidden="1" customWidth="1"/>
    <col min="22" max="22" width="7.77734375" style="138" hidden="1" customWidth="1"/>
    <col min="23" max="23" width="4.33203125" style="4" hidden="1" customWidth="1"/>
    <col min="24" max="24" width="1.77734375" style="3" hidden="1" customWidth="1"/>
    <col min="25" max="25" width="7.77734375" style="138" hidden="1" customWidth="1"/>
    <col min="26" max="26" width="4.33203125" style="4" hidden="1" customWidth="1"/>
    <col min="27" max="27" width="1.77734375" style="3" hidden="1" customWidth="1"/>
    <col min="28" max="28" width="7.77734375" style="138" hidden="1" customWidth="1"/>
    <col min="29" max="29" width="4.33203125" style="4" hidden="1" customWidth="1"/>
    <col min="30" max="30" width="1.77734375" style="3" hidden="1" customWidth="1"/>
    <col min="31" max="31" width="7.77734375" style="138" hidden="1" customWidth="1"/>
    <col min="32" max="32" width="4.33203125" style="4" hidden="1" customWidth="1"/>
    <col min="33" max="33" width="1.77734375" style="3" hidden="1" customWidth="1"/>
    <col min="34" max="34" width="7.77734375" style="138" hidden="1" customWidth="1"/>
    <col min="35" max="35" width="5.77734375" style="3" customWidth="1"/>
    <col min="36" max="41" width="6" style="3" customWidth="1"/>
    <col min="42" max="16384" width="8.88671875" style="3"/>
  </cols>
  <sheetData>
    <row r="1" spans="1:41" s="2" customFormat="1" ht="27.95" customHeight="1">
      <c r="A1" s="218" t="s">
        <v>988</v>
      </c>
      <c r="B1" s="219"/>
      <c r="C1" s="220"/>
      <c r="D1" s="221"/>
      <c r="E1" s="220"/>
      <c r="F1" s="220"/>
      <c r="G1" s="221"/>
      <c r="H1" s="220"/>
      <c r="I1" s="220"/>
      <c r="J1" s="221"/>
      <c r="K1" s="220"/>
      <c r="L1" s="220"/>
      <c r="M1" s="221"/>
      <c r="N1" s="220"/>
      <c r="O1" s="220"/>
      <c r="P1" s="221"/>
      <c r="Q1" s="220"/>
      <c r="R1" s="220"/>
      <c r="S1" s="222"/>
      <c r="T1" s="220"/>
      <c r="U1" s="220"/>
      <c r="V1" s="222"/>
      <c r="W1" s="220"/>
      <c r="X1" s="220"/>
      <c r="Y1" s="222"/>
      <c r="Z1" s="220"/>
      <c r="AA1" s="220"/>
      <c r="AB1" s="222"/>
      <c r="AC1" s="220"/>
      <c r="AD1" s="220"/>
      <c r="AE1" s="222"/>
      <c r="AF1" s="220"/>
      <c r="AG1" s="220"/>
      <c r="AH1" s="222"/>
      <c r="AI1" s="220"/>
      <c r="AJ1" s="1"/>
    </row>
    <row r="2" spans="1:41" ht="9.9499999999999993" customHeight="1" thickBot="1">
      <c r="A2" s="223"/>
      <c r="B2" s="224"/>
      <c r="C2" s="223"/>
      <c r="D2" s="225"/>
      <c r="E2" s="226"/>
      <c r="F2" s="223"/>
      <c r="G2" s="225"/>
      <c r="H2" s="226"/>
      <c r="I2" s="223"/>
      <c r="J2" s="225"/>
      <c r="K2" s="226"/>
      <c r="L2" s="223"/>
      <c r="M2" s="225"/>
      <c r="N2" s="226"/>
      <c r="O2" s="223"/>
      <c r="P2" s="225"/>
      <c r="Q2" s="226"/>
      <c r="R2" s="223"/>
      <c r="S2" s="227"/>
      <c r="T2" s="226"/>
      <c r="U2" s="223"/>
      <c r="V2" s="227"/>
      <c r="W2" s="226"/>
      <c r="X2" s="223"/>
      <c r="Y2" s="227"/>
      <c r="Z2" s="226"/>
      <c r="AA2" s="223"/>
      <c r="AB2" s="227"/>
      <c r="AC2" s="226"/>
      <c r="AD2" s="223"/>
      <c r="AE2" s="227"/>
      <c r="AF2" s="226"/>
      <c r="AG2" s="223"/>
      <c r="AH2" s="227"/>
      <c r="AI2" s="223"/>
      <c r="AJ2" s="5"/>
    </row>
    <row r="3" spans="1:41" s="7" customFormat="1" ht="30" customHeight="1">
      <c r="A3" s="119"/>
      <c r="B3" s="354" t="s">
        <v>8</v>
      </c>
      <c r="C3" s="355"/>
      <c r="D3" s="355"/>
      <c r="E3" s="120" t="s">
        <v>77</v>
      </c>
      <c r="F3" s="121"/>
      <c r="G3" s="182"/>
      <c r="H3" s="120"/>
      <c r="I3" s="121"/>
      <c r="J3" s="182"/>
      <c r="K3" s="120"/>
      <c r="L3" s="121"/>
      <c r="M3" s="182"/>
      <c r="N3" s="120"/>
      <c r="O3" s="121"/>
      <c r="P3" s="182"/>
      <c r="Q3" s="120"/>
      <c r="R3" s="121"/>
      <c r="S3" s="143"/>
      <c r="T3" s="120"/>
      <c r="U3" s="121"/>
      <c r="V3" s="143"/>
      <c r="W3" s="120"/>
      <c r="X3" s="121"/>
      <c r="Y3" s="143"/>
      <c r="Z3" s="120"/>
      <c r="AA3" s="121"/>
      <c r="AB3" s="143"/>
      <c r="AC3" s="120"/>
      <c r="AD3" s="121"/>
      <c r="AE3" s="143"/>
      <c r="AF3" s="120"/>
      <c r="AG3" s="121"/>
      <c r="AH3" s="143"/>
      <c r="AI3" s="358" t="s">
        <v>59</v>
      </c>
      <c r="AJ3" s="6"/>
    </row>
    <row r="4" spans="1:41" s="7" customFormat="1" ht="30" customHeight="1">
      <c r="A4" s="122"/>
      <c r="B4" s="356"/>
      <c r="C4" s="357"/>
      <c r="D4" s="357"/>
      <c r="E4" s="8" t="s">
        <v>78</v>
      </c>
      <c r="F4" s="9"/>
      <c r="G4" s="183"/>
      <c r="H4" s="8"/>
      <c r="I4" s="9"/>
      <c r="J4" s="183"/>
      <c r="K4" s="8"/>
      <c r="L4" s="9"/>
      <c r="M4" s="183"/>
      <c r="N4" s="8"/>
      <c r="O4" s="9"/>
      <c r="P4" s="183"/>
      <c r="Q4" s="8"/>
      <c r="R4" s="9"/>
      <c r="S4" s="144"/>
      <c r="T4" s="8"/>
      <c r="U4" s="9"/>
      <c r="V4" s="144"/>
      <c r="W4" s="8"/>
      <c r="X4" s="9"/>
      <c r="Y4" s="144"/>
      <c r="Z4" s="8"/>
      <c r="AA4" s="9"/>
      <c r="AB4" s="144"/>
      <c r="AC4" s="8"/>
      <c r="AD4" s="9"/>
      <c r="AE4" s="144"/>
      <c r="AF4" s="8"/>
      <c r="AG4" s="9"/>
      <c r="AH4" s="144"/>
      <c r="AI4" s="359"/>
      <c r="AJ4" s="6"/>
    </row>
    <row r="5" spans="1:41" s="7" customFormat="1" ht="30" customHeight="1">
      <c r="A5" s="123" t="s">
        <v>9</v>
      </c>
      <c r="B5" s="356"/>
      <c r="C5" s="357"/>
      <c r="D5" s="357"/>
      <c r="E5" s="8" t="s">
        <v>79</v>
      </c>
      <c r="F5" s="9"/>
      <c r="G5" s="183"/>
      <c r="H5" s="8" t="s">
        <v>80</v>
      </c>
      <c r="I5" s="9"/>
      <c r="J5" s="183"/>
      <c r="K5" s="8" t="s">
        <v>81</v>
      </c>
      <c r="L5" s="9"/>
      <c r="M5" s="183"/>
      <c r="N5" s="8" t="s">
        <v>82</v>
      </c>
      <c r="O5" s="9"/>
      <c r="P5" s="183"/>
      <c r="Q5" s="8" t="s">
        <v>83</v>
      </c>
      <c r="R5" s="9"/>
      <c r="S5" s="144"/>
      <c r="T5" s="8">
        <v>6</v>
      </c>
      <c r="U5" s="9"/>
      <c r="V5" s="144"/>
      <c r="W5" s="8">
        <v>7</v>
      </c>
      <c r="X5" s="9"/>
      <c r="Y5" s="144"/>
      <c r="Z5" s="8">
        <v>8</v>
      </c>
      <c r="AA5" s="9"/>
      <c r="AB5" s="144"/>
      <c r="AC5" s="8">
        <v>9</v>
      </c>
      <c r="AD5" s="9"/>
      <c r="AE5" s="144"/>
      <c r="AF5" s="8">
        <v>10</v>
      </c>
      <c r="AG5" s="9"/>
      <c r="AH5" s="144"/>
      <c r="AI5" s="359"/>
      <c r="AJ5" s="6"/>
    </row>
    <row r="6" spans="1:41" s="7" customFormat="1" ht="30" customHeight="1" thickBot="1">
      <c r="A6" s="124"/>
      <c r="B6" s="115" t="s">
        <v>10</v>
      </c>
      <c r="C6" s="116" t="s">
        <v>11</v>
      </c>
      <c r="D6" s="178" t="s">
        <v>12</v>
      </c>
      <c r="E6" s="115" t="s">
        <v>10</v>
      </c>
      <c r="F6" s="116" t="s">
        <v>11</v>
      </c>
      <c r="G6" s="178" t="s">
        <v>12</v>
      </c>
      <c r="H6" s="115" t="s">
        <v>10</v>
      </c>
      <c r="I6" s="116" t="s">
        <v>11</v>
      </c>
      <c r="J6" s="178" t="s">
        <v>12</v>
      </c>
      <c r="K6" s="115" t="s">
        <v>10</v>
      </c>
      <c r="L6" s="116" t="s">
        <v>11</v>
      </c>
      <c r="M6" s="178" t="s">
        <v>12</v>
      </c>
      <c r="N6" s="115" t="s">
        <v>10</v>
      </c>
      <c r="O6" s="116" t="s">
        <v>11</v>
      </c>
      <c r="P6" s="178" t="s">
        <v>12</v>
      </c>
      <c r="Q6" s="115" t="s">
        <v>10</v>
      </c>
      <c r="R6" s="116" t="s">
        <v>11</v>
      </c>
      <c r="S6" s="178" t="s">
        <v>12</v>
      </c>
      <c r="T6" s="117" t="s">
        <v>10</v>
      </c>
      <c r="U6" s="118" t="s">
        <v>11</v>
      </c>
      <c r="V6" s="145" t="s">
        <v>12</v>
      </c>
      <c r="W6" s="117" t="s">
        <v>10</v>
      </c>
      <c r="X6" s="118" t="s">
        <v>11</v>
      </c>
      <c r="Y6" s="145" t="s">
        <v>12</v>
      </c>
      <c r="Z6" s="117" t="s">
        <v>10</v>
      </c>
      <c r="AA6" s="118" t="s">
        <v>11</v>
      </c>
      <c r="AB6" s="145" t="s">
        <v>12</v>
      </c>
      <c r="AC6" s="117" t="s">
        <v>10</v>
      </c>
      <c r="AD6" s="118" t="s">
        <v>11</v>
      </c>
      <c r="AE6" s="145" t="s">
        <v>12</v>
      </c>
      <c r="AF6" s="117" t="s">
        <v>10</v>
      </c>
      <c r="AG6" s="118" t="s">
        <v>11</v>
      </c>
      <c r="AH6" s="145" t="s">
        <v>12</v>
      </c>
      <c r="AI6" s="360"/>
      <c r="AJ6" s="6"/>
    </row>
    <row r="7" spans="1:41" s="7" customFormat="1" ht="22.5" customHeight="1" thickTop="1">
      <c r="A7" s="125" t="s">
        <v>8</v>
      </c>
      <c r="B7" s="113">
        <f>SUM(B8:B32)</f>
        <v>742</v>
      </c>
      <c r="C7" s="114" t="s">
        <v>11</v>
      </c>
      <c r="D7" s="139">
        <f>SUM(D8:D32)</f>
        <v>399461.9</v>
      </c>
      <c r="E7" s="113">
        <v>95</v>
      </c>
      <c r="F7" s="114" t="s">
        <v>11</v>
      </c>
      <c r="G7" s="139">
        <f>SUM(G8:G32)</f>
        <v>29928.600000000002</v>
      </c>
      <c r="H7" s="113">
        <f>SUM(H8:H32)</f>
        <v>150</v>
      </c>
      <c r="I7" s="114" t="s">
        <v>11</v>
      </c>
      <c r="J7" s="139">
        <f>SUM(J8:J32)</f>
        <v>57542.399999999994</v>
      </c>
      <c r="K7" s="113">
        <f>SUM(K8:K32)</f>
        <v>227</v>
      </c>
      <c r="L7" s="114" t="s">
        <v>11</v>
      </c>
      <c r="M7" s="139">
        <f>SUM(M8:M32)</f>
        <v>90907.499999999985</v>
      </c>
      <c r="N7" s="113">
        <f>SUM(N8:N32)</f>
        <v>122</v>
      </c>
      <c r="O7" s="114" t="s">
        <v>11</v>
      </c>
      <c r="P7" s="139">
        <f>SUM(P8:P32)</f>
        <v>124461.39999999997</v>
      </c>
      <c r="Q7" s="113">
        <f>SUM(Q8:Q32)</f>
        <v>148</v>
      </c>
      <c r="R7" s="114" t="s">
        <v>11</v>
      </c>
      <c r="S7" s="139">
        <f>SUM(S8:S32)</f>
        <v>96622</v>
      </c>
      <c r="T7" s="113">
        <f>SUM(T8:T32)</f>
        <v>0</v>
      </c>
      <c r="U7" s="114" t="s">
        <v>11</v>
      </c>
      <c r="V7" s="139">
        <f>SUM(V8:V32)</f>
        <v>0</v>
      </c>
      <c r="W7" s="113">
        <f>SUM(W8:W32)</f>
        <v>0</v>
      </c>
      <c r="X7" s="114" t="s">
        <v>11</v>
      </c>
      <c r="Y7" s="139">
        <f>SUM(Y8:Y32)</f>
        <v>0</v>
      </c>
      <c r="Z7" s="113">
        <f>SUM(Z8:Z32)</f>
        <v>0</v>
      </c>
      <c r="AA7" s="114" t="s">
        <v>11</v>
      </c>
      <c r="AB7" s="139">
        <f>SUM(AB8:AB32)</f>
        <v>0</v>
      </c>
      <c r="AC7" s="113">
        <f>SUM(AC8:AC32)</f>
        <v>0</v>
      </c>
      <c r="AD7" s="114" t="s">
        <v>11</v>
      </c>
      <c r="AE7" s="139">
        <f>SUM(AE8:AE32)</f>
        <v>0</v>
      </c>
      <c r="AF7" s="113">
        <f>SUM(AF8:AF32)</f>
        <v>0</v>
      </c>
      <c r="AG7" s="114" t="s">
        <v>11</v>
      </c>
      <c r="AH7" s="139">
        <f>SUM(AH8:AH32)</f>
        <v>0</v>
      </c>
      <c r="AI7" s="126"/>
      <c r="AJ7" s="6"/>
      <c r="AK7" s="103"/>
    </row>
    <row r="8" spans="1:41" s="7" customFormat="1" ht="22.5" customHeight="1">
      <c r="A8" s="127" t="s">
        <v>13</v>
      </c>
      <c r="B8" s="111">
        <f t="shared" ref="B8:B32" si="0">SUM(E8,H8,K8,N8,Q8,T8,W8,Z8,AC8,AF8)</f>
        <v>110</v>
      </c>
      <c r="C8" s="112" t="s">
        <v>11</v>
      </c>
      <c r="D8" s="140">
        <f t="shared" ref="D8:D32" si="1">SUM(G8,J8,M8,P8,S8,V8,Y8,AB8,AE8,AH8)</f>
        <v>38247</v>
      </c>
      <c r="E8" s="111">
        <v>6</v>
      </c>
      <c r="F8" s="112" t="s">
        <v>11</v>
      </c>
      <c r="G8" s="140">
        <v>3537</v>
      </c>
      <c r="H8" s="111">
        <v>30</v>
      </c>
      <c r="I8" s="112" t="s">
        <v>11</v>
      </c>
      <c r="J8" s="140">
        <v>10337</v>
      </c>
      <c r="K8" s="111">
        <v>43</v>
      </c>
      <c r="L8" s="112" t="s">
        <v>11</v>
      </c>
      <c r="M8" s="140">
        <v>13676</v>
      </c>
      <c r="N8" s="111">
        <v>7</v>
      </c>
      <c r="O8" s="112" t="s">
        <v>11</v>
      </c>
      <c r="P8" s="140">
        <v>3505</v>
      </c>
      <c r="Q8" s="111">
        <v>24</v>
      </c>
      <c r="R8" s="112" t="s">
        <v>11</v>
      </c>
      <c r="S8" s="140">
        <v>7192</v>
      </c>
      <c r="T8" s="111">
        <f>'(변경)집계표'!B157</f>
        <v>0</v>
      </c>
      <c r="U8" s="112" t="s">
        <v>11</v>
      </c>
      <c r="V8" s="140">
        <f>'(변경)집계표'!D157</f>
        <v>0</v>
      </c>
      <c r="W8" s="111">
        <f>'(변경)집계표'!B187</f>
        <v>0</v>
      </c>
      <c r="X8" s="112" t="s">
        <v>11</v>
      </c>
      <c r="Y8" s="140">
        <f>'(변경)집계표'!D187</f>
        <v>0</v>
      </c>
      <c r="Z8" s="111">
        <f>'(변경)집계표'!B217</f>
        <v>0</v>
      </c>
      <c r="AA8" s="112" t="s">
        <v>11</v>
      </c>
      <c r="AB8" s="140">
        <f>'(변경)집계표'!D217</f>
        <v>0</v>
      </c>
      <c r="AC8" s="111">
        <f>'(변경)집계표'!B247</f>
        <v>0</v>
      </c>
      <c r="AD8" s="112" t="s">
        <v>11</v>
      </c>
      <c r="AE8" s="140">
        <f>'(변경)집계표'!D247</f>
        <v>0</v>
      </c>
      <c r="AF8" s="111">
        <f>'(변경)집계표'!B277</f>
        <v>0</v>
      </c>
      <c r="AG8" s="112" t="s">
        <v>11</v>
      </c>
      <c r="AH8" s="140">
        <f>'(변경)집계표'!D277</f>
        <v>0</v>
      </c>
      <c r="AI8" s="128"/>
      <c r="AJ8" s="6"/>
      <c r="AK8" s="104" t="s">
        <v>13</v>
      </c>
      <c r="AL8" s="104" t="s">
        <v>13</v>
      </c>
      <c r="AM8" s="104" t="s">
        <v>13</v>
      </c>
      <c r="AN8" s="104" t="s">
        <v>13</v>
      </c>
      <c r="AO8" s="104" t="s">
        <v>13</v>
      </c>
    </row>
    <row r="9" spans="1:41" s="7" customFormat="1" ht="22.5" customHeight="1">
      <c r="A9" s="127" t="s">
        <v>14</v>
      </c>
      <c r="B9" s="111">
        <f t="shared" si="0"/>
        <v>144</v>
      </c>
      <c r="C9" s="112" t="s">
        <v>11</v>
      </c>
      <c r="D9" s="140">
        <f t="shared" si="1"/>
        <v>106247.79999999999</v>
      </c>
      <c r="E9" s="111">
        <v>29</v>
      </c>
      <c r="F9" s="112" t="s">
        <v>11</v>
      </c>
      <c r="G9" s="140">
        <v>13294.900000000001</v>
      </c>
      <c r="H9" s="111">
        <v>17</v>
      </c>
      <c r="I9" s="112" t="s">
        <v>11</v>
      </c>
      <c r="J9" s="140">
        <v>16153.899999999998</v>
      </c>
      <c r="K9" s="111">
        <v>32</v>
      </c>
      <c r="L9" s="112" t="s">
        <v>11</v>
      </c>
      <c r="M9" s="140">
        <v>18410.399999999998</v>
      </c>
      <c r="N9" s="111">
        <v>44</v>
      </c>
      <c r="O9" s="112" t="s">
        <v>11</v>
      </c>
      <c r="P9" s="140">
        <v>46694.599999999984</v>
      </c>
      <c r="Q9" s="111">
        <v>22</v>
      </c>
      <c r="R9" s="112" t="s">
        <v>11</v>
      </c>
      <c r="S9" s="140">
        <v>11694</v>
      </c>
      <c r="T9" s="111">
        <f>'(변경)집계표'!B158</f>
        <v>0</v>
      </c>
      <c r="U9" s="112" t="s">
        <v>11</v>
      </c>
      <c r="V9" s="140">
        <f>'(변경)집계표'!D158</f>
        <v>0</v>
      </c>
      <c r="W9" s="111">
        <f>'(변경)집계표'!B188</f>
        <v>0</v>
      </c>
      <c r="X9" s="112" t="s">
        <v>11</v>
      </c>
      <c r="Y9" s="140">
        <f>'(변경)집계표'!D188</f>
        <v>0</v>
      </c>
      <c r="Z9" s="111">
        <f>'(변경)집계표'!B218</f>
        <v>0</v>
      </c>
      <c r="AA9" s="112" t="s">
        <v>11</v>
      </c>
      <c r="AB9" s="140">
        <f>'(변경)집계표'!D218</f>
        <v>0</v>
      </c>
      <c r="AC9" s="111">
        <f>'(변경)집계표'!B248</f>
        <v>0</v>
      </c>
      <c r="AD9" s="112" t="s">
        <v>11</v>
      </c>
      <c r="AE9" s="140">
        <f>'(변경)집계표'!D248</f>
        <v>0</v>
      </c>
      <c r="AF9" s="111">
        <f>'(변경)집계표'!B278</f>
        <v>0</v>
      </c>
      <c r="AG9" s="112" t="s">
        <v>11</v>
      </c>
      <c r="AH9" s="140">
        <f>'(변경)집계표'!D278</f>
        <v>0</v>
      </c>
      <c r="AI9" s="128"/>
      <c r="AJ9" s="6"/>
      <c r="AK9" s="104" t="s">
        <v>14</v>
      </c>
      <c r="AL9" s="104" t="s">
        <v>14</v>
      </c>
      <c r="AM9" s="104" t="s">
        <v>14</v>
      </c>
      <c r="AN9" s="104" t="s">
        <v>14</v>
      </c>
      <c r="AO9" s="104" t="s">
        <v>14</v>
      </c>
    </row>
    <row r="10" spans="1:41" s="7" customFormat="1" ht="22.5" customHeight="1">
      <c r="A10" s="127" t="s">
        <v>15</v>
      </c>
      <c r="B10" s="111">
        <f t="shared" si="0"/>
        <v>150</v>
      </c>
      <c r="C10" s="112" t="s">
        <v>11</v>
      </c>
      <c r="D10" s="140">
        <f t="shared" si="1"/>
        <v>158030</v>
      </c>
      <c r="E10" s="111">
        <v>4</v>
      </c>
      <c r="F10" s="112" t="s">
        <v>11</v>
      </c>
      <c r="G10" s="140">
        <v>2642</v>
      </c>
      <c r="H10" s="111">
        <v>17</v>
      </c>
      <c r="I10" s="112" t="s">
        <v>11</v>
      </c>
      <c r="J10" s="140">
        <v>13367</v>
      </c>
      <c r="K10" s="111">
        <v>46</v>
      </c>
      <c r="L10" s="112" t="s">
        <v>11</v>
      </c>
      <c r="M10" s="140">
        <v>30473</v>
      </c>
      <c r="N10" s="111">
        <v>41</v>
      </c>
      <c r="O10" s="112" t="s">
        <v>11</v>
      </c>
      <c r="P10" s="140">
        <v>49066</v>
      </c>
      <c r="Q10" s="111">
        <v>42</v>
      </c>
      <c r="R10" s="112" t="s">
        <v>11</v>
      </c>
      <c r="S10" s="140">
        <v>62482</v>
      </c>
      <c r="T10" s="111">
        <f>'(변경)집계표'!B159</f>
        <v>0</v>
      </c>
      <c r="U10" s="112" t="s">
        <v>11</v>
      </c>
      <c r="V10" s="140">
        <f>'(변경)집계표'!D159</f>
        <v>0</v>
      </c>
      <c r="W10" s="111">
        <f>'(변경)집계표'!B189</f>
        <v>0</v>
      </c>
      <c r="X10" s="112" t="s">
        <v>11</v>
      </c>
      <c r="Y10" s="140">
        <f>'(변경)집계표'!D189</f>
        <v>0</v>
      </c>
      <c r="Z10" s="111">
        <f>'(변경)집계표'!B219</f>
        <v>0</v>
      </c>
      <c r="AA10" s="112" t="s">
        <v>11</v>
      </c>
      <c r="AB10" s="140">
        <f>'(변경)집계표'!D219</f>
        <v>0</v>
      </c>
      <c r="AC10" s="111">
        <f>'(변경)집계표'!B249</f>
        <v>0</v>
      </c>
      <c r="AD10" s="112" t="s">
        <v>11</v>
      </c>
      <c r="AE10" s="140">
        <f>'(변경)집계표'!D249</f>
        <v>0</v>
      </c>
      <c r="AF10" s="111">
        <f>'(변경)집계표'!B279</f>
        <v>0</v>
      </c>
      <c r="AG10" s="112" t="s">
        <v>11</v>
      </c>
      <c r="AH10" s="140">
        <f>'(변경)집계표'!D279</f>
        <v>0</v>
      </c>
      <c r="AI10" s="128"/>
      <c r="AJ10" s="6"/>
      <c r="AK10" s="104" t="s">
        <v>15</v>
      </c>
      <c r="AL10" s="104" t="s">
        <v>15</v>
      </c>
      <c r="AM10" s="104" t="s">
        <v>15</v>
      </c>
      <c r="AN10" s="104" t="s">
        <v>15</v>
      </c>
      <c r="AO10" s="104" t="s">
        <v>15</v>
      </c>
    </row>
    <row r="11" spans="1:41" s="7" customFormat="1" ht="22.5" customHeight="1">
      <c r="A11" s="127" t="s">
        <v>16</v>
      </c>
      <c r="B11" s="111">
        <f t="shared" si="0"/>
        <v>27</v>
      </c>
      <c r="C11" s="112" t="s">
        <v>11</v>
      </c>
      <c r="D11" s="140">
        <f t="shared" si="1"/>
        <v>3178</v>
      </c>
      <c r="E11" s="111">
        <v>2</v>
      </c>
      <c r="F11" s="112" t="s">
        <v>11</v>
      </c>
      <c r="G11" s="140">
        <v>267</v>
      </c>
      <c r="H11" s="111">
        <v>8</v>
      </c>
      <c r="I11" s="112" t="s">
        <v>11</v>
      </c>
      <c r="J11" s="140">
        <v>664</v>
      </c>
      <c r="K11" s="111">
        <v>9</v>
      </c>
      <c r="L11" s="112" t="s">
        <v>11</v>
      </c>
      <c r="M11" s="140">
        <v>1449</v>
      </c>
      <c r="N11" s="111">
        <v>0</v>
      </c>
      <c r="O11" s="112" t="s">
        <v>11</v>
      </c>
      <c r="P11" s="140">
        <v>0</v>
      </c>
      <c r="Q11" s="111">
        <v>8</v>
      </c>
      <c r="R11" s="112" t="s">
        <v>11</v>
      </c>
      <c r="S11" s="140">
        <v>798</v>
      </c>
      <c r="T11" s="111">
        <f>'(변경)집계표'!B160</f>
        <v>0</v>
      </c>
      <c r="U11" s="112" t="s">
        <v>11</v>
      </c>
      <c r="V11" s="140">
        <f>'(변경)집계표'!D160</f>
        <v>0</v>
      </c>
      <c r="W11" s="111">
        <f>'(변경)집계표'!B190</f>
        <v>0</v>
      </c>
      <c r="X11" s="112" t="s">
        <v>11</v>
      </c>
      <c r="Y11" s="140">
        <f>'(변경)집계표'!D190</f>
        <v>0</v>
      </c>
      <c r="Z11" s="111">
        <f>'(변경)집계표'!B220</f>
        <v>0</v>
      </c>
      <c r="AA11" s="112" t="s">
        <v>11</v>
      </c>
      <c r="AB11" s="140">
        <f>'(변경)집계표'!D220</f>
        <v>0</v>
      </c>
      <c r="AC11" s="111">
        <f>'(변경)집계표'!B250</f>
        <v>0</v>
      </c>
      <c r="AD11" s="112" t="s">
        <v>11</v>
      </c>
      <c r="AE11" s="140">
        <f>'(변경)집계표'!D250</f>
        <v>0</v>
      </c>
      <c r="AF11" s="111">
        <f>'(변경)집계표'!B280</f>
        <v>0</v>
      </c>
      <c r="AG11" s="112" t="s">
        <v>11</v>
      </c>
      <c r="AH11" s="140">
        <f>'(변경)집계표'!D280</f>
        <v>0</v>
      </c>
      <c r="AI11" s="128"/>
      <c r="AJ11" s="6"/>
      <c r="AK11" s="104" t="s">
        <v>16</v>
      </c>
      <c r="AL11" s="104" t="s">
        <v>16</v>
      </c>
      <c r="AM11" s="104" t="s">
        <v>16</v>
      </c>
      <c r="AN11" s="104" t="s">
        <v>16</v>
      </c>
      <c r="AO11" s="104" t="s">
        <v>16</v>
      </c>
    </row>
    <row r="12" spans="1:41" s="7" customFormat="1" ht="22.5" customHeight="1">
      <c r="A12" s="127" t="s">
        <v>17</v>
      </c>
      <c r="B12" s="111">
        <f t="shared" si="0"/>
        <v>239</v>
      </c>
      <c r="C12" s="112" t="s">
        <v>11</v>
      </c>
      <c r="D12" s="140">
        <f t="shared" si="1"/>
        <v>70666.700000000012</v>
      </c>
      <c r="E12" s="111">
        <v>43</v>
      </c>
      <c r="F12" s="112" t="s">
        <v>11</v>
      </c>
      <c r="G12" s="140">
        <v>7211.2</v>
      </c>
      <c r="H12" s="111">
        <v>58</v>
      </c>
      <c r="I12" s="112" t="s">
        <v>11</v>
      </c>
      <c r="J12" s="140">
        <v>12290.7</v>
      </c>
      <c r="K12" s="111">
        <v>80</v>
      </c>
      <c r="L12" s="112" t="s">
        <v>11</v>
      </c>
      <c r="M12" s="140">
        <v>21920.9</v>
      </c>
      <c r="N12" s="111">
        <v>20</v>
      </c>
      <c r="O12" s="112" t="s">
        <v>11</v>
      </c>
      <c r="P12" s="140">
        <v>21816.9</v>
      </c>
      <c r="Q12" s="111">
        <v>38</v>
      </c>
      <c r="R12" s="112" t="s">
        <v>11</v>
      </c>
      <c r="S12" s="140">
        <v>7427</v>
      </c>
      <c r="T12" s="111">
        <f>'(변경)집계표'!B161</f>
        <v>0</v>
      </c>
      <c r="U12" s="112" t="s">
        <v>11</v>
      </c>
      <c r="V12" s="140">
        <f>'(변경)집계표'!D161</f>
        <v>0</v>
      </c>
      <c r="W12" s="111">
        <f>'(변경)집계표'!B191</f>
        <v>0</v>
      </c>
      <c r="X12" s="112" t="s">
        <v>11</v>
      </c>
      <c r="Y12" s="140">
        <f>'(변경)집계표'!D191</f>
        <v>0</v>
      </c>
      <c r="Z12" s="111">
        <f>'(변경)집계표'!B221</f>
        <v>0</v>
      </c>
      <c r="AA12" s="112" t="s">
        <v>11</v>
      </c>
      <c r="AB12" s="140">
        <f>'(변경)집계표'!D221</f>
        <v>0</v>
      </c>
      <c r="AC12" s="111">
        <f>'(변경)집계표'!B251</f>
        <v>0</v>
      </c>
      <c r="AD12" s="112" t="s">
        <v>11</v>
      </c>
      <c r="AE12" s="140">
        <f>'(변경)집계표'!D251</f>
        <v>0</v>
      </c>
      <c r="AF12" s="111">
        <f>'(변경)집계표'!B281</f>
        <v>0</v>
      </c>
      <c r="AG12" s="112" t="s">
        <v>11</v>
      </c>
      <c r="AH12" s="140">
        <f>'(변경)집계표'!D281</f>
        <v>0</v>
      </c>
      <c r="AI12" s="128"/>
      <c r="AJ12" s="6"/>
      <c r="AK12" s="104" t="s">
        <v>17</v>
      </c>
      <c r="AL12" s="104" t="s">
        <v>17</v>
      </c>
      <c r="AM12" s="104" t="s">
        <v>17</v>
      </c>
      <c r="AN12" s="104" t="s">
        <v>17</v>
      </c>
      <c r="AO12" s="104" t="s">
        <v>17</v>
      </c>
    </row>
    <row r="13" spans="1:41" s="7" customFormat="1" ht="22.5" customHeight="1">
      <c r="A13" s="127" t="s">
        <v>18</v>
      </c>
      <c r="B13" s="111">
        <f t="shared" si="0"/>
        <v>39</v>
      </c>
      <c r="C13" s="112" t="s">
        <v>11</v>
      </c>
      <c r="D13" s="140">
        <f t="shared" si="1"/>
        <v>10916.5</v>
      </c>
      <c r="E13" s="111">
        <v>7</v>
      </c>
      <c r="F13" s="112" t="s">
        <v>11</v>
      </c>
      <c r="G13" s="140">
        <v>1182.5</v>
      </c>
      <c r="H13" s="111">
        <v>13</v>
      </c>
      <c r="I13" s="112" t="s">
        <v>11</v>
      </c>
      <c r="J13" s="140">
        <v>2402.7999999999997</v>
      </c>
      <c r="K13" s="111">
        <v>12</v>
      </c>
      <c r="L13" s="112" t="s">
        <v>11</v>
      </c>
      <c r="M13" s="140">
        <v>4652.2</v>
      </c>
      <c r="N13" s="111">
        <v>7</v>
      </c>
      <c r="O13" s="112" t="s">
        <v>11</v>
      </c>
      <c r="P13" s="140">
        <v>2679</v>
      </c>
      <c r="Q13" s="111">
        <v>0</v>
      </c>
      <c r="R13" s="112" t="s">
        <v>11</v>
      </c>
      <c r="S13" s="140">
        <v>0</v>
      </c>
      <c r="T13" s="111">
        <f>'(변경)집계표'!B162</f>
        <v>0</v>
      </c>
      <c r="U13" s="112" t="s">
        <v>11</v>
      </c>
      <c r="V13" s="140">
        <f>'(변경)집계표'!D162</f>
        <v>0</v>
      </c>
      <c r="W13" s="111">
        <f>'(변경)집계표'!B192</f>
        <v>0</v>
      </c>
      <c r="X13" s="112" t="s">
        <v>11</v>
      </c>
      <c r="Y13" s="140">
        <f>'(변경)집계표'!D192</f>
        <v>0</v>
      </c>
      <c r="Z13" s="111">
        <f>'(변경)집계표'!B222</f>
        <v>0</v>
      </c>
      <c r="AA13" s="112" t="s">
        <v>11</v>
      </c>
      <c r="AB13" s="140">
        <f>'(변경)집계표'!D222</f>
        <v>0</v>
      </c>
      <c r="AC13" s="111">
        <f>'(변경)집계표'!B252</f>
        <v>0</v>
      </c>
      <c r="AD13" s="112" t="s">
        <v>11</v>
      </c>
      <c r="AE13" s="140">
        <f>'(변경)집계표'!D252</f>
        <v>0</v>
      </c>
      <c r="AF13" s="111">
        <f>'(변경)집계표'!B282</f>
        <v>0</v>
      </c>
      <c r="AG13" s="112" t="s">
        <v>11</v>
      </c>
      <c r="AH13" s="140">
        <f>'(변경)집계표'!D282</f>
        <v>0</v>
      </c>
      <c r="AI13" s="128"/>
      <c r="AJ13" s="6"/>
      <c r="AK13" s="104" t="s">
        <v>18</v>
      </c>
      <c r="AL13" s="104" t="s">
        <v>18</v>
      </c>
      <c r="AM13" s="104" t="s">
        <v>18</v>
      </c>
      <c r="AN13" s="104" t="s">
        <v>18</v>
      </c>
      <c r="AO13" s="104" t="s">
        <v>18</v>
      </c>
    </row>
    <row r="14" spans="1:41" s="7" customFormat="1" ht="22.5" customHeight="1">
      <c r="A14" s="127" t="s">
        <v>19</v>
      </c>
      <c r="B14" s="111">
        <f t="shared" si="0"/>
        <v>1</v>
      </c>
      <c r="C14" s="112" t="s">
        <v>11</v>
      </c>
      <c r="D14" s="140">
        <f t="shared" si="1"/>
        <v>597.9</v>
      </c>
      <c r="E14" s="111">
        <v>0</v>
      </c>
      <c r="F14" s="112" t="s">
        <v>11</v>
      </c>
      <c r="G14" s="140">
        <v>0</v>
      </c>
      <c r="H14" s="111">
        <v>0</v>
      </c>
      <c r="I14" s="112" t="s">
        <v>11</v>
      </c>
      <c r="J14" s="140">
        <v>0</v>
      </c>
      <c r="K14" s="111">
        <v>0</v>
      </c>
      <c r="L14" s="112" t="s">
        <v>11</v>
      </c>
      <c r="M14" s="140">
        <v>0</v>
      </c>
      <c r="N14" s="111">
        <v>1</v>
      </c>
      <c r="O14" s="112" t="s">
        <v>11</v>
      </c>
      <c r="P14" s="140">
        <v>597.9</v>
      </c>
      <c r="Q14" s="111">
        <v>0</v>
      </c>
      <c r="R14" s="112" t="s">
        <v>11</v>
      </c>
      <c r="S14" s="140">
        <v>0</v>
      </c>
      <c r="T14" s="111">
        <f>'(변경)집계표'!B163</f>
        <v>0</v>
      </c>
      <c r="U14" s="112" t="s">
        <v>11</v>
      </c>
      <c r="V14" s="140">
        <f>'(변경)집계표'!D163</f>
        <v>0</v>
      </c>
      <c r="W14" s="111">
        <f>'(변경)집계표'!B193</f>
        <v>0</v>
      </c>
      <c r="X14" s="112" t="s">
        <v>11</v>
      </c>
      <c r="Y14" s="140">
        <f>'(변경)집계표'!D193</f>
        <v>0</v>
      </c>
      <c r="Z14" s="111">
        <f>'(변경)집계표'!B223</f>
        <v>0</v>
      </c>
      <c r="AA14" s="112" t="s">
        <v>11</v>
      </c>
      <c r="AB14" s="140">
        <f>'(변경)집계표'!D223</f>
        <v>0</v>
      </c>
      <c r="AC14" s="111">
        <f>'(변경)집계표'!B253</f>
        <v>0</v>
      </c>
      <c r="AD14" s="112" t="s">
        <v>11</v>
      </c>
      <c r="AE14" s="140">
        <f>'(변경)집계표'!D253</f>
        <v>0</v>
      </c>
      <c r="AF14" s="111">
        <f>'(변경)집계표'!B283</f>
        <v>0</v>
      </c>
      <c r="AG14" s="112" t="s">
        <v>11</v>
      </c>
      <c r="AH14" s="140">
        <f>'(변경)집계표'!D283</f>
        <v>0</v>
      </c>
      <c r="AI14" s="128"/>
      <c r="AJ14" s="6"/>
      <c r="AK14" s="104" t="s">
        <v>19</v>
      </c>
      <c r="AL14" s="104" t="s">
        <v>19</v>
      </c>
      <c r="AM14" s="104" t="s">
        <v>19</v>
      </c>
      <c r="AN14" s="104" t="s">
        <v>19</v>
      </c>
      <c r="AO14" s="104" t="s">
        <v>19</v>
      </c>
    </row>
    <row r="15" spans="1:41" s="7" customFormat="1" ht="22.5" customHeight="1">
      <c r="A15" s="127" t="s">
        <v>20</v>
      </c>
      <c r="B15" s="111">
        <f t="shared" si="0"/>
        <v>6</v>
      </c>
      <c r="C15" s="112" t="s">
        <v>11</v>
      </c>
      <c r="D15" s="140">
        <f t="shared" si="1"/>
        <v>2046</v>
      </c>
      <c r="E15" s="111">
        <v>4</v>
      </c>
      <c r="F15" s="112" t="s">
        <v>11</v>
      </c>
      <c r="G15" s="140">
        <v>1794</v>
      </c>
      <c r="H15" s="111">
        <v>0</v>
      </c>
      <c r="I15" s="112" t="s">
        <v>11</v>
      </c>
      <c r="J15" s="140">
        <v>0</v>
      </c>
      <c r="K15" s="111">
        <v>2</v>
      </c>
      <c r="L15" s="112" t="s">
        <v>11</v>
      </c>
      <c r="M15" s="140">
        <v>252</v>
      </c>
      <c r="N15" s="111">
        <v>0</v>
      </c>
      <c r="O15" s="112" t="s">
        <v>11</v>
      </c>
      <c r="P15" s="140">
        <v>0</v>
      </c>
      <c r="Q15" s="111">
        <v>0</v>
      </c>
      <c r="R15" s="112" t="s">
        <v>11</v>
      </c>
      <c r="S15" s="140">
        <v>0</v>
      </c>
      <c r="T15" s="111">
        <f>'(변경)집계표'!B164</f>
        <v>0</v>
      </c>
      <c r="U15" s="112" t="s">
        <v>11</v>
      </c>
      <c r="V15" s="140">
        <f>'(변경)집계표'!D164</f>
        <v>0</v>
      </c>
      <c r="W15" s="111">
        <f>'(변경)집계표'!B194</f>
        <v>0</v>
      </c>
      <c r="X15" s="112" t="s">
        <v>11</v>
      </c>
      <c r="Y15" s="140">
        <f>'(변경)집계표'!D194</f>
        <v>0</v>
      </c>
      <c r="Z15" s="111">
        <f>'(변경)집계표'!B224</f>
        <v>0</v>
      </c>
      <c r="AA15" s="112" t="s">
        <v>11</v>
      </c>
      <c r="AB15" s="140">
        <f>'(변경)집계표'!D224</f>
        <v>0</v>
      </c>
      <c r="AC15" s="111">
        <f>'(변경)집계표'!B254</f>
        <v>0</v>
      </c>
      <c r="AD15" s="112" t="s">
        <v>11</v>
      </c>
      <c r="AE15" s="140">
        <f>'(변경)집계표'!D254</f>
        <v>0</v>
      </c>
      <c r="AF15" s="111">
        <f>'(변경)집계표'!B284</f>
        <v>0</v>
      </c>
      <c r="AG15" s="112" t="s">
        <v>11</v>
      </c>
      <c r="AH15" s="140">
        <f>'(변경)집계표'!D284</f>
        <v>0</v>
      </c>
      <c r="AI15" s="128"/>
      <c r="AJ15" s="6"/>
      <c r="AK15" s="104" t="s">
        <v>20</v>
      </c>
      <c r="AL15" s="104" t="s">
        <v>20</v>
      </c>
      <c r="AM15" s="104" t="s">
        <v>20</v>
      </c>
      <c r="AN15" s="104" t="s">
        <v>20</v>
      </c>
      <c r="AO15" s="104" t="s">
        <v>20</v>
      </c>
    </row>
    <row r="16" spans="1:41" s="7" customFormat="1" ht="22.5" customHeight="1">
      <c r="A16" s="127" t="s">
        <v>21</v>
      </c>
      <c r="B16" s="111">
        <f t="shared" si="0"/>
        <v>3</v>
      </c>
      <c r="C16" s="112" t="s">
        <v>11</v>
      </c>
      <c r="D16" s="140">
        <f t="shared" si="1"/>
        <v>604</v>
      </c>
      <c r="E16" s="111"/>
      <c r="F16" s="112" t="s">
        <v>11</v>
      </c>
      <c r="G16" s="140"/>
      <c r="H16" s="111">
        <v>0</v>
      </c>
      <c r="I16" s="112" t="s">
        <v>11</v>
      </c>
      <c r="J16" s="140">
        <v>0</v>
      </c>
      <c r="K16" s="111">
        <v>2</v>
      </c>
      <c r="L16" s="112" t="s">
        <v>11</v>
      </c>
      <c r="M16" s="140">
        <v>58</v>
      </c>
      <c r="N16" s="111">
        <v>0</v>
      </c>
      <c r="O16" s="112" t="s">
        <v>11</v>
      </c>
      <c r="P16" s="140">
        <v>0</v>
      </c>
      <c r="Q16" s="111">
        <v>1</v>
      </c>
      <c r="R16" s="112" t="s">
        <v>11</v>
      </c>
      <c r="S16" s="140">
        <v>546</v>
      </c>
      <c r="T16" s="111">
        <f>'(변경)집계표'!B165</f>
        <v>0</v>
      </c>
      <c r="U16" s="112" t="s">
        <v>11</v>
      </c>
      <c r="V16" s="140">
        <f>'(변경)집계표'!D165</f>
        <v>0</v>
      </c>
      <c r="W16" s="111">
        <f>'(변경)집계표'!B195</f>
        <v>0</v>
      </c>
      <c r="X16" s="112" t="s">
        <v>11</v>
      </c>
      <c r="Y16" s="140">
        <f>'(변경)집계표'!D195</f>
        <v>0</v>
      </c>
      <c r="Z16" s="111">
        <f>'(변경)집계표'!B225</f>
        <v>0</v>
      </c>
      <c r="AA16" s="112" t="s">
        <v>11</v>
      </c>
      <c r="AB16" s="140">
        <f>'(변경)집계표'!D225</f>
        <v>0</v>
      </c>
      <c r="AC16" s="111">
        <f>'(변경)집계표'!B255</f>
        <v>0</v>
      </c>
      <c r="AD16" s="112" t="s">
        <v>11</v>
      </c>
      <c r="AE16" s="140">
        <f>'(변경)집계표'!D255</f>
        <v>0</v>
      </c>
      <c r="AF16" s="111">
        <f>'(변경)집계표'!B285</f>
        <v>0</v>
      </c>
      <c r="AG16" s="112" t="s">
        <v>11</v>
      </c>
      <c r="AH16" s="140">
        <f>'(변경)집계표'!D285</f>
        <v>0</v>
      </c>
      <c r="AI16" s="128"/>
      <c r="AJ16" s="6"/>
      <c r="AK16" s="104" t="s">
        <v>21</v>
      </c>
      <c r="AL16" s="104" t="s">
        <v>21</v>
      </c>
      <c r="AM16" s="104" t="s">
        <v>21</v>
      </c>
      <c r="AN16" s="104" t="s">
        <v>21</v>
      </c>
      <c r="AO16" s="104" t="s">
        <v>21</v>
      </c>
    </row>
    <row r="17" spans="1:41" s="7" customFormat="1" ht="22.5" customHeight="1">
      <c r="A17" s="127" t="s">
        <v>22</v>
      </c>
      <c r="B17" s="111">
        <f t="shared" si="0"/>
        <v>0</v>
      </c>
      <c r="C17" s="112" t="s">
        <v>11</v>
      </c>
      <c r="D17" s="140">
        <f t="shared" si="1"/>
        <v>0</v>
      </c>
      <c r="E17" s="111"/>
      <c r="F17" s="112" t="s">
        <v>11</v>
      </c>
      <c r="G17" s="140"/>
      <c r="H17" s="111">
        <v>0</v>
      </c>
      <c r="I17" s="112" t="s">
        <v>11</v>
      </c>
      <c r="J17" s="140">
        <v>0</v>
      </c>
      <c r="K17" s="111">
        <v>0</v>
      </c>
      <c r="L17" s="112" t="s">
        <v>11</v>
      </c>
      <c r="M17" s="140">
        <v>0</v>
      </c>
      <c r="N17" s="111">
        <v>0</v>
      </c>
      <c r="O17" s="112" t="s">
        <v>11</v>
      </c>
      <c r="P17" s="140">
        <v>0</v>
      </c>
      <c r="Q17" s="111">
        <v>0</v>
      </c>
      <c r="R17" s="112" t="s">
        <v>11</v>
      </c>
      <c r="S17" s="140">
        <v>0</v>
      </c>
      <c r="T17" s="111">
        <f>'(변경)집계표'!B166</f>
        <v>0</v>
      </c>
      <c r="U17" s="112" t="s">
        <v>11</v>
      </c>
      <c r="V17" s="140">
        <f>'(변경)집계표'!D166</f>
        <v>0</v>
      </c>
      <c r="W17" s="111">
        <f>'(변경)집계표'!B196</f>
        <v>0</v>
      </c>
      <c r="X17" s="112" t="s">
        <v>11</v>
      </c>
      <c r="Y17" s="140">
        <f>'(변경)집계표'!D196</f>
        <v>0</v>
      </c>
      <c r="Z17" s="111">
        <f>'(변경)집계표'!B226</f>
        <v>0</v>
      </c>
      <c r="AA17" s="112" t="s">
        <v>11</v>
      </c>
      <c r="AB17" s="140">
        <f>'(변경)집계표'!D226</f>
        <v>0</v>
      </c>
      <c r="AC17" s="111">
        <f>'(변경)집계표'!B256</f>
        <v>0</v>
      </c>
      <c r="AD17" s="112" t="s">
        <v>11</v>
      </c>
      <c r="AE17" s="140">
        <f>'(변경)집계표'!D256</f>
        <v>0</v>
      </c>
      <c r="AF17" s="111">
        <f>'(변경)집계표'!B286</f>
        <v>0</v>
      </c>
      <c r="AG17" s="112" t="s">
        <v>11</v>
      </c>
      <c r="AH17" s="140">
        <f>'(변경)집계표'!D286</f>
        <v>0</v>
      </c>
      <c r="AI17" s="128"/>
      <c r="AJ17" s="6"/>
      <c r="AK17" s="104" t="s">
        <v>22</v>
      </c>
      <c r="AL17" s="104" t="s">
        <v>22</v>
      </c>
      <c r="AM17" s="104" t="s">
        <v>22</v>
      </c>
      <c r="AN17" s="104" t="s">
        <v>22</v>
      </c>
      <c r="AO17" s="104" t="s">
        <v>22</v>
      </c>
    </row>
    <row r="18" spans="1:41" s="7" customFormat="1" ht="22.5" customHeight="1">
      <c r="A18" s="127" t="s">
        <v>23</v>
      </c>
      <c r="B18" s="111">
        <f t="shared" si="0"/>
        <v>0</v>
      </c>
      <c r="C18" s="112" t="s">
        <v>11</v>
      </c>
      <c r="D18" s="140">
        <f t="shared" si="1"/>
        <v>0</v>
      </c>
      <c r="E18" s="111"/>
      <c r="F18" s="112" t="s">
        <v>11</v>
      </c>
      <c r="G18" s="140"/>
      <c r="H18" s="111">
        <v>0</v>
      </c>
      <c r="I18" s="112" t="s">
        <v>11</v>
      </c>
      <c r="J18" s="140">
        <v>0</v>
      </c>
      <c r="K18" s="111">
        <v>0</v>
      </c>
      <c r="L18" s="112" t="s">
        <v>11</v>
      </c>
      <c r="M18" s="140">
        <v>0</v>
      </c>
      <c r="N18" s="111">
        <v>0</v>
      </c>
      <c r="O18" s="112" t="s">
        <v>11</v>
      </c>
      <c r="P18" s="140">
        <v>0</v>
      </c>
      <c r="Q18" s="111">
        <v>0</v>
      </c>
      <c r="R18" s="112" t="s">
        <v>11</v>
      </c>
      <c r="S18" s="140">
        <v>0</v>
      </c>
      <c r="T18" s="111">
        <f>'(변경)집계표'!B167</f>
        <v>0</v>
      </c>
      <c r="U18" s="112" t="s">
        <v>11</v>
      </c>
      <c r="V18" s="140">
        <f>'(변경)집계표'!D167</f>
        <v>0</v>
      </c>
      <c r="W18" s="111">
        <f>'(변경)집계표'!B197</f>
        <v>0</v>
      </c>
      <c r="X18" s="112" t="s">
        <v>11</v>
      </c>
      <c r="Y18" s="140">
        <f>'(변경)집계표'!D197</f>
        <v>0</v>
      </c>
      <c r="Z18" s="111">
        <f>'(변경)집계표'!B227</f>
        <v>0</v>
      </c>
      <c r="AA18" s="112" t="s">
        <v>11</v>
      </c>
      <c r="AB18" s="140">
        <f>'(변경)집계표'!D227</f>
        <v>0</v>
      </c>
      <c r="AC18" s="111">
        <f>'(변경)집계표'!B257</f>
        <v>0</v>
      </c>
      <c r="AD18" s="112" t="s">
        <v>11</v>
      </c>
      <c r="AE18" s="140">
        <f>'(변경)집계표'!D257</f>
        <v>0</v>
      </c>
      <c r="AF18" s="111">
        <f>'(변경)집계표'!B287</f>
        <v>0</v>
      </c>
      <c r="AG18" s="112" t="s">
        <v>11</v>
      </c>
      <c r="AH18" s="140">
        <f>'(변경)집계표'!D287</f>
        <v>0</v>
      </c>
      <c r="AI18" s="128"/>
      <c r="AJ18" s="6"/>
      <c r="AK18" s="104" t="s">
        <v>23</v>
      </c>
      <c r="AL18" s="104" t="s">
        <v>23</v>
      </c>
      <c r="AM18" s="104" t="s">
        <v>23</v>
      </c>
      <c r="AN18" s="104" t="s">
        <v>23</v>
      </c>
      <c r="AO18" s="104" t="s">
        <v>23</v>
      </c>
    </row>
    <row r="19" spans="1:41" s="7" customFormat="1" ht="22.5" customHeight="1">
      <c r="A19" s="127" t="s">
        <v>24</v>
      </c>
      <c r="B19" s="111">
        <f t="shared" si="0"/>
        <v>0</v>
      </c>
      <c r="C19" s="112" t="s">
        <v>11</v>
      </c>
      <c r="D19" s="140">
        <f t="shared" si="1"/>
        <v>0</v>
      </c>
      <c r="E19" s="111"/>
      <c r="F19" s="112" t="s">
        <v>11</v>
      </c>
      <c r="G19" s="140"/>
      <c r="H19" s="111">
        <v>0</v>
      </c>
      <c r="I19" s="112" t="s">
        <v>11</v>
      </c>
      <c r="J19" s="140">
        <v>0</v>
      </c>
      <c r="K19" s="111">
        <v>0</v>
      </c>
      <c r="L19" s="112" t="s">
        <v>11</v>
      </c>
      <c r="M19" s="140">
        <v>0</v>
      </c>
      <c r="N19" s="111">
        <v>0</v>
      </c>
      <c r="O19" s="112" t="s">
        <v>11</v>
      </c>
      <c r="P19" s="140">
        <v>0</v>
      </c>
      <c r="Q19" s="111">
        <v>0</v>
      </c>
      <c r="R19" s="112" t="s">
        <v>11</v>
      </c>
      <c r="S19" s="140">
        <v>0</v>
      </c>
      <c r="T19" s="111">
        <f>'(변경)집계표'!B168</f>
        <v>0</v>
      </c>
      <c r="U19" s="112" t="s">
        <v>11</v>
      </c>
      <c r="V19" s="140">
        <f>'(변경)집계표'!D168</f>
        <v>0</v>
      </c>
      <c r="W19" s="111">
        <f>'(변경)집계표'!B198</f>
        <v>0</v>
      </c>
      <c r="X19" s="112" t="s">
        <v>11</v>
      </c>
      <c r="Y19" s="140">
        <f>'(변경)집계표'!D198</f>
        <v>0</v>
      </c>
      <c r="Z19" s="111">
        <f>'(변경)집계표'!B228</f>
        <v>0</v>
      </c>
      <c r="AA19" s="112" t="s">
        <v>11</v>
      </c>
      <c r="AB19" s="140">
        <f>'(변경)집계표'!D228</f>
        <v>0</v>
      </c>
      <c r="AC19" s="111">
        <f>'(변경)집계표'!B258</f>
        <v>0</v>
      </c>
      <c r="AD19" s="112" t="s">
        <v>11</v>
      </c>
      <c r="AE19" s="140">
        <f>'(변경)집계표'!D258</f>
        <v>0</v>
      </c>
      <c r="AF19" s="111">
        <f>'(변경)집계표'!B288</f>
        <v>0</v>
      </c>
      <c r="AG19" s="112" t="s">
        <v>11</v>
      </c>
      <c r="AH19" s="140">
        <f>'(변경)집계표'!D288</f>
        <v>0</v>
      </c>
      <c r="AI19" s="128"/>
      <c r="AJ19" s="6"/>
      <c r="AK19" s="104" t="s">
        <v>24</v>
      </c>
      <c r="AL19" s="104" t="s">
        <v>24</v>
      </c>
      <c r="AM19" s="104" t="s">
        <v>24</v>
      </c>
      <c r="AN19" s="104" t="s">
        <v>24</v>
      </c>
      <c r="AO19" s="104" t="s">
        <v>24</v>
      </c>
    </row>
    <row r="20" spans="1:41" s="7" customFormat="1" ht="22.5" customHeight="1">
      <c r="A20" s="127" t="s">
        <v>25</v>
      </c>
      <c r="B20" s="111">
        <f t="shared" si="0"/>
        <v>0</v>
      </c>
      <c r="C20" s="112" t="s">
        <v>11</v>
      </c>
      <c r="D20" s="140">
        <f t="shared" si="1"/>
        <v>0</v>
      </c>
      <c r="E20" s="111"/>
      <c r="F20" s="112" t="s">
        <v>11</v>
      </c>
      <c r="G20" s="140"/>
      <c r="H20" s="111">
        <v>0</v>
      </c>
      <c r="I20" s="112" t="s">
        <v>11</v>
      </c>
      <c r="J20" s="140">
        <v>0</v>
      </c>
      <c r="K20" s="111">
        <v>0</v>
      </c>
      <c r="L20" s="112" t="s">
        <v>11</v>
      </c>
      <c r="M20" s="140">
        <v>0</v>
      </c>
      <c r="N20" s="111">
        <v>0</v>
      </c>
      <c r="O20" s="112" t="s">
        <v>11</v>
      </c>
      <c r="P20" s="140">
        <v>0</v>
      </c>
      <c r="Q20" s="111">
        <v>0</v>
      </c>
      <c r="R20" s="112" t="s">
        <v>11</v>
      </c>
      <c r="S20" s="140">
        <v>0</v>
      </c>
      <c r="T20" s="111">
        <f>'(변경)집계표'!B169</f>
        <v>0</v>
      </c>
      <c r="U20" s="112" t="s">
        <v>11</v>
      </c>
      <c r="V20" s="140">
        <f>'(변경)집계표'!D169</f>
        <v>0</v>
      </c>
      <c r="W20" s="111">
        <f>'(변경)집계표'!B199</f>
        <v>0</v>
      </c>
      <c r="X20" s="112" t="s">
        <v>11</v>
      </c>
      <c r="Y20" s="140">
        <f>'(변경)집계표'!D199</f>
        <v>0</v>
      </c>
      <c r="Z20" s="111">
        <f>'(변경)집계표'!B229</f>
        <v>0</v>
      </c>
      <c r="AA20" s="112" t="s">
        <v>11</v>
      </c>
      <c r="AB20" s="140">
        <f>'(변경)집계표'!D229</f>
        <v>0</v>
      </c>
      <c r="AC20" s="111">
        <f>'(변경)집계표'!B259</f>
        <v>0</v>
      </c>
      <c r="AD20" s="112" t="s">
        <v>11</v>
      </c>
      <c r="AE20" s="140">
        <f>'(변경)집계표'!D259</f>
        <v>0</v>
      </c>
      <c r="AF20" s="111">
        <f>'(변경)집계표'!B289</f>
        <v>0</v>
      </c>
      <c r="AG20" s="112" t="s">
        <v>11</v>
      </c>
      <c r="AH20" s="140">
        <f>'(변경)집계표'!D289</f>
        <v>0</v>
      </c>
      <c r="AI20" s="128"/>
      <c r="AJ20" s="6"/>
      <c r="AK20" s="104" t="s">
        <v>25</v>
      </c>
      <c r="AL20" s="104" t="s">
        <v>25</v>
      </c>
      <c r="AM20" s="104" t="s">
        <v>25</v>
      </c>
      <c r="AN20" s="104" t="s">
        <v>25</v>
      </c>
      <c r="AO20" s="104" t="s">
        <v>25</v>
      </c>
    </row>
    <row r="21" spans="1:41" s="7" customFormat="1" ht="22.5" customHeight="1">
      <c r="A21" s="127" t="s">
        <v>26</v>
      </c>
      <c r="B21" s="111">
        <f t="shared" si="0"/>
        <v>0</v>
      </c>
      <c r="C21" s="112" t="s">
        <v>11</v>
      </c>
      <c r="D21" s="140">
        <f t="shared" si="1"/>
        <v>0</v>
      </c>
      <c r="E21" s="111"/>
      <c r="F21" s="112" t="s">
        <v>11</v>
      </c>
      <c r="G21" s="140"/>
      <c r="H21" s="111">
        <v>0</v>
      </c>
      <c r="I21" s="112" t="s">
        <v>11</v>
      </c>
      <c r="J21" s="140">
        <v>0</v>
      </c>
      <c r="K21" s="111">
        <v>0</v>
      </c>
      <c r="L21" s="112" t="s">
        <v>11</v>
      </c>
      <c r="M21" s="140">
        <v>0</v>
      </c>
      <c r="N21" s="111">
        <v>0</v>
      </c>
      <c r="O21" s="112" t="s">
        <v>11</v>
      </c>
      <c r="P21" s="140">
        <v>0</v>
      </c>
      <c r="Q21" s="111">
        <v>0</v>
      </c>
      <c r="R21" s="112" t="s">
        <v>11</v>
      </c>
      <c r="S21" s="140">
        <v>0</v>
      </c>
      <c r="T21" s="111">
        <f>'(변경)집계표'!B170</f>
        <v>0</v>
      </c>
      <c r="U21" s="112" t="s">
        <v>11</v>
      </c>
      <c r="V21" s="140">
        <f>'(변경)집계표'!D170</f>
        <v>0</v>
      </c>
      <c r="W21" s="111">
        <f>'(변경)집계표'!B200</f>
        <v>0</v>
      </c>
      <c r="X21" s="112" t="s">
        <v>11</v>
      </c>
      <c r="Y21" s="140">
        <f>'(변경)집계표'!D200</f>
        <v>0</v>
      </c>
      <c r="Z21" s="111">
        <f>'(변경)집계표'!B230</f>
        <v>0</v>
      </c>
      <c r="AA21" s="112" t="s">
        <v>11</v>
      </c>
      <c r="AB21" s="140">
        <f>'(변경)집계표'!D230</f>
        <v>0</v>
      </c>
      <c r="AC21" s="111">
        <f>'(변경)집계표'!B260</f>
        <v>0</v>
      </c>
      <c r="AD21" s="112" t="s">
        <v>11</v>
      </c>
      <c r="AE21" s="140">
        <f>'(변경)집계표'!D260</f>
        <v>0</v>
      </c>
      <c r="AF21" s="111">
        <f>'(변경)집계표'!B290</f>
        <v>0</v>
      </c>
      <c r="AG21" s="112" t="s">
        <v>11</v>
      </c>
      <c r="AH21" s="140">
        <f>'(변경)집계표'!D290</f>
        <v>0</v>
      </c>
      <c r="AI21" s="128"/>
      <c r="AJ21" s="6"/>
      <c r="AK21" s="104" t="s">
        <v>26</v>
      </c>
      <c r="AL21" s="104" t="s">
        <v>26</v>
      </c>
      <c r="AM21" s="104" t="s">
        <v>26</v>
      </c>
      <c r="AN21" s="104" t="s">
        <v>26</v>
      </c>
      <c r="AO21" s="104" t="s">
        <v>26</v>
      </c>
    </row>
    <row r="22" spans="1:41" s="7" customFormat="1" ht="22.5" customHeight="1">
      <c r="A22" s="127" t="s">
        <v>27</v>
      </c>
      <c r="B22" s="111">
        <f t="shared" si="0"/>
        <v>0</v>
      </c>
      <c r="C22" s="112" t="s">
        <v>11</v>
      </c>
      <c r="D22" s="140">
        <f t="shared" si="1"/>
        <v>0</v>
      </c>
      <c r="E22" s="111"/>
      <c r="F22" s="112" t="s">
        <v>11</v>
      </c>
      <c r="G22" s="140"/>
      <c r="H22" s="111">
        <v>0</v>
      </c>
      <c r="I22" s="112" t="s">
        <v>11</v>
      </c>
      <c r="J22" s="140">
        <v>0</v>
      </c>
      <c r="K22" s="111">
        <v>0</v>
      </c>
      <c r="L22" s="112" t="s">
        <v>11</v>
      </c>
      <c r="M22" s="140">
        <v>0</v>
      </c>
      <c r="N22" s="111">
        <v>0</v>
      </c>
      <c r="O22" s="112" t="s">
        <v>11</v>
      </c>
      <c r="P22" s="140">
        <v>0</v>
      </c>
      <c r="Q22" s="111">
        <v>0</v>
      </c>
      <c r="R22" s="112" t="s">
        <v>11</v>
      </c>
      <c r="S22" s="140">
        <v>0</v>
      </c>
      <c r="T22" s="111">
        <f>'(변경)집계표'!B171</f>
        <v>0</v>
      </c>
      <c r="U22" s="112" t="s">
        <v>11</v>
      </c>
      <c r="V22" s="140">
        <f>'(변경)집계표'!D171</f>
        <v>0</v>
      </c>
      <c r="W22" s="111">
        <f>'(변경)집계표'!B201</f>
        <v>0</v>
      </c>
      <c r="X22" s="112" t="s">
        <v>11</v>
      </c>
      <c r="Y22" s="140">
        <f>'(변경)집계표'!D201</f>
        <v>0</v>
      </c>
      <c r="Z22" s="111">
        <f>'(변경)집계표'!B231</f>
        <v>0</v>
      </c>
      <c r="AA22" s="112" t="s">
        <v>11</v>
      </c>
      <c r="AB22" s="140">
        <f>'(변경)집계표'!D231</f>
        <v>0</v>
      </c>
      <c r="AC22" s="111">
        <f>'(변경)집계표'!B261</f>
        <v>0</v>
      </c>
      <c r="AD22" s="112" t="s">
        <v>11</v>
      </c>
      <c r="AE22" s="140">
        <f>'(변경)집계표'!D261</f>
        <v>0</v>
      </c>
      <c r="AF22" s="111">
        <f>'(변경)집계표'!B291</f>
        <v>0</v>
      </c>
      <c r="AG22" s="112" t="s">
        <v>11</v>
      </c>
      <c r="AH22" s="140">
        <f>'(변경)집계표'!D291</f>
        <v>0</v>
      </c>
      <c r="AI22" s="128"/>
      <c r="AJ22" s="6"/>
      <c r="AK22" s="104" t="s">
        <v>27</v>
      </c>
      <c r="AL22" s="104" t="s">
        <v>27</v>
      </c>
      <c r="AM22" s="104" t="s">
        <v>27</v>
      </c>
      <c r="AN22" s="104" t="s">
        <v>27</v>
      </c>
      <c r="AO22" s="104" t="s">
        <v>27</v>
      </c>
    </row>
    <row r="23" spans="1:41" s="7" customFormat="1" ht="22.5" customHeight="1">
      <c r="A23" s="127" t="s">
        <v>28</v>
      </c>
      <c r="B23" s="111">
        <f t="shared" si="0"/>
        <v>0</v>
      </c>
      <c r="C23" s="112" t="s">
        <v>11</v>
      </c>
      <c r="D23" s="140">
        <f t="shared" si="1"/>
        <v>0</v>
      </c>
      <c r="E23" s="111"/>
      <c r="F23" s="112" t="s">
        <v>11</v>
      </c>
      <c r="G23" s="140"/>
      <c r="H23" s="111">
        <v>0</v>
      </c>
      <c r="I23" s="112" t="s">
        <v>11</v>
      </c>
      <c r="J23" s="140">
        <v>0</v>
      </c>
      <c r="K23" s="111">
        <v>0</v>
      </c>
      <c r="L23" s="112" t="s">
        <v>11</v>
      </c>
      <c r="M23" s="140">
        <v>0</v>
      </c>
      <c r="N23" s="111">
        <v>0</v>
      </c>
      <c r="O23" s="112" t="s">
        <v>11</v>
      </c>
      <c r="P23" s="140">
        <v>0</v>
      </c>
      <c r="Q23" s="111">
        <v>0</v>
      </c>
      <c r="R23" s="112" t="s">
        <v>11</v>
      </c>
      <c r="S23" s="140">
        <v>0</v>
      </c>
      <c r="T23" s="111">
        <f>'(변경)집계표'!B172</f>
        <v>0</v>
      </c>
      <c r="U23" s="112" t="s">
        <v>11</v>
      </c>
      <c r="V23" s="140">
        <f>'(변경)집계표'!D172</f>
        <v>0</v>
      </c>
      <c r="W23" s="111">
        <f>'(변경)집계표'!B202</f>
        <v>0</v>
      </c>
      <c r="X23" s="112" t="s">
        <v>11</v>
      </c>
      <c r="Y23" s="140">
        <f>'(변경)집계표'!D202</f>
        <v>0</v>
      </c>
      <c r="Z23" s="111">
        <f>'(변경)집계표'!B232</f>
        <v>0</v>
      </c>
      <c r="AA23" s="112" t="s">
        <v>11</v>
      </c>
      <c r="AB23" s="140">
        <f>'(변경)집계표'!D232</f>
        <v>0</v>
      </c>
      <c r="AC23" s="111">
        <f>'(변경)집계표'!B262</f>
        <v>0</v>
      </c>
      <c r="AD23" s="112" t="s">
        <v>11</v>
      </c>
      <c r="AE23" s="140">
        <f>'(변경)집계표'!D262</f>
        <v>0</v>
      </c>
      <c r="AF23" s="111">
        <f>'(변경)집계표'!B292</f>
        <v>0</v>
      </c>
      <c r="AG23" s="112" t="s">
        <v>11</v>
      </c>
      <c r="AH23" s="140">
        <f>'(변경)집계표'!D292</f>
        <v>0</v>
      </c>
      <c r="AI23" s="128"/>
      <c r="AJ23" s="6"/>
      <c r="AK23" s="104" t="s">
        <v>28</v>
      </c>
      <c r="AL23" s="104" t="s">
        <v>28</v>
      </c>
      <c r="AM23" s="104" t="s">
        <v>28</v>
      </c>
      <c r="AN23" s="104" t="s">
        <v>28</v>
      </c>
      <c r="AO23" s="104" t="s">
        <v>28</v>
      </c>
    </row>
    <row r="24" spans="1:41" s="7" customFormat="1" ht="22.5" customHeight="1">
      <c r="A24" s="127" t="s">
        <v>29</v>
      </c>
      <c r="B24" s="111">
        <f t="shared" si="0"/>
        <v>16</v>
      </c>
      <c r="C24" s="112" t="s">
        <v>11</v>
      </c>
      <c r="D24" s="140">
        <f t="shared" si="1"/>
        <v>6966</v>
      </c>
      <c r="E24" s="111"/>
      <c r="F24" s="112" t="s">
        <v>11</v>
      </c>
      <c r="G24" s="140"/>
      <c r="H24" s="111">
        <v>3</v>
      </c>
      <c r="I24" s="112" t="s">
        <v>11</v>
      </c>
      <c r="J24" s="140">
        <v>483</v>
      </c>
      <c r="K24" s="111">
        <v>0</v>
      </c>
      <c r="L24" s="112" t="s">
        <v>11</v>
      </c>
      <c r="M24" s="140">
        <v>0</v>
      </c>
      <c r="N24" s="111">
        <v>0</v>
      </c>
      <c r="O24" s="112" t="s">
        <v>11</v>
      </c>
      <c r="P24" s="140">
        <v>0</v>
      </c>
      <c r="Q24" s="111">
        <v>13</v>
      </c>
      <c r="R24" s="112" t="s">
        <v>11</v>
      </c>
      <c r="S24" s="140">
        <v>6483</v>
      </c>
      <c r="T24" s="111">
        <f>'(변경)집계표'!B173</f>
        <v>0</v>
      </c>
      <c r="U24" s="112" t="s">
        <v>11</v>
      </c>
      <c r="V24" s="140">
        <f>'(변경)집계표'!D173</f>
        <v>0</v>
      </c>
      <c r="W24" s="111">
        <f>'(변경)집계표'!B203</f>
        <v>0</v>
      </c>
      <c r="X24" s="112" t="s">
        <v>11</v>
      </c>
      <c r="Y24" s="140">
        <f>'(변경)집계표'!D203</f>
        <v>0</v>
      </c>
      <c r="Z24" s="111">
        <f>'(변경)집계표'!B233</f>
        <v>0</v>
      </c>
      <c r="AA24" s="112" t="s">
        <v>11</v>
      </c>
      <c r="AB24" s="140">
        <f>'(변경)집계표'!D233</f>
        <v>0</v>
      </c>
      <c r="AC24" s="111">
        <f>'(변경)집계표'!B263</f>
        <v>0</v>
      </c>
      <c r="AD24" s="112" t="s">
        <v>11</v>
      </c>
      <c r="AE24" s="140">
        <f>'(변경)집계표'!D263</f>
        <v>0</v>
      </c>
      <c r="AF24" s="111">
        <f>'(변경)집계표'!B293</f>
        <v>0</v>
      </c>
      <c r="AG24" s="112" t="s">
        <v>11</v>
      </c>
      <c r="AH24" s="140">
        <f>'(변경)집계표'!D293</f>
        <v>0</v>
      </c>
      <c r="AI24" s="128"/>
      <c r="AJ24" s="6"/>
      <c r="AK24" s="104" t="s">
        <v>29</v>
      </c>
      <c r="AL24" s="104" t="s">
        <v>29</v>
      </c>
      <c r="AM24" s="104" t="s">
        <v>29</v>
      </c>
      <c r="AN24" s="104" t="s">
        <v>29</v>
      </c>
      <c r="AO24" s="104" t="s">
        <v>29</v>
      </c>
    </row>
    <row r="25" spans="1:41" s="7" customFormat="1" ht="22.5" customHeight="1">
      <c r="A25" s="129" t="s">
        <v>30</v>
      </c>
      <c r="B25" s="111">
        <f t="shared" si="0"/>
        <v>0</v>
      </c>
      <c r="C25" s="112" t="s">
        <v>11</v>
      </c>
      <c r="D25" s="140">
        <f t="shared" si="1"/>
        <v>0</v>
      </c>
      <c r="E25" s="111"/>
      <c r="F25" s="112" t="s">
        <v>11</v>
      </c>
      <c r="G25" s="140"/>
      <c r="H25" s="111">
        <v>0</v>
      </c>
      <c r="I25" s="112" t="s">
        <v>11</v>
      </c>
      <c r="J25" s="140">
        <v>0</v>
      </c>
      <c r="K25" s="111">
        <v>0</v>
      </c>
      <c r="L25" s="112" t="s">
        <v>11</v>
      </c>
      <c r="M25" s="140">
        <v>0</v>
      </c>
      <c r="N25" s="111">
        <v>0</v>
      </c>
      <c r="O25" s="112" t="s">
        <v>11</v>
      </c>
      <c r="P25" s="140">
        <v>0</v>
      </c>
      <c r="Q25" s="111">
        <v>0</v>
      </c>
      <c r="R25" s="112" t="s">
        <v>11</v>
      </c>
      <c r="S25" s="140">
        <v>0</v>
      </c>
      <c r="T25" s="111">
        <f>'(변경)집계표'!B174</f>
        <v>0</v>
      </c>
      <c r="U25" s="112" t="s">
        <v>11</v>
      </c>
      <c r="V25" s="140">
        <f>'(변경)집계표'!D174</f>
        <v>0</v>
      </c>
      <c r="W25" s="111">
        <f>'(변경)집계표'!B204</f>
        <v>0</v>
      </c>
      <c r="X25" s="112" t="s">
        <v>11</v>
      </c>
      <c r="Y25" s="140">
        <f>'(변경)집계표'!D204</f>
        <v>0</v>
      </c>
      <c r="Z25" s="111">
        <f>'(변경)집계표'!B234</f>
        <v>0</v>
      </c>
      <c r="AA25" s="112" t="s">
        <v>11</v>
      </c>
      <c r="AB25" s="140">
        <f>'(변경)집계표'!D234</f>
        <v>0</v>
      </c>
      <c r="AC25" s="111">
        <f>'(변경)집계표'!B264</f>
        <v>0</v>
      </c>
      <c r="AD25" s="112" t="s">
        <v>11</v>
      </c>
      <c r="AE25" s="140">
        <f>'(변경)집계표'!D264</f>
        <v>0</v>
      </c>
      <c r="AF25" s="111">
        <f>'(변경)집계표'!B294</f>
        <v>0</v>
      </c>
      <c r="AG25" s="112" t="s">
        <v>11</v>
      </c>
      <c r="AH25" s="140">
        <f>'(변경)집계표'!D294</f>
        <v>0</v>
      </c>
      <c r="AI25" s="128"/>
      <c r="AK25" s="105" t="s">
        <v>30</v>
      </c>
      <c r="AL25" s="105" t="s">
        <v>30</v>
      </c>
      <c r="AM25" s="105" t="s">
        <v>30</v>
      </c>
      <c r="AN25" s="105" t="s">
        <v>30</v>
      </c>
      <c r="AO25" s="105" t="s">
        <v>30</v>
      </c>
    </row>
    <row r="26" spans="1:41" s="7" customFormat="1" ht="22.5" customHeight="1">
      <c r="A26" s="129" t="s">
        <v>31</v>
      </c>
      <c r="B26" s="111">
        <f t="shared" si="0"/>
        <v>0</v>
      </c>
      <c r="C26" s="112" t="s">
        <v>11</v>
      </c>
      <c r="D26" s="140">
        <f t="shared" si="1"/>
        <v>0</v>
      </c>
      <c r="E26" s="111"/>
      <c r="F26" s="112" t="s">
        <v>11</v>
      </c>
      <c r="G26" s="140"/>
      <c r="H26" s="111">
        <v>0</v>
      </c>
      <c r="I26" s="112" t="s">
        <v>11</v>
      </c>
      <c r="J26" s="140">
        <v>0</v>
      </c>
      <c r="K26" s="111">
        <v>0</v>
      </c>
      <c r="L26" s="112" t="s">
        <v>11</v>
      </c>
      <c r="M26" s="140">
        <v>0</v>
      </c>
      <c r="N26" s="111">
        <v>0</v>
      </c>
      <c r="O26" s="112" t="s">
        <v>11</v>
      </c>
      <c r="P26" s="140">
        <v>0</v>
      </c>
      <c r="Q26" s="111">
        <v>0</v>
      </c>
      <c r="R26" s="112" t="s">
        <v>11</v>
      </c>
      <c r="S26" s="140">
        <v>0</v>
      </c>
      <c r="T26" s="111">
        <f>'(변경)집계표'!B175</f>
        <v>0</v>
      </c>
      <c r="U26" s="112" t="s">
        <v>11</v>
      </c>
      <c r="V26" s="140">
        <f>'(변경)집계표'!D175</f>
        <v>0</v>
      </c>
      <c r="W26" s="111">
        <f>'(변경)집계표'!B205</f>
        <v>0</v>
      </c>
      <c r="X26" s="112" t="s">
        <v>11</v>
      </c>
      <c r="Y26" s="140">
        <f>'(변경)집계표'!D205</f>
        <v>0</v>
      </c>
      <c r="Z26" s="111">
        <f>'(변경)집계표'!B235</f>
        <v>0</v>
      </c>
      <c r="AA26" s="112" t="s">
        <v>11</v>
      </c>
      <c r="AB26" s="140">
        <f>'(변경)집계표'!D235</f>
        <v>0</v>
      </c>
      <c r="AC26" s="111">
        <f>'(변경)집계표'!B265</f>
        <v>0</v>
      </c>
      <c r="AD26" s="112" t="s">
        <v>11</v>
      </c>
      <c r="AE26" s="140">
        <f>'(변경)집계표'!D265</f>
        <v>0</v>
      </c>
      <c r="AF26" s="111">
        <f>'(변경)집계표'!B295</f>
        <v>0</v>
      </c>
      <c r="AG26" s="112" t="s">
        <v>11</v>
      </c>
      <c r="AH26" s="140">
        <f>'(변경)집계표'!D295</f>
        <v>0</v>
      </c>
      <c r="AI26" s="128"/>
      <c r="AK26" s="105" t="s">
        <v>31</v>
      </c>
      <c r="AL26" s="105" t="s">
        <v>31</v>
      </c>
      <c r="AM26" s="105" t="s">
        <v>1193</v>
      </c>
      <c r="AN26" s="105" t="s">
        <v>1193</v>
      </c>
      <c r="AO26" s="105" t="s">
        <v>31</v>
      </c>
    </row>
    <row r="27" spans="1:41" s="7" customFormat="1" ht="22.5" customHeight="1">
      <c r="A27" s="129" t="s">
        <v>32</v>
      </c>
      <c r="B27" s="111">
        <f t="shared" si="0"/>
        <v>0</v>
      </c>
      <c r="C27" s="112" t="s">
        <v>11</v>
      </c>
      <c r="D27" s="140">
        <f t="shared" si="1"/>
        <v>0</v>
      </c>
      <c r="E27" s="111"/>
      <c r="F27" s="112" t="s">
        <v>11</v>
      </c>
      <c r="G27" s="140"/>
      <c r="H27" s="111">
        <v>0</v>
      </c>
      <c r="I27" s="112" t="s">
        <v>11</v>
      </c>
      <c r="J27" s="140">
        <v>0</v>
      </c>
      <c r="K27" s="111">
        <v>0</v>
      </c>
      <c r="L27" s="112" t="s">
        <v>11</v>
      </c>
      <c r="M27" s="140">
        <v>0</v>
      </c>
      <c r="N27" s="111">
        <v>0</v>
      </c>
      <c r="O27" s="112" t="s">
        <v>11</v>
      </c>
      <c r="P27" s="140">
        <v>0</v>
      </c>
      <c r="Q27" s="111">
        <v>0</v>
      </c>
      <c r="R27" s="112" t="s">
        <v>11</v>
      </c>
      <c r="S27" s="140">
        <v>0</v>
      </c>
      <c r="T27" s="111">
        <f>'(변경)집계표'!B176</f>
        <v>0</v>
      </c>
      <c r="U27" s="112" t="s">
        <v>11</v>
      </c>
      <c r="V27" s="140">
        <f>'(변경)집계표'!D176</f>
        <v>0</v>
      </c>
      <c r="W27" s="111">
        <f>'(변경)집계표'!B206</f>
        <v>0</v>
      </c>
      <c r="X27" s="112" t="s">
        <v>11</v>
      </c>
      <c r="Y27" s="140">
        <f>'(변경)집계표'!D206</f>
        <v>0</v>
      </c>
      <c r="Z27" s="111">
        <f>'(변경)집계표'!B236</f>
        <v>0</v>
      </c>
      <c r="AA27" s="112" t="s">
        <v>11</v>
      </c>
      <c r="AB27" s="140">
        <f>'(변경)집계표'!D236</f>
        <v>0</v>
      </c>
      <c r="AC27" s="111">
        <f>'(변경)집계표'!B266</f>
        <v>0</v>
      </c>
      <c r="AD27" s="112" t="s">
        <v>11</v>
      </c>
      <c r="AE27" s="140">
        <f>'(변경)집계표'!D266</f>
        <v>0</v>
      </c>
      <c r="AF27" s="111">
        <f>'(변경)집계표'!B296</f>
        <v>0</v>
      </c>
      <c r="AG27" s="112" t="s">
        <v>11</v>
      </c>
      <c r="AH27" s="140">
        <f>'(변경)집계표'!D296</f>
        <v>0</v>
      </c>
      <c r="AI27" s="128"/>
      <c r="AK27" s="105" t="s">
        <v>32</v>
      </c>
      <c r="AL27" s="105" t="s">
        <v>32</v>
      </c>
      <c r="AM27" s="105" t="s">
        <v>32</v>
      </c>
      <c r="AN27" s="105" t="s">
        <v>32</v>
      </c>
      <c r="AO27" s="105" t="s">
        <v>32</v>
      </c>
    </row>
    <row r="28" spans="1:41" s="7" customFormat="1" ht="22.5" customHeight="1">
      <c r="A28" s="129" t="s">
        <v>33</v>
      </c>
      <c r="B28" s="111">
        <f t="shared" si="0"/>
        <v>0</v>
      </c>
      <c r="C28" s="112" t="s">
        <v>11</v>
      </c>
      <c r="D28" s="140">
        <f t="shared" si="1"/>
        <v>0</v>
      </c>
      <c r="E28" s="111"/>
      <c r="F28" s="112" t="s">
        <v>11</v>
      </c>
      <c r="G28" s="140"/>
      <c r="H28" s="111">
        <v>0</v>
      </c>
      <c r="I28" s="112" t="s">
        <v>11</v>
      </c>
      <c r="J28" s="140">
        <v>0</v>
      </c>
      <c r="K28" s="111">
        <v>0</v>
      </c>
      <c r="L28" s="112" t="s">
        <v>11</v>
      </c>
      <c r="M28" s="140">
        <v>0</v>
      </c>
      <c r="N28" s="111">
        <v>0</v>
      </c>
      <c r="O28" s="112" t="s">
        <v>11</v>
      </c>
      <c r="P28" s="140">
        <v>0</v>
      </c>
      <c r="Q28" s="111">
        <v>0</v>
      </c>
      <c r="R28" s="112" t="s">
        <v>11</v>
      </c>
      <c r="S28" s="140">
        <v>0</v>
      </c>
      <c r="T28" s="111">
        <f>'(변경)집계표'!B177</f>
        <v>0</v>
      </c>
      <c r="U28" s="112" t="s">
        <v>11</v>
      </c>
      <c r="V28" s="140">
        <f>'(변경)집계표'!D177</f>
        <v>0</v>
      </c>
      <c r="W28" s="111">
        <f>'(변경)집계표'!B207</f>
        <v>0</v>
      </c>
      <c r="X28" s="112" t="s">
        <v>11</v>
      </c>
      <c r="Y28" s="140">
        <f>'(변경)집계표'!D207</f>
        <v>0</v>
      </c>
      <c r="Z28" s="111">
        <f>'(변경)집계표'!B237</f>
        <v>0</v>
      </c>
      <c r="AA28" s="112" t="s">
        <v>11</v>
      </c>
      <c r="AB28" s="140">
        <f>'(변경)집계표'!D237</f>
        <v>0</v>
      </c>
      <c r="AC28" s="111">
        <f>'(변경)집계표'!B267</f>
        <v>0</v>
      </c>
      <c r="AD28" s="112" t="s">
        <v>11</v>
      </c>
      <c r="AE28" s="140">
        <f>'(변경)집계표'!D267</f>
        <v>0</v>
      </c>
      <c r="AF28" s="111">
        <f>'(변경)집계표'!B297</f>
        <v>0</v>
      </c>
      <c r="AG28" s="112" t="s">
        <v>11</v>
      </c>
      <c r="AH28" s="140">
        <f>'(변경)집계표'!D297</f>
        <v>0</v>
      </c>
      <c r="AI28" s="128"/>
      <c r="AK28" s="105" t="s">
        <v>33</v>
      </c>
      <c r="AL28" s="105" t="s">
        <v>33</v>
      </c>
      <c r="AM28" s="105" t="s">
        <v>33</v>
      </c>
      <c r="AN28" s="105" t="s">
        <v>33</v>
      </c>
      <c r="AO28" s="105" t="s">
        <v>33</v>
      </c>
    </row>
    <row r="29" spans="1:41" s="7" customFormat="1" ht="22.5" customHeight="1">
      <c r="A29" s="129" t="s">
        <v>34</v>
      </c>
      <c r="B29" s="111">
        <f t="shared" si="0"/>
        <v>0</v>
      </c>
      <c r="C29" s="112" t="s">
        <v>11</v>
      </c>
      <c r="D29" s="140">
        <f t="shared" si="1"/>
        <v>0</v>
      </c>
      <c r="E29" s="111"/>
      <c r="F29" s="112" t="s">
        <v>11</v>
      </c>
      <c r="G29" s="140"/>
      <c r="H29" s="111">
        <v>0</v>
      </c>
      <c r="I29" s="112" t="s">
        <v>11</v>
      </c>
      <c r="J29" s="140">
        <v>0</v>
      </c>
      <c r="K29" s="111">
        <v>0</v>
      </c>
      <c r="L29" s="112" t="s">
        <v>11</v>
      </c>
      <c r="M29" s="140">
        <v>0</v>
      </c>
      <c r="N29" s="111">
        <v>0</v>
      </c>
      <c r="O29" s="112" t="s">
        <v>11</v>
      </c>
      <c r="P29" s="140">
        <v>0</v>
      </c>
      <c r="Q29" s="111">
        <v>0</v>
      </c>
      <c r="R29" s="112" t="s">
        <v>11</v>
      </c>
      <c r="S29" s="140">
        <v>0</v>
      </c>
      <c r="T29" s="111">
        <f>'(변경)집계표'!B178</f>
        <v>0</v>
      </c>
      <c r="U29" s="112" t="s">
        <v>11</v>
      </c>
      <c r="V29" s="140">
        <f>'(변경)집계표'!D178</f>
        <v>0</v>
      </c>
      <c r="W29" s="111">
        <f>'(변경)집계표'!B208</f>
        <v>0</v>
      </c>
      <c r="X29" s="112" t="s">
        <v>11</v>
      </c>
      <c r="Y29" s="140">
        <f>'(변경)집계표'!D208</f>
        <v>0</v>
      </c>
      <c r="Z29" s="111">
        <f>'(변경)집계표'!B238</f>
        <v>0</v>
      </c>
      <c r="AA29" s="112" t="s">
        <v>11</v>
      </c>
      <c r="AB29" s="140">
        <f>'(변경)집계표'!D238</f>
        <v>0</v>
      </c>
      <c r="AC29" s="111">
        <f>'(변경)집계표'!B268</f>
        <v>0</v>
      </c>
      <c r="AD29" s="112" t="s">
        <v>11</v>
      </c>
      <c r="AE29" s="140">
        <f>'(변경)집계표'!D268</f>
        <v>0</v>
      </c>
      <c r="AF29" s="111">
        <f>'(변경)집계표'!B298</f>
        <v>0</v>
      </c>
      <c r="AG29" s="112" t="s">
        <v>11</v>
      </c>
      <c r="AH29" s="140">
        <f>'(변경)집계표'!D298</f>
        <v>0</v>
      </c>
      <c r="AI29" s="128"/>
      <c r="AK29" s="105" t="s">
        <v>34</v>
      </c>
      <c r="AL29" s="105" t="s">
        <v>34</v>
      </c>
      <c r="AM29" s="105" t="s">
        <v>34</v>
      </c>
      <c r="AN29" s="105" t="s">
        <v>34</v>
      </c>
      <c r="AO29" s="105" t="s">
        <v>34</v>
      </c>
    </row>
    <row r="30" spans="1:41" s="7" customFormat="1" ht="22.5" customHeight="1">
      <c r="A30" s="129" t="s">
        <v>66</v>
      </c>
      <c r="B30" s="111">
        <f t="shared" si="0"/>
        <v>0</v>
      </c>
      <c r="C30" s="112" t="s">
        <v>11</v>
      </c>
      <c r="D30" s="140">
        <f t="shared" si="1"/>
        <v>0</v>
      </c>
      <c r="E30" s="111"/>
      <c r="F30" s="112" t="s">
        <v>11</v>
      </c>
      <c r="G30" s="140"/>
      <c r="H30" s="111">
        <v>0</v>
      </c>
      <c r="I30" s="112" t="s">
        <v>11</v>
      </c>
      <c r="J30" s="140">
        <v>0</v>
      </c>
      <c r="K30" s="111">
        <v>0</v>
      </c>
      <c r="L30" s="112" t="s">
        <v>11</v>
      </c>
      <c r="M30" s="140">
        <v>0</v>
      </c>
      <c r="N30" s="111">
        <v>0</v>
      </c>
      <c r="O30" s="112" t="s">
        <v>11</v>
      </c>
      <c r="P30" s="140">
        <v>0</v>
      </c>
      <c r="Q30" s="111">
        <v>0</v>
      </c>
      <c r="R30" s="112" t="s">
        <v>11</v>
      </c>
      <c r="S30" s="140">
        <v>0</v>
      </c>
      <c r="T30" s="111">
        <f>'(변경)집계표'!B179</f>
        <v>0</v>
      </c>
      <c r="U30" s="112" t="s">
        <v>11</v>
      </c>
      <c r="V30" s="140">
        <f>'(변경)집계표'!D179</f>
        <v>0</v>
      </c>
      <c r="W30" s="111">
        <f>'(변경)집계표'!B209</f>
        <v>0</v>
      </c>
      <c r="X30" s="112" t="s">
        <v>11</v>
      </c>
      <c r="Y30" s="140">
        <f>'(변경)집계표'!D209</f>
        <v>0</v>
      </c>
      <c r="Z30" s="111">
        <f>'(변경)집계표'!B239</f>
        <v>0</v>
      </c>
      <c r="AA30" s="112" t="s">
        <v>11</v>
      </c>
      <c r="AB30" s="140">
        <f>'(변경)집계표'!D239</f>
        <v>0</v>
      </c>
      <c r="AC30" s="111">
        <f>'(변경)집계표'!B269</f>
        <v>0</v>
      </c>
      <c r="AD30" s="112" t="s">
        <v>11</v>
      </c>
      <c r="AE30" s="140">
        <f>'(변경)집계표'!D269</f>
        <v>0</v>
      </c>
      <c r="AF30" s="111">
        <f>'(변경)집계표'!B299</f>
        <v>0</v>
      </c>
      <c r="AG30" s="112" t="s">
        <v>11</v>
      </c>
      <c r="AH30" s="140">
        <f>'(변경)집계표'!D299</f>
        <v>0</v>
      </c>
      <c r="AI30" s="128"/>
      <c r="AK30" s="105" t="s">
        <v>66</v>
      </c>
      <c r="AL30" s="105" t="s">
        <v>66</v>
      </c>
      <c r="AM30" s="105" t="s">
        <v>71</v>
      </c>
      <c r="AN30" s="105" t="s">
        <v>66</v>
      </c>
      <c r="AO30" s="105" t="s">
        <v>66</v>
      </c>
    </row>
    <row r="31" spans="1:41" s="7" customFormat="1" ht="22.5" customHeight="1">
      <c r="A31" s="129" t="s">
        <v>75</v>
      </c>
      <c r="B31" s="111">
        <f t="shared" si="0"/>
        <v>2</v>
      </c>
      <c r="C31" s="112" t="s">
        <v>11</v>
      </c>
      <c r="D31" s="140">
        <f t="shared" si="1"/>
        <v>452</v>
      </c>
      <c r="E31" s="111"/>
      <c r="F31" s="112" t="s">
        <v>11</v>
      </c>
      <c r="G31" s="140"/>
      <c r="H31" s="111">
        <v>1</v>
      </c>
      <c r="I31" s="112" t="s">
        <v>11</v>
      </c>
      <c r="J31" s="140">
        <v>436</v>
      </c>
      <c r="K31" s="111">
        <v>1</v>
      </c>
      <c r="L31" s="112" t="s">
        <v>11</v>
      </c>
      <c r="M31" s="140">
        <v>16</v>
      </c>
      <c r="N31" s="111">
        <v>0</v>
      </c>
      <c r="O31" s="112" t="s">
        <v>11</v>
      </c>
      <c r="P31" s="140">
        <v>0</v>
      </c>
      <c r="Q31" s="111">
        <v>0</v>
      </c>
      <c r="R31" s="112" t="s">
        <v>11</v>
      </c>
      <c r="S31" s="140">
        <v>0</v>
      </c>
      <c r="T31" s="111">
        <f>'(변경)집계표'!B180</f>
        <v>0</v>
      </c>
      <c r="U31" s="112" t="s">
        <v>11</v>
      </c>
      <c r="V31" s="140">
        <f>'(변경)집계표'!D180</f>
        <v>0</v>
      </c>
      <c r="W31" s="111">
        <f>'(변경)집계표'!B210</f>
        <v>0</v>
      </c>
      <c r="X31" s="112" t="s">
        <v>11</v>
      </c>
      <c r="Y31" s="140">
        <f>'(변경)집계표'!D210</f>
        <v>0</v>
      </c>
      <c r="Z31" s="111">
        <f>'(변경)집계표'!B240</f>
        <v>0</v>
      </c>
      <c r="AA31" s="112" t="s">
        <v>11</v>
      </c>
      <c r="AB31" s="140">
        <f>'(변경)집계표'!D240</f>
        <v>0</v>
      </c>
      <c r="AC31" s="111">
        <f>'(변경)집계표'!B270</f>
        <v>0</v>
      </c>
      <c r="AD31" s="112" t="s">
        <v>11</v>
      </c>
      <c r="AE31" s="140">
        <f>'(변경)집계표'!D270</f>
        <v>0</v>
      </c>
      <c r="AF31" s="111">
        <f>'(변경)집계표'!B300</f>
        <v>0</v>
      </c>
      <c r="AG31" s="112" t="s">
        <v>11</v>
      </c>
      <c r="AH31" s="140">
        <f>'(변경)집계표'!D300</f>
        <v>0</v>
      </c>
      <c r="AI31" s="128"/>
      <c r="AK31" s="105" t="s">
        <v>67</v>
      </c>
      <c r="AL31" s="105" t="s">
        <v>75</v>
      </c>
      <c r="AM31" s="105" t="s">
        <v>75</v>
      </c>
      <c r="AN31" s="105" t="s">
        <v>75</v>
      </c>
      <c r="AO31" s="105" t="s">
        <v>67</v>
      </c>
    </row>
    <row r="32" spans="1:41" s="7" customFormat="1" ht="22.5" customHeight="1" thickBot="1">
      <c r="A32" s="130" t="s">
        <v>68</v>
      </c>
      <c r="B32" s="131">
        <f t="shared" si="0"/>
        <v>5</v>
      </c>
      <c r="C32" s="132" t="s">
        <v>11</v>
      </c>
      <c r="D32" s="141">
        <f t="shared" si="1"/>
        <v>1510</v>
      </c>
      <c r="E32" s="131"/>
      <c r="F32" s="132" t="s">
        <v>11</v>
      </c>
      <c r="G32" s="141"/>
      <c r="H32" s="131">
        <v>3</v>
      </c>
      <c r="I32" s="132" t="s">
        <v>11</v>
      </c>
      <c r="J32" s="141">
        <v>1408</v>
      </c>
      <c r="K32" s="131">
        <v>0</v>
      </c>
      <c r="L32" s="132" t="s">
        <v>11</v>
      </c>
      <c r="M32" s="141">
        <v>0</v>
      </c>
      <c r="N32" s="131">
        <v>2</v>
      </c>
      <c r="O32" s="132" t="s">
        <v>11</v>
      </c>
      <c r="P32" s="141">
        <v>102</v>
      </c>
      <c r="Q32" s="131">
        <v>0</v>
      </c>
      <c r="R32" s="132" t="s">
        <v>11</v>
      </c>
      <c r="S32" s="141">
        <v>0</v>
      </c>
      <c r="T32" s="131">
        <f>'(변경)집계표'!B181</f>
        <v>0</v>
      </c>
      <c r="U32" s="132" t="s">
        <v>11</v>
      </c>
      <c r="V32" s="141">
        <f>'(변경)집계표'!D181</f>
        <v>0</v>
      </c>
      <c r="W32" s="131">
        <f>'(변경)집계표'!B211</f>
        <v>0</v>
      </c>
      <c r="X32" s="132" t="s">
        <v>11</v>
      </c>
      <c r="Y32" s="141">
        <f>'(변경)집계표'!D211</f>
        <v>0</v>
      </c>
      <c r="Z32" s="131">
        <f>'(변경)집계표'!B241</f>
        <v>0</v>
      </c>
      <c r="AA32" s="132" t="s">
        <v>11</v>
      </c>
      <c r="AB32" s="141">
        <f>'(변경)집계표'!D241</f>
        <v>0</v>
      </c>
      <c r="AC32" s="131">
        <f>'(변경)집계표'!B271</f>
        <v>0</v>
      </c>
      <c r="AD32" s="132" t="s">
        <v>11</v>
      </c>
      <c r="AE32" s="141">
        <f>'(변경)집계표'!D271</f>
        <v>0</v>
      </c>
      <c r="AF32" s="131">
        <f>'(변경)집계표'!B301</f>
        <v>0</v>
      </c>
      <c r="AG32" s="132" t="s">
        <v>11</v>
      </c>
      <c r="AH32" s="141">
        <f>'(변경)집계표'!D301</f>
        <v>0</v>
      </c>
      <c r="AI32" s="133"/>
      <c r="AJ32" s="6"/>
      <c r="AK32" s="106" t="s">
        <v>68</v>
      </c>
      <c r="AL32" s="106" t="s">
        <v>68</v>
      </c>
      <c r="AM32" s="106" t="s">
        <v>68</v>
      </c>
      <c r="AN32" s="106" t="s">
        <v>68</v>
      </c>
      <c r="AO32" s="106" t="s">
        <v>68</v>
      </c>
    </row>
    <row r="33" spans="1:36" s="1" customFormat="1" ht="27.95" customHeight="1">
      <c r="A33" s="190" t="s">
        <v>60</v>
      </c>
      <c r="B33" s="191"/>
      <c r="C33" s="192"/>
      <c r="D33" s="193"/>
      <c r="E33" s="192"/>
      <c r="F33" s="192"/>
      <c r="G33" s="193"/>
      <c r="H33" s="192"/>
      <c r="I33" s="192"/>
      <c r="J33" s="193"/>
      <c r="K33" s="192"/>
      <c r="L33" s="192"/>
      <c r="M33" s="193"/>
      <c r="N33" s="192"/>
      <c r="O33" s="192"/>
      <c r="P33" s="193"/>
      <c r="Q33" s="192"/>
      <c r="R33" s="192"/>
      <c r="S33" s="194"/>
      <c r="T33" s="192"/>
      <c r="U33" s="192"/>
      <c r="V33" s="194"/>
      <c r="W33" s="192"/>
      <c r="X33" s="192"/>
      <c r="Y33" s="194"/>
      <c r="Z33" s="192"/>
      <c r="AA33" s="192"/>
      <c r="AB33" s="194"/>
      <c r="AC33" s="192"/>
      <c r="AD33" s="192"/>
      <c r="AE33" s="194"/>
      <c r="AF33" s="192"/>
      <c r="AG33" s="192"/>
      <c r="AH33" s="194"/>
      <c r="AI33" s="195"/>
    </row>
    <row r="34" spans="1:36" s="5" customFormat="1" ht="9.9499999999999993" customHeight="1" thickBot="1">
      <c r="A34" s="196"/>
      <c r="B34" s="189"/>
      <c r="D34" s="188"/>
      <c r="E34" s="189"/>
      <c r="G34" s="188"/>
      <c r="H34" s="189"/>
      <c r="J34" s="188"/>
      <c r="K34" s="189"/>
      <c r="M34" s="188"/>
      <c r="N34" s="189"/>
      <c r="P34" s="188"/>
      <c r="Q34" s="189"/>
      <c r="S34" s="146"/>
      <c r="T34" s="189"/>
      <c r="V34" s="146"/>
      <c r="W34" s="189"/>
      <c r="Y34" s="146"/>
      <c r="Z34" s="189"/>
      <c r="AB34" s="146"/>
      <c r="AC34" s="189"/>
      <c r="AE34" s="146"/>
      <c r="AF34" s="189"/>
      <c r="AH34" s="146"/>
      <c r="AI34" s="197"/>
    </row>
    <row r="35" spans="1:36" s="7" customFormat="1" ht="30" customHeight="1">
      <c r="A35" s="119"/>
      <c r="B35" s="354" t="s">
        <v>8</v>
      </c>
      <c r="C35" s="355"/>
      <c r="D35" s="355"/>
      <c r="E35" s="120" t="s">
        <v>77</v>
      </c>
      <c r="F35" s="121"/>
      <c r="G35" s="182"/>
      <c r="H35" s="120"/>
      <c r="I35" s="121"/>
      <c r="J35" s="182"/>
      <c r="K35" s="120"/>
      <c r="L35" s="121"/>
      <c r="M35" s="182"/>
      <c r="N35" s="120"/>
      <c r="O35" s="121"/>
      <c r="P35" s="182"/>
      <c r="Q35" s="120"/>
      <c r="R35" s="121"/>
      <c r="S35" s="143"/>
      <c r="T35" s="120"/>
      <c r="U35" s="121"/>
      <c r="V35" s="143"/>
      <c r="W35" s="120"/>
      <c r="X35" s="121"/>
      <c r="Y35" s="143"/>
      <c r="Z35" s="120"/>
      <c r="AA35" s="121"/>
      <c r="AB35" s="143"/>
      <c r="AC35" s="120"/>
      <c r="AD35" s="121"/>
      <c r="AE35" s="143"/>
      <c r="AF35" s="120"/>
      <c r="AG35" s="121"/>
      <c r="AH35" s="143"/>
      <c r="AI35" s="358" t="s">
        <v>59</v>
      </c>
      <c r="AJ35" s="6"/>
    </row>
    <row r="36" spans="1:36" s="7" customFormat="1" ht="30" customHeight="1">
      <c r="A36" s="122"/>
      <c r="B36" s="356"/>
      <c r="C36" s="357"/>
      <c r="D36" s="357"/>
      <c r="E36" s="8" t="s">
        <v>78</v>
      </c>
      <c r="F36" s="9"/>
      <c r="G36" s="183"/>
      <c r="H36" s="8"/>
      <c r="I36" s="9"/>
      <c r="J36" s="183"/>
      <c r="K36" s="8"/>
      <c r="L36" s="9"/>
      <c r="M36" s="183"/>
      <c r="N36" s="8"/>
      <c r="O36" s="9"/>
      <c r="P36" s="183"/>
      <c r="Q36" s="8"/>
      <c r="R36" s="9"/>
      <c r="S36" s="144"/>
      <c r="T36" s="8"/>
      <c r="U36" s="9"/>
      <c r="V36" s="144"/>
      <c r="W36" s="8"/>
      <c r="X36" s="9"/>
      <c r="Y36" s="144"/>
      <c r="Z36" s="8"/>
      <c r="AA36" s="9"/>
      <c r="AB36" s="144"/>
      <c r="AC36" s="8"/>
      <c r="AD36" s="9"/>
      <c r="AE36" s="144"/>
      <c r="AF36" s="8"/>
      <c r="AG36" s="9"/>
      <c r="AH36" s="144"/>
      <c r="AI36" s="359"/>
      <c r="AJ36" s="6"/>
    </row>
    <row r="37" spans="1:36" s="7" customFormat="1" ht="30" customHeight="1">
      <c r="A37" s="123" t="s">
        <v>9</v>
      </c>
      <c r="B37" s="356"/>
      <c r="C37" s="357"/>
      <c r="D37" s="357"/>
      <c r="E37" s="8" t="s">
        <v>79</v>
      </c>
      <c r="F37" s="9"/>
      <c r="G37" s="183"/>
      <c r="H37" s="8" t="s">
        <v>80</v>
      </c>
      <c r="I37" s="9"/>
      <c r="J37" s="183"/>
      <c r="K37" s="8" t="s">
        <v>81</v>
      </c>
      <c r="L37" s="9"/>
      <c r="M37" s="183"/>
      <c r="N37" s="8" t="s">
        <v>82</v>
      </c>
      <c r="O37" s="9"/>
      <c r="P37" s="183"/>
      <c r="Q37" s="8" t="s">
        <v>83</v>
      </c>
      <c r="R37" s="9"/>
      <c r="S37" s="144"/>
      <c r="T37" s="8">
        <v>6</v>
      </c>
      <c r="U37" s="9"/>
      <c r="V37" s="144"/>
      <c r="W37" s="8">
        <v>7</v>
      </c>
      <c r="X37" s="9"/>
      <c r="Y37" s="144"/>
      <c r="Z37" s="8">
        <v>8</v>
      </c>
      <c r="AA37" s="9"/>
      <c r="AB37" s="144"/>
      <c r="AC37" s="8">
        <v>9</v>
      </c>
      <c r="AD37" s="9"/>
      <c r="AE37" s="144"/>
      <c r="AF37" s="8">
        <v>10</v>
      </c>
      <c r="AG37" s="9"/>
      <c r="AH37" s="144"/>
      <c r="AI37" s="359"/>
      <c r="AJ37" s="6"/>
    </row>
    <row r="38" spans="1:36" s="7" customFormat="1" ht="30" customHeight="1" thickBot="1">
      <c r="A38" s="124"/>
      <c r="B38" s="115" t="s">
        <v>10</v>
      </c>
      <c r="C38" s="116" t="s">
        <v>11</v>
      </c>
      <c r="D38" s="178" t="s">
        <v>12</v>
      </c>
      <c r="E38" s="115" t="s">
        <v>10</v>
      </c>
      <c r="F38" s="116" t="s">
        <v>11</v>
      </c>
      <c r="G38" s="178" t="s">
        <v>12</v>
      </c>
      <c r="H38" s="115" t="s">
        <v>10</v>
      </c>
      <c r="I38" s="116" t="s">
        <v>11</v>
      </c>
      <c r="J38" s="178" t="s">
        <v>12</v>
      </c>
      <c r="K38" s="115" t="s">
        <v>10</v>
      </c>
      <c r="L38" s="116" t="s">
        <v>11</v>
      </c>
      <c r="M38" s="178" t="s">
        <v>12</v>
      </c>
      <c r="N38" s="115" t="s">
        <v>10</v>
      </c>
      <c r="O38" s="116" t="s">
        <v>11</v>
      </c>
      <c r="P38" s="178" t="s">
        <v>12</v>
      </c>
      <c r="Q38" s="115" t="s">
        <v>10</v>
      </c>
      <c r="R38" s="116" t="s">
        <v>11</v>
      </c>
      <c r="S38" s="178" t="s">
        <v>12</v>
      </c>
      <c r="T38" s="117" t="s">
        <v>10</v>
      </c>
      <c r="U38" s="118" t="s">
        <v>11</v>
      </c>
      <c r="V38" s="145" t="s">
        <v>12</v>
      </c>
      <c r="W38" s="117" t="s">
        <v>10</v>
      </c>
      <c r="X38" s="118" t="s">
        <v>11</v>
      </c>
      <c r="Y38" s="145" t="s">
        <v>12</v>
      </c>
      <c r="Z38" s="117" t="s">
        <v>10</v>
      </c>
      <c r="AA38" s="118" t="s">
        <v>11</v>
      </c>
      <c r="AB38" s="145" t="s">
        <v>12</v>
      </c>
      <c r="AC38" s="117" t="s">
        <v>10</v>
      </c>
      <c r="AD38" s="118" t="s">
        <v>11</v>
      </c>
      <c r="AE38" s="145" t="s">
        <v>12</v>
      </c>
      <c r="AF38" s="117" t="s">
        <v>10</v>
      </c>
      <c r="AG38" s="118" t="s">
        <v>11</v>
      </c>
      <c r="AH38" s="145" t="s">
        <v>12</v>
      </c>
      <c r="AI38" s="360"/>
      <c r="AJ38" s="6"/>
    </row>
    <row r="39" spans="1:36" s="6" customFormat="1" ht="22.5" customHeight="1" thickTop="1">
      <c r="A39" s="134" t="s">
        <v>8</v>
      </c>
      <c r="B39" s="135">
        <f>SUM(B40:B64)</f>
        <v>132</v>
      </c>
      <c r="C39" s="136" t="s">
        <v>11</v>
      </c>
      <c r="D39" s="181">
        <f>SUM(D40:D64)</f>
        <v>42494.1</v>
      </c>
      <c r="E39" s="135">
        <f>SUM(E40:E64)</f>
        <v>24</v>
      </c>
      <c r="F39" s="136" t="s">
        <v>11</v>
      </c>
      <c r="G39" s="181">
        <f>SUM(G40:G64)</f>
        <v>4574.7</v>
      </c>
      <c r="H39" s="135">
        <f>SUM(H40:H64)</f>
        <v>34</v>
      </c>
      <c r="I39" s="136" t="s">
        <v>11</v>
      </c>
      <c r="J39" s="181">
        <f>SUM(J40:J64)</f>
        <v>9205.5</v>
      </c>
      <c r="K39" s="135">
        <f>SUM(K40:K64)</f>
        <v>43</v>
      </c>
      <c r="L39" s="136" t="s">
        <v>11</v>
      </c>
      <c r="M39" s="181">
        <f>SUM(M40:M64)</f>
        <v>13662.099999999999</v>
      </c>
      <c r="N39" s="135">
        <f>SUM(N40:N64)</f>
        <v>15</v>
      </c>
      <c r="O39" s="136" t="s">
        <v>11</v>
      </c>
      <c r="P39" s="181">
        <f>SUM(P40:P64)</f>
        <v>9891.7999999999993</v>
      </c>
      <c r="Q39" s="135">
        <f>SUM(Q40:Q64)</f>
        <v>16</v>
      </c>
      <c r="R39" s="136" t="s">
        <v>11</v>
      </c>
      <c r="S39" s="142">
        <f>SUM(S40:S64)</f>
        <v>5160</v>
      </c>
      <c r="T39" s="135">
        <f>SUM(T40:T64)</f>
        <v>0</v>
      </c>
      <c r="U39" s="136" t="s">
        <v>11</v>
      </c>
      <c r="V39" s="142">
        <f>SUM(V40:V64)</f>
        <v>0</v>
      </c>
      <c r="W39" s="135">
        <f>SUM(W40:W64)</f>
        <v>0</v>
      </c>
      <c r="X39" s="136" t="s">
        <v>11</v>
      </c>
      <c r="Y39" s="142">
        <f>SUM(Y40:Y64)</f>
        <v>0</v>
      </c>
      <c r="Z39" s="135">
        <f>SUM(Z40:Z64)</f>
        <v>0</v>
      </c>
      <c r="AA39" s="136" t="s">
        <v>11</v>
      </c>
      <c r="AB39" s="142">
        <f>SUM(AB40:AB64)</f>
        <v>0</v>
      </c>
      <c r="AC39" s="135">
        <f>SUM(AC40:AC64)</f>
        <v>0</v>
      </c>
      <c r="AD39" s="136" t="s">
        <v>11</v>
      </c>
      <c r="AE39" s="142">
        <f>SUM(AE40:AE64)</f>
        <v>0</v>
      </c>
      <c r="AF39" s="135">
        <f>SUM(AF40:AF64)</f>
        <v>0</v>
      </c>
      <c r="AG39" s="136" t="s">
        <v>11</v>
      </c>
      <c r="AH39" s="142">
        <f>SUM(AH40:AH64)</f>
        <v>0</v>
      </c>
      <c r="AI39" s="137"/>
    </row>
    <row r="40" spans="1:36" s="6" customFormat="1" ht="22.5" customHeight="1">
      <c r="A40" s="127" t="s">
        <v>13</v>
      </c>
      <c r="B40" s="111">
        <f t="shared" ref="B40:B64" si="2">SUM(E40,H40,K40,N40,Q40,T40,W40,Z40,AC40,AF40)</f>
        <v>0</v>
      </c>
      <c r="C40" s="112" t="s">
        <v>11</v>
      </c>
      <c r="D40" s="179">
        <f t="shared" ref="D40:D64" si="3">SUM(G40,J40,M40,P40,S40,V40,Y40,AB40,AE40,AH40)</f>
        <v>0</v>
      </c>
      <c r="E40" s="111">
        <v>0</v>
      </c>
      <c r="F40" s="112" t="s">
        <v>11</v>
      </c>
      <c r="G40" s="179">
        <v>0</v>
      </c>
      <c r="H40" s="111">
        <v>0</v>
      </c>
      <c r="I40" s="112" t="s">
        <v>11</v>
      </c>
      <c r="J40" s="179">
        <v>0</v>
      </c>
      <c r="K40" s="111">
        <v>0</v>
      </c>
      <c r="L40" s="112" t="s">
        <v>11</v>
      </c>
      <c r="M40" s="179">
        <v>0</v>
      </c>
      <c r="N40" s="111">
        <v>0</v>
      </c>
      <c r="O40" s="112" t="s">
        <v>11</v>
      </c>
      <c r="P40" s="179">
        <v>0</v>
      </c>
      <c r="Q40" s="111">
        <v>0</v>
      </c>
      <c r="R40" s="112" t="s">
        <v>11</v>
      </c>
      <c r="S40" s="140">
        <v>0</v>
      </c>
      <c r="T40" s="111">
        <f>'(변경)집계표'!E157</f>
        <v>0</v>
      </c>
      <c r="U40" s="112" t="s">
        <v>11</v>
      </c>
      <c r="V40" s="140">
        <f>'(변경)집계표'!G157</f>
        <v>0</v>
      </c>
      <c r="W40" s="111">
        <f>'(변경)집계표'!E187</f>
        <v>0</v>
      </c>
      <c r="X40" s="112" t="s">
        <v>11</v>
      </c>
      <c r="Y40" s="140">
        <f>'(변경)집계표'!G187</f>
        <v>0</v>
      </c>
      <c r="Z40" s="111">
        <f>'(변경)집계표'!E217</f>
        <v>0</v>
      </c>
      <c r="AA40" s="112" t="s">
        <v>11</v>
      </c>
      <c r="AB40" s="140">
        <f>'(변경)집계표'!G217</f>
        <v>0</v>
      </c>
      <c r="AC40" s="111">
        <f>'(변경)집계표'!E247</f>
        <v>0</v>
      </c>
      <c r="AD40" s="112" t="s">
        <v>11</v>
      </c>
      <c r="AE40" s="140">
        <f>'(변경)집계표'!G247</f>
        <v>0</v>
      </c>
      <c r="AF40" s="111">
        <f>'(변경)집계표'!E277</f>
        <v>0</v>
      </c>
      <c r="AG40" s="112" t="s">
        <v>11</v>
      </c>
      <c r="AH40" s="140">
        <f>'(변경)집계표'!G277</f>
        <v>0</v>
      </c>
      <c r="AI40" s="128"/>
    </row>
    <row r="41" spans="1:36" s="6" customFormat="1" ht="22.5" customHeight="1">
      <c r="A41" s="127" t="s">
        <v>14</v>
      </c>
      <c r="B41" s="111">
        <f t="shared" si="2"/>
        <v>0</v>
      </c>
      <c r="C41" s="112" t="s">
        <v>11</v>
      </c>
      <c r="D41" s="179">
        <f t="shared" si="3"/>
        <v>0</v>
      </c>
      <c r="E41" s="111">
        <v>0</v>
      </c>
      <c r="F41" s="112" t="s">
        <v>11</v>
      </c>
      <c r="G41" s="179">
        <v>0</v>
      </c>
      <c r="H41" s="111">
        <v>0</v>
      </c>
      <c r="I41" s="112" t="s">
        <v>11</v>
      </c>
      <c r="J41" s="179">
        <v>0</v>
      </c>
      <c r="K41" s="111">
        <v>0</v>
      </c>
      <c r="L41" s="112" t="s">
        <v>11</v>
      </c>
      <c r="M41" s="179">
        <v>0</v>
      </c>
      <c r="N41" s="111">
        <v>0</v>
      </c>
      <c r="O41" s="112" t="s">
        <v>11</v>
      </c>
      <c r="P41" s="179">
        <v>0</v>
      </c>
      <c r="Q41" s="111">
        <v>0</v>
      </c>
      <c r="R41" s="112" t="s">
        <v>11</v>
      </c>
      <c r="S41" s="140">
        <v>0</v>
      </c>
      <c r="T41" s="111">
        <f>'(변경)집계표'!E158</f>
        <v>0</v>
      </c>
      <c r="U41" s="112" t="s">
        <v>11</v>
      </c>
      <c r="V41" s="140">
        <f>'(변경)집계표'!G158</f>
        <v>0</v>
      </c>
      <c r="W41" s="111">
        <f>'(변경)집계표'!E188</f>
        <v>0</v>
      </c>
      <c r="X41" s="112" t="s">
        <v>11</v>
      </c>
      <c r="Y41" s="140">
        <f>'(변경)집계표'!G188</f>
        <v>0</v>
      </c>
      <c r="Z41" s="111">
        <f>'(변경)집계표'!E218</f>
        <v>0</v>
      </c>
      <c r="AA41" s="112" t="s">
        <v>11</v>
      </c>
      <c r="AB41" s="140">
        <f>'(변경)집계표'!G218</f>
        <v>0</v>
      </c>
      <c r="AC41" s="111">
        <f>'(변경)집계표'!E248</f>
        <v>0</v>
      </c>
      <c r="AD41" s="112" t="s">
        <v>11</v>
      </c>
      <c r="AE41" s="140">
        <f>'(변경)집계표'!G248</f>
        <v>0</v>
      </c>
      <c r="AF41" s="111">
        <f>'(변경)집계표'!E278</f>
        <v>0</v>
      </c>
      <c r="AG41" s="112" t="s">
        <v>11</v>
      </c>
      <c r="AH41" s="140">
        <f>'(변경)집계표'!G278</f>
        <v>0</v>
      </c>
      <c r="AI41" s="128"/>
    </row>
    <row r="42" spans="1:36" s="6" customFormat="1" ht="22.5" customHeight="1">
      <c r="A42" s="127" t="s">
        <v>15</v>
      </c>
      <c r="B42" s="111">
        <f t="shared" si="2"/>
        <v>3</v>
      </c>
      <c r="C42" s="112" t="s">
        <v>11</v>
      </c>
      <c r="D42" s="179">
        <f t="shared" si="3"/>
        <v>3195</v>
      </c>
      <c r="E42" s="111">
        <v>0</v>
      </c>
      <c r="F42" s="112" t="s">
        <v>11</v>
      </c>
      <c r="G42" s="179">
        <v>0</v>
      </c>
      <c r="H42" s="111">
        <v>0</v>
      </c>
      <c r="I42" s="112" t="s">
        <v>11</v>
      </c>
      <c r="J42" s="179">
        <v>0</v>
      </c>
      <c r="K42" s="111">
        <v>0</v>
      </c>
      <c r="L42" s="112" t="s">
        <v>11</v>
      </c>
      <c r="M42" s="179">
        <v>0</v>
      </c>
      <c r="N42" s="111">
        <v>0</v>
      </c>
      <c r="O42" s="112" t="s">
        <v>11</v>
      </c>
      <c r="P42" s="179">
        <v>0</v>
      </c>
      <c r="Q42" s="111">
        <v>3</v>
      </c>
      <c r="R42" s="112" t="s">
        <v>11</v>
      </c>
      <c r="S42" s="140">
        <v>3195</v>
      </c>
      <c r="T42" s="111">
        <f>'(변경)집계표'!E159</f>
        <v>0</v>
      </c>
      <c r="U42" s="112" t="s">
        <v>11</v>
      </c>
      <c r="V42" s="140">
        <f>'(변경)집계표'!G159</f>
        <v>0</v>
      </c>
      <c r="W42" s="111">
        <f>'(변경)집계표'!E189</f>
        <v>0</v>
      </c>
      <c r="X42" s="112" t="s">
        <v>11</v>
      </c>
      <c r="Y42" s="140">
        <f>'(변경)집계표'!G189</f>
        <v>0</v>
      </c>
      <c r="Z42" s="111">
        <f>'(변경)집계표'!E219</f>
        <v>0</v>
      </c>
      <c r="AA42" s="112" t="s">
        <v>11</v>
      </c>
      <c r="AB42" s="140">
        <f>'(변경)집계표'!G219</f>
        <v>0</v>
      </c>
      <c r="AC42" s="111">
        <f>'(변경)집계표'!E249</f>
        <v>0</v>
      </c>
      <c r="AD42" s="112" t="s">
        <v>11</v>
      </c>
      <c r="AE42" s="140">
        <f>'(변경)집계표'!G249</f>
        <v>0</v>
      </c>
      <c r="AF42" s="111">
        <f>'(변경)집계표'!E279</f>
        <v>0</v>
      </c>
      <c r="AG42" s="112" t="s">
        <v>11</v>
      </c>
      <c r="AH42" s="140">
        <f>'(변경)집계표'!G279</f>
        <v>0</v>
      </c>
      <c r="AI42" s="128"/>
    </row>
    <row r="43" spans="1:36" s="6" customFormat="1" ht="22.5" customHeight="1">
      <c r="A43" s="127" t="s">
        <v>16</v>
      </c>
      <c r="B43" s="111">
        <f t="shared" si="2"/>
        <v>1</v>
      </c>
      <c r="C43" s="112" t="s">
        <v>11</v>
      </c>
      <c r="D43" s="179">
        <f t="shared" si="3"/>
        <v>95</v>
      </c>
      <c r="E43" s="111">
        <v>0</v>
      </c>
      <c r="F43" s="112" t="s">
        <v>11</v>
      </c>
      <c r="G43" s="179">
        <v>0</v>
      </c>
      <c r="H43" s="111">
        <v>1</v>
      </c>
      <c r="I43" s="112" t="s">
        <v>11</v>
      </c>
      <c r="J43" s="179">
        <v>95</v>
      </c>
      <c r="K43" s="111">
        <v>0</v>
      </c>
      <c r="L43" s="112" t="s">
        <v>11</v>
      </c>
      <c r="M43" s="179">
        <v>0</v>
      </c>
      <c r="N43" s="111">
        <v>0</v>
      </c>
      <c r="O43" s="112" t="s">
        <v>11</v>
      </c>
      <c r="P43" s="179">
        <v>0</v>
      </c>
      <c r="Q43" s="111">
        <v>0</v>
      </c>
      <c r="R43" s="112" t="s">
        <v>11</v>
      </c>
      <c r="S43" s="140">
        <v>0</v>
      </c>
      <c r="T43" s="111">
        <f>'(변경)집계표'!E160</f>
        <v>0</v>
      </c>
      <c r="U43" s="112" t="s">
        <v>11</v>
      </c>
      <c r="V43" s="140">
        <f>'(변경)집계표'!G160</f>
        <v>0</v>
      </c>
      <c r="W43" s="111">
        <f>'(변경)집계표'!E190</f>
        <v>0</v>
      </c>
      <c r="X43" s="112" t="s">
        <v>11</v>
      </c>
      <c r="Y43" s="140">
        <f>'(변경)집계표'!G190</f>
        <v>0</v>
      </c>
      <c r="Z43" s="111">
        <f>'(변경)집계표'!E220</f>
        <v>0</v>
      </c>
      <c r="AA43" s="112" t="s">
        <v>11</v>
      </c>
      <c r="AB43" s="140">
        <f>'(변경)집계표'!G220</f>
        <v>0</v>
      </c>
      <c r="AC43" s="111">
        <f>'(변경)집계표'!E250</f>
        <v>0</v>
      </c>
      <c r="AD43" s="112" t="s">
        <v>11</v>
      </c>
      <c r="AE43" s="140">
        <f>'(변경)집계표'!G250</f>
        <v>0</v>
      </c>
      <c r="AF43" s="111">
        <f>'(변경)집계표'!E280</f>
        <v>0</v>
      </c>
      <c r="AG43" s="112" t="s">
        <v>11</v>
      </c>
      <c r="AH43" s="140">
        <f>'(변경)집계표'!G280</f>
        <v>0</v>
      </c>
      <c r="AI43" s="128"/>
    </row>
    <row r="44" spans="1:36" s="6" customFormat="1" ht="22.5" customHeight="1">
      <c r="A44" s="127" t="s">
        <v>17</v>
      </c>
      <c r="B44" s="111">
        <f t="shared" si="2"/>
        <v>80</v>
      </c>
      <c r="C44" s="112" t="s">
        <v>11</v>
      </c>
      <c r="D44" s="179">
        <f t="shared" si="3"/>
        <v>25534.699999999997</v>
      </c>
      <c r="E44" s="111">
        <v>17</v>
      </c>
      <c r="F44" s="112" t="s">
        <v>11</v>
      </c>
      <c r="G44" s="179">
        <v>3392.2</v>
      </c>
      <c r="H44" s="111">
        <v>17</v>
      </c>
      <c r="I44" s="112" t="s">
        <v>11</v>
      </c>
      <c r="J44" s="179">
        <v>5299.7</v>
      </c>
      <c r="K44" s="111">
        <v>28</v>
      </c>
      <c r="L44" s="112" t="s">
        <v>11</v>
      </c>
      <c r="M44" s="179">
        <v>8739.9</v>
      </c>
      <c r="N44" s="111">
        <v>6</v>
      </c>
      <c r="O44" s="112" t="s">
        <v>11</v>
      </c>
      <c r="P44" s="179">
        <v>6683.9</v>
      </c>
      <c r="Q44" s="111">
        <v>12</v>
      </c>
      <c r="R44" s="112" t="s">
        <v>11</v>
      </c>
      <c r="S44" s="140">
        <v>1419</v>
      </c>
      <c r="T44" s="111">
        <f>'(변경)집계표'!E161</f>
        <v>0</v>
      </c>
      <c r="U44" s="112" t="s">
        <v>11</v>
      </c>
      <c r="V44" s="140">
        <f>'(변경)집계표'!G161</f>
        <v>0</v>
      </c>
      <c r="W44" s="111">
        <f>'(변경)집계표'!E191</f>
        <v>0</v>
      </c>
      <c r="X44" s="112" t="s">
        <v>11</v>
      </c>
      <c r="Y44" s="140">
        <f>'(변경)집계표'!G191</f>
        <v>0</v>
      </c>
      <c r="Z44" s="111">
        <f>'(변경)집계표'!E221</f>
        <v>0</v>
      </c>
      <c r="AA44" s="112" t="s">
        <v>11</v>
      </c>
      <c r="AB44" s="140">
        <f>'(변경)집계표'!G221</f>
        <v>0</v>
      </c>
      <c r="AC44" s="111">
        <f>'(변경)집계표'!E251</f>
        <v>0</v>
      </c>
      <c r="AD44" s="112" t="s">
        <v>11</v>
      </c>
      <c r="AE44" s="140">
        <f>'(변경)집계표'!G251</f>
        <v>0</v>
      </c>
      <c r="AF44" s="111">
        <f>'(변경)집계표'!E281</f>
        <v>0</v>
      </c>
      <c r="AG44" s="112" t="s">
        <v>11</v>
      </c>
      <c r="AH44" s="140">
        <f>'(변경)집계표'!G281</f>
        <v>0</v>
      </c>
      <c r="AI44" s="128"/>
    </row>
    <row r="45" spans="1:36" s="6" customFormat="1" ht="22.5" customHeight="1">
      <c r="A45" s="127" t="s">
        <v>18</v>
      </c>
      <c r="B45" s="111">
        <f t="shared" si="2"/>
        <v>38</v>
      </c>
      <c r="C45" s="112" t="s">
        <v>11</v>
      </c>
      <c r="D45" s="179">
        <f t="shared" si="3"/>
        <v>10745.5</v>
      </c>
      <c r="E45" s="111">
        <v>7</v>
      </c>
      <c r="F45" s="112" t="s">
        <v>11</v>
      </c>
      <c r="G45" s="179">
        <v>1182.5</v>
      </c>
      <c r="H45" s="111">
        <v>13</v>
      </c>
      <c r="I45" s="112" t="s">
        <v>11</v>
      </c>
      <c r="J45" s="179">
        <v>2402.7999999999997</v>
      </c>
      <c r="K45" s="111">
        <v>12</v>
      </c>
      <c r="L45" s="112" t="s">
        <v>11</v>
      </c>
      <c r="M45" s="179">
        <v>4652.2</v>
      </c>
      <c r="N45" s="111">
        <v>6</v>
      </c>
      <c r="O45" s="112" t="s">
        <v>11</v>
      </c>
      <c r="P45" s="179">
        <v>2508</v>
      </c>
      <c r="Q45" s="111">
        <v>0</v>
      </c>
      <c r="R45" s="112" t="s">
        <v>11</v>
      </c>
      <c r="S45" s="140">
        <v>0</v>
      </c>
      <c r="T45" s="111">
        <f>'(변경)집계표'!E162</f>
        <v>0</v>
      </c>
      <c r="U45" s="112" t="s">
        <v>11</v>
      </c>
      <c r="V45" s="140">
        <f>'(변경)집계표'!G162</f>
        <v>0</v>
      </c>
      <c r="W45" s="111">
        <f>'(변경)집계표'!E192</f>
        <v>0</v>
      </c>
      <c r="X45" s="112" t="s">
        <v>11</v>
      </c>
      <c r="Y45" s="140">
        <f>'(변경)집계표'!G192</f>
        <v>0</v>
      </c>
      <c r="Z45" s="111">
        <f>'(변경)집계표'!E222</f>
        <v>0</v>
      </c>
      <c r="AA45" s="112" t="s">
        <v>11</v>
      </c>
      <c r="AB45" s="140">
        <f>'(변경)집계표'!G222</f>
        <v>0</v>
      </c>
      <c r="AC45" s="111">
        <f>'(변경)집계표'!E252</f>
        <v>0</v>
      </c>
      <c r="AD45" s="112" t="s">
        <v>11</v>
      </c>
      <c r="AE45" s="140">
        <f>'(변경)집계표'!G252</f>
        <v>0</v>
      </c>
      <c r="AF45" s="111">
        <f>'(변경)집계표'!E282</f>
        <v>0</v>
      </c>
      <c r="AG45" s="112" t="s">
        <v>11</v>
      </c>
      <c r="AH45" s="140">
        <f>'(변경)집계표'!G282</f>
        <v>0</v>
      </c>
      <c r="AI45" s="128"/>
    </row>
    <row r="46" spans="1:36" s="6" customFormat="1" ht="22.5" customHeight="1">
      <c r="A46" s="127" t="s">
        <v>19</v>
      </c>
      <c r="B46" s="111">
        <f t="shared" si="2"/>
        <v>1</v>
      </c>
      <c r="C46" s="112" t="s">
        <v>11</v>
      </c>
      <c r="D46" s="179">
        <f t="shared" si="3"/>
        <v>597.9</v>
      </c>
      <c r="E46" s="111">
        <v>0</v>
      </c>
      <c r="F46" s="112" t="s">
        <v>11</v>
      </c>
      <c r="G46" s="179">
        <v>0</v>
      </c>
      <c r="H46" s="111">
        <v>0</v>
      </c>
      <c r="I46" s="112" t="s">
        <v>11</v>
      </c>
      <c r="J46" s="179">
        <v>0</v>
      </c>
      <c r="K46" s="111">
        <v>0</v>
      </c>
      <c r="L46" s="112" t="s">
        <v>11</v>
      </c>
      <c r="M46" s="179">
        <v>0</v>
      </c>
      <c r="N46" s="111">
        <v>1</v>
      </c>
      <c r="O46" s="112" t="s">
        <v>11</v>
      </c>
      <c r="P46" s="179">
        <v>597.9</v>
      </c>
      <c r="Q46" s="111">
        <v>0</v>
      </c>
      <c r="R46" s="112" t="s">
        <v>11</v>
      </c>
      <c r="S46" s="140">
        <v>0</v>
      </c>
      <c r="T46" s="111">
        <f>'(변경)집계표'!E163</f>
        <v>0</v>
      </c>
      <c r="U46" s="112" t="s">
        <v>11</v>
      </c>
      <c r="V46" s="140">
        <f>'(변경)집계표'!G163</f>
        <v>0</v>
      </c>
      <c r="W46" s="111">
        <f>'(변경)집계표'!E193</f>
        <v>0</v>
      </c>
      <c r="X46" s="112" t="s">
        <v>11</v>
      </c>
      <c r="Y46" s="140">
        <f>'(변경)집계표'!G193</f>
        <v>0</v>
      </c>
      <c r="Z46" s="111">
        <f>'(변경)집계표'!E223</f>
        <v>0</v>
      </c>
      <c r="AA46" s="112" t="s">
        <v>11</v>
      </c>
      <c r="AB46" s="140">
        <f>'(변경)집계표'!G223</f>
        <v>0</v>
      </c>
      <c r="AC46" s="111">
        <f>'(변경)집계표'!E253</f>
        <v>0</v>
      </c>
      <c r="AD46" s="112" t="s">
        <v>11</v>
      </c>
      <c r="AE46" s="140">
        <f>'(변경)집계표'!G253</f>
        <v>0</v>
      </c>
      <c r="AF46" s="111">
        <f>'(변경)집계표'!E283</f>
        <v>0</v>
      </c>
      <c r="AG46" s="112" t="s">
        <v>11</v>
      </c>
      <c r="AH46" s="140">
        <f>'(변경)집계표'!G283</f>
        <v>0</v>
      </c>
      <c r="AI46" s="128"/>
    </row>
    <row r="47" spans="1:36" s="6" customFormat="1" ht="22.5" customHeight="1">
      <c r="A47" s="127" t="s">
        <v>20</v>
      </c>
      <c r="B47" s="111">
        <f t="shared" si="2"/>
        <v>2</v>
      </c>
      <c r="C47" s="112" t="s">
        <v>11</v>
      </c>
      <c r="D47" s="179">
        <f t="shared" si="3"/>
        <v>252</v>
      </c>
      <c r="E47" s="111">
        <v>0</v>
      </c>
      <c r="F47" s="112" t="s">
        <v>11</v>
      </c>
      <c r="G47" s="179">
        <v>0</v>
      </c>
      <c r="H47" s="111">
        <v>0</v>
      </c>
      <c r="I47" s="112" t="s">
        <v>11</v>
      </c>
      <c r="J47" s="179">
        <v>0</v>
      </c>
      <c r="K47" s="111">
        <v>2</v>
      </c>
      <c r="L47" s="112" t="s">
        <v>11</v>
      </c>
      <c r="M47" s="179">
        <v>252</v>
      </c>
      <c r="N47" s="111">
        <v>0</v>
      </c>
      <c r="O47" s="112" t="s">
        <v>11</v>
      </c>
      <c r="P47" s="179">
        <v>0</v>
      </c>
      <c r="Q47" s="111">
        <v>0</v>
      </c>
      <c r="R47" s="112" t="s">
        <v>11</v>
      </c>
      <c r="S47" s="140">
        <v>0</v>
      </c>
      <c r="T47" s="111">
        <f>'(변경)집계표'!E164</f>
        <v>0</v>
      </c>
      <c r="U47" s="112" t="s">
        <v>11</v>
      </c>
      <c r="V47" s="140">
        <f>'(변경)집계표'!G164</f>
        <v>0</v>
      </c>
      <c r="W47" s="111">
        <f>'(변경)집계표'!E194</f>
        <v>0</v>
      </c>
      <c r="X47" s="112" t="s">
        <v>11</v>
      </c>
      <c r="Y47" s="140">
        <f>'(변경)집계표'!G194</f>
        <v>0</v>
      </c>
      <c r="Z47" s="111">
        <f>'(변경)집계표'!E224</f>
        <v>0</v>
      </c>
      <c r="AA47" s="112" t="s">
        <v>11</v>
      </c>
      <c r="AB47" s="140">
        <f>'(변경)집계표'!G224</f>
        <v>0</v>
      </c>
      <c r="AC47" s="111">
        <f>'(변경)집계표'!E254</f>
        <v>0</v>
      </c>
      <c r="AD47" s="112" t="s">
        <v>11</v>
      </c>
      <c r="AE47" s="140">
        <f>'(변경)집계표'!G254</f>
        <v>0</v>
      </c>
      <c r="AF47" s="111">
        <f>'(변경)집계표'!E284</f>
        <v>0</v>
      </c>
      <c r="AG47" s="112" t="s">
        <v>11</v>
      </c>
      <c r="AH47" s="140">
        <f>'(변경)집계표'!G284</f>
        <v>0</v>
      </c>
      <c r="AI47" s="128"/>
    </row>
    <row r="48" spans="1:36" s="6" customFormat="1" ht="22.5" customHeight="1">
      <c r="A48" s="127" t="s">
        <v>21</v>
      </c>
      <c r="B48" s="111">
        <f t="shared" si="2"/>
        <v>2</v>
      </c>
      <c r="C48" s="112" t="s">
        <v>11</v>
      </c>
      <c r="D48" s="179">
        <f t="shared" si="3"/>
        <v>564</v>
      </c>
      <c r="E48" s="111">
        <v>0</v>
      </c>
      <c r="F48" s="112" t="s">
        <v>11</v>
      </c>
      <c r="G48" s="179">
        <v>0</v>
      </c>
      <c r="H48" s="111">
        <v>0</v>
      </c>
      <c r="I48" s="112" t="s">
        <v>11</v>
      </c>
      <c r="J48" s="179">
        <v>0</v>
      </c>
      <c r="K48" s="111">
        <v>1</v>
      </c>
      <c r="L48" s="112" t="s">
        <v>11</v>
      </c>
      <c r="M48" s="179">
        <v>18</v>
      </c>
      <c r="N48" s="111">
        <v>0</v>
      </c>
      <c r="O48" s="112" t="s">
        <v>11</v>
      </c>
      <c r="P48" s="179">
        <v>0</v>
      </c>
      <c r="Q48" s="111">
        <v>1</v>
      </c>
      <c r="R48" s="112" t="s">
        <v>11</v>
      </c>
      <c r="S48" s="140">
        <v>546</v>
      </c>
      <c r="T48" s="111">
        <f>'(변경)집계표'!E165</f>
        <v>0</v>
      </c>
      <c r="U48" s="112" t="s">
        <v>11</v>
      </c>
      <c r="V48" s="140">
        <f>'(변경)집계표'!G165</f>
        <v>0</v>
      </c>
      <c r="W48" s="111">
        <f>'(변경)집계표'!E195</f>
        <v>0</v>
      </c>
      <c r="X48" s="112" t="s">
        <v>11</v>
      </c>
      <c r="Y48" s="140">
        <f>'(변경)집계표'!G195</f>
        <v>0</v>
      </c>
      <c r="Z48" s="111">
        <f>'(변경)집계표'!E225</f>
        <v>0</v>
      </c>
      <c r="AA48" s="112" t="s">
        <v>11</v>
      </c>
      <c r="AB48" s="140">
        <f>'(변경)집계표'!G225</f>
        <v>0</v>
      </c>
      <c r="AC48" s="111">
        <f>'(변경)집계표'!E255</f>
        <v>0</v>
      </c>
      <c r="AD48" s="112" t="s">
        <v>11</v>
      </c>
      <c r="AE48" s="140">
        <f>'(변경)집계표'!G255</f>
        <v>0</v>
      </c>
      <c r="AF48" s="111">
        <f>'(변경)집계표'!E285</f>
        <v>0</v>
      </c>
      <c r="AG48" s="112" t="s">
        <v>11</v>
      </c>
      <c r="AH48" s="140">
        <f>'(변경)집계표'!G285</f>
        <v>0</v>
      </c>
      <c r="AI48" s="128"/>
    </row>
    <row r="49" spans="1:35" s="6" customFormat="1" ht="22.5" customHeight="1">
      <c r="A49" s="127" t="s">
        <v>22</v>
      </c>
      <c r="B49" s="111">
        <f t="shared" si="2"/>
        <v>0</v>
      </c>
      <c r="C49" s="112" t="s">
        <v>11</v>
      </c>
      <c r="D49" s="179">
        <f t="shared" si="3"/>
        <v>0</v>
      </c>
      <c r="E49" s="111">
        <v>0</v>
      </c>
      <c r="F49" s="112" t="s">
        <v>11</v>
      </c>
      <c r="G49" s="179">
        <v>0</v>
      </c>
      <c r="H49" s="111">
        <v>0</v>
      </c>
      <c r="I49" s="112" t="s">
        <v>11</v>
      </c>
      <c r="J49" s="179">
        <v>0</v>
      </c>
      <c r="K49" s="111">
        <v>0</v>
      </c>
      <c r="L49" s="112" t="s">
        <v>11</v>
      </c>
      <c r="M49" s="179">
        <v>0</v>
      </c>
      <c r="N49" s="111">
        <v>0</v>
      </c>
      <c r="O49" s="112" t="s">
        <v>11</v>
      </c>
      <c r="P49" s="179">
        <v>0</v>
      </c>
      <c r="Q49" s="111">
        <v>0</v>
      </c>
      <c r="R49" s="112" t="s">
        <v>11</v>
      </c>
      <c r="S49" s="140">
        <v>0</v>
      </c>
      <c r="T49" s="111">
        <f>'(변경)집계표'!E166</f>
        <v>0</v>
      </c>
      <c r="U49" s="112" t="s">
        <v>11</v>
      </c>
      <c r="V49" s="140">
        <f>'(변경)집계표'!G166</f>
        <v>0</v>
      </c>
      <c r="W49" s="111">
        <f>'(변경)집계표'!E196</f>
        <v>0</v>
      </c>
      <c r="X49" s="112" t="s">
        <v>11</v>
      </c>
      <c r="Y49" s="140">
        <f>'(변경)집계표'!G196</f>
        <v>0</v>
      </c>
      <c r="Z49" s="111">
        <f>'(변경)집계표'!E226</f>
        <v>0</v>
      </c>
      <c r="AA49" s="112" t="s">
        <v>11</v>
      </c>
      <c r="AB49" s="140">
        <f>'(변경)집계표'!G226</f>
        <v>0</v>
      </c>
      <c r="AC49" s="111">
        <f>'(변경)집계표'!E256</f>
        <v>0</v>
      </c>
      <c r="AD49" s="112" t="s">
        <v>11</v>
      </c>
      <c r="AE49" s="140">
        <f>'(변경)집계표'!G256</f>
        <v>0</v>
      </c>
      <c r="AF49" s="111">
        <f>'(변경)집계표'!E286</f>
        <v>0</v>
      </c>
      <c r="AG49" s="112" t="s">
        <v>11</v>
      </c>
      <c r="AH49" s="140">
        <f>'(변경)집계표'!G286</f>
        <v>0</v>
      </c>
      <c r="AI49" s="128"/>
    </row>
    <row r="50" spans="1:35" s="6" customFormat="1" ht="22.5" customHeight="1">
      <c r="A50" s="127" t="s">
        <v>23</v>
      </c>
      <c r="B50" s="111">
        <f t="shared" si="2"/>
        <v>0</v>
      </c>
      <c r="C50" s="112" t="s">
        <v>11</v>
      </c>
      <c r="D50" s="179">
        <f t="shared" si="3"/>
        <v>0</v>
      </c>
      <c r="E50" s="111">
        <v>0</v>
      </c>
      <c r="F50" s="112" t="s">
        <v>11</v>
      </c>
      <c r="G50" s="179">
        <v>0</v>
      </c>
      <c r="H50" s="111">
        <v>0</v>
      </c>
      <c r="I50" s="112" t="s">
        <v>11</v>
      </c>
      <c r="J50" s="179">
        <v>0</v>
      </c>
      <c r="K50" s="111">
        <v>0</v>
      </c>
      <c r="L50" s="112" t="s">
        <v>11</v>
      </c>
      <c r="M50" s="179">
        <v>0</v>
      </c>
      <c r="N50" s="111">
        <v>0</v>
      </c>
      <c r="O50" s="112" t="s">
        <v>11</v>
      </c>
      <c r="P50" s="179">
        <v>0</v>
      </c>
      <c r="Q50" s="111">
        <v>0</v>
      </c>
      <c r="R50" s="112" t="s">
        <v>11</v>
      </c>
      <c r="S50" s="140">
        <v>0</v>
      </c>
      <c r="T50" s="111">
        <f>'(변경)집계표'!E167</f>
        <v>0</v>
      </c>
      <c r="U50" s="112" t="s">
        <v>11</v>
      </c>
      <c r="V50" s="140">
        <f>'(변경)집계표'!G167</f>
        <v>0</v>
      </c>
      <c r="W50" s="111">
        <f>'(변경)집계표'!E197</f>
        <v>0</v>
      </c>
      <c r="X50" s="112" t="s">
        <v>11</v>
      </c>
      <c r="Y50" s="140">
        <f>'(변경)집계표'!G197</f>
        <v>0</v>
      </c>
      <c r="Z50" s="111">
        <f>'(변경)집계표'!E227</f>
        <v>0</v>
      </c>
      <c r="AA50" s="112" t="s">
        <v>11</v>
      </c>
      <c r="AB50" s="140">
        <f>'(변경)집계표'!G227</f>
        <v>0</v>
      </c>
      <c r="AC50" s="111">
        <f>'(변경)집계표'!E257</f>
        <v>0</v>
      </c>
      <c r="AD50" s="112" t="s">
        <v>11</v>
      </c>
      <c r="AE50" s="140">
        <f>'(변경)집계표'!G257</f>
        <v>0</v>
      </c>
      <c r="AF50" s="111">
        <f>'(변경)집계표'!E287</f>
        <v>0</v>
      </c>
      <c r="AG50" s="112" t="s">
        <v>11</v>
      </c>
      <c r="AH50" s="140">
        <f>'(변경)집계표'!G287</f>
        <v>0</v>
      </c>
      <c r="AI50" s="128"/>
    </row>
    <row r="51" spans="1:35" s="6" customFormat="1" ht="22.5" customHeight="1">
      <c r="A51" s="127" t="s">
        <v>24</v>
      </c>
      <c r="B51" s="111">
        <f t="shared" si="2"/>
        <v>0</v>
      </c>
      <c r="C51" s="112" t="s">
        <v>11</v>
      </c>
      <c r="D51" s="179">
        <f t="shared" si="3"/>
        <v>0</v>
      </c>
      <c r="E51" s="111">
        <v>0</v>
      </c>
      <c r="F51" s="112" t="s">
        <v>11</v>
      </c>
      <c r="G51" s="179">
        <v>0</v>
      </c>
      <c r="H51" s="111">
        <v>0</v>
      </c>
      <c r="I51" s="112" t="s">
        <v>11</v>
      </c>
      <c r="J51" s="179">
        <v>0</v>
      </c>
      <c r="K51" s="111">
        <v>0</v>
      </c>
      <c r="L51" s="112" t="s">
        <v>11</v>
      </c>
      <c r="M51" s="179">
        <v>0</v>
      </c>
      <c r="N51" s="111">
        <v>0</v>
      </c>
      <c r="O51" s="112" t="s">
        <v>11</v>
      </c>
      <c r="P51" s="179">
        <v>0</v>
      </c>
      <c r="Q51" s="111">
        <v>0</v>
      </c>
      <c r="R51" s="112" t="s">
        <v>11</v>
      </c>
      <c r="S51" s="140">
        <v>0</v>
      </c>
      <c r="T51" s="111">
        <f>'(변경)집계표'!E168</f>
        <v>0</v>
      </c>
      <c r="U51" s="112" t="s">
        <v>11</v>
      </c>
      <c r="V51" s="140">
        <f>'(변경)집계표'!G168</f>
        <v>0</v>
      </c>
      <c r="W51" s="111">
        <f>'(변경)집계표'!E198</f>
        <v>0</v>
      </c>
      <c r="X51" s="112" t="s">
        <v>11</v>
      </c>
      <c r="Y51" s="140">
        <f>'(변경)집계표'!G198</f>
        <v>0</v>
      </c>
      <c r="Z51" s="111">
        <f>'(변경)집계표'!E228</f>
        <v>0</v>
      </c>
      <c r="AA51" s="112" t="s">
        <v>11</v>
      </c>
      <c r="AB51" s="140">
        <f>'(변경)집계표'!G228</f>
        <v>0</v>
      </c>
      <c r="AC51" s="111">
        <f>'(변경)집계표'!E258</f>
        <v>0</v>
      </c>
      <c r="AD51" s="112" t="s">
        <v>11</v>
      </c>
      <c r="AE51" s="140">
        <f>'(변경)집계표'!G258</f>
        <v>0</v>
      </c>
      <c r="AF51" s="111">
        <f>'(변경)집계표'!E288</f>
        <v>0</v>
      </c>
      <c r="AG51" s="112" t="s">
        <v>11</v>
      </c>
      <c r="AH51" s="140">
        <f>'(변경)집계표'!G288</f>
        <v>0</v>
      </c>
      <c r="AI51" s="128"/>
    </row>
    <row r="52" spans="1:35" s="6" customFormat="1" ht="22.5" customHeight="1">
      <c r="A52" s="127" t="s">
        <v>25</v>
      </c>
      <c r="B52" s="111">
        <f t="shared" si="2"/>
        <v>0</v>
      </c>
      <c r="C52" s="112" t="s">
        <v>11</v>
      </c>
      <c r="D52" s="179">
        <f t="shared" si="3"/>
        <v>0</v>
      </c>
      <c r="E52" s="111">
        <v>0</v>
      </c>
      <c r="F52" s="112" t="s">
        <v>11</v>
      </c>
      <c r="G52" s="179">
        <v>0</v>
      </c>
      <c r="H52" s="111">
        <v>0</v>
      </c>
      <c r="I52" s="112" t="s">
        <v>11</v>
      </c>
      <c r="J52" s="179">
        <v>0</v>
      </c>
      <c r="K52" s="111">
        <v>0</v>
      </c>
      <c r="L52" s="112" t="s">
        <v>11</v>
      </c>
      <c r="M52" s="179">
        <v>0</v>
      </c>
      <c r="N52" s="111">
        <v>0</v>
      </c>
      <c r="O52" s="112" t="s">
        <v>11</v>
      </c>
      <c r="P52" s="179">
        <v>0</v>
      </c>
      <c r="Q52" s="111">
        <v>0</v>
      </c>
      <c r="R52" s="112" t="s">
        <v>11</v>
      </c>
      <c r="S52" s="140">
        <v>0</v>
      </c>
      <c r="T52" s="111">
        <f>'(변경)집계표'!E169</f>
        <v>0</v>
      </c>
      <c r="U52" s="112" t="s">
        <v>11</v>
      </c>
      <c r="V52" s="140">
        <f>'(변경)집계표'!G169</f>
        <v>0</v>
      </c>
      <c r="W52" s="111">
        <f>'(변경)집계표'!E199</f>
        <v>0</v>
      </c>
      <c r="X52" s="112" t="s">
        <v>11</v>
      </c>
      <c r="Y52" s="140">
        <f>'(변경)집계표'!G199</f>
        <v>0</v>
      </c>
      <c r="Z52" s="111">
        <f>'(변경)집계표'!E229</f>
        <v>0</v>
      </c>
      <c r="AA52" s="112" t="s">
        <v>11</v>
      </c>
      <c r="AB52" s="140">
        <f>'(변경)집계표'!G229</f>
        <v>0</v>
      </c>
      <c r="AC52" s="111">
        <f>'(변경)집계표'!E259</f>
        <v>0</v>
      </c>
      <c r="AD52" s="112" t="s">
        <v>11</v>
      </c>
      <c r="AE52" s="140">
        <f>'(변경)집계표'!G259</f>
        <v>0</v>
      </c>
      <c r="AF52" s="111">
        <f>'(변경)집계표'!E289</f>
        <v>0</v>
      </c>
      <c r="AG52" s="112" t="s">
        <v>11</v>
      </c>
      <c r="AH52" s="140">
        <f>'(변경)집계표'!G289</f>
        <v>0</v>
      </c>
      <c r="AI52" s="128"/>
    </row>
    <row r="53" spans="1:35" s="6" customFormat="1" ht="22.5" customHeight="1">
      <c r="A53" s="127" t="s">
        <v>26</v>
      </c>
      <c r="B53" s="111">
        <f t="shared" si="2"/>
        <v>0</v>
      </c>
      <c r="C53" s="112" t="s">
        <v>11</v>
      </c>
      <c r="D53" s="179">
        <f t="shared" si="3"/>
        <v>0</v>
      </c>
      <c r="E53" s="111">
        <v>0</v>
      </c>
      <c r="F53" s="112" t="s">
        <v>11</v>
      </c>
      <c r="G53" s="179">
        <v>0</v>
      </c>
      <c r="H53" s="111">
        <v>0</v>
      </c>
      <c r="I53" s="112" t="s">
        <v>11</v>
      </c>
      <c r="J53" s="179">
        <v>0</v>
      </c>
      <c r="K53" s="111">
        <v>0</v>
      </c>
      <c r="L53" s="112" t="s">
        <v>11</v>
      </c>
      <c r="M53" s="179">
        <v>0</v>
      </c>
      <c r="N53" s="111">
        <v>0</v>
      </c>
      <c r="O53" s="112" t="s">
        <v>11</v>
      </c>
      <c r="P53" s="179">
        <v>0</v>
      </c>
      <c r="Q53" s="111">
        <v>0</v>
      </c>
      <c r="R53" s="112" t="s">
        <v>11</v>
      </c>
      <c r="S53" s="140">
        <v>0</v>
      </c>
      <c r="T53" s="111">
        <f>'(변경)집계표'!E170</f>
        <v>0</v>
      </c>
      <c r="U53" s="112" t="s">
        <v>11</v>
      </c>
      <c r="V53" s="140">
        <f>'(변경)집계표'!G170</f>
        <v>0</v>
      </c>
      <c r="W53" s="111">
        <f>'(변경)집계표'!E200</f>
        <v>0</v>
      </c>
      <c r="X53" s="112" t="s">
        <v>11</v>
      </c>
      <c r="Y53" s="140">
        <f>'(변경)집계표'!G200</f>
        <v>0</v>
      </c>
      <c r="Z53" s="111">
        <f>'(변경)집계표'!E230</f>
        <v>0</v>
      </c>
      <c r="AA53" s="112" t="s">
        <v>11</v>
      </c>
      <c r="AB53" s="140">
        <f>'(변경)집계표'!G230</f>
        <v>0</v>
      </c>
      <c r="AC53" s="111">
        <f>'(변경)집계표'!E260</f>
        <v>0</v>
      </c>
      <c r="AD53" s="112" t="s">
        <v>11</v>
      </c>
      <c r="AE53" s="140">
        <f>'(변경)집계표'!G260</f>
        <v>0</v>
      </c>
      <c r="AF53" s="111">
        <f>'(변경)집계표'!E290</f>
        <v>0</v>
      </c>
      <c r="AG53" s="112" t="s">
        <v>11</v>
      </c>
      <c r="AH53" s="140">
        <f>'(변경)집계표'!G290</f>
        <v>0</v>
      </c>
      <c r="AI53" s="128"/>
    </row>
    <row r="54" spans="1:35" s="6" customFormat="1" ht="22.5" customHeight="1">
      <c r="A54" s="127" t="s">
        <v>27</v>
      </c>
      <c r="B54" s="111">
        <f t="shared" si="2"/>
        <v>0</v>
      </c>
      <c r="C54" s="112" t="s">
        <v>11</v>
      </c>
      <c r="D54" s="179">
        <f t="shared" si="3"/>
        <v>0</v>
      </c>
      <c r="E54" s="111">
        <v>0</v>
      </c>
      <c r="F54" s="112" t="s">
        <v>11</v>
      </c>
      <c r="G54" s="179">
        <v>0</v>
      </c>
      <c r="H54" s="111">
        <v>0</v>
      </c>
      <c r="I54" s="112" t="s">
        <v>11</v>
      </c>
      <c r="J54" s="179">
        <v>0</v>
      </c>
      <c r="K54" s="111">
        <v>0</v>
      </c>
      <c r="L54" s="112" t="s">
        <v>11</v>
      </c>
      <c r="M54" s="179">
        <v>0</v>
      </c>
      <c r="N54" s="111">
        <v>0</v>
      </c>
      <c r="O54" s="112" t="s">
        <v>11</v>
      </c>
      <c r="P54" s="179">
        <v>0</v>
      </c>
      <c r="Q54" s="111">
        <v>0</v>
      </c>
      <c r="R54" s="112" t="s">
        <v>11</v>
      </c>
      <c r="S54" s="140">
        <v>0</v>
      </c>
      <c r="T54" s="111">
        <f>'(변경)집계표'!E171</f>
        <v>0</v>
      </c>
      <c r="U54" s="112" t="s">
        <v>11</v>
      </c>
      <c r="V54" s="140">
        <f>'(변경)집계표'!G171</f>
        <v>0</v>
      </c>
      <c r="W54" s="111">
        <f>'(변경)집계표'!E201</f>
        <v>0</v>
      </c>
      <c r="X54" s="112" t="s">
        <v>11</v>
      </c>
      <c r="Y54" s="140">
        <f>'(변경)집계표'!G201</f>
        <v>0</v>
      </c>
      <c r="Z54" s="111">
        <f>'(변경)집계표'!E231</f>
        <v>0</v>
      </c>
      <c r="AA54" s="112" t="s">
        <v>11</v>
      </c>
      <c r="AB54" s="140">
        <f>'(변경)집계표'!G231</f>
        <v>0</v>
      </c>
      <c r="AC54" s="111">
        <f>'(변경)집계표'!E261</f>
        <v>0</v>
      </c>
      <c r="AD54" s="112" t="s">
        <v>11</v>
      </c>
      <c r="AE54" s="140">
        <f>'(변경)집계표'!G261</f>
        <v>0</v>
      </c>
      <c r="AF54" s="111">
        <f>'(변경)집계표'!E291</f>
        <v>0</v>
      </c>
      <c r="AG54" s="112" t="s">
        <v>11</v>
      </c>
      <c r="AH54" s="140">
        <f>'(변경)집계표'!G291</f>
        <v>0</v>
      </c>
      <c r="AI54" s="128"/>
    </row>
    <row r="55" spans="1:35" s="6" customFormat="1" ht="22.5" customHeight="1">
      <c r="A55" s="127" t="s">
        <v>28</v>
      </c>
      <c r="B55" s="111">
        <f t="shared" si="2"/>
        <v>0</v>
      </c>
      <c r="C55" s="112" t="s">
        <v>11</v>
      </c>
      <c r="D55" s="179">
        <f t="shared" si="3"/>
        <v>0</v>
      </c>
      <c r="E55" s="111">
        <v>0</v>
      </c>
      <c r="F55" s="112" t="s">
        <v>11</v>
      </c>
      <c r="G55" s="179">
        <v>0</v>
      </c>
      <c r="H55" s="111">
        <v>0</v>
      </c>
      <c r="I55" s="112" t="s">
        <v>11</v>
      </c>
      <c r="J55" s="179">
        <v>0</v>
      </c>
      <c r="K55" s="111">
        <v>0</v>
      </c>
      <c r="L55" s="112" t="s">
        <v>11</v>
      </c>
      <c r="M55" s="179">
        <v>0</v>
      </c>
      <c r="N55" s="111">
        <v>0</v>
      </c>
      <c r="O55" s="112" t="s">
        <v>11</v>
      </c>
      <c r="P55" s="179">
        <v>0</v>
      </c>
      <c r="Q55" s="111">
        <v>0</v>
      </c>
      <c r="R55" s="112" t="s">
        <v>11</v>
      </c>
      <c r="S55" s="140">
        <v>0</v>
      </c>
      <c r="T55" s="111">
        <f>'(변경)집계표'!E172</f>
        <v>0</v>
      </c>
      <c r="U55" s="112" t="s">
        <v>11</v>
      </c>
      <c r="V55" s="140">
        <f>'(변경)집계표'!G172</f>
        <v>0</v>
      </c>
      <c r="W55" s="111">
        <f>'(변경)집계표'!E202</f>
        <v>0</v>
      </c>
      <c r="X55" s="112" t="s">
        <v>11</v>
      </c>
      <c r="Y55" s="140">
        <f>'(변경)집계표'!G202</f>
        <v>0</v>
      </c>
      <c r="Z55" s="111">
        <f>'(변경)집계표'!E232</f>
        <v>0</v>
      </c>
      <c r="AA55" s="112" t="s">
        <v>11</v>
      </c>
      <c r="AB55" s="140">
        <f>'(변경)집계표'!G232</f>
        <v>0</v>
      </c>
      <c r="AC55" s="111">
        <f>'(변경)집계표'!E262</f>
        <v>0</v>
      </c>
      <c r="AD55" s="112" t="s">
        <v>11</v>
      </c>
      <c r="AE55" s="140">
        <f>'(변경)집계표'!G262</f>
        <v>0</v>
      </c>
      <c r="AF55" s="111">
        <f>'(변경)집계표'!E292</f>
        <v>0</v>
      </c>
      <c r="AG55" s="112" t="s">
        <v>11</v>
      </c>
      <c r="AH55" s="140">
        <f>'(변경)집계표'!G292</f>
        <v>0</v>
      </c>
      <c r="AI55" s="128"/>
    </row>
    <row r="56" spans="1:35" s="6" customFormat="1" ht="22.5" customHeight="1">
      <c r="A56" s="127" t="s">
        <v>29</v>
      </c>
      <c r="B56" s="111">
        <f t="shared" si="2"/>
        <v>0</v>
      </c>
      <c r="C56" s="112" t="s">
        <v>11</v>
      </c>
      <c r="D56" s="179">
        <f t="shared" si="3"/>
        <v>0</v>
      </c>
      <c r="E56" s="111">
        <v>0</v>
      </c>
      <c r="F56" s="112" t="s">
        <v>11</v>
      </c>
      <c r="G56" s="179">
        <v>0</v>
      </c>
      <c r="H56" s="111">
        <v>0</v>
      </c>
      <c r="I56" s="112" t="s">
        <v>11</v>
      </c>
      <c r="J56" s="179">
        <v>0</v>
      </c>
      <c r="K56" s="111">
        <v>0</v>
      </c>
      <c r="L56" s="112" t="s">
        <v>11</v>
      </c>
      <c r="M56" s="179">
        <v>0</v>
      </c>
      <c r="N56" s="111">
        <v>0</v>
      </c>
      <c r="O56" s="112" t="s">
        <v>11</v>
      </c>
      <c r="P56" s="179">
        <v>0</v>
      </c>
      <c r="Q56" s="111">
        <v>0</v>
      </c>
      <c r="R56" s="112" t="s">
        <v>11</v>
      </c>
      <c r="S56" s="140">
        <v>0</v>
      </c>
      <c r="T56" s="111">
        <f>'(변경)집계표'!E173</f>
        <v>0</v>
      </c>
      <c r="U56" s="112" t="s">
        <v>11</v>
      </c>
      <c r="V56" s="140">
        <f>'(변경)집계표'!G173</f>
        <v>0</v>
      </c>
      <c r="W56" s="111">
        <f>'(변경)집계표'!E203</f>
        <v>0</v>
      </c>
      <c r="X56" s="112" t="s">
        <v>11</v>
      </c>
      <c r="Y56" s="140">
        <f>'(변경)집계표'!G203</f>
        <v>0</v>
      </c>
      <c r="Z56" s="111">
        <f>'(변경)집계표'!E233</f>
        <v>0</v>
      </c>
      <c r="AA56" s="112" t="s">
        <v>11</v>
      </c>
      <c r="AB56" s="140">
        <f>'(변경)집계표'!G233</f>
        <v>0</v>
      </c>
      <c r="AC56" s="111">
        <f>'(변경)집계표'!E263</f>
        <v>0</v>
      </c>
      <c r="AD56" s="112" t="s">
        <v>11</v>
      </c>
      <c r="AE56" s="140">
        <f>'(변경)집계표'!G263</f>
        <v>0</v>
      </c>
      <c r="AF56" s="111">
        <f>'(변경)집계표'!E293</f>
        <v>0</v>
      </c>
      <c r="AG56" s="112" t="s">
        <v>11</v>
      </c>
      <c r="AH56" s="140">
        <f>'(변경)집계표'!G293</f>
        <v>0</v>
      </c>
      <c r="AI56" s="128"/>
    </row>
    <row r="57" spans="1:35" s="6" customFormat="1" ht="22.5" customHeight="1">
      <c r="A57" s="129" t="s">
        <v>30</v>
      </c>
      <c r="B57" s="111">
        <f t="shared" si="2"/>
        <v>0</v>
      </c>
      <c r="C57" s="112" t="s">
        <v>11</v>
      </c>
      <c r="D57" s="179">
        <f t="shared" si="3"/>
        <v>0</v>
      </c>
      <c r="E57" s="111">
        <v>0</v>
      </c>
      <c r="F57" s="112" t="s">
        <v>11</v>
      </c>
      <c r="G57" s="179">
        <v>0</v>
      </c>
      <c r="H57" s="111">
        <v>0</v>
      </c>
      <c r="I57" s="112" t="s">
        <v>11</v>
      </c>
      <c r="J57" s="179">
        <v>0</v>
      </c>
      <c r="K57" s="111">
        <v>0</v>
      </c>
      <c r="L57" s="112" t="s">
        <v>11</v>
      </c>
      <c r="M57" s="179">
        <v>0</v>
      </c>
      <c r="N57" s="111">
        <v>0</v>
      </c>
      <c r="O57" s="112" t="s">
        <v>11</v>
      </c>
      <c r="P57" s="179">
        <v>0</v>
      </c>
      <c r="Q57" s="111">
        <v>0</v>
      </c>
      <c r="R57" s="112" t="s">
        <v>11</v>
      </c>
      <c r="S57" s="140">
        <v>0</v>
      </c>
      <c r="T57" s="111">
        <f>'(변경)집계표'!E174</f>
        <v>0</v>
      </c>
      <c r="U57" s="112" t="s">
        <v>11</v>
      </c>
      <c r="V57" s="140">
        <f>'(변경)집계표'!G174</f>
        <v>0</v>
      </c>
      <c r="W57" s="111">
        <f>'(변경)집계표'!E204</f>
        <v>0</v>
      </c>
      <c r="X57" s="112" t="s">
        <v>11</v>
      </c>
      <c r="Y57" s="140">
        <f>'(변경)집계표'!G204</f>
        <v>0</v>
      </c>
      <c r="Z57" s="111">
        <f>'(변경)집계표'!E234</f>
        <v>0</v>
      </c>
      <c r="AA57" s="112" t="s">
        <v>11</v>
      </c>
      <c r="AB57" s="140">
        <f>'(변경)집계표'!G234</f>
        <v>0</v>
      </c>
      <c r="AC57" s="111">
        <f>'(변경)집계표'!E264</f>
        <v>0</v>
      </c>
      <c r="AD57" s="112" t="s">
        <v>11</v>
      </c>
      <c r="AE57" s="140">
        <f>'(변경)집계표'!G264</f>
        <v>0</v>
      </c>
      <c r="AF57" s="111">
        <f>'(변경)집계표'!E294</f>
        <v>0</v>
      </c>
      <c r="AG57" s="112" t="s">
        <v>11</v>
      </c>
      <c r="AH57" s="140">
        <f>'(변경)집계표'!G294</f>
        <v>0</v>
      </c>
      <c r="AI57" s="128"/>
    </row>
    <row r="58" spans="1:35" s="6" customFormat="1" ht="22.5" customHeight="1">
      <c r="A58" s="129" t="s">
        <v>31</v>
      </c>
      <c r="B58" s="111">
        <f t="shared" si="2"/>
        <v>0</v>
      </c>
      <c r="C58" s="112" t="s">
        <v>11</v>
      </c>
      <c r="D58" s="179">
        <f t="shared" si="3"/>
        <v>0</v>
      </c>
      <c r="E58" s="111">
        <v>0</v>
      </c>
      <c r="F58" s="112" t="s">
        <v>11</v>
      </c>
      <c r="G58" s="179">
        <v>0</v>
      </c>
      <c r="H58" s="111">
        <v>0</v>
      </c>
      <c r="I58" s="112" t="s">
        <v>11</v>
      </c>
      <c r="J58" s="179">
        <v>0</v>
      </c>
      <c r="K58" s="111">
        <v>0</v>
      </c>
      <c r="L58" s="112" t="s">
        <v>11</v>
      </c>
      <c r="M58" s="179">
        <v>0</v>
      </c>
      <c r="N58" s="111">
        <v>0</v>
      </c>
      <c r="O58" s="112" t="s">
        <v>11</v>
      </c>
      <c r="P58" s="179">
        <v>0</v>
      </c>
      <c r="Q58" s="111">
        <v>0</v>
      </c>
      <c r="R58" s="112" t="s">
        <v>11</v>
      </c>
      <c r="S58" s="140">
        <v>0</v>
      </c>
      <c r="T58" s="111">
        <f>'(변경)집계표'!E175</f>
        <v>0</v>
      </c>
      <c r="U58" s="112" t="s">
        <v>11</v>
      </c>
      <c r="V58" s="140">
        <f>'(변경)집계표'!G175</f>
        <v>0</v>
      </c>
      <c r="W58" s="111">
        <f>'(변경)집계표'!E205</f>
        <v>0</v>
      </c>
      <c r="X58" s="112" t="s">
        <v>11</v>
      </c>
      <c r="Y58" s="140">
        <f>'(변경)집계표'!G205</f>
        <v>0</v>
      </c>
      <c r="Z58" s="111">
        <f>'(변경)집계표'!E235</f>
        <v>0</v>
      </c>
      <c r="AA58" s="112" t="s">
        <v>11</v>
      </c>
      <c r="AB58" s="140">
        <f>'(변경)집계표'!G235</f>
        <v>0</v>
      </c>
      <c r="AC58" s="111">
        <f>'(변경)집계표'!E265</f>
        <v>0</v>
      </c>
      <c r="AD58" s="112" t="s">
        <v>11</v>
      </c>
      <c r="AE58" s="140">
        <f>'(변경)집계표'!G265</f>
        <v>0</v>
      </c>
      <c r="AF58" s="111">
        <f>'(변경)집계표'!E295</f>
        <v>0</v>
      </c>
      <c r="AG58" s="112" t="s">
        <v>11</v>
      </c>
      <c r="AH58" s="140">
        <f>'(변경)집계표'!G295</f>
        <v>0</v>
      </c>
      <c r="AI58" s="128"/>
    </row>
    <row r="59" spans="1:35" s="6" customFormat="1" ht="22.5" customHeight="1">
      <c r="A59" s="129" t="s">
        <v>32</v>
      </c>
      <c r="B59" s="111">
        <f t="shared" si="2"/>
        <v>0</v>
      </c>
      <c r="C59" s="112" t="s">
        <v>11</v>
      </c>
      <c r="D59" s="179">
        <f t="shared" si="3"/>
        <v>0</v>
      </c>
      <c r="E59" s="111">
        <v>0</v>
      </c>
      <c r="F59" s="112" t="s">
        <v>11</v>
      </c>
      <c r="G59" s="179">
        <v>0</v>
      </c>
      <c r="H59" s="111">
        <v>0</v>
      </c>
      <c r="I59" s="112" t="s">
        <v>11</v>
      </c>
      <c r="J59" s="179">
        <v>0</v>
      </c>
      <c r="K59" s="111">
        <v>0</v>
      </c>
      <c r="L59" s="112" t="s">
        <v>11</v>
      </c>
      <c r="M59" s="179">
        <v>0</v>
      </c>
      <c r="N59" s="111">
        <v>0</v>
      </c>
      <c r="O59" s="112" t="s">
        <v>11</v>
      </c>
      <c r="P59" s="179">
        <v>0</v>
      </c>
      <c r="Q59" s="111">
        <v>0</v>
      </c>
      <c r="R59" s="112" t="s">
        <v>11</v>
      </c>
      <c r="S59" s="140">
        <v>0</v>
      </c>
      <c r="T59" s="111">
        <f>'(변경)집계표'!E176</f>
        <v>0</v>
      </c>
      <c r="U59" s="112" t="s">
        <v>11</v>
      </c>
      <c r="V59" s="140">
        <f>'(변경)집계표'!G176</f>
        <v>0</v>
      </c>
      <c r="W59" s="111">
        <f>'(변경)집계표'!E206</f>
        <v>0</v>
      </c>
      <c r="X59" s="112" t="s">
        <v>11</v>
      </c>
      <c r="Y59" s="140">
        <f>'(변경)집계표'!G206</f>
        <v>0</v>
      </c>
      <c r="Z59" s="111">
        <f>'(변경)집계표'!E236</f>
        <v>0</v>
      </c>
      <c r="AA59" s="112" t="s">
        <v>11</v>
      </c>
      <c r="AB59" s="140">
        <f>'(변경)집계표'!G236</f>
        <v>0</v>
      </c>
      <c r="AC59" s="111">
        <f>'(변경)집계표'!E266</f>
        <v>0</v>
      </c>
      <c r="AD59" s="112" t="s">
        <v>11</v>
      </c>
      <c r="AE59" s="140">
        <f>'(변경)집계표'!G266</f>
        <v>0</v>
      </c>
      <c r="AF59" s="111">
        <f>'(변경)집계표'!E296</f>
        <v>0</v>
      </c>
      <c r="AG59" s="112" t="s">
        <v>11</v>
      </c>
      <c r="AH59" s="140">
        <f>'(변경)집계표'!G296</f>
        <v>0</v>
      </c>
      <c r="AI59" s="128"/>
    </row>
    <row r="60" spans="1:35" s="6" customFormat="1" ht="22.5" customHeight="1">
      <c r="A60" s="129" t="s">
        <v>33</v>
      </c>
      <c r="B60" s="111">
        <f t="shared" si="2"/>
        <v>0</v>
      </c>
      <c r="C60" s="112" t="s">
        <v>11</v>
      </c>
      <c r="D60" s="179">
        <f t="shared" si="3"/>
        <v>0</v>
      </c>
      <c r="E60" s="111">
        <v>0</v>
      </c>
      <c r="F60" s="112" t="s">
        <v>11</v>
      </c>
      <c r="G60" s="179">
        <v>0</v>
      </c>
      <c r="H60" s="111">
        <v>0</v>
      </c>
      <c r="I60" s="112" t="s">
        <v>11</v>
      </c>
      <c r="J60" s="179">
        <v>0</v>
      </c>
      <c r="K60" s="111">
        <v>0</v>
      </c>
      <c r="L60" s="112" t="s">
        <v>11</v>
      </c>
      <c r="M60" s="179">
        <v>0</v>
      </c>
      <c r="N60" s="111">
        <v>0</v>
      </c>
      <c r="O60" s="112" t="s">
        <v>11</v>
      </c>
      <c r="P60" s="179">
        <v>0</v>
      </c>
      <c r="Q60" s="111">
        <v>0</v>
      </c>
      <c r="R60" s="112" t="s">
        <v>11</v>
      </c>
      <c r="S60" s="140">
        <v>0</v>
      </c>
      <c r="T60" s="111">
        <f>'(변경)집계표'!E177</f>
        <v>0</v>
      </c>
      <c r="U60" s="112" t="s">
        <v>11</v>
      </c>
      <c r="V60" s="140">
        <f>'(변경)집계표'!G177</f>
        <v>0</v>
      </c>
      <c r="W60" s="111">
        <f>'(변경)집계표'!E207</f>
        <v>0</v>
      </c>
      <c r="X60" s="112" t="s">
        <v>11</v>
      </c>
      <c r="Y60" s="140">
        <f>'(변경)집계표'!G207</f>
        <v>0</v>
      </c>
      <c r="Z60" s="111">
        <f>'(변경)집계표'!E237</f>
        <v>0</v>
      </c>
      <c r="AA60" s="112" t="s">
        <v>11</v>
      </c>
      <c r="AB60" s="140">
        <f>'(변경)집계표'!G237</f>
        <v>0</v>
      </c>
      <c r="AC60" s="111">
        <f>'(변경)집계표'!E267</f>
        <v>0</v>
      </c>
      <c r="AD60" s="112" t="s">
        <v>11</v>
      </c>
      <c r="AE60" s="140">
        <f>'(변경)집계표'!G267</f>
        <v>0</v>
      </c>
      <c r="AF60" s="111">
        <f>'(변경)집계표'!E297</f>
        <v>0</v>
      </c>
      <c r="AG60" s="112" t="s">
        <v>11</v>
      </c>
      <c r="AH60" s="140">
        <f>'(변경)집계표'!G297</f>
        <v>0</v>
      </c>
      <c r="AI60" s="128"/>
    </row>
    <row r="61" spans="1:35" s="6" customFormat="1" ht="22.5" customHeight="1">
      <c r="A61" s="129" t="s">
        <v>34</v>
      </c>
      <c r="B61" s="111">
        <f t="shared" si="2"/>
        <v>0</v>
      </c>
      <c r="C61" s="112" t="s">
        <v>11</v>
      </c>
      <c r="D61" s="179">
        <f t="shared" si="3"/>
        <v>0</v>
      </c>
      <c r="E61" s="111">
        <v>0</v>
      </c>
      <c r="F61" s="112" t="s">
        <v>11</v>
      </c>
      <c r="G61" s="179">
        <v>0</v>
      </c>
      <c r="H61" s="111">
        <v>0</v>
      </c>
      <c r="I61" s="112" t="s">
        <v>11</v>
      </c>
      <c r="J61" s="179">
        <v>0</v>
      </c>
      <c r="K61" s="111">
        <v>0</v>
      </c>
      <c r="L61" s="112" t="s">
        <v>11</v>
      </c>
      <c r="M61" s="179">
        <v>0</v>
      </c>
      <c r="N61" s="111">
        <v>0</v>
      </c>
      <c r="O61" s="112" t="s">
        <v>11</v>
      </c>
      <c r="P61" s="179">
        <v>0</v>
      </c>
      <c r="Q61" s="111">
        <v>0</v>
      </c>
      <c r="R61" s="112" t="s">
        <v>11</v>
      </c>
      <c r="S61" s="140">
        <v>0</v>
      </c>
      <c r="T61" s="111">
        <f>'(변경)집계표'!E178</f>
        <v>0</v>
      </c>
      <c r="U61" s="112" t="s">
        <v>11</v>
      </c>
      <c r="V61" s="140">
        <f>'(변경)집계표'!G178</f>
        <v>0</v>
      </c>
      <c r="W61" s="111">
        <f>'(변경)집계표'!E208</f>
        <v>0</v>
      </c>
      <c r="X61" s="112" t="s">
        <v>11</v>
      </c>
      <c r="Y61" s="140">
        <f>'(변경)집계표'!G208</f>
        <v>0</v>
      </c>
      <c r="Z61" s="111">
        <f>'(변경)집계표'!E238</f>
        <v>0</v>
      </c>
      <c r="AA61" s="112" t="s">
        <v>11</v>
      </c>
      <c r="AB61" s="140">
        <f>'(변경)집계표'!G238</f>
        <v>0</v>
      </c>
      <c r="AC61" s="111">
        <f>'(변경)집계표'!E268</f>
        <v>0</v>
      </c>
      <c r="AD61" s="112" t="s">
        <v>11</v>
      </c>
      <c r="AE61" s="140">
        <f>'(변경)집계표'!G268</f>
        <v>0</v>
      </c>
      <c r="AF61" s="111">
        <f>'(변경)집계표'!E298</f>
        <v>0</v>
      </c>
      <c r="AG61" s="112" t="s">
        <v>11</v>
      </c>
      <c r="AH61" s="140">
        <f>'(변경)집계표'!G298</f>
        <v>0</v>
      </c>
      <c r="AI61" s="128"/>
    </row>
    <row r="62" spans="1:35" s="6" customFormat="1" ht="22.5" customHeight="1">
      <c r="A62" s="129" t="s">
        <v>66</v>
      </c>
      <c r="B62" s="111">
        <f t="shared" si="2"/>
        <v>0</v>
      </c>
      <c r="C62" s="112" t="s">
        <v>11</v>
      </c>
      <c r="D62" s="179">
        <f t="shared" si="3"/>
        <v>0</v>
      </c>
      <c r="E62" s="111">
        <v>0</v>
      </c>
      <c r="F62" s="112" t="s">
        <v>11</v>
      </c>
      <c r="G62" s="179">
        <v>0</v>
      </c>
      <c r="H62" s="111">
        <v>0</v>
      </c>
      <c r="I62" s="112" t="s">
        <v>11</v>
      </c>
      <c r="J62" s="179">
        <v>0</v>
      </c>
      <c r="K62" s="111">
        <v>0</v>
      </c>
      <c r="L62" s="112" t="s">
        <v>11</v>
      </c>
      <c r="M62" s="179">
        <v>0</v>
      </c>
      <c r="N62" s="111">
        <v>0</v>
      </c>
      <c r="O62" s="112" t="s">
        <v>11</v>
      </c>
      <c r="P62" s="179">
        <v>0</v>
      </c>
      <c r="Q62" s="111">
        <v>0</v>
      </c>
      <c r="R62" s="112" t="s">
        <v>11</v>
      </c>
      <c r="S62" s="140">
        <v>0</v>
      </c>
      <c r="T62" s="111">
        <f>'(변경)집계표'!E179</f>
        <v>0</v>
      </c>
      <c r="U62" s="112" t="s">
        <v>11</v>
      </c>
      <c r="V62" s="140">
        <f>'(변경)집계표'!G179</f>
        <v>0</v>
      </c>
      <c r="W62" s="111">
        <f>'(변경)집계표'!E209</f>
        <v>0</v>
      </c>
      <c r="X62" s="112" t="s">
        <v>11</v>
      </c>
      <c r="Y62" s="140">
        <f>'(변경)집계표'!G209</f>
        <v>0</v>
      </c>
      <c r="Z62" s="111">
        <f>'(변경)집계표'!E239</f>
        <v>0</v>
      </c>
      <c r="AA62" s="112" t="s">
        <v>11</v>
      </c>
      <c r="AB62" s="140">
        <f>'(변경)집계표'!G239</f>
        <v>0</v>
      </c>
      <c r="AC62" s="111">
        <f>'(변경)집계표'!E269</f>
        <v>0</v>
      </c>
      <c r="AD62" s="112" t="s">
        <v>11</v>
      </c>
      <c r="AE62" s="140">
        <f>'(변경)집계표'!G269</f>
        <v>0</v>
      </c>
      <c r="AF62" s="111">
        <f>'(변경)집계표'!E299</f>
        <v>0</v>
      </c>
      <c r="AG62" s="112" t="s">
        <v>11</v>
      </c>
      <c r="AH62" s="140">
        <f>'(변경)집계표'!G299</f>
        <v>0</v>
      </c>
      <c r="AI62" s="128"/>
    </row>
    <row r="63" spans="1:35" s="6" customFormat="1" ht="22.5" customHeight="1">
      <c r="A63" s="129" t="s">
        <v>75</v>
      </c>
      <c r="B63" s="111">
        <f t="shared" si="2"/>
        <v>0</v>
      </c>
      <c r="C63" s="112" t="s">
        <v>11</v>
      </c>
      <c r="D63" s="179">
        <f t="shared" si="3"/>
        <v>0</v>
      </c>
      <c r="E63" s="111">
        <v>0</v>
      </c>
      <c r="F63" s="112" t="s">
        <v>11</v>
      </c>
      <c r="G63" s="179">
        <v>0</v>
      </c>
      <c r="H63" s="111">
        <v>0</v>
      </c>
      <c r="I63" s="112" t="s">
        <v>11</v>
      </c>
      <c r="J63" s="179">
        <v>0</v>
      </c>
      <c r="K63" s="111">
        <v>0</v>
      </c>
      <c r="L63" s="112" t="s">
        <v>11</v>
      </c>
      <c r="M63" s="179">
        <v>0</v>
      </c>
      <c r="N63" s="111">
        <v>0</v>
      </c>
      <c r="O63" s="112" t="s">
        <v>11</v>
      </c>
      <c r="P63" s="179">
        <v>0</v>
      </c>
      <c r="Q63" s="111">
        <v>0</v>
      </c>
      <c r="R63" s="112" t="s">
        <v>11</v>
      </c>
      <c r="S63" s="140">
        <v>0</v>
      </c>
      <c r="T63" s="111">
        <f>'(변경)집계표'!E180</f>
        <v>0</v>
      </c>
      <c r="U63" s="112" t="s">
        <v>11</v>
      </c>
      <c r="V63" s="140">
        <f>'(변경)집계표'!G180</f>
        <v>0</v>
      </c>
      <c r="W63" s="111">
        <f>'(변경)집계표'!E210</f>
        <v>0</v>
      </c>
      <c r="X63" s="112" t="s">
        <v>11</v>
      </c>
      <c r="Y63" s="140">
        <f>'(변경)집계표'!G210</f>
        <v>0</v>
      </c>
      <c r="Z63" s="111">
        <f>'(변경)집계표'!E240</f>
        <v>0</v>
      </c>
      <c r="AA63" s="112" t="s">
        <v>11</v>
      </c>
      <c r="AB63" s="140">
        <f>'(변경)집계표'!G240</f>
        <v>0</v>
      </c>
      <c r="AC63" s="111">
        <f>'(변경)집계표'!E270</f>
        <v>0</v>
      </c>
      <c r="AD63" s="112" t="s">
        <v>11</v>
      </c>
      <c r="AE63" s="140">
        <f>'(변경)집계표'!G270</f>
        <v>0</v>
      </c>
      <c r="AF63" s="111">
        <f>'(변경)집계표'!E300</f>
        <v>0</v>
      </c>
      <c r="AG63" s="112" t="s">
        <v>11</v>
      </c>
      <c r="AH63" s="140">
        <f>'(변경)집계표'!G300</f>
        <v>0</v>
      </c>
      <c r="AI63" s="128"/>
    </row>
    <row r="64" spans="1:35" s="6" customFormat="1" ht="22.5" customHeight="1" thickBot="1">
      <c r="A64" s="130" t="s">
        <v>68</v>
      </c>
      <c r="B64" s="131">
        <f t="shared" si="2"/>
        <v>5</v>
      </c>
      <c r="C64" s="132" t="s">
        <v>11</v>
      </c>
      <c r="D64" s="180">
        <f t="shared" si="3"/>
        <v>1510</v>
      </c>
      <c r="E64" s="131">
        <v>0</v>
      </c>
      <c r="F64" s="132" t="s">
        <v>11</v>
      </c>
      <c r="G64" s="180">
        <v>0</v>
      </c>
      <c r="H64" s="131">
        <v>3</v>
      </c>
      <c r="I64" s="132" t="s">
        <v>11</v>
      </c>
      <c r="J64" s="180">
        <v>1408</v>
      </c>
      <c r="K64" s="131">
        <v>0</v>
      </c>
      <c r="L64" s="132" t="s">
        <v>11</v>
      </c>
      <c r="M64" s="180">
        <v>0</v>
      </c>
      <c r="N64" s="131">
        <v>2</v>
      </c>
      <c r="O64" s="132" t="s">
        <v>11</v>
      </c>
      <c r="P64" s="180">
        <v>102</v>
      </c>
      <c r="Q64" s="131">
        <v>0</v>
      </c>
      <c r="R64" s="132" t="s">
        <v>11</v>
      </c>
      <c r="S64" s="141">
        <v>0</v>
      </c>
      <c r="T64" s="131">
        <f>'(변경)집계표'!E181</f>
        <v>0</v>
      </c>
      <c r="U64" s="132" t="s">
        <v>11</v>
      </c>
      <c r="V64" s="141">
        <f>'(변경)집계표'!G181</f>
        <v>0</v>
      </c>
      <c r="W64" s="131">
        <f>'(변경)집계표'!E211</f>
        <v>0</v>
      </c>
      <c r="X64" s="132" t="s">
        <v>11</v>
      </c>
      <c r="Y64" s="141">
        <f>'(변경)집계표'!G211</f>
        <v>0</v>
      </c>
      <c r="Z64" s="131">
        <f>'(변경)집계표'!E241</f>
        <v>0</v>
      </c>
      <c r="AA64" s="132" t="s">
        <v>11</v>
      </c>
      <c r="AB64" s="141">
        <f>'(변경)집계표'!G241</f>
        <v>0</v>
      </c>
      <c r="AC64" s="131">
        <f>'(변경)집계표'!E271</f>
        <v>0</v>
      </c>
      <c r="AD64" s="132" t="s">
        <v>11</v>
      </c>
      <c r="AE64" s="141">
        <f>'(변경)집계표'!G271</f>
        <v>0</v>
      </c>
      <c r="AF64" s="131">
        <f>'(변경)집계표'!E301</f>
        <v>0</v>
      </c>
      <c r="AG64" s="132" t="s">
        <v>11</v>
      </c>
      <c r="AH64" s="141">
        <f>'(변경)집계표'!G301</f>
        <v>0</v>
      </c>
      <c r="AI64" s="133"/>
    </row>
    <row r="65" spans="1:36" s="1" customFormat="1" ht="27.95" customHeight="1">
      <c r="A65" s="190" t="s">
        <v>62</v>
      </c>
      <c r="B65" s="191"/>
      <c r="C65" s="192"/>
      <c r="D65" s="193"/>
      <c r="E65" s="192"/>
      <c r="F65" s="192"/>
      <c r="G65" s="193"/>
      <c r="H65" s="192"/>
      <c r="I65" s="192"/>
      <c r="J65" s="193"/>
      <c r="K65" s="192"/>
      <c r="L65" s="192"/>
      <c r="M65" s="193"/>
      <c r="N65" s="192"/>
      <c r="O65" s="192"/>
      <c r="P65" s="193"/>
      <c r="Q65" s="192"/>
      <c r="R65" s="192"/>
      <c r="S65" s="194"/>
      <c r="T65" s="192"/>
      <c r="U65" s="192"/>
      <c r="V65" s="194"/>
      <c r="W65" s="192"/>
      <c r="X65" s="192"/>
      <c r="Y65" s="194"/>
      <c r="Z65" s="192"/>
      <c r="AA65" s="192"/>
      <c r="AB65" s="194"/>
      <c r="AC65" s="192"/>
      <c r="AD65" s="192"/>
      <c r="AE65" s="194"/>
      <c r="AF65" s="192"/>
      <c r="AG65" s="192"/>
      <c r="AH65" s="194"/>
      <c r="AI65" s="195"/>
    </row>
    <row r="66" spans="1:36" s="5" customFormat="1" ht="9.9499999999999993" customHeight="1" thickBot="1">
      <c r="A66" s="196"/>
      <c r="B66" s="189"/>
      <c r="D66" s="188"/>
      <c r="E66" s="189"/>
      <c r="G66" s="188"/>
      <c r="H66" s="189"/>
      <c r="J66" s="188"/>
      <c r="K66" s="189"/>
      <c r="M66" s="188"/>
      <c r="N66" s="189"/>
      <c r="P66" s="188"/>
      <c r="Q66" s="189"/>
      <c r="S66" s="146"/>
      <c r="T66" s="189"/>
      <c r="V66" s="146"/>
      <c r="W66" s="189"/>
      <c r="Y66" s="146"/>
      <c r="Z66" s="189"/>
      <c r="AB66" s="146"/>
      <c r="AC66" s="189"/>
      <c r="AE66" s="146"/>
      <c r="AF66" s="189"/>
      <c r="AH66" s="146"/>
      <c r="AI66" s="197"/>
    </row>
    <row r="67" spans="1:36" s="7" customFormat="1" ht="30" customHeight="1">
      <c r="A67" s="119"/>
      <c r="B67" s="354" t="s">
        <v>8</v>
      </c>
      <c r="C67" s="355"/>
      <c r="D67" s="355"/>
      <c r="E67" s="120" t="s">
        <v>77</v>
      </c>
      <c r="F67" s="121"/>
      <c r="G67" s="182"/>
      <c r="H67" s="120"/>
      <c r="I67" s="121"/>
      <c r="J67" s="182"/>
      <c r="K67" s="120"/>
      <c r="L67" s="121"/>
      <c r="M67" s="182"/>
      <c r="N67" s="120"/>
      <c r="O67" s="121"/>
      <c r="P67" s="182"/>
      <c r="Q67" s="120"/>
      <c r="R67" s="121"/>
      <c r="S67" s="143"/>
      <c r="T67" s="120"/>
      <c r="U67" s="121"/>
      <c r="V67" s="143"/>
      <c r="W67" s="120"/>
      <c r="X67" s="121"/>
      <c r="Y67" s="143"/>
      <c r="Z67" s="120"/>
      <c r="AA67" s="121"/>
      <c r="AB67" s="143"/>
      <c r="AC67" s="120"/>
      <c r="AD67" s="121"/>
      <c r="AE67" s="143"/>
      <c r="AF67" s="120"/>
      <c r="AG67" s="121"/>
      <c r="AH67" s="143"/>
      <c r="AI67" s="358" t="s">
        <v>59</v>
      </c>
      <c r="AJ67" s="6"/>
    </row>
    <row r="68" spans="1:36" s="7" customFormat="1" ht="30" customHeight="1">
      <c r="A68" s="122"/>
      <c r="B68" s="356"/>
      <c r="C68" s="357"/>
      <c r="D68" s="357"/>
      <c r="E68" s="8" t="s">
        <v>78</v>
      </c>
      <c r="F68" s="9"/>
      <c r="G68" s="183"/>
      <c r="H68" s="8"/>
      <c r="I68" s="9"/>
      <c r="J68" s="183"/>
      <c r="K68" s="8"/>
      <c r="L68" s="9"/>
      <c r="M68" s="183"/>
      <c r="N68" s="8"/>
      <c r="O68" s="9"/>
      <c r="P68" s="183"/>
      <c r="Q68" s="8"/>
      <c r="R68" s="9"/>
      <c r="S68" s="144"/>
      <c r="T68" s="8"/>
      <c r="U68" s="9"/>
      <c r="V68" s="144"/>
      <c r="W68" s="8"/>
      <c r="X68" s="9"/>
      <c r="Y68" s="144"/>
      <c r="Z68" s="8"/>
      <c r="AA68" s="9"/>
      <c r="AB68" s="144"/>
      <c r="AC68" s="8"/>
      <c r="AD68" s="9"/>
      <c r="AE68" s="144"/>
      <c r="AF68" s="8"/>
      <c r="AG68" s="9"/>
      <c r="AH68" s="144"/>
      <c r="AI68" s="359"/>
      <c r="AJ68" s="6"/>
    </row>
    <row r="69" spans="1:36" s="7" customFormat="1" ht="30" customHeight="1">
      <c r="A69" s="123" t="s">
        <v>9</v>
      </c>
      <c r="B69" s="356"/>
      <c r="C69" s="357"/>
      <c r="D69" s="357"/>
      <c r="E69" s="8" t="s">
        <v>79</v>
      </c>
      <c r="F69" s="9"/>
      <c r="G69" s="183"/>
      <c r="H69" s="8" t="s">
        <v>80</v>
      </c>
      <c r="I69" s="9"/>
      <c r="J69" s="183"/>
      <c r="K69" s="8" t="s">
        <v>81</v>
      </c>
      <c r="L69" s="9"/>
      <c r="M69" s="183"/>
      <c r="N69" s="8" t="s">
        <v>82</v>
      </c>
      <c r="O69" s="9"/>
      <c r="P69" s="183"/>
      <c r="Q69" s="8" t="s">
        <v>83</v>
      </c>
      <c r="R69" s="9"/>
      <c r="S69" s="144"/>
      <c r="T69" s="8">
        <v>6</v>
      </c>
      <c r="U69" s="9"/>
      <c r="V69" s="144"/>
      <c r="W69" s="8">
        <v>7</v>
      </c>
      <c r="X69" s="9"/>
      <c r="Y69" s="144"/>
      <c r="Z69" s="8">
        <v>8</v>
      </c>
      <c r="AA69" s="9"/>
      <c r="AB69" s="144"/>
      <c r="AC69" s="8">
        <v>9</v>
      </c>
      <c r="AD69" s="9"/>
      <c r="AE69" s="144"/>
      <c r="AF69" s="8">
        <v>10</v>
      </c>
      <c r="AG69" s="9"/>
      <c r="AH69" s="144"/>
      <c r="AI69" s="359"/>
      <c r="AJ69" s="6"/>
    </row>
    <row r="70" spans="1:36" s="7" customFormat="1" ht="30" customHeight="1" thickBot="1">
      <c r="A70" s="124"/>
      <c r="B70" s="115" t="s">
        <v>10</v>
      </c>
      <c r="C70" s="116" t="s">
        <v>11</v>
      </c>
      <c r="D70" s="178" t="s">
        <v>12</v>
      </c>
      <c r="E70" s="115" t="s">
        <v>10</v>
      </c>
      <c r="F70" s="116" t="s">
        <v>11</v>
      </c>
      <c r="G70" s="178" t="s">
        <v>12</v>
      </c>
      <c r="H70" s="115" t="s">
        <v>10</v>
      </c>
      <c r="I70" s="116" t="s">
        <v>11</v>
      </c>
      <c r="J70" s="178" t="s">
        <v>12</v>
      </c>
      <c r="K70" s="115" t="s">
        <v>10</v>
      </c>
      <c r="L70" s="116" t="s">
        <v>11</v>
      </c>
      <c r="M70" s="178" t="s">
        <v>12</v>
      </c>
      <c r="N70" s="115" t="s">
        <v>10</v>
      </c>
      <c r="O70" s="116" t="s">
        <v>11</v>
      </c>
      <c r="P70" s="178" t="s">
        <v>12</v>
      </c>
      <c r="Q70" s="115" t="s">
        <v>10</v>
      </c>
      <c r="R70" s="116" t="s">
        <v>11</v>
      </c>
      <c r="S70" s="178" t="s">
        <v>12</v>
      </c>
      <c r="T70" s="117" t="s">
        <v>10</v>
      </c>
      <c r="U70" s="118" t="s">
        <v>11</v>
      </c>
      <c r="V70" s="145" t="s">
        <v>12</v>
      </c>
      <c r="W70" s="117" t="s">
        <v>10</v>
      </c>
      <c r="X70" s="118" t="s">
        <v>11</v>
      </c>
      <c r="Y70" s="145" t="s">
        <v>12</v>
      </c>
      <c r="Z70" s="117" t="s">
        <v>10</v>
      </c>
      <c r="AA70" s="118" t="s">
        <v>11</v>
      </c>
      <c r="AB70" s="145" t="s">
        <v>12</v>
      </c>
      <c r="AC70" s="117" t="s">
        <v>10</v>
      </c>
      <c r="AD70" s="118" t="s">
        <v>11</v>
      </c>
      <c r="AE70" s="145" t="s">
        <v>12</v>
      </c>
      <c r="AF70" s="117" t="s">
        <v>10</v>
      </c>
      <c r="AG70" s="118" t="s">
        <v>11</v>
      </c>
      <c r="AH70" s="145" t="s">
        <v>12</v>
      </c>
      <c r="AI70" s="360"/>
      <c r="AJ70" s="6"/>
    </row>
    <row r="71" spans="1:36" s="6" customFormat="1" ht="22.5" customHeight="1" thickTop="1">
      <c r="A71" s="134" t="s">
        <v>8</v>
      </c>
      <c r="B71" s="135">
        <f>SUM(B72:B96)</f>
        <v>536</v>
      </c>
      <c r="C71" s="136" t="s">
        <v>11</v>
      </c>
      <c r="D71" s="181">
        <f>SUM(D72:D96)</f>
        <v>327023</v>
      </c>
      <c r="E71" s="135">
        <f>SUM(E72:E96)</f>
        <v>42</v>
      </c>
      <c r="F71" s="136" t="s">
        <v>11</v>
      </c>
      <c r="G71" s="181">
        <f>SUM(G72:G96)</f>
        <v>12822</v>
      </c>
      <c r="H71" s="135">
        <f>SUM(H72:H96)</f>
        <v>101</v>
      </c>
      <c r="I71" s="136" t="s">
        <v>11</v>
      </c>
      <c r="J71" s="181">
        <f>SUM(J72:J96)</f>
        <v>43698</v>
      </c>
      <c r="K71" s="135">
        <f>SUM(K72:K96)</f>
        <v>165</v>
      </c>
      <c r="L71" s="136" t="s">
        <v>11</v>
      </c>
      <c r="M71" s="181">
        <f>SUM(M72:M96)</f>
        <v>70278.399999999994</v>
      </c>
      <c r="N71" s="135">
        <f>SUM(N72:N96)</f>
        <v>102</v>
      </c>
      <c r="O71" s="136" t="s">
        <v>11</v>
      </c>
      <c r="P71" s="181">
        <f>SUM(P72:P96)</f>
        <v>113971.59999999998</v>
      </c>
      <c r="Q71" s="135">
        <f>SUM(Q72:Q96)</f>
        <v>126</v>
      </c>
      <c r="R71" s="136" t="s">
        <v>11</v>
      </c>
      <c r="S71" s="142">
        <f>SUM(S72:S96)</f>
        <v>86253</v>
      </c>
      <c r="T71" s="135">
        <f>SUM(T72:T96)</f>
        <v>0</v>
      </c>
      <c r="U71" s="136" t="s">
        <v>11</v>
      </c>
      <c r="V71" s="142">
        <f>SUM(V72:V96)</f>
        <v>0</v>
      </c>
      <c r="W71" s="135">
        <f>SUM(W72:W96)</f>
        <v>0</v>
      </c>
      <c r="X71" s="136" t="s">
        <v>11</v>
      </c>
      <c r="Y71" s="142">
        <f>SUM(Y72:Y96)</f>
        <v>0</v>
      </c>
      <c r="Z71" s="135">
        <f>SUM(Z72:Z96)</f>
        <v>0</v>
      </c>
      <c r="AA71" s="136" t="s">
        <v>11</v>
      </c>
      <c r="AB71" s="142">
        <f>SUM(AB72:AB96)</f>
        <v>0</v>
      </c>
      <c r="AC71" s="135">
        <f>SUM(AC72:AC96)</f>
        <v>0</v>
      </c>
      <c r="AD71" s="136" t="s">
        <v>11</v>
      </c>
      <c r="AE71" s="142">
        <f>SUM(AE72:AE96)</f>
        <v>0</v>
      </c>
      <c r="AF71" s="135">
        <f>SUM(AF72:AF96)</f>
        <v>0</v>
      </c>
      <c r="AG71" s="136" t="s">
        <v>11</v>
      </c>
      <c r="AH71" s="142">
        <f>SUM(AH72:AH96)</f>
        <v>0</v>
      </c>
      <c r="AI71" s="137"/>
    </row>
    <row r="72" spans="1:36" s="6" customFormat="1" ht="22.5" customHeight="1">
      <c r="A72" s="127" t="s">
        <v>13</v>
      </c>
      <c r="B72" s="111">
        <f t="shared" ref="B72:B96" si="4">SUM(E72,H72,K72,N72,Q72,T72,W72,Z72,AC72,AF72)</f>
        <v>101</v>
      </c>
      <c r="C72" s="112" t="s">
        <v>11</v>
      </c>
      <c r="D72" s="179">
        <f t="shared" ref="D72:D96" si="5">SUM(G72,J72,M72,P72,S72,V72,Y72,AB72,AE72,AH72)</f>
        <v>36086</v>
      </c>
      <c r="E72" s="111">
        <v>3</v>
      </c>
      <c r="F72" s="112" t="s">
        <v>11</v>
      </c>
      <c r="G72" s="179">
        <v>3093</v>
      </c>
      <c r="H72" s="111">
        <v>27</v>
      </c>
      <c r="I72" s="112" t="s">
        <v>11</v>
      </c>
      <c r="J72" s="179">
        <v>10150</v>
      </c>
      <c r="K72" s="111">
        <v>42</v>
      </c>
      <c r="L72" s="112" t="s">
        <v>11</v>
      </c>
      <c r="M72" s="179">
        <v>12202</v>
      </c>
      <c r="N72" s="111">
        <v>6</v>
      </c>
      <c r="O72" s="112" t="s">
        <v>11</v>
      </c>
      <c r="P72" s="179">
        <v>3462</v>
      </c>
      <c r="Q72" s="111">
        <v>23</v>
      </c>
      <c r="R72" s="112" t="s">
        <v>11</v>
      </c>
      <c r="S72" s="140">
        <v>7179</v>
      </c>
      <c r="T72" s="111">
        <f>'(변경)집계표'!K157</f>
        <v>0</v>
      </c>
      <c r="U72" s="112" t="s">
        <v>11</v>
      </c>
      <c r="V72" s="140">
        <f>'(변경)집계표'!M157</f>
        <v>0</v>
      </c>
      <c r="W72" s="111">
        <f>'(변경)집계표'!K187</f>
        <v>0</v>
      </c>
      <c r="X72" s="112" t="s">
        <v>11</v>
      </c>
      <c r="Y72" s="140">
        <f>'(변경)집계표'!M187</f>
        <v>0</v>
      </c>
      <c r="Z72" s="111">
        <f>'(변경)집계표'!K217</f>
        <v>0</v>
      </c>
      <c r="AA72" s="112" t="s">
        <v>11</v>
      </c>
      <c r="AB72" s="140">
        <f>'(변경)집계표'!M217</f>
        <v>0</v>
      </c>
      <c r="AC72" s="111">
        <f>'(변경)집계표'!K247</f>
        <v>0</v>
      </c>
      <c r="AD72" s="112" t="s">
        <v>11</v>
      </c>
      <c r="AE72" s="140">
        <f>'(변경)집계표'!M247</f>
        <v>0</v>
      </c>
      <c r="AF72" s="111">
        <f>'(변경)집계표'!K277</f>
        <v>0</v>
      </c>
      <c r="AG72" s="112" t="s">
        <v>11</v>
      </c>
      <c r="AH72" s="140">
        <f>'(변경)집계표'!M277</f>
        <v>0</v>
      </c>
      <c r="AI72" s="128"/>
    </row>
    <row r="73" spans="1:36" s="6" customFormat="1" ht="22.5" customHeight="1">
      <c r="A73" s="127" t="s">
        <v>14</v>
      </c>
      <c r="B73" s="111">
        <f t="shared" si="4"/>
        <v>124</v>
      </c>
      <c r="C73" s="112" t="s">
        <v>11</v>
      </c>
      <c r="D73" s="179">
        <f t="shared" si="5"/>
        <v>94164.999999999971</v>
      </c>
      <c r="E73" s="111">
        <v>12</v>
      </c>
      <c r="F73" s="112" t="s">
        <v>11</v>
      </c>
      <c r="G73" s="179">
        <v>3342</v>
      </c>
      <c r="H73" s="111">
        <v>16</v>
      </c>
      <c r="I73" s="112" t="s">
        <v>11</v>
      </c>
      <c r="J73" s="179">
        <v>14044</v>
      </c>
      <c r="K73" s="111">
        <v>30</v>
      </c>
      <c r="L73" s="112" t="s">
        <v>11</v>
      </c>
      <c r="M73" s="179">
        <v>18390.399999999998</v>
      </c>
      <c r="N73" s="111">
        <v>44</v>
      </c>
      <c r="O73" s="112" t="s">
        <v>11</v>
      </c>
      <c r="P73" s="179">
        <v>46694.599999999984</v>
      </c>
      <c r="Q73" s="111">
        <v>22</v>
      </c>
      <c r="R73" s="112" t="s">
        <v>11</v>
      </c>
      <c r="S73" s="140">
        <v>11694</v>
      </c>
      <c r="T73" s="111">
        <f>'(변경)집계표'!K158</f>
        <v>0</v>
      </c>
      <c r="U73" s="112" t="s">
        <v>11</v>
      </c>
      <c r="V73" s="140">
        <f>'(변경)집계표'!M158</f>
        <v>0</v>
      </c>
      <c r="W73" s="111">
        <f>'(변경)집계표'!K188</f>
        <v>0</v>
      </c>
      <c r="X73" s="112" t="s">
        <v>11</v>
      </c>
      <c r="Y73" s="140">
        <f>'(변경)집계표'!M188</f>
        <v>0</v>
      </c>
      <c r="Z73" s="111">
        <f>'(변경)집계표'!K218</f>
        <v>0</v>
      </c>
      <c r="AA73" s="112" t="s">
        <v>11</v>
      </c>
      <c r="AB73" s="140">
        <f>'(변경)집계표'!M218</f>
        <v>0</v>
      </c>
      <c r="AC73" s="111">
        <f>'(변경)집계표'!K248</f>
        <v>0</v>
      </c>
      <c r="AD73" s="112" t="s">
        <v>11</v>
      </c>
      <c r="AE73" s="140">
        <f>'(변경)집계표'!M248</f>
        <v>0</v>
      </c>
      <c r="AF73" s="111">
        <f>'(변경)집계표'!K278</f>
        <v>0</v>
      </c>
      <c r="AG73" s="112" t="s">
        <v>11</v>
      </c>
      <c r="AH73" s="140">
        <f>'(변경)집계표'!M278</f>
        <v>0</v>
      </c>
      <c r="AI73" s="128"/>
    </row>
    <row r="74" spans="1:36" s="6" customFormat="1" ht="22.5" customHeight="1">
      <c r="A74" s="127" t="s">
        <v>15</v>
      </c>
      <c r="B74" s="111">
        <f t="shared" si="4"/>
        <v>130</v>
      </c>
      <c r="C74" s="112" t="s">
        <v>11</v>
      </c>
      <c r="D74" s="179">
        <f t="shared" si="5"/>
        <v>143087</v>
      </c>
      <c r="E74" s="111">
        <v>2</v>
      </c>
      <c r="F74" s="112" t="s">
        <v>11</v>
      </c>
      <c r="G74" s="179">
        <v>1744</v>
      </c>
      <c r="H74" s="111">
        <v>16</v>
      </c>
      <c r="I74" s="112" t="s">
        <v>11</v>
      </c>
      <c r="J74" s="179">
        <v>12383</v>
      </c>
      <c r="K74" s="111">
        <v>38</v>
      </c>
      <c r="L74" s="112" t="s">
        <v>11</v>
      </c>
      <c r="M74" s="179">
        <v>26140</v>
      </c>
      <c r="N74" s="111">
        <v>38</v>
      </c>
      <c r="O74" s="112" t="s">
        <v>11</v>
      </c>
      <c r="P74" s="179">
        <v>48534</v>
      </c>
      <c r="Q74" s="111">
        <v>36</v>
      </c>
      <c r="R74" s="112" t="s">
        <v>11</v>
      </c>
      <c r="S74" s="140">
        <v>54286</v>
      </c>
      <c r="T74" s="111">
        <f>'(변경)집계표'!K159</f>
        <v>0</v>
      </c>
      <c r="U74" s="112" t="s">
        <v>11</v>
      </c>
      <c r="V74" s="140">
        <f>'(변경)집계표'!M159</f>
        <v>0</v>
      </c>
      <c r="W74" s="111">
        <f>'(변경)집계표'!K189</f>
        <v>0</v>
      </c>
      <c r="X74" s="112" t="s">
        <v>11</v>
      </c>
      <c r="Y74" s="140">
        <f>'(변경)집계표'!M189</f>
        <v>0</v>
      </c>
      <c r="Z74" s="111">
        <f>'(변경)집계표'!K219</f>
        <v>0</v>
      </c>
      <c r="AA74" s="112" t="s">
        <v>11</v>
      </c>
      <c r="AB74" s="140">
        <f>'(변경)집계표'!M219</f>
        <v>0</v>
      </c>
      <c r="AC74" s="111">
        <f>'(변경)집계표'!K249</f>
        <v>0</v>
      </c>
      <c r="AD74" s="112" t="s">
        <v>11</v>
      </c>
      <c r="AE74" s="140">
        <f>'(변경)집계표'!M249</f>
        <v>0</v>
      </c>
      <c r="AF74" s="111">
        <f>'(변경)집계표'!K279</f>
        <v>0</v>
      </c>
      <c r="AG74" s="112" t="s">
        <v>11</v>
      </c>
      <c r="AH74" s="140">
        <f>'(변경)집계표'!M279</f>
        <v>0</v>
      </c>
      <c r="AI74" s="128"/>
    </row>
    <row r="75" spans="1:36" s="6" customFormat="1" ht="22.5" customHeight="1">
      <c r="A75" s="127" t="s">
        <v>16</v>
      </c>
      <c r="B75" s="111">
        <f t="shared" si="4"/>
        <v>24</v>
      </c>
      <c r="C75" s="112" t="s">
        <v>11</v>
      </c>
      <c r="D75" s="179">
        <f t="shared" si="5"/>
        <v>2816</v>
      </c>
      <c r="E75" s="111">
        <v>0</v>
      </c>
      <c r="F75" s="112" t="s">
        <v>11</v>
      </c>
      <c r="G75" s="179">
        <v>0</v>
      </c>
      <c r="H75" s="111">
        <v>7</v>
      </c>
      <c r="I75" s="112" t="s">
        <v>11</v>
      </c>
      <c r="J75" s="179">
        <v>569</v>
      </c>
      <c r="K75" s="111">
        <v>9</v>
      </c>
      <c r="L75" s="112" t="s">
        <v>11</v>
      </c>
      <c r="M75" s="179">
        <v>1449</v>
      </c>
      <c r="N75" s="111">
        <v>0</v>
      </c>
      <c r="O75" s="112" t="s">
        <v>11</v>
      </c>
      <c r="P75" s="179">
        <v>0</v>
      </c>
      <c r="Q75" s="111">
        <v>8</v>
      </c>
      <c r="R75" s="112" t="s">
        <v>11</v>
      </c>
      <c r="S75" s="140">
        <v>798</v>
      </c>
      <c r="T75" s="111">
        <f>'(변경)집계표'!K160</f>
        <v>0</v>
      </c>
      <c r="U75" s="112" t="s">
        <v>11</v>
      </c>
      <c r="V75" s="140">
        <f>'(변경)집계표'!M160</f>
        <v>0</v>
      </c>
      <c r="W75" s="111">
        <f>'(변경)집계표'!K190</f>
        <v>0</v>
      </c>
      <c r="X75" s="112" t="s">
        <v>11</v>
      </c>
      <c r="Y75" s="140">
        <f>'(변경)집계표'!M190</f>
        <v>0</v>
      </c>
      <c r="Z75" s="111">
        <f>'(변경)집계표'!K220</f>
        <v>0</v>
      </c>
      <c r="AA75" s="112" t="s">
        <v>11</v>
      </c>
      <c r="AB75" s="140">
        <f>'(변경)집계표'!M220</f>
        <v>0</v>
      </c>
      <c r="AC75" s="111">
        <f>'(변경)집계표'!K250</f>
        <v>0</v>
      </c>
      <c r="AD75" s="112" t="s">
        <v>11</v>
      </c>
      <c r="AE75" s="140">
        <f>'(변경)집계표'!M250</f>
        <v>0</v>
      </c>
      <c r="AF75" s="111">
        <f>'(변경)집계표'!K280</f>
        <v>0</v>
      </c>
      <c r="AG75" s="112" t="s">
        <v>11</v>
      </c>
      <c r="AH75" s="140">
        <f>'(변경)집계표'!M280</f>
        <v>0</v>
      </c>
      <c r="AI75" s="128"/>
    </row>
    <row r="76" spans="1:36" s="6" customFormat="1" ht="22.5" customHeight="1">
      <c r="A76" s="127" t="s">
        <v>17</v>
      </c>
      <c r="B76" s="111">
        <f t="shared" si="4"/>
        <v>137</v>
      </c>
      <c r="C76" s="112" t="s">
        <v>11</v>
      </c>
      <c r="D76" s="179">
        <f t="shared" si="5"/>
        <v>41702</v>
      </c>
      <c r="E76" s="111">
        <v>23</v>
      </c>
      <c r="F76" s="112" t="s">
        <v>11</v>
      </c>
      <c r="G76" s="179">
        <v>3042</v>
      </c>
      <c r="H76" s="111">
        <v>31</v>
      </c>
      <c r="I76" s="112" t="s">
        <v>11</v>
      </c>
      <c r="J76" s="179">
        <v>5633</v>
      </c>
      <c r="K76" s="111">
        <v>45</v>
      </c>
      <c r="L76" s="112" t="s">
        <v>11</v>
      </c>
      <c r="M76" s="179">
        <v>12081</v>
      </c>
      <c r="N76" s="111">
        <v>13</v>
      </c>
      <c r="O76" s="112" t="s">
        <v>11</v>
      </c>
      <c r="P76" s="179">
        <v>15110</v>
      </c>
      <c r="Q76" s="111">
        <v>25</v>
      </c>
      <c r="R76" s="112" t="s">
        <v>11</v>
      </c>
      <c r="S76" s="140">
        <v>5836</v>
      </c>
      <c r="T76" s="111">
        <f>'(변경)집계표'!K161</f>
        <v>0</v>
      </c>
      <c r="U76" s="112" t="s">
        <v>11</v>
      </c>
      <c r="V76" s="140">
        <f>'(변경)집계표'!M161</f>
        <v>0</v>
      </c>
      <c r="W76" s="111">
        <f>'(변경)집계표'!K191</f>
        <v>0</v>
      </c>
      <c r="X76" s="112" t="s">
        <v>11</v>
      </c>
      <c r="Y76" s="140">
        <f>'(변경)집계표'!M191</f>
        <v>0</v>
      </c>
      <c r="Z76" s="111">
        <f>'(변경)집계표'!K221</f>
        <v>0</v>
      </c>
      <c r="AA76" s="112" t="s">
        <v>11</v>
      </c>
      <c r="AB76" s="140">
        <f>'(변경)집계표'!M221</f>
        <v>0</v>
      </c>
      <c r="AC76" s="111">
        <f>'(변경)집계표'!K251</f>
        <v>0</v>
      </c>
      <c r="AD76" s="112" t="s">
        <v>11</v>
      </c>
      <c r="AE76" s="140">
        <f>'(변경)집계표'!M251</f>
        <v>0</v>
      </c>
      <c r="AF76" s="111">
        <f>'(변경)집계표'!K281</f>
        <v>0</v>
      </c>
      <c r="AG76" s="112" t="s">
        <v>11</v>
      </c>
      <c r="AH76" s="140">
        <f>'(변경)집계표'!M281</f>
        <v>0</v>
      </c>
      <c r="AI76" s="128"/>
    </row>
    <row r="77" spans="1:36" s="6" customFormat="1" ht="22.5" customHeight="1">
      <c r="A77" s="127" t="s">
        <v>18</v>
      </c>
      <c r="B77" s="111">
        <f t="shared" si="4"/>
        <v>1</v>
      </c>
      <c r="C77" s="112" t="s">
        <v>11</v>
      </c>
      <c r="D77" s="179">
        <f t="shared" si="5"/>
        <v>171</v>
      </c>
      <c r="E77" s="111">
        <v>0</v>
      </c>
      <c r="F77" s="112" t="s">
        <v>11</v>
      </c>
      <c r="G77" s="179">
        <v>0</v>
      </c>
      <c r="H77" s="111">
        <v>0</v>
      </c>
      <c r="I77" s="112" t="s">
        <v>11</v>
      </c>
      <c r="J77" s="179">
        <v>0</v>
      </c>
      <c r="K77" s="111">
        <v>0</v>
      </c>
      <c r="L77" s="112" t="s">
        <v>11</v>
      </c>
      <c r="M77" s="179">
        <v>0</v>
      </c>
      <c r="N77" s="111">
        <v>1</v>
      </c>
      <c r="O77" s="112" t="s">
        <v>11</v>
      </c>
      <c r="P77" s="179">
        <v>171</v>
      </c>
      <c r="Q77" s="111">
        <v>0</v>
      </c>
      <c r="R77" s="112" t="s">
        <v>11</v>
      </c>
      <c r="S77" s="140">
        <v>0</v>
      </c>
      <c r="T77" s="111">
        <f>'(변경)집계표'!K162</f>
        <v>0</v>
      </c>
      <c r="U77" s="112" t="s">
        <v>11</v>
      </c>
      <c r="V77" s="140">
        <f>'(변경)집계표'!M162</f>
        <v>0</v>
      </c>
      <c r="W77" s="111">
        <f>'(변경)집계표'!K192</f>
        <v>0</v>
      </c>
      <c r="X77" s="112" t="s">
        <v>11</v>
      </c>
      <c r="Y77" s="140">
        <f>'(변경)집계표'!M192</f>
        <v>0</v>
      </c>
      <c r="Z77" s="111">
        <f>'(변경)집계표'!K222</f>
        <v>0</v>
      </c>
      <c r="AA77" s="112" t="s">
        <v>11</v>
      </c>
      <c r="AB77" s="140">
        <f>'(변경)집계표'!M222</f>
        <v>0</v>
      </c>
      <c r="AC77" s="111">
        <f>'(변경)집계표'!K252</f>
        <v>0</v>
      </c>
      <c r="AD77" s="112" t="s">
        <v>11</v>
      </c>
      <c r="AE77" s="140">
        <f>'(변경)집계표'!M252</f>
        <v>0</v>
      </c>
      <c r="AF77" s="111">
        <f>'(변경)집계표'!K282</f>
        <v>0</v>
      </c>
      <c r="AG77" s="112" t="s">
        <v>11</v>
      </c>
      <c r="AH77" s="140">
        <f>'(변경)집계표'!M282</f>
        <v>0</v>
      </c>
      <c r="AI77" s="128"/>
    </row>
    <row r="78" spans="1:36" s="6" customFormat="1" ht="22.5" customHeight="1">
      <c r="A78" s="127" t="s">
        <v>19</v>
      </c>
      <c r="B78" s="111">
        <f t="shared" si="4"/>
        <v>0</v>
      </c>
      <c r="C78" s="112" t="s">
        <v>11</v>
      </c>
      <c r="D78" s="179">
        <f t="shared" si="5"/>
        <v>0</v>
      </c>
      <c r="E78" s="111">
        <v>0</v>
      </c>
      <c r="F78" s="112" t="s">
        <v>11</v>
      </c>
      <c r="G78" s="179">
        <v>0</v>
      </c>
      <c r="H78" s="111">
        <v>0</v>
      </c>
      <c r="I78" s="112" t="s">
        <v>11</v>
      </c>
      <c r="J78" s="179">
        <v>0</v>
      </c>
      <c r="K78" s="111">
        <v>0</v>
      </c>
      <c r="L78" s="112" t="s">
        <v>11</v>
      </c>
      <c r="M78" s="179">
        <v>0</v>
      </c>
      <c r="N78" s="111">
        <v>0</v>
      </c>
      <c r="O78" s="112" t="s">
        <v>11</v>
      </c>
      <c r="P78" s="179">
        <v>0</v>
      </c>
      <c r="Q78" s="111">
        <v>0</v>
      </c>
      <c r="R78" s="112" t="s">
        <v>11</v>
      </c>
      <c r="S78" s="140">
        <v>0</v>
      </c>
      <c r="T78" s="111">
        <f>'(변경)집계표'!K163</f>
        <v>0</v>
      </c>
      <c r="U78" s="112" t="s">
        <v>11</v>
      </c>
      <c r="V78" s="140">
        <f>'(변경)집계표'!M163</f>
        <v>0</v>
      </c>
      <c r="W78" s="111">
        <f>'(변경)집계표'!K193</f>
        <v>0</v>
      </c>
      <c r="X78" s="112" t="s">
        <v>11</v>
      </c>
      <c r="Y78" s="140">
        <f>'(변경)집계표'!M193</f>
        <v>0</v>
      </c>
      <c r="Z78" s="111">
        <f>'(변경)집계표'!K223</f>
        <v>0</v>
      </c>
      <c r="AA78" s="112" t="s">
        <v>11</v>
      </c>
      <c r="AB78" s="140">
        <f>'(변경)집계표'!M223</f>
        <v>0</v>
      </c>
      <c r="AC78" s="111">
        <f>'(변경)집계표'!K253</f>
        <v>0</v>
      </c>
      <c r="AD78" s="112" t="s">
        <v>11</v>
      </c>
      <c r="AE78" s="140">
        <f>'(변경)집계표'!M253</f>
        <v>0</v>
      </c>
      <c r="AF78" s="111">
        <f>'(변경)집계표'!K283</f>
        <v>0</v>
      </c>
      <c r="AG78" s="112" t="s">
        <v>11</v>
      </c>
      <c r="AH78" s="140">
        <f>'(변경)집계표'!M283</f>
        <v>0</v>
      </c>
      <c r="AI78" s="128"/>
    </row>
    <row r="79" spans="1:36" s="6" customFormat="1" ht="22.5" customHeight="1">
      <c r="A79" s="127" t="s">
        <v>20</v>
      </c>
      <c r="B79" s="111">
        <f t="shared" si="4"/>
        <v>2</v>
      </c>
      <c r="C79" s="112" t="s">
        <v>11</v>
      </c>
      <c r="D79" s="179">
        <f t="shared" si="5"/>
        <v>1601</v>
      </c>
      <c r="E79" s="111">
        <v>2</v>
      </c>
      <c r="F79" s="112" t="s">
        <v>11</v>
      </c>
      <c r="G79" s="179">
        <v>1601</v>
      </c>
      <c r="H79" s="111">
        <v>0</v>
      </c>
      <c r="I79" s="112" t="s">
        <v>11</v>
      </c>
      <c r="J79" s="179">
        <v>0</v>
      </c>
      <c r="K79" s="111">
        <v>0</v>
      </c>
      <c r="L79" s="112" t="s">
        <v>11</v>
      </c>
      <c r="M79" s="179">
        <v>0</v>
      </c>
      <c r="N79" s="111">
        <v>0</v>
      </c>
      <c r="O79" s="112" t="s">
        <v>11</v>
      </c>
      <c r="P79" s="179">
        <v>0</v>
      </c>
      <c r="Q79" s="111">
        <v>0</v>
      </c>
      <c r="R79" s="112" t="s">
        <v>11</v>
      </c>
      <c r="S79" s="140">
        <v>0</v>
      </c>
      <c r="T79" s="111">
        <f>'(변경)집계표'!K164</f>
        <v>0</v>
      </c>
      <c r="U79" s="112" t="s">
        <v>11</v>
      </c>
      <c r="V79" s="140">
        <f>'(변경)집계표'!M164</f>
        <v>0</v>
      </c>
      <c r="W79" s="111">
        <f>'(변경)집계표'!K194</f>
        <v>0</v>
      </c>
      <c r="X79" s="112" t="s">
        <v>11</v>
      </c>
      <c r="Y79" s="140">
        <f>'(변경)집계표'!M194</f>
        <v>0</v>
      </c>
      <c r="Z79" s="111">
        <f>'(변경)집계표'!K224</f>
        <v>0</v>
      </c>
      <c r="AA79" s="112" t="s">
        <v>11</v>
      </c>
      <c r="AB79" s="140">
        <f>'(변경)집계표'!M224</f>
        <v>0</v>
      </c>
      <c r="AC79" s="111">
        <f>'(변경)집계표'!K254</f>
        <v>0</v>
      </c>
      <c r="AD79" s="112" t="s">
        <v>11</v>
      </c>
      <c r="AE79" s="140">
        <f>'(변경)집계표'!M254</f>
        <v>0</v>
      </c>
      <c r="AF79" s="111">
        <f>'(변경)집계표'!K284</f>
        <v>0</v>
      </c>
      <c r="AG79" s="112" t="s">
        <v>11</v>
      </c>
      <c r="AH79" s="140">
        <f>'(변경)집계표'!M284</f>
        <v>0</v>
      </c>
      <c r="AI79" s="128"/>
    </row>
    <row r="80" spans="1:36" s="6" customFormat="1" ht="22.5" customHeight="1">
      <c r="A80" s="127" t="s">
        <v>21</v>
      </c>
      <c r="B80" s="111">
        <f t="shared" si="4"/>
        <v>0</v>
      </c>
      <c r="C80" s="112" t="s">
        <v>11</v>
      </c>
      <c r="D80" s="179">
        <f t="shared" si="5"/>
        <v>0</v>
      </c>
      <c r="E80" s="111">
        <v>0</v>
      </c>
      <c r="F80" s="112" t="s">
        <v>11</v>
      </c>
      <c r="G80" s="179">
        <v>0</v>
      </c>
      <c r="H80" s="111">
        <v>0</v>
      </c>
      <c r="I80" s="112" t="s">
        <v>11</v>
      </c>
      <c r="J80" s="179">
        <v>0</v>
      </c>
      <c r="K80" s="111">
        <v>0</v>
      </c>
      <c r="L80" s="112" t="s">
        <v>11</v>
      </c>
      <c r="M80" s="179">
        <v>0</v>
      </c>
      <c r="N80" s="111">
        <v>0</v>
      </c>
      <c r="O80" s="112" t="s">
        <v>11</v>
      </c>
      <c r="P80" s="179">
        <v>0</v>
      </c>
      <c r="Q80" s="111">
        <v>0</v>
      </c>
      <c r="R80" s="112" t="s">
        <v>11</v>
      </c>
      <c r="S80" s="140">
        <v>0</v>
      </c>
      <c r="T80" s="111">
        <f>'(변경)집계표'!K165</f>
        <v>0</v>
      </c>
      <c r="U80" s="112" t="s">
        <v>11</v>
      </c>
      <c r="V80" s="140">
        <f>'(변경)집계표'!M165</f>
        <v>0</v>
      </c>
      <c r="W80" s="111">
        <f>'(변경)집계표'!K195</f>
        <v>0</v>
      </c>
      <c r="X80" s="112" t="s">
        <v>11</v>
      </c>
      <c r="Y80" s="140">
        <f>'(변경)집계표'!M195</f>
        <v>0</v>
      </c>
      <c r="Z80" s="111">
        <f>'(변경)집계표'!K225</f>
        <v>0</v>
      </c>
      <c r="AA80" s="112" t="s">
        <v>11</v>
      </c>
      <c r="AB80" s="140">
        <f>'(변경)집계표'!M225</f>
        <v>0</v>
      </c>
      <c r="AC80" s="111">
        <f>'(변경)집계표'!K255</f>
        <v>0</v>
      </c>
      <c r="AD80" s="112" t="s">
        <v>11</v>
      </c>
      <c r="AE80" s="140">
        <f>'(변경)집계표'!M255</f>
        <v>0</v>
      </c>
      <c r="AF80" s="111">
        <f>'(변경)집계표'!K285</f>
        <v>0</v>
      </c>
      <c r="AG80" s="112" t="s">
        <v>11</v>
      </c>
      <c r="AH80" s="140">
        <f>'(변경)집계표'!M285</f>
        <v>0</v>
      </c>
      <c r="AI80" s="128"/>
    </row>
    <row r="81" spans="1:36" s="6" customFormat="1" ht="22.5" customHeight="1">
      <c r="A81" s="127" t="s">
        <v>22</v>
      </c>
      <c r="B81" s="111">
        <f t="shared" si="4"/>
        <v>0</v>
      </c>
      <c r="C81" s="112" t="s">
        <v>11</v>
      </c>
      <c r="D81" s="179">
        <f t="shared" si="5"/>
        <v>0</v>
      </c>
      <c r="E81" s="111">
        <v>0</v>
      </c>
      <c r="F81" s="112" t="s">
        <v>11</v>
      </c>
      <c r="G81" s="179">
        <v>0</v>
      </c>
      <c r="H81" s="111">
        <v>0</v>
      </c>
      <c r="I81" s="112" t="s">
        <v>11</v>
      </c>
      <c r="J81" s="179">
        <v>0</v>
      </c>
      <c r="K81" s="111">
        <v>0</v>
      </c>
      <c r="L81" s="112" t="s">
        <v>11</v>
      </c>
      <c r="M81" s="179">
        <v>0</v>
      </c>
      <c r="N81" s="111">
        <v>0</v>
      </c>
      <c r="O81" s="112" t="s">
        <v>11</v>
      </c>
      <c r="P81" s="179">
        <v>0</v>
      </c>
      <c r="Q81" s="111">
        <v>0</v>
      </c>
      <c r="R81" s="112" t="s">
        <v>11</v>
      </c>
      <c r="S81" s="140">
        <v>0</v>
      </c>
      <c r="T81" s="111">
        <f>'(변경)집계표'!K166</f>
        <v>0</v>
      </c>
      <c r="U81" s="112" t="s">
        <v>11</v>
      </c>
      <c r="V81" s="140">
        <f>'(변경)집계표'!M166</f>
        <v>0</v>
      </c>
      <c r="W81" s="111">
        <f>'(변경)집계표'!K196</f>
        <v>0</v>
      </c>
      <c r="X81" s="112" t="s">
        <v>11</v>
      </c>
      <c r="Y81" s="140">
        <f>'(변경)집계표'!M196</f>
        <v>0</v>
      </c>
      <c r="Z81" s="111">
        <f>'(변경)집계표'!K226</f>
        <v>0</v>
      </c>
      <c r="AA81" s="112" t="s">
        <v>11</v>
      </c>
      <c r="AB81" s="140">
        <f>'(변경)집계표'!M226</f>
        <v>0</v>
      </c>
      <c r="AC81" s="111">
        <f>'(변경)집계표'!K256</f>
        <v>0</v>
      </c>
      <c r="AD81" s="112" t="s">
        <v>11</v>
      </c>
      <c r="AE81" s="140">
        <f>'(변경)집계표'!M256</f>
        <v>0</v>
      </c>
      <c r="AF81" s="111">
        <f>'(변경)집계표'!K286</f>
        <v>0</v>
      </c>
      <c r="AG81" s="112" t="s">
        <v>11</v>
      </c>
      <c r="AH81" s="140">
        <f>'(변경)집계표'!M286</f>
        <v>0</v>
      </c>
      <c r="AI81" s="128"/>
    </row>
    <row r="82" spans="1:36" s="6" customFormat="1" ht="22.5" customHeight="1">
      <c r="A82" s="127" t="s">
        <v>23</v>
      </c>
      <c r="B82" s="111">
        <f t="shared" si="4"/>
        <v>0</v>
      </c>
      <c r="C82" s="112" t="s">
        <v>11</v>
      </c>
      <c r="D82" s="179">
        <f t="shared" si="5"/>
        <v>0</v>
      </c>
      <c r="E82" s="111">
        <v>0</v>
      </c>
      <c r="F82" s="112" t="s">
        <v>11</v>
      </c>
      <c r="G82" s="179">
        <v>0</v>
      </c>
      <c r="H82" s="111">
        <v>0</v>
      </c>
      <c r="I82" s="112" t="s">
        <v>11</v>
      </c>
      <c r="J82" s="179">
        <v>0</v>
      </c>
      <c r="K82" s="111">
        <v>0</v>
      </c>
      <c r="L82" s="112" t="s">
        <v>11</v>
      </c>
      <c r="M82" s="179">
        <v>0</v>
      </c>
      <c r="N82" s="111">
        <v>0</v>
      </c>
      <c r="O82" s="112" t="s">
        <v>11</v>
      </c>
      <c r="P82" s="179">
        <v>0</v>
      </c>
      <c r="Q82" s="111">
        <v>0</v>
      </c>
      <c r="R82" s="112" t="s">
        <v>11</v>
      </c>
      <c r="S82" s="140">
        <v>0</v>
      </c>
      <c r="T82" s="111">
        <f>'(변경)집계표'!K167</f>
        <v>0</v>
      </c>
      <c r="U82" s="112" t="s">
        <v>11</v>
      </c>
      <c r="V82" s="140">
        <f>'(변경)집계표'!M167</f>
        <v>0</v>
      </c>
      <c r="W82" s="111">
        <f>'(변경)집계표'!K197</f>
        <v>0</v>
      </c>
      <c r="X82" s="112" t="s">
        <v>11</v>
      </c>
      <c r="Y82" s="140">
        <f>'(변경)집계표'!M197</f>
        <v>0</v>
      </c>
      <c r="Z82" s="111">
        <f>'(변경)집계표'!K227</f>
        <v>0</v>
      </c>
      <c r="AA82" s="112" t="s">
        <v>11</v>
      </c>
      <c r="AB82" s="140">
        <f>'(변경)집계표'!M227</f>
        <v>0</v>
      </c>
      <c r="AC82" s="111">
        <f>'(변경)집계표'!K257</f>
        <v>0</v>
      </c>
      <c r="AD82" s="112" t="s">
        <v>11</v>
      </c>
      <c r="AE82" s="140">
        <f>'(변경)집계표'!M257</f>
        <v>0</v>
      </c>
      <c r="AF82" s="111">
        <f>'(변경)집계표'!K287</f>
        <v>0</v>
      </c>
      <c r="AG82" s="112" t="s">
        <v>11</v>
      </c>
      <c r="AH82" s="140">
        <f>'(변경)집계표'!M287</f>
        <v>0</v>
      </c>
      <c r="AI82" s="128"/>
    </row>
    <row r="83" spans="1:36" s="7" customFormat="1" ht="22.5" customHeight="1">
      <c r="A83" s="127" t="s">
        <v>24</v>
      </c>
      <c r="B83" s="111">
        <f t="shared" si="4"/>
        <v>0</v>
      </c>
      <c r="C83" s="112" t="s">
        <v>11</v>
      </c>
      <c r="D83" s="179">
        <f t="shared" si="5"/>
        <v>0</v>
      </c>
      <c r="E83" s="111">
        <v>0</v>
      </c>
      <c r="F83" s="112" t="s">
        <v>11</v>
      </c>
      <c r="G83" s="179">
        <v>0</v>
      </c>
      <c r="H83" s="111">
        <v>0</v>
      </c>
      <c r="I83" s="112" t="s">
        <v>11</v>
      </c>
      <c r="J83" s="179">
        <v>0</v>
      </c>
      <c r="K83" s="111">
        <v>0</v>
      </c>
      <c r="L83" s="112" t="s">
        <v>11</v>
      </c>
      <c r="M83" s="179">
        <v>0</v>
      </c>
      <c r="N83" s="111">
        <v>0</v>
      </c>
      <c r="O83" s="112" t="s">
        <v>11</v>
      </c>
      <c r="P83" s="179">
        <v>0</v>
      </c>
      <c r="Q83" s="111">
        <v>0</v>
      </c>
      <c r="R83" s="112" t="s">
        <v>11</v>
      </c>
      <c r="S83" s="140">
        <v>0</v>
      </c>
      <c r="T83" s="111">
        <f>'(변경)집계표'!K168</f>
        <v>0</v>
      </c>
      <c r="U83" s="112" t="s">
        <v>11</v>
      </c>
      <c r="V83" s="140">
        <f>'(변경)집계표'!M168</f>
        <v>0</v>
      </c>
      <c r="W83" s="111">
        <f>'(변경)집계표'!K198</f>
        <v>0</v>
      </c>
      <c r="X83" s="112" t="s">
        <v>11</v>
      </c>
      <c r="Y83" s="140">
        <f>'(변경)집계표'!M198</f>
        <v>0</v>
      </c>
      <c r="Z83" s="111">
        <f>'(변경)집계표'!K228</f>
        <v>0</v>
      </c>
      <c r="AA83" s="112" t="s">
        <v>11</v>
      </c>
      <c r="AB83" s="140">
        <f>'(변경)집계표'!M228</f>
        <v>0</v>
      </c>
      <c r="AC83" s="111">
        <f>'(변경)집계표'!K258</f>
        <v>0</v>
      </c>
      <c r="AD83" s="112" t="s">
        <v>11</v>
      </c>
      <c r="AE83" s="140">
        <f>'(변경)집계표'!M258</f>
        <v>0</v>
      </c>
      <c r="AF83" s="111">
        <f>'(변경)집계표'!K288</f>
        <v>0</v>
      </c>
      <c r="AG83" s="112" t="s">
        <v>11</v>
      </c>
      <c r="AH83" s="140">
        <f>'(변경)집계표'!M288</f>
        <v>0</v>
      </c>
      <c r="AI83" s="128"/>
      <c r="AJ83" s="6"/>
    </row>
    <row r="84" spans="1:36" s="7" customFormat="1" ht="22.5" customHeight="1">
      <c r="A84" s="127" t="s">
        <v>25</v>
      </c>
      <c r="B84" s="111">
        <f t="shared" si="4"/>
        <v>0</v>
      </c>
      <c r="C84" s="112" t="s">
        <v>11</v>
      </c>
      <c r="D84" s="179">
        <f t="shared" si="5"/>
        <v>0</v>
      </c>
      <c r="E84" s="111">
        <v>0</v>
      </c>
      <c r="F84" s="112" t="s">
        <v>11</v>
      </c>
      <c r="G84" s="179">
        <v>0</v>
      </c>
      <c r="H84" s="111">
        <v>0</v>
      </c>
      <c r="I84" s="112" t="s">
        <v>11</v>
      </c>
      <c r="J84" s="179">
        <v>0</v>
      </c>
      <c r="K84" s="111">
        <v>0</v>
      </c>
      <c r="L84" s="112" t="s">
        <v>11</v>
      </c>
      <c r="M84" s="179">
        <v>0</v>
      </c>
      <c r="N84" s="111">
        <v>0</v>
      </c>
      <c r="O84" s="112" t="s">
        <v>11</v>
      </c>
      <c r="P84" s="179">
        <v>0</v>
      </c>
      <c r="Q84" s="111">
        <v>0</v>
      </c>
      <c r="R84" s="112" t="s">
        <v>11</v>
      </c>
      <c r="S84" s="140">
        <v>0</v>
      </c>
      <c r="T84" s="111">
        <f>'(변경)집계표'!K169</f>
        <v>0</v>
      </c>
      <c r="U84" s="112" t="s">
        <v>11</v>
      </c>
      <c r="V84" s="140">
        <f>'(변경)집계표'!M169</f>
        <v>0</v>
      </c>
      <c r="W84" s="111">
        <f>'(변경)집계표'!K199</f>
        <v>0</v>
      </c>
      <c r="X84" s="112" t="s">
        <v>11</v>
      </c>
      <c r="Y84" s="140">
        <f>'(변경)집계표'!M199</f>
        <v>0</v>
      </c>
      <c r="Z84" s="111">
        <f>'(변경)집계표'!K229</f>
        <v>0</v>
      </c>
      <c r="AA84" s="112" t="s">
        <v>11</v>
      </c>
      <c r="AB84" s="140">
        <f>'(변경)집계표'!M229</f>
        <v>0</v>
      </c>
      <c r="AC84" s="111">
        <f>'(변경)집계표'!K259</f>
        <v>0</v>
      </c>
      <c r="AD84" s="112" t="s">
        <v>11</v>
      </c>
      <c r="AE84" s="140">
        <f>'(변경)집계표'!M259</f>
        <v>0</v>
      </c>
      <c r="AF84" s="111">
        <f>'(변경)집계표'!K289</f>
        <v>0</v>
      </c>
      <c r="AG84" s="112" t="s">
        <v>11</v>
      </c>
      <c r="AH84" s="140">
        <f>'(변경)집계표'!M289</f>
        <v>0</v>
      </c>
      <c r="AI84" s="128"/>
      <c r="AJ84" s="6"/>
    </row>
    <row r="85" spans="1:36" s="7" customFormat="1" ht="22.5" customHeight="1">
      <c r="A85" s="127" t="s">
        <v>26</v>
      </c>
      <c r="B85" s="111">
        <f t="shared" si="4"/>
        <v>0</v>
      </c>
      <c r="C85" s="112" t="s">
        <v>11</v>
      </c>
      <c r="D85" s="179">
        <f t="shared" si="5"/>
        <v>0</v>
      </c>
      <c r="E85" s="111">
        <v>0</v>
      </c>
      <c r="F85" s="112" t="s">
        <v>11</v>
      </c>
      <c r="G85" s="179">
        <v>0</v>
      </c>
      <c r="H85" s="111">
        <v>0</v>
      </c>
      <c r="I85" s="112" t="s">
        <v>11</v>
      </c>
      <c r="J85" s="179">
        <v>0</v>
      </c>
      <c r="K85" s="111">
        <v>0</v>
      </c>
      <c r="L85" s="112" t="s">
        <v>11</v>
      </c>
      <c r="M85" s="179">
        <v>0</v>
      </c>
      <c r="N85" s="111">
        <v>0</v>
      </c>
      <c r="O85" s="112" t="s">
        <v>11</v>
      </c>
      <c r="P85" s="179">
        <v>0</v>
      </c>
      <c r="Q85" s="111">
        <v>0</v>
      </c>
      <c r="R85" s="112" t="s">
        <v>11</v>
      </c>
      <c r="S85" s="140">
        <v>0</v>
      </c>
      <c r="T85" s="111">
        <f>'(변경)집계표'!K170</f>
        <v>0</v>
      </c>
      <c r="U85" s="112" t="s">
        <v>11</v>
      </c>
      <c r="V85" s="140">
        <f>'(변경)집계표'!M170</f>
        <v>0</v>
      </c>
      <c r="W85" s="111">
        <f>'(변경)집계표'!K200</f>
        <v>0</v>
      </c>
      <c r="X85" s="112" t="s">
        <v>11</v>
      </c>
      <c r="Y85" s="140">
        <f>'(변경)집계표'!M200</f>
        <v>0</v>
      </c>
      <c r="Z85" s="111">
        <f>'(변경)집계표'!K230</f>
        <v>0</v>
      </c>
      <c r="AA85" s="112" t="s">
        <v>11</v>
      </c>
      <c r="AB85" s="140">
        <f>'(변경)집계표'!M230</f>
        <v>0</v>
      </c>
      <c r="AC85" s="111">
        <f>'(변경)집계표'!K260</f>
        <v>0</v>
      </c>
      <c r="AD85" s="112" t="s">
        <v>11</v>
      </c>
      <c r="AE85" s="140">
        <f>'(변경)집계표'!M260</f>
        <v>0</v>
      </c>
      <c r="AF85" s="111">
        <f>'(변경)집계표'!K290</f>
        <v>0</v>
      </c>
      <c r="AG85" s="112" t="s">
        <v>11</v>
      </c>
      <c r="AH85" s="140">
        <f>'(변경)집계표'!M290</f>
        <v>0</v>
      </c>
      <c r="AI85" s="128"/>
      <c r="AJ85" s="6"/>
    </row>
    <row r="86" spans="1:36" s="7" customFormat="1" ht="22.5" customHeight="1">
      <c r="A86" s="127" t="s">
        <v>27</v>
      </c>
      <c r="B86" s="111">
        <f t="shared" si="4"/>
        <v>0</v>
      </c>
      <c r="C86" s="112" t="s">
        <v>11</v>
      </c>
      <c r="D86" s="179">
        <f t="shared" si="5"/>
        <v>0</v>
      </c>
      <c r="E86" s="111">
        <v>0</v>
      </c>
      <c r="F86" s="112" t="s">
        <v>11</v>
      </c>
      <c r="G86" s="179">
        <v>0</v>
      </c>
      <c r="H86" s="111">
        <v>0</v>
      </c>
      <c r="I86" s="112" t="s">
        <v>11</v>
      </c>
      <c r="J86" s="179">
        <v>0</v>
      </c>
      <c r="K86" s="111">
        <v>0</v>
      </c>
      <c r="L86" s="112" t="s">
        <v>11</v>
      </c>
      <c r="M86" s="179">
        <v>0</v>
      </c>
      <c r="N86" s="111">
        <v>0</v>
      </c>
      <c r="O86" s="112" t="s">
        <v>11</v>
      </c>
      <c r="P86" s="179">
        <v>0</v>
      </c>
      <c r="Q86" s="111">
        <v>0</v>
      </c>
      <c r="R86" s="112" t="s">
        <v>11</v>
      </c>
      <c r="S86" s="140">
        <v>0</v>
      </c>
      <c r="T86" s="111">
        <f>'(변경)집계표'!K171</f>
        <v>0</v>
      </c>
      <c r="U86" s="112" t="s">
        <v>11</v>
      </c>
      <c r="V86" s="140">
        <f>'(변경)집계표'!M171</f>
        <v>0</v>
      </c>
      <c r="W86" s="111">
        <f>'(변경)집계표'!K201</f>
        <v>0</v>
      </c>
      <c r="X86" s="112" t="s">
        <v>11</v>
      </c>
      <c r="Y86" s="140">
        <f>'(변경)집계표'!M201</f>
        <v>0</v>
      </c>
      <c r="Z86" s="111">
        <f>'(변경)집계표'!K231</f>
        <v>0</v>
      </c>
      <c r="AA86" s="112" t="s">
        <v>11</v>
      </c>
      <c r="AB86" s="140">
        <f>'(변경)집계표'!M231</f>
        <v>0</v>
      </c>
      <c r="AC86" s="111">
        <f>'(변경)집계표'!K261</f>
        <v>0</v>
      </c>
      <c r="AD86" s="112" t="s">
        <v>11</v>
      </c>
      <c r="AE86" s="140">
        <f>'(변경)집계표'!M261</f>
        <v>0</v>
      </c>
      <c r="AF86" s="111">
        <f>'(변경)집계표'!K291</f>
        <v>0</v>
      </c>
      <c r="AG86" s="112" t="s">
        <v>11</v>
      </c>
      <c r="AH86" s="140">
        <f>'(변경)집계표'!M291</f>
        <v>0</v>
      </c>
      <c r="AI86" s="128"/>
      <c r="AJ86" s="6"/>
    </row>
    <row r="87" spans="1:36" s="7" customFormat="1" ht="22.5" customHeight="1">
      <c r="A87" s="127" t="s">
        <v>28</v>
      </c>
      <c r="B87" s="111">
        <f t="shared" si="4"/>
        <v>0</v>
      </c>
      <c r="C87" s="112" t="s">
        <v>11</v>
      </c>
      <c r="D87" s="179">
        <f t="shared" si="5"/>
        <v>0</v>
      </c>
      <c r="E87" s="111">
        <v>0</v>
      </c>
      <c r="F87" s="112" t="s">
        <v>11</v>
      </c>
      <c r="G87" s="179">
        <v>0</v>
      </c>
      <c r="H87" s="111">
        <v>0</v>
      </c>
      <c r="I87" s="112" t="s">
        <v>11</v>
      </c>
      <c r="J87" s="179">
        <v>0</v>
      </c>
      <c r="K87" s="111">
        <v>0</v>
      </c>
      <c r="L87" s="112" t="s">
        <v>11</v>
      </c>
      <c r="M87" s="179">
        <v>0</v>
      </c>
      <c r="N87" s="111">
        <v>0</v>
      </c>
      <c r="O87" s="112" t="s">
        <v>11</v>
      </c>
      <c r="P87" s="179">
        <v>0</v>
      </c>
      <c r="Q87" s="111">
        <v>0</v>
      </c>
      <c r="R87" s="112" t="s">
        <v>11</v>
      </c>
      <c r="S87" s="140">
        <v>0</v>
      </c>
      <c r="T87" s="111">
        <f>'(변경)집계표'!K172</f>
        <v>0</v>
      </c>
      <c r="U87" s="112" t="s">
        <v>11</v>
      </c>
      <c r="V87" s="140">
        <f>'(변경)집계표'!M172</f>
        <v>0</v>
      </c>
      <c r="W87" s="111">
        <f>'(변경)집계표'!K202</f>
        <v>0</v>
      </c>
      <c r="X87" s="112" t="s">
        <v>11</v>
      </c>
      <c r="Y87" s="140">
        <f>'(변경)집계표'!M202</f>
        <v>0</v>
      </c>
      <c r="Z87" s="111">
        <f>'(변경)집계표'!K232</f>
        <v>0</v>
      </c>
      <c r="AA87" s="112" t="s">
        <v>11</v>
      </c>
      <c r="AB87" s="140">
        <f>'(변경)집계표'!M232</f>
        <v>0</v>
      </c>
      <c r="AC87" s="111">
        <f>'(변경)집계표'!K262</f>
        <v>0</v>
      </c>
      <c r="AD87" s="112" t="s">
        <v>11</v>
      </c>
      <c r="AE87" s="140">
        <f>'(변경)집계표'!M262</f>
        <v>0</v>
      </c>
      <c r="AF87" s="111">
        <f>'(변경)집계표'!K292</f>
        <v>0</v>
      </c>
      <c r="AG87" s="112" t="s">
        <v>11</v>
      </c>
      <c r="AH87" s="140">
        <f>'(변경)집계표'!M292</f>
        <v>0</v>
      </c>
      <c r="AI87" s="128"/>
      <c r="AJ87" s="6"/>
    </row>
    <row r="88" spans="1:36" s="7" customFormat="1" ht="22.5" customHeight="1">
      <c r="A88" s="127" t="s">
        <v>29</v>
      </c>
      <c r="B88" s="111">
        <f t="shared" si="4"/>
        <v>15</v>
      </c>
      <c r="C88" s="112" t="s">
        <v>11</v>
      </c>
      <c r="D88" s="179">
        <f t="shared" si="5"/>
        <v>6943</v>
      </c>
      <c r="E88" s="111">
        <v>0</v>
      </c>
      <c r="F88" s="112" t="s">
        <v>11</v>
      </c>
      <c r="G88" s="179">
        <v>0</v>
      </c>
      <c r="H88" s="111">
        <v>3</v>
      </c>
      <c r="I88" s="112" t="s">
        <v>11</v>
      </c>
      <c r="J88" s="179">
        <v>483</v>
      </c>
      <c r="K88" s="111">
        <v>0</v>
      </c>
      <c r="L88" s="112" t="s">
        <v>11</v>
      </c>
      <c r="M88" s="179">
        <v>0</v>
      </c>
      <c r="N88" s="111">
        <v>0</v>
      </c>
      <c r="O88" s="112" t="s">
        <v>11</v>
      </c>
      <c r="P88" s="179">
        <v>0</v>
      </c>
      <c r="Q88" s="111">
        <v>12</v>
      </c>
      <c r="R88" s="112" t="s">
        <v>11</v>
      </c>
      <c r="S88" s="140">
        <v>6460</v>
      </c>
      <c r="T88" s="111">
        <f>'(변경)집계표'!K173</f>
        <v>0</v>
      </c>
      <c r="U88" s="112" t="s">
        <v>11</v>
      </c>
      <c r="V88" s="140">
        <f>'(변경)집계표'!M173</f>
        <v>0</v>
      </c>
      <c r="W88" s="111">
        <f>'(변경)집계표'!K203</f>
        <v>0</v>
      </c>
      <c r="X88" s="112" t="s">
        <v>11</v>
      </c>
      <c r="Y88" s="140">
        <f>'(변경)집계표'!M203</f>
        <v>0</v>
      </c>
      <c r="Z88" s="111">
        <f>'(변경)집계표'!K233</f>
        <v>0</v>
      </c>
      <c r="AA88" s="112" t="s">
        <v>11</v>
      </c>
      <c r="AB88" s="140">
        <f>'(변경)집계표'!M233</f>
        <v>0</v>
      </c>
      <c r="AC88" s="111">
        <f>'(변경)집계표'!K263</f>
        <v>0</v>
      </c>
      <c r="AD88" s="112" t="s">
        <v>11</v>
      </c>
      <c r="AE88" s="140">
        <f>'(변경)집계표'!M263</f>
        <v>0</v>
      </c>
      <c r="AF88" s="111">
        <f>'(변경)집계표'!K293</f>
        <v>0</v>
      </c>
      <c r="AG88" s="112" t="s">
        <v>11</v>
      </c>
      <c r="AH88" s="140">
        <f>'(변경)집계표'!M293</f>
        <v>0</v>
      </c>
      <c r="AI88" s="128"/>
      <c r="AJ88" s="6"/>
    </row>
    <row r="89" spans="1:36" s="7" customFormat="1" ht="22.5" customHeight="1">
      <c r="A89" s="129" t="s">
        <v>30</v>
      </c>
      <c r="B89" s="111">
        <f t="shared" si="4"/>
        <v>0</v>
      </c>
      <c r="C89" s="112" t="s">
        <v>11</v>
      </c>
      <c r="D89" s="179">
        <f t="shared" si="5"/>
        <v>0</v>
      </c>
      <c r="E89" s="111">
        <v>0</v>
      </c>
      <c r="F89" s="112" t="s">
        <v>11</v>
      </c>
      <c r="G89" s="179">
        <v>0</v>
      </c>
      <c r="H89" s="111">
        <v>0</v>
      </c>
      <c r="I89" s="112" t="s">
        <v>11</v>
      </c>
      <c r="J89" s="179">
        <v>0</v>
      </c>
      <c r="K89" s="111">
        <v>0</v>
      </c>
      <c r="L89" s="112" t="s">
        <v>11</v>
      </c>
      <c r="M89" s="179">
        <v>0</v>
      </c>
      <c r="N89" s="111">
        <v>0</v>
      </c>
      <c r="O89" s="112" t="s">
        <v>11</v>
      </c>
      <c r="P89" s="179">
        <v>0</v>
      </c>
      <c r="Q89" s="111">
        <v>0</v>
      </c>
      <c r="R89" s="112" t="s">
        <v>11</v>
      </c>
      <c r="S89" s="140">
        <v>0</v>
      </c>
      <c r="T89" s="111">
        <f>'(변경)집계표'!K174</f>
        <v>0</v>
      </c>
      <c r="U89" s="112" t="s">
        <v>11</v>
      </c>
      <c r="V89" s="140">
        <f>'(변경)집계표'!M174</f>
        <v>0</v>
      </c>
      <c r="W89" s="111">
        <f>'(변경)집계표'!K204</f>
        <v>0</v>
      </c>
      <c r="X89" s="112" t="s">
        <v>11</v>
      </c>
      <c r="Y89" s="140">
        <f>'(변경)집계표'!M204</f>
        <v>0</v>
      </c>
      <c r="Z89" s="111">
        <f>'(변경)집계표'!K234</f>
        <v>0</v>
      </c>
      <c r="AA89" s="112" t="s">
        <v>11</v>
      </c>
      <c r="AB89" s="140">
        <f>'(변경)집계표'!M234</f>
        <v>0</v>
      </c>
      <c r="AC89" s="111">
        <f>'(변경)집계표'!K264</f>
        <v>0</v>
      </c>
      <c r="AD89" s="112" t="s">
        <v>11</v>
      </c>
      <c r="AE89" s="140">
        <f>'(변경)집계표'!M264</f>
        <v>0</v>
      </c>
      <c r="AF89" s="111">
        <f>'(변경)집계표'!K294</f>
        <v>0</v>
      </c>
      <c r="AG89" s="112" t="s">
        <v>11</v>
      </c>
      <c r="AH89" s="140">
        <f>'(변경)집계표'!M294</f>
        <v>0</v>
      </c>
      <c r="AI89" s="128"/>
      <c r="AJ89" s="6"/>
    </row>
    <row r="90" spans="1:36" s="7" customFormat="1" ht="22.5" customHeight="1">
      <c r="A90" s="129" t="s">
        <v>31</v>
      </c>
      <c r="B90" s="111">
        <f t="shared" si="4"/>
        <v>0</v>
      </c>
      <c r="C90" s="112" t="s">
        <v>11</v>
      </c>
      <c r="D90" s="179">
        <f t="shared" si="5"/>
        <v>0</v>
      </c>
      <c r="E90" s="111">
        <v>0</v>
      </c>
      <c r="F90" s="112" t="s">
        <v>11</v>
      </c>
      <c r="G90" s="179">
        <v>0</v>
      </c>
      <c r="H90" s="111">
        <v>0</v>
      </c>
      <c r="I90" s="112" t="s">
        <v>11</v>
      </c>
      <c r="J90" s="179">
        <v>0</v>
      </c>
      <c r="K90" s="111">
        <v>0</v>
      </c>
      <c r="L90" s="112" t="s">
        <v>11</v>
      </c>
      <c r="M90" s="179">
        <v>0</v>
      </c>
      <c r="N90" s="111">
        <v>0</v>
      </c>
      <c r="O90" s="112" t="s">
        <v>11</v>
      </c>
      <c r="P90" s="179">
        <v>0</v>
      </c>
      <c r="Q90" s="111">
        <v>0</v>
      </c>
      <c r="R90" s="112" t="s">
        <v>11</v>
      </c>
      <c r="S90" s="140">
        <v>0</v>
      </c>
      <c r="T90" s="111">
        <f>'(변경)집계표'!K175</f>
        <v>0</v>
      </c>
      <c r="U90" s="112" t="s">
        <v>11</v>
      </c>
      <c r="V90" s="140">
        <f>'(변경)집계표'!M175</f>
        <v>0</v>
      </c>
      <c r="W90" s="111">
        <f>'(변경)집계표'!K205</f>
        <v>0</v>
      </c>
      <c r="X90" s="112" t="s">
        <v>11</v>
      </c>
      <c r="Y90" s="140">
        <f>'(변경)집계표'!M205</f>
        <v>0</v>
      </c>
      <c r="Z90" s="111">
        <f>'(변경)집계표'!K235</f>
        <v>0</v>
      </c>
      <c r="AA90" s="112" t="s">
        <v>11</v>
      </c>
      <c r="AB90" s="140">
        <f>'(변경)집계표'!M235</f>
        <v>0</v>
      </c>
      <c r="AC90" s="111">
        <f>'(변경)집계표'!K265</f>
        <v>0</v>
      </c>
      <c r="AD90" s="112" t="s">
        <v>11</v>
      </c>
      <c r="AE90" s="140">
        <f>'(변경)집계표'!M265</f>
        <v>0</v>
      </c>
      <c r="AF90" s="111">
        <f>'(변경)집계표'!K295</f>
        <v>0</v>
      </c>
      <c r="AG90" s="112" t="s">
        <v>11</v>
      </c>
      <c r="AH90" s="140">
        <f>'(변경)집계표'!M295</f>
        <v>0</v>
      </c>
      <c r="AI90" s="128"/>
      <c r="AJ90" s="6"/>
    </row>
    <row r="91" spans="1:36" s="7" customFormat="1" ht="22.5" customHeight="1">
      <c r="A91" s="129" t="s">
        <v>32</v>
      </c>
      <c r="B91" s="111">
        <f t="shared" si="4"/>
        <v>0</v>
      </c>
      <c r="C91" s="112" t="s">
        <v>11</v>
      </c>
      <c r="D91" s="179">
        <f t="shared" si="5"/>
        <v>0</v>
      </c>
      <c r="E91" s="111">
        <v>0</v>
      </c>
      <c r="F91" s="112" t="s">
        <v>11</v>
      </c>
      <c r="G91" s="179">
        <v>0</v>
      </c>
      <c r="H91" s="111">
        <v>0</v>
      </c>
      <c r="I91" s="112" t="s">
        <v>11</v>
      </c>
      <c r="J91" s="179">
        <v>0</v>
      </c>
      <c r="K91" s="111">
        <v>0</v>
      </c>
      <c r="L91" s="112" t="s">
        <v>11</v>
      </c>
      <c r="M91" s="179">
        <v>0</v>
      </c>
      <c r="N91" s="111">
        <v>0</v>
      </c>
      <c r="O91" s="112" t="s">
        <v>11</v>
      </c>
      <c r="P91" s="179">
        <v>0</v>
      </c>
      <c r="Q91" s="111">
        <v>0</v>
      </c>
      <c r="R91" s="112" t="s">
        <v>11</v>
      </c>
      <c r="S91" s="140">
        <v>0</v>
      </c>
      <c r="T91" s="111">
        <f>'(변경)집계표'!K176</f>
        <v>0</v>
      </c>
      <c r="U91" s="112" t="s">
        <v>11</v>
      </c>
      <c r="V91" s="140">
        <f>'(변경)집계표'!M176</f>
        <v>0</v>
      </c>
      <c r="W91" s="111">
        <f>'(변경)집계표'!K206</f>
        <v>0</v>
      </c>
      <c r="X91" s="112" t="s">
        <v>11</v>
      </c>
      <c r="Y91" s="140">
        <f>'(변경)집계표'!M206</f>
        <v>0</v>
      </c>
      <c r="Z91" s="111">
        <f>'(변경)집계표'!K236</f>
        <v>0</v>
      </c>
      <c r="AA91" s="112" t="s">
        <v>11</v>
      </c>
      <c r="AB91" s="140">
        <f>'(변경)집계표'!M236</f>
        <v>0</v>
      </c>
      <c r="AC91" s="111">
        <f>'(변경)집계표'!K266</f>
        <v>0</v>
      </c>
      <c r="AD91" s="112" t="s">
        <v>11</v>
      </c>
      <c r="AE91" s="140">
        <f>'(변경)집계표'!M266</f>
        <v>0</v>
      </c>
      <c r="AF91" s="111">
        <f>'(변경)집계표'!K296</f>
        <v>0</v>
      </c>
      <c r="AG91" s="112" t="s">
        <v>11</v>
      </c>
      <c r="AH91" s="140">
        <f>'(변경)집계표'!M296</f>
        <v>0</v>
      </c>
      <c r="AI91" s="128"/>
      <c r="AJ91" s="6"/>
    </row>
    <row r="92" spans="1:36" s="7" customFormat="1" ht="22.5" customHeight="1">
      <c r="A92" s="129" t="s">
        <v>33</v>
      </c>
      <c r="B92" s="111">
        <f t="shared" si="4"/>
        <v>0</v>
      </c>
      <c r="C92" s="112" t="s">
        <v>11</v>
      </c>
      <c r="D92" s="179">
        <f t="shared" si="5"/>
        <v>0</v>
      </c>
      <c r="E92" s="111">
        <v>0</v>
      </c>
      <c r="F92" s="112" t="s">
        <v>11</v>
      </c>
      <c r="G92" s="179">
        <v>0</v>
      </c>
      <c r="H92" s="111">
        <v>0</v>
      </c>
      <c r="I92" s="112" t="s">
        <v>11</v>
      </c>
      <c r="J92" s="179">
        <v>0</v>
      </c>
      <c r="K92" s="111">
        <v>0</v>
      </c>
      <c r="L92" s="112" t="s">
        <v>11</v>
      </c>
      <c r="M92" s="179">
        <v>0</v>
      </c>
      <c r="N92" s="111">
        <v>0</v>
      </c>
      <c r="O92" s="112" t="s">
        <v>11</v>
      </c>
      <c r="P92" s="179">
        <v>0</v>
      </c>
      <c r="Q92" s="111">
        <v>0</v>
      </c>
      <c r="R92" s="112" t="s">
        <v>11</v>
      </c>
      <c r="S92" s="140">
        <v>0</v>
      </c>
      <c r="T92" s="111">
        <f>'(변경)집계표'!K177</f>
        <v>0</v>
      </c>
      <c r="U92" s="112" t="s">
        <v>11</v>
      </c>
      <c r="V92" s="140">
        <f>'(변경)집계표'!M177</f>
        <v>0</v>
      </c>
      <c r="W92" s="111">
        <f>'(변경)집계표'!K207</f>
        <v>0</v>
      </c>
      <c r="X92" s="112" t="s">
        <v>11</v>
      </c>
      <c r="Y92" s="140">
        <f>'(변경)집계표'!M207</f>
        <v>0</v>
      </c>
      <c r="Z92" s="111">
        <f>'(변경)집계표'!K237</f>
        <v>0</v>
      </c>
      <c r="AA92" s="112" t="s">
        <v>11</v>
      </c>
      <c r="AB92" s="140">
        <f>'(변경)집계표'!M237</f>
        <v>0</v>
      </c>
      <c r="AC92" s="111">
        <f>'(변경)집계표'!K267</f>
        <v>0</v>
      </c>
      <c r="AD92" s="112" t="s">
        <v>11</v>
      </c>
      <c r="AE92" s="140">
        <f>'(변경)집계표'!M267</f>
        <v>0</v>
      </c>
      <c r="AF92" s="111">
        <f>'(변경)집계표'!K297</f>
        <v>0</v>
      </c>
      <c r="AG92" s="112" t="s">
        <v>11</v>
      </c>
      <c r="AH92" s="140">
        <f>'(변경)집계표'!M297</f>
        <v>0</v>
      </c>
      <c r="AI92" s="128"/>
      <c r="AJ92" s="6"/>
    </row>
    <row r="93" spans="1:36" s="7" customFormat="1" ht="22.5" customHeight="1">
      <c r="A93" s="129" t="s">
        <v>34</v>
      </c>
      <c r="B93" s="111">
        <f t="shared" si="4"/>
        <v>0</v>
      </c>
      <c r="C93" s="112" t="s">
        <v>11</v>
      </c>
      <c r="D93" s="179">
        <f t="shared" si="5"/>
        <v>0</v>
      </c>
      <c r="E93" s="111">
        <v>0</v>
      </c>
      <c r="F93" s="112" t="s">
        <v>11</v>
      </c>
      <c r="G93" s="179">
        <v>0</v>
      </c>
      <c r="H93" s="111">
        <v>0</v>
      </c>
      <c r="I93" s="112" t="s">
        <v>11</v>
      </c>
      <c r="J93" s="179">
        <v>0</v>
      </c>
      <c r="K93" s="111">
        <v>0</v>
      </c>
      <c r="L93" s="112" t="s">
        <v>11</v>
      </c>
      <c r="M93" s="179">
        <v>0</v>
      </c>
      <c r="N93" s="111">
        <v>0</v>
      </c>
      <c r="O93" s="112" t="s">
        <v>11</v>
      </c>
      <c r="P93" s="179">
        <v>0</v>
      </c>
      <c r="Q93" s="111">
        <v>0</v>
      </c>
      <c r="R93" s="112" t="s">
        <v>11</v>
      </c>
      <c r="S93" s="140">
        <v>0</v>
      </c>
      <c r="T93" s="111">
        <f>'(변경)집계표'!K178</f>
        <v>0</v>
      </c>
      <c r="U93" s="112" t="s">
        <v>11</v>
      </c>
      <c r="V93" s="140">
        <f>'(변경)집계표'!M178</f>
        <v>0</v>
      </c>
      <c r="W93" s="111">
        <f>'(변경)집계표'!K208</f>
        <v>0</v>
      </c>
      <c r="X93" s="112" t="s">
        <v>11</v>
      </c>
      <c r="Y93" s="140">
        <f>'(변경)집계표'!M208</f>
        <v>0</v>
      </c>
      <c r="Z93" s="111">
        <f>'(변경)집계표'!K238</f>
        <v>0</v>
      </c>
      <c r="AA93" s="112" t="s">
        <v>11</v>
      </c>
      <c r="AB93" s="140">
        <f>'(변경)집계표'!M238</f>
        <v>0</v>
      </c>
      <c r="AC93" s="111">
        <f>'(변경)집계표'!K268</f>
        <v>0</v>
      </c>
      <c r="AD93" s="112" t="s">
        <v>11</v>
      </c>
      <c r="AE93" s="140">
        <f>'(변경)집계표'!M268</f>
        <v>0</v>
      </c>
      <c r="AF93" s="111">
        <f>'(변경)집계표'!K298</f>
        <v>0</v>
      </c>
      <c r="AG93" s="112" t="s">
        <v>11</v>
      </c>
      <c r="AH93" s="140">
        <f>'(변경)집계표'!M298</f>
        <v>0</v>
      </c>
      <c r="AI93" s="128"/>
      <c r="AJ93" s="6"/>
    </row>
    <row r="94" spans="1:36" s="7" customFormat="1" ht="22.5" customHeight="1">
      <c r="A94" s="129" t="s">
        <v>66</v>
      </c>
      <c r="B94" s="111">
        <f t="shared" si="4"/>
        <v>0</v>
      </c>
      <c r="C94" s="112" t="s">
        <v>11</v>
      </c>
      <c r="D94" s="179">
        <f t="shared" si="5"/>
        <v>0</v>
      </c>
      <c r="E94" s="111">
        <v>0</v>
      </c>
      <c r="F94" s="112" t="s">
        <v>11</v>
      </c>
      <c r="G94" s="179">
        <v>0</v>
      </c>
      <c r="H94" s="111">
        <v>0</v>
      </c>
      <c r="I94" s="112" t="s">
        <v>11</v>
      </c>
      <c r="J94" s="179">
        <v>0</v>
      </c>
      <c r="K94" s="111">
        <v>0</v>
      </c>
      <c r="L94" s="112" t="s">
        <v>11</v>
      </c>
      <c r="M94" s="179">
        <v>0</v>
      </c>
      <c r="N94" s="111">
        <v>0</v>
      </c>
      <c r="O94" s="112" t="s">
        <v>11</v>
      </c>
      <c r="P94" s="179">
        <v>0</v>
      </c>
      <c r="Q94" s="111">
        <v>0</v>
      </c>
      <c r="R94" s="112" t="s">
        <v>11</v>
      </c>
      <c r="S94" s="140">
        <v>0</v>
      </c>
      <c r="T94" s="111">
        <f>'(변경)집계표'!K179</f>
        <v>0</v>
      </c>
      <c r="U94" s="112" t="s">
        <v>11</v>
      </c>
      <c r="V94" s="140">
        <f>'(변경)집계표'!M179</f>
        <v>0</v>
      </c>
      <c r="W94" s="111">
        <f>'(변경)집계표'!K209</f>
        <v>0</v>
      </c>
      <c r="X94" s="112" t="s">
        <v>11</v>
      </c>
      <c r="Y94" s="140">
        <f>'(변경)집계표'!M209</f>
        <v>0</v>
      </c>
      <c r="Z94" s="111">
        <f>'(변경)집계표'!K239</f>
        <v>0</v>
      </c>
      <c r="AA94" s="112" t="s">
        <v>11</v>
      </c>
      <c r="AB94" s="140">
        <f>'(변경)집계표'!M239</f>
        <v>0</v>
      </c>
      <c r="AC94" s="111">
        <f>'(변경)집계표'!K269</f>
        <v>0</v>
      </c>
      <c r="AD94" s="112" t="s">
        <v>11</v>
      </c>
      <c r="AE94" s="140">
        <f>'(변경)집계표'!M269</f>
        <v>0</v>
      </c>
      <c r="AF94" s="111">
        <f>'(변경)집계표'!K299</f>
        <v>0</v>
      </c>
      <c r="AG94" s="112" t="s">
        <v>11</v>
      </c>
      <c r="AH94" s="140">
        <f>'(변경)집계표'!M299</f>
        <v>0</v>
      </c>
      <c r="AI94" s="128"/>
      <c r="AJ94" s="6"/>
    </row>
    <row r="95" spans="1:36" s="7" customFormat="1" ht="22.5" customHeight="1">
      <c r="A95" s="129" t="s">
        <v>75</v>
      </c>
      <c r="B95" s="111">
        <f t="shared" si="4"/>
        <v>2</v>
      </c>
      <c r="C95" s="112" t="s">
        <v>11</v>
      </c>
      <c r="D95" s="179">
        <f t="shared" si="5"/>
        <v>452</v>
      </c>
      <c r="E95" s="111">
        <v>0</v>
      </c>
      <c r="F95" s="112" t="s">
        <v>11</v>
      </c>
      <c r="G95" s="179">
        <v>0</v>
      </c>
      <c r="H95" s="111">
        <v>1</v>
      </c>
      <c r="I95" s="112" t="s">
        <v>11</v>
      </c>
      <c r="J95" s="179">
        <v>436</v>
      </c>
      <c r="K95" s="111">
        <v>1</v>
      </c>
      <c r="L95" s="112" t="s">
        <v>11</v>
      </c>
      <c r="M95" s="179">
        <v>16</v>
      </c>
      <c r="N95" s="111">
        <v>0</v>
      </c>
      <c r="O95" s="112" t="s">
        <v>11</v>
      </c>
      <c r="P95" s="179">
        <v>0</v>
      </c>
      <c r="Q95" s="111">
        <v>0</v>
      </c>
      <c r="R95" s="112" t="s">
        <v>11</v>
      </c>
      <c r="S95" s="140">
        <v>0</v>
      </c>
      <c r="T95" s="111">
        <f>'(변경)집계표'!K180</f>
        <v>0</v>
      </c>
      <c r="U95" s="112" t="s">
        <v>11</v>
      </c>
      <c r="V95" s="140">
        <f>'(변경)집계표'!M180</f>
        <v>0</v>
      </c>
      <c r="W95" s="111">
        <f>'(변경)집계표'!K210</f>
        <v>0</v>
      </c>
      <c r="X95" s="112" t="s">
        <v>11</v>
      </c>
      <c r="Y95" s="140">
        <f>'(변경)집계표'!M210</f>
        <v>0</v>
      </c>
      <c r="Z95" s="111">
        <f>'(변경)집계표'!K240</f>
        <v>0</v>
      </c>
      <c r="AA95" s="112" t="s">
        <v>11</v>
      </c>
      <c r="AB95" s="140">
        <f>'(변경)집계표'!M240</f>
        <v>0</v>
      </c>
      <c r="AC95" s="111">
        <f>'(변경)집계표'!K270</f>
        <v>0</v>
      </c>
      <c r="AD95" s="112" t="s">
        <v>11</v>
      </c>
      <c r="AE95" s="140">
        <f>'(변경)집계표'!M270</f>
        <v>0</v>
      </c>
      <c r="AF95" s="111">
        <f>'(변경)집계표'!K300</f>
        <v>0</v>
      </c>
      <c r="AG95" s="112" t="s">
        <v>11</v>
      </c>
      <c r="AH95" s="140">
        <f>'(변경)집계표'!M300</f>
        <v>0</v>
      </c>
      <c r="AI95" s="128"/>
      <c r="AJ95" s="6"/>
    </row>
    <row r="96" spans="1:36" s="7" customFormat="1" ht="22.5" customHeight="1" thickBot="1">
      <c r="A96" s="130" t="s">
        <v>68</v>
      </c>
      <c r="B96" s="131">
        <f t="shared" si="4"/>
        <v>0</v>
      </c>
      <c r="C96" s="132" t="s">
        <v>11</v>
      </c>
      <c r="D96" s="180">
        <f t="shared" si="5"/>
        <v>0</v>
      </c>
      <c r="E96" s="131">
        <v>0</v>
      </c>
      <c r="F96" s="132" t="s">
        <v>11</v>
      </c>
      <c r="G96" s="180">
        <v>0</v>
      </c>
      <c r="H96" s="131">
        <v>0</v>
      </c>
      <c r="I96" s="132" t="s">
        <v>11</v>
      </c>
      <c r="J96" s="180">
        <v>0</v>
      </c>
      <c r="K96" s="131">
        <v>0</v>
      </c>
      <c r="L96" s="132" t="s">
        <v>11</v>
      </c>
      <c r="M96" s="180">
        <v>0</v>
      </c>
      <c r="N96" s="131">
        <v>0</v>
      </c>
      <c r="O96" s="132" t="s">
        <v>11</v>
      </c>
      <c r="P96" s="180">
        <v>0</v>
      </c>
      <c r="Q96" s="131">
        <v>0</v>
      </c>
      <c r="R96" s="132" t="s">
        <v>11</v>
      </c>
      <c r="S96" s="141">
        <v>0</v>
      </c>
      <c r="T96" s="131">
        <f>'(변경)집계표'!K181</f>
        <v>0</v>
      </c>
      <c r="U96" s="132" t="s">
        <v>11</v>
      </c>
      <c r="V96" s="141">
        <f>'(변경)집계표'!M181</f>
        <v>0</v>
      </c>
      <c r="W96" s="131">
        <f>'(변경)집계표'!K211</f>
        <v>0</v>
      </c>
      <c r="X96" s="132" t="s">
        <v>11</v>
      </c>
      <c r="Y96" s="141">
        <f>'(변경)집계표'!M211</f>
        <v>0</v>
      </c>
      <c r="Z96" s="131">
        <f>'(변경)집계표'!K241</f>
        <v>0</v>
      </c>
      <c r="AA96" s="132" t="s">
        <v>11</v>
      </c>
      <c r="AB96" s="141">
        <f>'(변경)집계표'!M241</f>
        <v>0</v>
      </c>
      <c r="AC96" s="131">
        <f>'(변경)집계표'!K271</f>
        <v>0</v>
      </c>
      <c r="AD96" s="132" t="s">
        <v>11</v>
      </c>
      <c r="AE96" s="141">
        <f>'(변경)집계표'!M271</f>
        <v>0</v>
      </c>
      <c r="AF96" s="131">
        <f>'(변경)집계표'!K301</f>
        <v>0</v>
      </c>
      <c r="AG96" s="132" t="s">
        <v>11</v>
      </c>
      <c r="AH96" s="141">
        <f>'(변경)집계표'!M301</f>
        <v>0</v>
      </c>
      <c r="AI96" s="133"/>
      <c r="AJ96" s="6"/>
    </row>
    <row r="97" spans="1:36" s="5" customFormat="1" ht="27.95" customHeight="1">
      <c r="A97" s="190" t="s">
        <v>61</v>
      </c>
      <c r="B97" s="191"/>
      <c r="C97" s="192"/>
      <c r="D97" s="193"/>
      <c r="E97" s="192"/>
      <c r="F97" s="192"/>
      <c r="G97" s="193"/>
      <c r="H97" s="192"/>
      <c r="I97" s="192"/>
      <c r="J97" s="193"/>
      <c r="K97" s="192"/>
      <c r="L97" s="192"/>
      <c r="M97" s="193"/>
      <c r="N97" s="192"/>
      <c r="O97" s="192"/>
      <c r="P97" s="193"/>
      <c r="Q97" s="192"/>
      <c r="R97" s="192"/>
      <c r="S97" s="194"/>
      <c r="T97" s="192"/>
      <c r="U97" s="192"/>
      <c r="V97" s="194"/>
      <c r="W97" s="192"/>
      <c r="X97" s="192"/>
      <c r="Y97" s="194"/>
      <c r="Z97" s="192"/>
      <c r="AA97" s="192"/>
      <c r="AB97" s="194"/>
      <c r="AC97" s="192"/>
      <c r="AD97" s="192"/>
      <c r="AE97" s="194"/>
      <c r="AF97" s="192"/>
      <c r="AG97" s="192"/>
      <c r="AH97" s="194"/>
      <c r="AI97" s="198"/>
    </row>
    <row r="98" spans="1:36" s="5" customFormat="1" ht="9.9499999999999993" customHeight="1" thickBot="1">
      <c r="A98" s="196"/>
      <c r="B98" s="189"/>
      <c r="D98" s="188"/>
      <c r="E98" s="189"/>
      <c r="G98" s="188"/>
      <c r="H98" s="189"/>
      <c r="J98" s="188"/>
      <c r="K98" s="189"/>
      <c r="M98" s="188"/>
      <c r="N98" s="189"/>
      <c r="P98" s="188"/>
      <c r="Q98" s="189"/>
      <c r="S98" s="146"/>
      <c r="T98" s="189"/>
      <c r="V98" s="146"/>
      <c r="W98" s="189"/>
      <c r="Y98" s="146"/>
      <c r="Z98" s="189"/>
      <c r="AB98" s="146"/>
      <c r="AC98" s="189"/>
      <c r="AE98" s="146"/>
      <c r="AF98" s="189"/>
      <c r="AH98" s="146"/>
      <c r="AI98" s="197"/>
    </row>
    <row r="99" spans="1:36" s="7" customFormat="1" ht="30" customHeight="1">
      <c r="A99" s="119"/>
      <c r="B99" s="354" t="s">
        <v>8</v>
      </c>
      <c r="C99" s="355"/>
      <c r="D99" s="355"/>
      <c r="E99" s="120" t="s">
        <v>77</v>
      </c>
      <c r="F99" s="121"/>
      <c r="G99" s="182"/>
      <c r="H99" s="120"/>
      <c r="I99" s="121"/>
      <c r="J99" s="182"/>
      <c r="K99" s="120"/>
      <c r="L99" s="121"/>
      <c r="M99" s="182"/>
      <c r="N99" s="120"/>
      <c r="O99" s="121"/>
      <c r="P99" s="182"/>
      <c r="Q99" s="120"/>
      <c r="R99" s="121"/>
      <c r="S99" s="143"/>
      <c r="T99" s="120"/>
      <c r="U99" s="121"/>
      <c r="V99" s="143"/>
      <c r="W99" s="120"/>
      <c r="X99" s="121"/>
      <c r="Y99" s="143"/>
      <c r="Z99" s="120"/>
      <c r="AA99" s="121"/>
      <c r="AB99" s="143"/>
      <c r="AC99" s="120"/>
      <c r="AD99" s="121"/>
      <c r="AE99" s="143"/>
      <c r="AF99" s="120"/>
      <c r="AG99" s="121"/>
      <c r="AH99" s="143"/>
      <c r="AI99" s="358" t="s">
        <v>59</v>
      </c>
      <c r="AJ99" s="6"/>
    </row>
    <row r="100" spans="1:36" s="7" customFormat="1" ht="30" customHeight="1">
      <c r="A100" s="122"/>
      <c r="B100" s="356"/>
      <c r="C100" s="357"/>
      <c r="D100" s="357"/>
      <c r="E100" s="8" t="s">
        <v>78</v>
      </c>
      <c r="F100" s="9"/>
      <c r="G100" s="183"/>
      <c r="H100" s="8"/>
      <c r="I100" s="9"/>
      <c r="J100" s="183"/>
      <c r="K100" s="8"/>
      <c r="L100" s="9"/>
      <c r="M100" s="183"/>
      <c r="N100" s="8"/>
      <c r="O100" s="9"/>
      <c r="P100" s="183"/>
      <c r="Q100" s="8"/>
      <c r="R100" s="9"/>
      <c r="S100" s="144"/>
      <c r="T100" s="8"/>
      <c r="U100" s="9"/>
      <c r="V100" s="144"/>
      <c r="W100" s="8"/>
      <c r="X100" s="9"/>
      <c r="Y100" s="144"/>
      <c r="Z100" s="8"/>
      <c r="AA100" s="9"/>
      <c r="AB100" s="144"/>
      <c r="AC100" s="8"/>
      <c r="AD100" s="9"/>
      <c r="AE100" s="144"/>
      <c r="AF100" s="8"/>
      <c r="AG100" s="9"/>
      <c r="AH100" s="144"/>
      <c r="AI100" s="359"/>
      <c r="AJ100" s="6"/>
    </row>
    <row r="101" spans="1:36" s="7" customFormat="1" ht="30" customHeight="1">
      <c r="A101" s="123" t="s">
        <v>9</v>
      </c>
      <c r="B101" s="356"/>
      <c r="C101" s="357"/>
      <c r="D101" s="357"/>
      <c r="E101" s="8" t="s">
        <v>79</v>
      </c>
      <c r="F101" s="9"/>
      <c r="G101" s="183"/>
      <c r="H101" s="8" t="s">
        <v>80</v>
      </c>
      <c r="I101" s="9"/>
      <c r="J101" s="183"/>
      <c r="K101" s="8" t="s">
        <v>81</v>
      </c>
      <c r="L101" s="9"/>
      <c r="M101" s="183"/>
      <c r="N101" s="8" t="s">
        <v>82</v>
      </c>
      <c r="O101" s="9"/>
      <c r="P101" s="183"/>
      <c r="Q101" s="8" t="s">
        <v>83</v>
      </c>
      <c r="R101" s="9"/>
      <c r="S101" s="144"/>
      <c r="T101" s="8">
        <v>6</v>
      </c>
      <c r="U101" s="9"/>
      <c r="V101" s="144"/>
      <c r="W101" s="8">
        <v>7</v>
      </c>
      <c r="X101" s="9"/>
      <c r="Y101" s="144"/>
      <c r="Z101" s="8">
        <v>8</v>
      </c>
      <c r="AA101" s="9"/>
      <c r="AB101" s="144"/>
      <c r="AC101" s="8">
        <v>9</v>
      </c>
      <c r="AD101" s="9"/>
      <c r="AE101" s="144"/>
      <c r="AF101" s="8">
        <v>10</v>
      </c>
      <c r="AG101" s="9"/>
      <c r="AH101" s="144"/>
      <c r="AI101" s="359"/>
      <c r="AJ101" s="6"/>
    </row>
    <row r="102" spans="1:36" s="7" customFormat="1" ht="30" customHeight="1" thickBot="1">
      <c r="A102" s="124"/>
      <c r="B102" s="115" t="s">
        <v>10</v>
      </c>
      <c r="C102" s="116" t="s">
        <v>11</v>
      </c>
      <c r="D102" s="178" t="s">
        <v>12</v>
      </c>
      <c r="E102" s="115" t="s">
        <v>10</v>
      </c>
      <c r="F102" s="116" t="s">
        <v>11</v>
      </c>
      <c r="G102" s="178" t="s">
        <v>12</v>
      </c>
      <c r="H102" s="115" t="s">
        <v>10</v>
      </c>
      <c r="I102" s="116" t="s">
        <v>11</v>
      </c>
      <c r="J102" s="178" t="s">
        <v>12</v>
      </c>
      <c r="K102" s="115" t="s">
        <v>10</v>
      </c>
      <c r="L102" s="116" t="s">
        <v>11</v>
      </c>
      <c r="M102" s="178" t="s">
        <v>12</v>
      </c>
      <c r="N102" s="115" t="s">
        <v>10</v>
      </c>
      <c r="O102" s="116" t="s">
        <v>11</v>
      </c>
      <c r="P102" s="178" t="s">
        <v>12</v>
      </c>
      <c r="Q102" s="115" t="s">
        <v>10</v>
      </c>
      <c r="R102" s="116" t="s">
        <v>11</v>
      </c>
      <c r="S102" s="178" t="s">
        <v>12</v>
      </c>
      <c r="T102" s="117" t="s">
        <v>10</v>
      </c>
      <c r="U102" s="118" t="s">
        <v>11</v>
      </c>
      <c r="V102" s="145" t="s">
        <v>12</v>
      </c>
      <c r="W102" s="117" t="s">
        <v>10</v>
      </c>
      <c r="X102" s="118" t="s">
        <v>11</v>
      </c>
      <c r="Y102" s="145" t="s">
        <v>12</v>
      </c>
      <c r="Z102" s="117" t="s">
        <v>10</v>
      </c>
      <c r="AA102" s="118" t="s">
        <v>11</v>
      </c>
      <c r="AB102" s="145" t="s">
        <v>12</v>
      </c>
      <c r="AC102" s="117" t="s">
        <v>10</v>
      </c>
      <c r="AD102" s="118" t="s">
        <v>11</v>
      </c>
      <c r="AE102" s="145" t="s">
        <v>12</v>
      </c>
      <c r="AF102" s="117" t="s">
        <v>10</v>
      </c>
      <c r="AG102" s="118" t="s">
        <v>11</v>
      </c>
      <c r="AH102" s="145" t="s">
        <v>12</v>
      </c>
      <c r="AI102" s="360"/>
      <c r="AJ102" s="6"/>
    </row>
    <row r="103" spans="1:36" s="6" customFormat="1" ht="22.5" customHeight="1" thickTop="1">
      <c r="A103" s="134" t="s">
        <v>8</v>
      </c>
      <c r="B103" s="135">
        <f>SUM(B104:B128)</f>
        <v>73</v>
      </c>
      <c r="C103" s="136" t="s">
        <v>11</v>
      </c>
      <c r="D103" s="181">
        <f>SUM(D104:D128)</f>
        <v>29944.800000000003</v>
      </c>
      <c r="E103" s="135">
        <f>SUM(E104:E128)</f>
        <v>28</v>
      </c>
      <c r="F103" s="136" t="s">
        <v>11</v>
      </c>
      <c r="G103" s="181">
        <f>SUM(G104:G128)</f>
        <v>12531.900000000001</v>
      </c>
      <c r="H103" s="135">
        <f>SUM(H104:H128)</f>
        <v>15</v>
      </c>
      <c r="I103" s="136" t="s">
        <v>11</v>
      </c>
      <c r="J103" s="181">
        <f>SUM(J104:J128)</f>
        <v>4638.8999999999987</v>
      </c>
      <c r="K103" s="135">
        <f>SUM(K104:K128)</f>
        <v>19</v>
      </c>
      <c r="L103" s="136" t="s">
        <v>11</v>
      </c>
      <c r="M103" s="181">
        <f>SUM(M104:M128)</f>
        <v>6967.0000000000018</v>
      </c>
      <c r="N103" s="135">
        <f>SUM(N104:N128)</f>
        <v>5</v>
      </c>
      <c r="O103" s="136" t="s">
        <v>11</v>
      </c>
      <c r="P103" s="181">
        <f>SUM(P104:P128)</f>
        <v>598.00000000000182</v>
      </c>
      <c r="Q103" s="135">
        <f>SUM(Q104:Q128)</f>
        <v>6</v>
      </c>
      <c r="R103" s="136" t="s">
        <v>11</v>
      </c>
      <c r="S103" s="181">
        <f>SUM(S104:S128)</f>
        <v>5209</v>
      </c>
      <c r="T103" s="135">
        <f>SUM(T104:T128)</f>
        <v>0</v>
      </c>
      <c r="U103" s="136" t="s">
        <v>11</v>
      </c>
      <c r="V103" s="181">
        <f>SUM(V104:V128)</f>
        <v>0</v>
      </c>
      <c r="W103" s="135">
        <f>SUM(W104:W128)</f>
        <v>0</v>
      </c>
      <c r="X103" s="136" t="s">
        <v>11</v>
      </c>
      <c r="Y103" s="181">
        <f>SUM(Y104:Y128)</f>
        <v>0</v>
      </c>
      <c r="Z103" s="135">
        <f>SUM(Z104:Z128)</f>
        <v>0</v>
      </c>
      <c r="AA103" s="136" t="s">
        <v>11</v>
      </c>
      <c r="AB103" s="181">
        <f>SUM(AB104:AB128)</f>
        <v>0</v>
      </c>
      <c r="AC103" s="135">
        <f>SUM(AC104:AC128)</f>
        <v>0</v>
      </c>
      <c r="AD103" s="136" t="s">
        <v>11</v>
      </c>
      <c r="AE103" s="181">
        <f>SUM(AE104:AE128)</f>
        <v>0</v>
      </c>
      <c r="AF103" s="135">
        <f>SUM(AF104:AF128)</f>
        <v>0</v>
      </c>
      <c r="AG103" s="136" t="s">
        <v>11</v>
      </c>
      <c r="AH103" s="181">
        <f>SUM(AH104:AH128)</f>
        <v>0</v>
      </c>
      <c r="AI103" s="137"/>
    </row>
    <row r="104" spans="1:36" s="6" customFormat="1" ht="22.5" customHeight="1">
      <c r="A104" s="127" t="s">
        <v>13</v>
      </c>
      <c r="B104" s="111">
        <f t="shared" ref="B104:B128" si="6">SUM(E104,H104,K104,N104,Q104,T104,W104,Z104,AC104,AF104)</f>
        <v>8</v>
      </c>
      <c r="C104" s="112" t="s">
        <v>11</v>
      </c>
      <c r="D104" s="179">
        <f t="shared" ref="D104:D128" si="7">SUM(G104,J104,M104,P104,S104,V104,Y104,AB104,AE104,AH104)</f>
        <v>2161</v>
      </c>
      <c r="E104" s="111">
        <v>2</v>
      </c>
      <c r="F104" s="112" t="s">
        <v>11</v>
      </c>
      <c r="G104" s="179">
        <v>444</v>
      </c>
      <c r="H104" s="111">
        <v>3</v>
      </c>
      <c r="I104" s="112" t="s">
        <v>11</v>
      </c>
      <c r="J104" s="179">
        <v>187</v>
      </c>
      <c r="K104" s="111">
        <v>1</v>
      </c>
      <c r="L104" s="112" t="s">
        <v>11</v>
      </c>
      <c r="M104" s="179">
        <v>1474</v>
      </c>
      <c r="N104" s="111">
        <v>1</v>
      </c>
      <c r="O104" s="112" t="s">
        <v>11</v>
      </c>
      <c r="P104" s="179">
        <v>43</v>
      </c>
      <c r="Q104" s="111">
        <v>1</v>
      </c>
      <c r="R104" s="112" t="s">
        <v>11</v>
      </c>
      <c r="S104" s="140">
        <v>13</v>
      </c>
      <c r="T104" s="111">
        <f>'(변경)집계표'!H157</f>
        <v>0</v>
      </c>
      <c r="U104" s="112" t="s">
        <v>11</v>
      </c>
      <c r="V104" s="140">
        <f>'(변경)집계표'!J157</f>
        <v>0</v>
      </c>
      <c r="W104" s="111">
        <f>'(변경)집계표'!H187</f>
        <v>0</v>
      </c>
      <c r="X104" s="112" t="s">
        <v>11</v>
      </c>
      <c r="Y104" s="140">
        <f>'(변경)집계표'!J187</f>
        <v>0</v>
      </c>
      <c r="Z104" s="111">
        <f>'(변경)집계표'!H217</f>
        <v>0</v>
      </c>
      <c r="AA104" s="112" t="s">
        <v>11</v>
      </c>
      <c r="AB104" s="140">
        <f>'(변경)집계표'!J217</f>
        <v>0</v>
      </c>
      <c r="AC104" s="111">
        <f>'(변경)집계표'!H247</f>
        <v>0</v>
      </c>
      <c r="AD104" s="112" t="s">
        <v>11</v>
      </c>
      <c r="AE104" s="140">
        <f>'(변경)집계표'!J247</f>
        <v>0</v>
      </c>
      <c r="AF104" s="111">
        <f>'(변경)집계표'!H277</f>
        <v>0</v>
      </c>
      <c r="AG104" s="112" t="s">
        <v>11</v>
      </c>
      <c r="AH104" s="140">
        <f>'(변경)집계표'!J277</f>
        <v>0</v>
      </c>
      <c r="AI104" s="128"/>
    </row>
    <row r="105" spans="1:36" s="6" customFormat="1" ht="22.5" customHeight="1">
      <c r="A105" s="127" t="s">
        <v>14</v>
      </c>
      <c r="B105" s="111">
        <f t="shared" si="6"/>
        <v>20</v>
      </c>
      <c r="C105" s="112" t="s">
        <v>11</v>
      </c>
      <c r="D105" s="179">
        <f t="shared" si="7"/>
        <v>12082.8</v>
      </c>
      <c r="E105" s="111">
        <v>17</v>
      </c>
      <c r="F105" s="112" t="s">
        <v>11</v>
      </c>
      <c r="G105" s="179">
        <v>9952.9000000000015</v>
      </c>
      <c r="H105" s="111">
        <v>1</v>
      </c>
      <c r="I105" s="112" t="s">
        <v>11</v>
      </c>
      <c r="J105" s="179">
        <v>2109.8999999999978</v>
      </c>
      <c r="K105" s="111">
        <v>2</v>
      </c>
      <c r="L105" s="112" t="s">
        <v>11</v>
      </c>
      <c r="M105" s="179">
        <v>20</v>
      </c>
      <c r="N105" s="111">
        <v>0</v>
      </c>
      <c r="O105" s="112" t="s">
        <v>11</v>
      </c>
      <c r="P105" s="179">
        <v>0</v>
      </c>
      <c r="Q105" s="111">
        <v>0</v>
      </c>
      <c r="R105" s="112" t="s">
        <v>11</v>
      </c>
      <c r="S105" s="140">
        <v>0</v>
      </c>
      <c r="T105" s="111">
        <f>'(변경)집계표'!H158</f>
        <v>0</v>
      </c>
      <c r="U105" s="112" t="s">
        <v>11</v>
      </c>
      <c r="V105" s="140">
        <f>'(변경)집계표'!J158</f>
        <v>0</v>
      </c>
      <c r="W105" s="111">
        <f>'(변경)집계표'!H188</f>
        <v>0</v>
      </c>
      <c r="X105" s="112" t="s">
        <v>11</v>
      </c>
      <c r="Y105" s="140">
        <f>'(변경)집계표'!J188</f>
        <v>0</v>
      </c>
      <c r="Z105" s="111">
        <f>'(변경)집계표'!H218</f>
        <v>0</v>
      </c>
      <c r="AA105" s="112" t="s">
        <v>11</v>
      </c>
      <c r="AB105" s="140">
        <f>'(변경)집계표'!J218</f>
        <v>0</v>
      </c>
      <c r="AC105" s="111">
        <f>'(변경)집계표'!H248</f>
        <v>0</v>
      </c>
      <c r="AD105" s="112" t="s">
        <v>11</v>
      </c>
      <c r="AE105" s="140">
        <f>'(변경)집계표'!J248</f>
        <v>0</v>
      </c>
      <c r="AF105" s="111">
        <f>'(변경)집계표'!H278</f>
        <v>0</v>
      </c>
      <c r="AG105" s="112" t="s">
        <v>11</v>
      </c>
      <c r="AH105" s="140">
        <f>'(변경)집계표'!J278</f>
        <v>0</v>
      </c>
      <c r="AI105" s="128"/>
    </row>
    <row r="106" spans="1:36" s="6" customFormat="1" ht="22.5" customHeight="1">
      <c r="A106" s="127" t="s">
        <v>15</v>
      </c>
      <c r="B106" s="111">
        <f t="shared" si="6"/>
        <v>17</v>
      </c>
      <c r="C106" s="112" t="s">
        <v>11</v>
      </c>
      <c r="D106" s="179">
        <f t="shared" si="7"/>
        <v>11748</v>
      </c>
      <c r="E106" s="111">
        <v>2</v>
      </c>
      <c r="F106" s="112" t="s">
        <v>11</v>
      </c>
      <c r="G106" s="179">
        <v>898</v>
      </c>
      <c r="H106" s="111">
        <v>1</v>
      </c>
      <c r="I106" s="112" t="s">
        <v>11</v>
      </c>
      <c r="J106" s="179">
        <v>984</v>
      </c>
      <c r="K106" s="111">
        <v>8</v>
      </c>
      <c r="L106" s="112" t="s">
        <v>11</v>
      </c>
      <c r="M106" s="179">
        <v>4333</v>
      </c>
      <c r="N106" s="111">
        <v>3</v>
      </c>
      <c r="O106" s="112" t="s">
        <v>11</v>
      </c>
      <c r="P106" s="179">
        <v>532</v>
      </c>
      <c r="Q106" s="111">
        <v>3</v>
      </c>
      <c r="R106" s="112" t="s">
        <v>11</v>
      </c>
      <c r="S106" s="140">
        <v>5001</v>
      </c>
      <c r="T106" s="111">
        <f>'(변경)집계표'!H159</f>
        <v>0</v>
      </c>
      <c r="U106" s="112" t="s">
        <v>11</v>
      </c>
      <c r="V106" s="140">
        <f>'(변경)집계표'!J159</f>
        <v>0</v>
      </c>
      <c r="W106" s="111">
        <f>'(변경)집계표'!H189</f>
        <v>0</v>
      </c>
      <c r="X106" s="112" t="s">
        <v>11</v>
      </c>
      <c r="Y106" s="140">
        <f>'(변경)집계표'!J189</f>
        <v>0</v>
      </c>
      <c r="Z106" s="111">
        <f>'(변경)집계표'!H219</f>
        <v>0</v>
      </c>
      <c r="AA106" s="112" t="s">
        <v>11</v>
      </c>
      <c r="AB106" s="140">
        <f>'(변경)집계표'!J219</f>
        <v>0</v>
      </c>
      <c r="AC106" s="111">
        <f>'(변경)집계표'!H249</f>
        <v>0</v>
      </c>
      <c r="AD106" s="112" t="s">
        <v>11</v>
      </c>
      <c r="AE106" s="140">
        <f>'(변경)집계표'!J249</f>
        <v>0</v>
      </c>
      <c r="AF106" s="111">
        <f>'(변경)집계표'!H279</f>
        <v>0</v>
      </c>
      <c r="AG106" s="112" t="s">
        <v>11</v>
      </c>
      <c r="AH106" s="140">
        <f>'(변경)집계표'!J279</f>
        <v>0</v>
      </c>
      <c r="AI106" s="128"/>
    </row>
    <row r="107" spans="1:36" s="6" customFormat="1" ht="22.5" customHeight="1">
      <c r="A107" s="127" t="s">
        <v>16</v>
      </c>
      <c r="B107" s="111">
        <f t="shared" si="6"/>
        <v>2</v>
      </c>
      <c r="C107" s="112" t="s">
        <v>11</v>
      </c>
      <c r="D107" s="179">
        <f t="shared" si="7"/>
        <v>267</v>
      </c>
      <c r="E107" s="111">
        <v>2</v>
      </c>
      <c r="F107" s="112" t="s">
        <v>11</v>
      </c>
      <c r="G107" s="179">
        <v>267</v>
      </c>
      <c r="H107" s="111">
        <v>0</v>
      </c>
      <c r="I107" s="112" t="s">
        <v>11</v>
      </c>
      <c r="J107" s="179">
        <v>0</v>
      </c>
      <c r="K107" s="111">
        <v>0</v>
      </c>
      <c r="L107" s="112" t="s">
        <v>11</v>
      </c>
      <c r="M107" s="179">
        <v>0</v>
      </c>
      <c r="N107" s="111">
        <v>0</v>
      </c>
      <c r="O107" s="112" t="s">
        <v>11</v>
      </c>
      <c r="P107" s="179">
        <v>0</v>
      </c>
      <c r="Q107" s="111">
        <v>0</v>
      </c>
      <c r="R107" s="112" t="s">
        <v>11</v>
      </c>
      <c r="S107" s="140">
        <v>0</v>
      </c>
      <c r="T107" s="111">
        <f>'(변경)집계표'!H160</f>
        <v>0</v>
      </c>
      <c r="U107" s="112" t="s">
        <v>11</v>
      </c>
      <c r="V107" s="140">
        <f>'(변경)집계표'!J160</f>
        <v>0</v>
      </c>
      <c r="W107" s="111">
        <f>'(변경)집계표'!H190</f>
        <v>0</v>
      </c>
      <c r="X107" s="112" t="s">
        <v>11</v>
      </c>
      <c r="Y107" s="140">
        <f>'(변경)집계표'!J190</f>
        <v>0</v>
      </c>
      <c r="Z107" s="111">
        <f>'(변경)집계표'!H220</f>
        <v>0</v>
      </c>
      <c r="AA107" s="112" t="s">
        <v>11</v>
      </c>
      <c r="AB107" s="140">
        <f>'(변경)집계표'!J220</f>
        <v>0</v>
      </c>
      <c r="AC107" s="111">
        <f>'(변경)집계표'!H250</f>
        <v>0</v>
      </c>
      <c r="AD107" s="112" t="s">
        <v>11</v>
      </c>
      <c r="AE107" s="140">
        <f>'(변경)집계표'!J250</f>
        <v>0</v>
      </c>
      <c r="AF107" s="111">
        <f>'(변경)집계표'!H280</f>
        <v>0</v>
      </c>
      <c r="AG107" s="112" t="s">
        <v>11</v>
      </c>
      <c r="AH107" s="140">
        <f>'(변경)집계표'!J280</f>
        <v>0</v>
      </c>
      <c r="AI107" s="128"/>
    </row>
    <row r="108" spans="1:36" s="6" customFormat="1" ht="22.5" customHeight="1">
      <c r="A108" s="127" t="s">
        <v>17</v>
      </c>
      <c r="B108" s="111">
        <f t="shared" si="6"/>
        <v>22</v>
      </c>
      <c r="C108" s="112" t="s">
        <v>11</v>
      </c>
      <c r="D108" s="179">
        <f t="shared" si="7"/>
        <v>3430.0000000000045</v>
      </c>
      <c r="E108" s="111">
        <v>3</v>
      </c>
      <c r="F108" s="112" t="s">
        <v>11</v>
      </c>
      <c r="G108" s="179">
        <v>777</v>
      </c>
      <c r="H108" s="111">
        <v>10</v>
      </c>
      <c r="I108" s="112" t="s">
        <v>11</v>
      </c>
      <c r="J108" s="179">
        <v>1358.0000000000009</v>
      </c>
      <c r="K108" s="111">
        <v>7</v>
      </c>
      <c r="L108" s="112" t="s">
        <v>11</v>
      </c>
      <c r="M108" s="179">
        <v>1100.0000000000018</v>
      </c>
      <c r="N108" s="111">
        <v>1</v>
      </c>
      <c r="O108" s="112" t="s">
        <v>11</v>
      </c>
      <c r="P108" s="179">
        <v>23.000000000001819</v>
      </c>
      <c r="Q108" s="111">
        <v>1</v>
      </c>
      <c r="R108" s="112" t="s">
        <v>11</v>
      </c>
      <c r="S108" s="140">
        <v>172</v>
      </c>
      <c r="T108" s="111">
        <f>'(변경)집계표'!H161</f>
        <v>0</v>
      </c>
      <c r="U108" s="112" t="s">
        <v>11</v>
      </c>
      <c r="V108" s="140">
        <f>'(변경)집계표'!J161</f>
        <v>0</v>
      </c>
      <c r="W108" s="111">
        <f>'(변경)집계표'!H191</f>
        <v>0</v>
      </c>
      <c r="X108" s="112" t="s">
        <v>11</v>
      </c>
      <c r="Y108" s="140">
        <f>'(변경)집계표'!J191</f>
        <v>0</v>
      </c>
      <c r="Z108" s="111">
        <f>'(변경)집계표'!H221</f>
        <v>0</v>
      </c>
      <c r="AA108" s="112" t="s">
        <v>11</v>
      </c>
      <c r="AB108" s="140">
        <f>'(변경)집계표'!J221</f>
        <v>0</v>
      </c>
      <c r="AC108" s="111">
        <f>'(변경)집계표'!H251</f>
        <v>0</v>
      </c>
      <c r="AD108" s="112" t="s">
        <v>11</v>
      </c>
      <c r="AE108" s="140">
        <f>'(변경)집계표'!J251</f>
        <v>0</v>
      </c>
      <c r="AF108" s="111">
        <f>'(변경)집계표'!H281</f>
        <v>0</v>
      </c>
      <c r="AG108" s="112" t="s">
        <v>11</v>
      </c>
      <c r="AH108" s="140">
        <f>'(변경)집계표'!J281</f>
        <v>0</v>
      </c>
      <c r="AI108" s="128"/>
    </row>
    <row r="109" spans="1:36" s="6" customFormat="1" ht="22.5" customHeight="1">
      <c r="A109" s="127" t="s">
        <v>18</v>
      </c>
      <c r="B109" s="111">
        <f t="shared" si="6"/>
        <v>0</v>
      </c>
      <c r="C109" s="112" t="s">
        <v>11</v>
      </c>
      <c r="D109" s="179">
        <f t="shared" si="7"/>
        <v>0</v>
      </c>
      <c r="E109" s="111">
        <v>0</v>
      </c>
      <c r="F109" s="112" t="s">
        <v>11</v>
      </c>
      <c r="G109" s="179">
        <v>0</v>
      </c>
      <c r="H109" s="111">
        <v>0</v>
      </c>
      <c r="I109" s="112" t="s">
        <v>11</v>
      </c>
      <c r="J109" s="179">
        <v>0</v>
      </c>
      <c r="K109" s="111">
        <v>0</v>
      </c>
      <c r="L109" s="112" t="s">
        <v>11</v>
      </c>
      <c r="M109" s="179">
        <v>0</v>
      </c>
      <c r="N109" s="111">
        <v>0</v>
      </c>
      <c r="O109" s="112" t="s">
        <v>11</v>
      </c>
      <c r="P109" s="179">
        <v>0</v>
      </c>
      <c r="Q109" s="111">
        <v>0</v>
      </c>
      <c r="R109" s="112" t="s">
        <v>11</v>
      </c>
      <c r="S109" s="140">
        <v>0</v>
      </c>
      <c r="T109" s="111">
        <f>'(변경)집계표'!H162</f>
        <v>0</v>
      </c>
      <c r="U109" s="112" t="s">
        <v>11</v>
      </c>
      <c r="V109" s="140">
        <f>'(변경)집계표'!J162</f>
        <v>0</v>
      </c>
      <c r="W109" s="111">
        <f>'(변경)집계표'!H192</f>
        <v>0</v>
      </c>
      <c r="X109" s="112" t="s">
        <v>11</v>
      </c>
      <c r="Y109" s="140">
        <f>'(변경)집계표'!J192</f>
        <v>0</v>
      </c>
      <c r="Z109" s="111">
        <f>'(변경)집계표'!H222</f>
        <v>0</v>
      </c>
      <c r="AA109" s="112" t="s">
        <v>11</v>
      </c>
      <c r="AB109" s="140">
        <f>'(변경)집계표'!J222</f>
        <v>0</v>
      </c>
      <c r="AC109" s="111">
        <f>'(변경)집계표'!H252</f>
        <v>0</v>
      </c>
      <c r="AD109" s="112" t="s">
        <v>11</v>
      </c>
      <c r="AE109" s="140">
        <f>'(변경)집계표'!J252</f>
        <v>0</v>
      </c>
      <c r="AF109" s="111">
        <f>'(변경)집계표'!H282</f>
        <v>0</v>
      </c>
      <c r="AG109" s="112" t="s">
        <v>11</v>
      </c>
      <c r="AH109" s="140">
        <f>'(변경)집계표'!J282</f>
        <v>0</v>
      </c>
      <c r="AI109" s="128"/>
    </row>
    <row r="110" spans="1:36" s="6" customFormat="1" ht="22.5" customHeight="1">
      <c r="A110" s="127" t="s">
        <v>19</v>
      </c>
      <c r="B110" s="111">
        <f t="shared" si="6"/>
        <v>0</v>
      </c>
      <c r="C110" s="112" t="s">
        <v>11</v>
      </c>
      <c r="D110" s="179">
        <f t="shared" si="7"/>
        <v>0</v>
      </c>
      <c r="E110" s="111">
        <v>0</v>
      </c>
      <c r="F110" s="112" t="s">
        <v>11</v>
      </c>
      <c r="G110" s="179">
        <v>0</v>
      </c>
      <c r="H110" s="111">
        <v>0</v>
      </c>
      <c r="I110" s="112" t="s">
        <v>11</v>
      </c>
      <c r="J110" s="179">
        <v>0</v>
      </c>
      <c r="K110" s="111">
        <v>0</v>
      </c>
      <c r="L110" s="112" t="s">
        <v>11</v>
      </c>
      <c r="M110" s="179">
        <v>0</v>
      </c>
      <c r="N110" s="111">
        <v>0</v>
      </c>
      <c r="O110" s="112" t="s">
        <v>11</v>
      </c>
      <c r="P110" s="179">
        <v>0</v>
      </c>
      <c r="Q110" s="111">
        <v>0</v>
      </c>
      <c r="R110" s="112" t="s">
        <v>11</v>
      </c>
      <c r="S110" s="140">
        <v>0</v>
      </c>
      <c r="T110" s="111">
        <f>'(변경)집계표'!H163</f>
        <v>0</v>
      </c>
      <c r="U110" s="112" t="s">
        <v>11</v>
      </c>
      <c r="V110" s="140">
        <f>'(변경)집계표'!J163</f>
        <v>0</v>
      </c>
      <c r="W110" s="111">
        <f>'(변경)집계표'!H193</f>
        <v>0</v>
      </c>
      <c r="X110" s="112" t="s">
        <v>11</v>
      </c>
      <c r="Y110" s="140">
        <f>'(변경)집계표'!J193</f>
        <v>0</v>
      </c>
      <c r="Z110" s="111">
        <f>'(변경)집계표'!H223</f>
        <v>0</v>
      </c>
      <c r="AA110" s="112" t="s">
        <v>11</v>
      </c>
      <c r="AB110" s="140">
        <f>'(변경)집계표'!J223</f>
        <v>0</v>
      </c>
      <c r="AC110" s="111">
        <f>'(변경)집계표'!H253</f>
        <v>0</v>
      </c>
      <c r="AD110" s="112" t="s">
        <v>11</v>
      </c>
      <c r="AE110" s="140">
        <f>'(변경)집계표'!J253</f>
        <v>0</v>
      </c>
      <c r="AF110" s="111">
        <f>'(변경)집계표'!H283</f>
        <v>0</v>
      </c>
      <c r="AG110" s="112" t="s">
        <v>11</v>
      </c>
      <c r="AH110" s="140">
        <f>'(변경)집계표'!J283</f>
        <v>0</v>
      </c>
      <c r="AI110" s="128"/>
    </row>
    <row r="111" spans="1:36" s="6" customFormat="1" ht="22.5" customHeight="1">
      <c r="A111" s="127" t="s">
        <v>20</v>
      </c>
      <c r="B111" s="111">
        <f t="shared" si="6"/>
        <v>2</v>
      </c>
      <c r="C111" s="112" t="s">
        <v>11</v>
      </c>
      <c r="D111" s="179">
        <f t="shared" si="7"/>
        <v>193</v>
      </c>
      <c r="E111" s="111">
        <v>2</v>
      </c>
      <c r="F111" s="112" t="s">
        <v>11</v>
      </c>
      <c r="G111" s="179">
        <v>193</v>
      </c>
      <c r="H111" s="111">
        <v>0</v>
      </c>
      <c r="I111" s="112" t="s">
        <v>11</v>
      </c>
      <c r="J111" s="179">
        <v>0</v>
      </c>
      <c r="K111" s="111">
        <v>0</v>
      </c>
      <c r="L111" s="112" t="s">
        <v>11</v>
      </c>
      <c r="M111" s="179">
        <v>0</v>
      </c>
      <c r="N111" s="111">
        <v>0</v>
      </c>
      <c r="O111" s="112" t="s">
        <v>11</v>
      </c>
      <c r="P111" s="179">
        <v>0</v>
      </c>
      <c r="Q111" s="111">
        <v>0</v>
      </c>
      <c r="R111" s="112" t="s">
        <v>11</v>
      </c>
      <c r="S111" s="140">
        <v>0</v>
      </c>
      <c r="T111" s="111">
        <f>'(변경)집계표'!H164</f>
        <v>0</v>
      </c>
      <c r="U111" s="112" t="s">
        <v>11</v>
      </c>
      <c r="V111" s="140">
        <f>'(변경)집계표'!J164</f>
        <v>0</v>
      </c>
      <c r="W111" s="111">
        <f>'(변경)집계표'!H194</f>
        <v>0</v>
      </c>
      <c r="X111" s="112" t="s">
        <v>11</v>
      </c>
      <c r="Y111" s="140">
        <f>'(변경)집계표'!J194</f>
        <v>0</v>
      </c>
      <c r="Z111" s="111">
        <f>'(변경)집계표'!H224</f>
        <v>0</v>
      </c>
      <c r="AA111" s="112" t="s">
        <v>11</v>
      </c>
      <c r="AB111" s="140">
        <f>'(변경)집계표'!J224</f>
        <v>0</v>
      </c>
      <c r="AC111" s="111">
        <f>'(변경)집계표'!H254</f>
        <v>0</v>
      </c>
      <c r="AD111" s="112" t="s">
        <v>11</v>
      </c>
      <c r="AE111" s="140">
        <f>'(변경)집계표'!J254</f>
        <v>0</v>
      </c>
      <c r="AF111" s="111">
        <f>'(변경)집계표'!H284</f>
        <v>0</v>
      </c>
      <c r="AG111" s="112" t="s">
        <v>11</v>
      </c>
      <c r="AH111" s="140">
        <f>'(변경)집계표'!J284</f>
        <v>0</v>
      </c>
      <c r="AI111" s="128"/>
    </row>
    <row r="112" spans="1:36" s="6" customFormat="1" ht="22.5" customHeight="1">
      <c r="A112" s="127" t="s">
        <v>21</v>
      </c>
      <c r="B112" s="111">
        <f t="shared" si="6"/>
        <v>1</v>
      </c>
      <c r="C112" s="112" t="s">
        <v>11</v>
      </c>
      <c r="D112" s="179">
        <f t="shared" si="7"/>
        <v>40</v>
      </c>
      <c r="E112" s="111">
        <v>0</v>
      </c>
      <c r="F112" s="112" t="s">
        <v>11</v>
      </c>
      <c r="G112" s="179">
        <v>0</v>
      </c>
      <c r="H112" s="111">
        <v>0</v>
      </c>
      <c r="I112" s="112" t="s">
        <v>11</v>
      </c>
      <c r="J112" s="179">
        <v>0</v>
      </c>
      <c r="K112" s="111">
        <v>1</v>
      </c>
      <c r="L112" s="112" t="s">
        <v>11</v>
      </c>
      <c r="M112" s="179">
        <v>40</v>
      </c>
      <c r="N112" s="111">
        <v>0</v>
      </c>
      <c r="O112" s="112" t="s">
        <v>11</v>
      </c>
      <c r="P112" s="179">
        <v>0</v>
      </c>
      <c r="Q112" s="111">
        <v>0</v>
      </c>
      <c r="R112" s="112" t="s">
        <v>11</v>
      </c>
      <c r="S112" s="140">
        <v>0</v>
      </c>
      <c r="T112" s="111">
        <f>'(변경)집계표'!H165</f>
        <v>0</v>
      </c>
      <c r="U112" s="112" t="s">
        <v>11</v>
      </c>
      <c r="V112" s="140">
        <f>'(변경)집계표'!J165</f>
        <v>0</v>
      </c>
      <c r="W112" s="111">
        <f>'(변경)집계표'!H195</f>
        <v>0</v>
      </c>
      <c r="X112" s="112" t="s">
        <v>11</v>
      </c>
      <c r="Y112" s="140">
        <f>'(변경)집계표'!J195</f>
        <v>0</v>
      </c>
      <c r="Z112" s="111">
        <f>'(변경)집계표'!H225</f>
        <v>0</v>
      </c>
      <c r="AA112" s="112" t="s">
        <v>11</v>
      </c>
      <c r="AB112" s="140">
        <f>'(변경)집계표'!J225</f>
        <v>0</v>
      </c>
      <c r="AC112" s="111">
        <f>'(변경)집계표'!H255</f>
        <v>0</v>
      </c>
      <c r="AD112" s="112" t="s">
        <v>11</v>
      </c>
      <c r="AE112" s="140">
        <f>'(변경)집계표'!J255</f>
        <v>0</v>
      </c>
      <c r="AF112" s="111">
        <f>'(변경)집계표'!H285</f>
        <v>0</v>
      </c>
      <c r="AG112" s="112" t="s">
        <v>11</v>
      </c>
      <c r="AH112" s="140">
        <f>'(변경)집계표'!J285</f>
        <v>0</v>
      </c>
      <c r="AI112" s="128"/>
    </row>
    <row r="113" spans="1:36" s="6" customFormat="1" ht="22.5" customHeight="1">
      <c r="A113" s="127" t="s">
        <v>22</v>
      </c>
      <c r="B113" s="111">
        <f t="shared" si="6"/>
        <v>0</v>
      </c>
      <c r="C113" s="112" t="s">
        <v>11</v>
      </c>
      <c r="D113" s="179">
        <f t="shared" si="7"/>
        <v>0</v>
      </c>
      <c r="E113" s="111">
        <v>0</v>
      </c>
      <c r="F113" s="112" t="s">
        <v>11</v>
      </c>
      <c r="G113" s="179">
        <v>0</v>
      </c>
      <c r="H113" s="111">
        <v>0</v>
      </c>
      <c r="I113" s="112" t="s">
        <v>11</v>
      </c>
      <c r="J113" s="179">
        <v>0</v>
      </c>
      <c r="K113" s="111">
        <v>0</v>
      </c>
      <c r="L113" s="112" t="s">
        <v>11</v>
      </c>
      <c r="M113" s="179">
        <v>0</v>
      </c>
      <c r="N113" s="111">
        <v>0</v>
      </c>
      <c r="O113" s="112" t="s">
        <v>11</v>
      </c>
      <c r="P113" s="179">
        <v>0</v>
      </c>
      <c r="Q113" s="111">
        <v>0</v>
      </c>
      <c r="R113" s="112" t="s">
        <v>11</v>
      </c>
      <c r="S113" s="140">
        <v>0</v>
      </c>
      <c r="T113" s="111">
        <f>'(변경)집계표'!H166</f>
        <v>0</v>
      </c>
      <c r="U113" s="112" t="s">
        <v>11</v>
      </c>
      <c r="V113" s="140">
        <f>'(변경)집계표'!J166</f>
        <v>0</v>
      </c>
      <c r="W113" s="111">
        <f>'(변경)집계표'!H196</f>
        <v>0</v>
      </c>
      <c r="X113" s="112" t="s">
        <v>11</v>
      </c>
      <c r="Y113" s="140">
        <f>'(변경)집계표'!J196</f>
        <v>0</v>
      </c>
      <c r="Z113" s="111">
        <f>'(변경)집계표'!H226</f>
        <v>0</v>
      </c>
      <c r="AA113" s="112" t="s">
        <v>11</v>
      </c>
      <c r="AB113" s="140">
        <f>'(변경)집계표'!J226</f>
        <v>0</v>
      </c>
      <c r="AC113" s="111">
        <f>'(변경)집계표'!H256</f>
        <v>0</v>
      </c>
      <c r="AD113" s="112" t="s">
        <v>11</v>
      </c>
      <c r="AE113" s="140">
        <f>'(변경)집계표'!J256</f>
        <v>0</v>
      </c>
      <c r="AF113" s="111">
        <f>'(변경)집계표'!H286</f>
        <v>0</v>
      </c>
      <c r="AG113" s="112" t="s">
        <v>11</v>
      </c>
      <c r="AH113" s="140">
        <f>'(변경)집계표'!J286</f>
        <v>0</v>
      </c>
      <c r="AI113" s="128"/>
    </row>
    <row r="114" spans="1:36" s="6" customFormat="1" ht="22.5" customHeight="1">
      <c r="A114" s="127" t="s">
        <v>23</v>
      </c>
      <c r="B114" s="111">
        <f t="shared" si="6"/>
        <v>0</v>
      </c>
      <c r="C114" s="112" t="s">
        <v>11</v>
      </c>
      <c r="D114" s="179">
        <f t="shared" si="7"/>
        <v>0</v>
      </c>
      <c r="E114" s="111">
        <v>0</v>
      </c>
      <c r="F114" s="112" t="s">
        <v>11</v>
      </c>
      <c r="G114" s="179">
        <v>0</v>
      </c>
      <c r="H114" s="111">
        <v>0</v>
      </c>
      <c r="I114" s="112" t="s">
        <v>11</v>
      </c>
      <c r="J114" s="179">
        <v>0</v>
      </c>
      <c r="K114" s="111">
        <v>0</v>
      </c>
      <c r="L114" s="112" t="s">
        <v>11</v>
      </c>
      <c r="M114" s="179">
        <v>0</v>
      </c>
      <c r="N114" s="111">
        <v>0</v>
      </c>
      <c r="O114" s="112" t="s">
        <v>11</v>
      </c>
      <c r="P114" s="179">
        <v>0</v>
      </c>
      <c r="Q114" s="111">
        <v>0</v>
      </c>
      <c r="R114" s="112" t="s">
        <v>11</v>
      </c>
      <c r="S114" s="140">
        <v>0</v>
      </c>
      <c r="T114" s="111">
        <f>'(변경)집계표'!H167</f>
        <v>0</v>
      </c>
      <c r="U114" s="112" t="s">
        <v>11</v>
      </c>
      <c r="V114" s="140">
        <f>'(변경)집계표'!J167</f>
        <v>0</v>
      </c>
      <c r="W114" s="111">
        <f>'(변경)집계표'!H197</f>
        <v>0</v>
      </c>
      <c r="X114" s="112" t="s">
        <v>11</v>
      </c>
      <c r="Y114" s="140">
        <f>'(변경)집계표'!J197</f>
        <v>0</v>
      </c>
      <c r="Z114" s="111">
        <f>'(변경)집계표'!H227</f>
        <v>0</v>
      </c>
      <c r="AA114" s="112" t="s">
        <v>11</v>
      </c>
      <c r="AB114" s="140">
        <f>'(변경)집계표'!J227</f>
        <v>0</v>
      </c>
      <c r="AC114" s="111">
        <f>'(변경)집계표'!H257</f>
        <v>0</v>
      </c>
      <c r="AD114" s="112" t="s">
        <v>11</v>
      </c>
      <c r="AE114" s="140">
        <f>'(변경)집계표'!J257</f>
        <v>0</v>
      </c>
      <c r="AF114" s="111">
        <f>'(변경)집계표'!H287</f>
        <v>0</v>
      </c>
      <c r="AG114" s="112" t="s">
        <v>11</v>
      </c>
      <c r="AH114" s="140">
        <f>'(변경)집계표'!J287</f>
        <v>0</v>
      </c>
      <c r="AI114" s="128"/>
    </row>
    <row r="115" spans="1:36" s="7" customFormat="1" ht="22.5" customHeight="1">
      <c r="A115" s="127" t="s">
        <v>24</v>
      </c>
      <c r="B115" s="111">
        <f t="shared" si="6"/>
        <v>0</v>
      </c>
      <c r="C115" s="112" t="s">
        <v>11</v>
      </c>
      <c r="D115" s="179">
        <f t="shared" si="7"/>
        <v>0</v>
      </c>
      <c r="E115" s="111">
        <v>0</v>
      </c>
      <c r="F115" s="112" t="s">
        <v>11</v>
      </c>
      <c r="G115" s="179">
        <v>0</v>
      </c>
      <c r="H115" s="111">
        <v>0</v>
      </c>
      <c r="I115" s="112" t="s">
        <v>11</v>
      </c>
      <c r="J115" s="179">
        <v>0</v>
      </c>
      <c r="K115" s="111">
        <v>0</v>
      </c>
      <c r="L115" s="112" t="s">
        <v>11</v>
      </c>
      <c r="M115" s="179">
        <v>0</v>
      </c>
      <c r="N115" s="111">
        <v>0</v>
      </c>
      <c r="O115" s="112" t="s">
        <v>11</v>
      </c>
      <c r="P115" s="179">
        <v>0</v>
      </c>
      <c r="Q115" s="111">
        <v>0</v>
      </c>
      <c r="R115" s="112" t="s">
        <v>11</v>
      </c>
      <c r="S115" s="140">
        <v>0</v>
      </c>
      <c r="T115" s="111">
        <f>'(변경)집계표'!H168</f>
        <v>0</v>
      </c>
      <c r="U115" s="112" t="s">
        <v>11</v>
      </c>
      <c r="V115" s="140">
        <f>'(변경)집계표'!J168</f>
        <v>0</v>
      </c>
      <c r="W115" s="111">
        <f>'(변경)집계표'!H198</f>
        <v>0</v>
      </c>
      <c r="X115" s="112" t="s">
        <v>11</v>
      </c>
      <c r="Y115" s="140">
        <f>'(변경)집계표'!J198</f>
        <v>0</v>
      </c>
      <c r="Z115" s="111">
        <f>'(변경)집계표'!H228</f>
        <v>0</v>
      </c>
      <c r="AA115" s="112" t="s">
        <v>11</v>
      </c>
      <c r="AB115" s="140">
        <f>'(변경)집계표'!J228</f>
        <v>0</v>
      </c>
      <c r="AC115" s="111">
        <f>'(변경)집계표'!H258</f>
        <v>0</v>
      </c>
      <c r="AD115" s="112" t="s">
        <v>11</v>
      </c>
      <c r="AE115" s="140">
        <f>'(변경)집계표'!J258</f>
        <v>0</v>
      </c>
      <c r="AF115" s="111">
        <f>'(변경)집계표'!H288</f>
        <v>0</v>
      </c>
      <c r="AG115" s="112" t="s">
        <v>11</v>
      </c>
      <c r="AH115" s="140">
        <f>'(변경)집계표'!J288</f>
        <v>0</v>
      </c>
      <c r="AI115" s="128"/>
      <c r="AJ115" s="6"/>
    </row>
    <row r="116" spans="1:36" s="7" customFormat="1" ht="22.5" customHeight="1">
      <c r="A116" s="127" t="s">
        <v>25</v>
      </c>
      <c r="B116" s="111">
        <f t="shared" si="6"/>
        <v>0</v>
      </c>
      <c r="C116" s="112" t="s">
        <v>11</v>
      </c>
      <c r="D116" s="179">
        <f t="shared" si="7"/>
        <v>0</v>
      </c>
      <c r="E116" s="111">
        <v>0</v>
      </c>
      <c r="F116" s="112" t="s">
        <v>11</v>
      </c>
      <c r="G116" s="179">
        <v>0</v>
      </c>
      <c r="H116" s="111">
        <v>0</v>
      </c>
      <c r="I116" s="112" t="s">
        <v>11</v>
      </c>
      <c r="J116" s="179">
        <v>0</v>
      </c>
      <c r="K116" s="111">
        <v>0</v>
      </c>
      <c r="L116" s="112" t="s">
        <v>11</v>
      </c>
      <c r="M116" s="179">
        <v>0</v>
      </c>
      <c r="N116" s="111">
        <v>0</v>
      </c>
      <c r="O116" s="112" t="s">
        <v>11</v>
      </c>
      <c r="P116" s="179">
        <v>0</v>
      </c>
      <c r="Q116" s="111">
        <v>0</v>
      </c>
      <c r="R116" s="112" t="s">
        <v>11</v>
      </c>
      <c r="S116" s="140">
        <v>0</v>
      </c>
      <c r="T116" s="111">
        <f>'(변경)집계표'!H169</f>
        <v>0</v>
      </c>
      <c r="U116" s="112" t="s">
        <v>11</v>
      </c>
      <c r="V116" s="140">
        <f>'(변경)집계표'!J169</f>
        <v>0</v>
      </c>
      <c r="W116" s="111">
        <f>'(변경)집계표'!H199</f>
        <v>0</v>
      </c>
      <c r="X116" s="112" t="s">
        <v>11</v>
      </c>
      <c r="Y116" s="140">
        <f>'(변경)집계표'!J199</f>
        <v>0</v>
      </c>
      <c r="Z116" s="111">
        <f>'(변경)집계표'!H229</f>
        <v>0</v>
      </c>
      <c r="AA116" s="112" t="s">
        <v>11</v>
      </c>
      <c r="AB116" s="140">
        <f>'(변경)집계표'!J229</f>
        <v>0</v>
      </c>
      <c r="AC116" s="111">
        <f>'(변경)집계표'!H259</f>
        <v>0</v>
      </c>
      <c r="AD116" s="112" t="s">
        <v>11</v>
      </c>
      <c r="AE116" s="140">
        <f>'(변경)집계표'!J259</f>
        <v>0</v>
      </c>
      <c r="AF116" s="111">
        <f>'(변경)집계표'!H289</f>
        <v>0</v>
      </c>
      <c r="AG116" s="112" t="s">
        <v>11</v>
      </c>
      <c r="AH116" s="140">
        <f>'(변경)집계표'!J289</f>
        <v>0</v>
      </c>
      <c r="AI116" s="128"/>
      <c r="AJ116" s="6"/>
    </row>
    <row r="117" spans="1:36" s="7" customFormat="1" ht="22.5" customHeight="1">
      <c r="A117" s="127" t="s">
        <v>26</v>
      </c>
      <c r="B117" s="111">
        <f t="shared" si="6"/>
        <v>0</v>
      </c>
      <c r="C117" s="112" t="s">
        <v>11</v>
      </c>
      <c r="D117" s="179">
        <f t="shared" si="7"/>
        <v>0</v>
      </c>
      <c r="E117" s="111">
        <v>0</v>
      </c>
      <c r="F117" s="112" t="s">
        <v>11</v>
      </c>
      <c r="G117" s="179">
        <v>0</v>
      </c>
      <c r="H117" s="111">
        <v>0</v>
      </c>
      <c r="I117" s="112" t="s">
        <v>11</v>
      </c>
      <c r="J117" s="179">
        <v>0</v>
      </c>
      <c r="K117" s="111">
        <v>0</v>
      </c>
      <c r="L117" s="112" t="s">
        <v>11</v>
      </c>
      <c r="M117" s="179">
        <v>0</v>
      </c>
      <c r="N117" s="111">
        <v>0</v>
      </c>
      <c r="O117" s="112" t="s">
        <v>11</v>
      </c>
      <c r="P117" s="179">
        <v>0</v>
      </c>
      <c r="Q117" s="111">
        <v>0</v>
      </c>
      <c r="R117" s="112" t="s">
        <v>11</v>
      </c>
      <c r="S117" s="140">
        <v>0</v>
      </c>
      <c r="T117" s="111">
        <f>'(변경)집계표'!H170</f>
        <v>0</v>
      </c>
      <c r="U117" s="112" t="s">
        <v>11</v>
      </c>
      <c r="V117" s="140">
        <f>'(변경)집계표'!J170</f>
        <v>0</v>
      </c>
      <c r="W117" s="111">
        <f>'(변경)집계표'!H200</f>
        <v>0</v>
      </c>
      <c r="X117" s="112" t="s">
        <v>11</v>
      </c>
      <c r="Y117" s="140">
        <f>'(변경)집계표'!J200</f>
        <v>0</v>
      </c>
      <c r="Z117" s="111">
        <f>'(변경)집계표'!H230</f>
        <v>0</v>
      </c>
      <c r="AA117" s="112" t="s">
        <v>11</v>
      </c>
      <c r="AB117" s="140">
        <f>'(변경)집계표'!J230</f>
        <v>0</v>
      </c>
      <c r="AC117" s="111">
        <f>'(변경)집계표'!H260</f>
        <v>0</v>
      </c>
      <c r="AD117" s="112" t="s">
        <v>11</v>
      </c>
      <c r="AE117" s="140">
        <f>'(변경)집계표'!J260</f>
        <v>0</v>
      </c>
      <c r="AF117" s="111">
        <f>'(변경)집계표'!H290</f>
        <v>0</v>
      </c>
      <c r="AG117" s="112" t="s">
        <v>11</v>
      </c>
      <c r="AH117" s="140">
        <f>'(변경)집계표'!J290</f>
        <v>0</v>
      </c>
      <c r="AI117" s="128"/>
      <c r="AJ117" s="6"/>
    </row>
    <row r="118" spans="1:36" s="7" customFormat="1" ht="22.5" customHeight="1">
      <c r="A118" s="127" t="s">
        <v>27</v>
      </c>
      <c r="B118" s="111">
        <f t="shared" si="6"/>
        <v>0</v>
      </c>
      <c r="C118" s="112" t="s">
        <v>11</v>
      </c>
      <c r="D118" s="179">
        <f t="shared" si="7"/>
        <v>0</v>
      </c>
      <c r="E118" s="111">
        <v>0</v>
      </c>
      <c r="F118" s="112" t="s">
        <v>11</v>
      </c>
      <c r="G118" s="179">
        <v>0</v>
      </c>
      <c r="H118" s="111">
        <v>0</v>
      </c>
      <c r="I118" s="112" t="s">
        <v>11</v>
      </c>
      <c r="J118" s="179">
        <v>0</v>
      </c>
      <c r="K118" s="111">
        <v>0</v>
      </c>
      <c r="L118" s="112" t="s">
        <v>11</v>
      </c>
      <c r="M118" s="179">
        <v>0</v>
      </c>
      <c r="N118" s="111">
        <v>0</v>
      </c>
      <c r="O118" s="112" t="s">
        <v>11</v>
      </c>
      <c r="P118" s="179">
        <v>0</v>
      </c>
      <c r="Q118" s="111">
        <v>0</v>
      </c>
      <c r="R118" s="112" t="s">
        <v>11</v>
      </c>
      <c r="S118" s="140">
        <v>0</v>
      </c>
      <c r="T118" s="111">
        <f>'(변경)집계표'!H171</f>
        <v>0</v>
      </c>
      <c r="U118" s="112" t="s">
        <v>11</v>
      </c>
      <c r="V118" s="140">
        <f>'(변경)집계표'!J171</f>
        <v>0</v>
      </c>
      <c r="W118" s="111">
        <f>'(변경)집계표'!H201</f>
        <v>0</v>
      </c>
      <c r="X118" s="112" t="s">
        <v>11</v>
      </c>
      <c r="Y118" s="140">
        <f>'(변경)집계표'!J201</f>
        <v>0</v>
      </c>
      <c r="Z118" s="111">
        <f>'(변경)집계표'!H231</f>
        <v>0</v>
      </c>
      <c r="AA118" s="112" t="s">
        <v>11</v>
      </c>
      <c r="AB118" s="140">
        <f>'(변경)집계표'!J231</f>
        <v>0</v>
      </c>
      <c r="AC118" s="111">
        <f>'(변경)집계표'!H261</f>
        <v>0</v>
      </c>
      <c r="AD118" s="112" t="s">
        <v>11</v>
      </c>
      <c r="AE118" s="140">
        <f>'(변경)집계표'!J261</f>
        <v>0</v>
      </c>
      <c r="AF118" s="111">
        <f>'(변경)집계표'!H291</f>
        <v>0</v>
      </c>
      <c r="AG118" s="112" t="s">
        <v>11</v>
      </c>
      <c r="AH118" s="140">
        <f>'(변경)집계표'!J291</f>
        <v>0</v>
      </c>
      <c r="AI118" s="128"/>
      <c r="AJ118" s="6"/>
    </row>
    <row r="119" spans="1:36" s="7" customFormat="1" ht="22.5" customHeight="1">
      <c r="A119" s="127" t="s">
        <v>28</v>
      </c>
      <c r="B119" s="111">
        <f t="shared" si="6"/>
        <v>0</v>
      </c>
      <c r="C119" s="112" t="s">
        <v>11</v>
      </c>
      <c r="D119" s="179">
        <f t="shared" si="7"/>
        <v>0</v>
      </c>
      <c r="E119" s="111">
        <v>0</v>
      </c>
      <c r="F119" s="112" t="s">
        <v>11</v>
      </c>
      <c r="G119" s="179">
        <v>0</v>
      </c>
      <c r="H119" s="111">
        <v>0</v>
      </c>
      <c r="I119" s="112" t="s">
        <v>11</v>
      </c>
      <c r="J119" s="179">
        <v>0</v>
      </c>
      <c r="K119" s="111">
        <v>0</v>
      </c>
      <c r="L119" s="112" t="s">
        <v>11</v>
      </c>
      <c r="M119" s="179">
        <v>0</v>
      </c>
      <c r="N119" s="111">
        <v>0</v>
      </c>
      <c r="O119" s="112" t="s">
        <v>11</v>
      </c>
      <c r="P119" s="179">
        <v>0</v>
      </c>
      <c r="Q119" s="111">
        <v>0</v>
      </c>
      <c r="R119" s="112" t="s">
        <v>11</v>
      </c>
      <c r="S119" s="140">
        <v>0</v>
      </c>
      <c r="T119" s="111">
        <f>'(변경)집계표'!H172</f>
        <v>0</v>
      </c>
      <c r="U119" s="112" t="s">
        <v>11</v>
      </c>
      <c r="V119" s="140">
        <f>'(변경)집계표'!J172</f>
        <v>0</v>
      </c>
      <c r="W119" s="111">
        <f>'(변경)집계표'!H202</f>
        <v>0</v>
      </c>
      <c r="X119" s="112" t="s">
        <v>11</v>
      </c>
      <c r="Y119" s="140">
        <f>'(변경)집계표'!J202</f>
        <v>0</v>
      </c>
      <c r="Z119" s="111">
        <f>'(변경)집계표'!H232</f>
        <v>0</v>
      </c>
      <c r="AA119" s="112" t="s">
        <v>11</v>
      </c>
      <c r="AB119" s="140">
        <f>'(변경)집계표'!J232</f>
        <v>0</v>
      </c>
      <c r="AC119" s="111">
        <f>'(변경)집계표'!H262</f>
        <v>0</v>
      </c>
      <c r="AD119" s="112" t="s">
        <v>11</v>
      </c>
      <c r="AE119" s="140">
        <f>'(변경)집계표'!J262</f>
        <v>0</v>
      </c>
      <c r="AF119" s="111">
        <f>'(변경)집계표'!H292</f>
        <v>0</v>
      </c>
      <c r="AG119" s="112" t="s">
        <v>11</v>
      </c>
      <c r="AH119" s="140">
        <f>'(변경)집계표'!J292</f>
        <v>0</v>
      </c>
      <c r="AI119" s="128"/>
      <c r="AJ119" s="6"/>
    </row>
    <row r="120" spans="1:36" s="7" customFormat="1" ht="22.5" customHeight="1">
      <c r="A120" s="127" t="s">
        <v>29</v>
      </c>
      <c r="B120" s="111">
        <f t="shared" si="6"/>
        <v>1</v>
      </c>
      <c r="C120" s="112" t="s">
        <v>11</v>
      </c>
      <c r="D120" s="179">
        <f t="shared" si="7"/>
        <v>23</v>
      </c>
      <c r="E120" s="111">
        <v>0</v>
      </c>
      <c r="F120" s="112" t="s">
        <v>11</v>
      </c>
      <c r="G120" s="179">
        <v>0</v>
      </c>
      <c r="H120" s="111">
        <v>0</v>
      </c>
      <c r="I120" s="112" t="s">
        <v>11</v>
      </c>
      <c r="J120" s="179">
        <v>0</v>
      </c>
      <c r="K120" s="111">
        <v>0</v>
      </c>
      <c r="L120" s="112" t="s">
        <v>11</v>
      </c>
      <c r="M120" s="179">
        <v>0</v>
      </c>
      <c r="N120" s="111">
        <v>0</v>
      </c>
      <c r="O120" s="112" t="s">
        <v>11</v>
      </c>
      <c r="P120" s="179">
        <v>0</v>
      </c>
      <c r="Q120" s="111">
        <v>1</v>
      </c>
      <c r="R120" s="112" t="s">
        <v>11</v>
      </c>
      <c r="S120" s="140">
        <v>23</v>
      </c>
      <c r="T120" s="111">
        <f>'(변경)집계표'!H173</f>
        <v>0</v>
      </c>
      <c r="U120" s="112" t="s">
        <v>11</v>
      </c>
      <c r="V120" s="140">
        <f>'(변경)집계표'!J173</f>
        <v>0</v>
      </c>
      <c r="W120" s="111">
        <f>'(변경)집계표'!H203</f>
        <v>0</v>
      </c>
      <c r="X120" s="112" t="s">
        <v>11</v>
      </c>
      <c r="Y120" s="140">
        <f>'(변경)집계표'!J203</f>
        <v>0</v>
      </c>
      <c r="Z120" s="111">
        <f>'(변경)집계표'!H233</f>
        <v>0</v>
      </c>
      <c r="AA120" s="112" t="s">
        <v>11</v>
      </c>
      <c r="AB120" s="140">
        <f>'(변경)집계표'!J233</f>
        <v>0</v>
      </c>
      <c r="AC120" s="111">
        <f>'(변경)집계표'!H263</f>
        <v>0</v>
      </c>
      <c r="AD120" s="112" t="s">
        <v>11</v>
      </c>
      <c r="AE120" s="140">
        <f>'(변경)집계표'!J263</f>
        <v>0</v>
      </c>
      <c r="AF120" s="111">
        <f>'(변경)집계표'!H293</f>
        <v>0</v>
      </c>
      <c r="AG120" s="112" t="s">
        <v>11</v>
      </c>
      <c r="AH120" s="140">
        <f>'(변경)집계표'!J293</f>
        <v>0</v>
      </c>
      <c r="AI120" s="128"/>
      <c r="AJ120" s="6"/>
    </row>
    <row r="121" spans="1:36" s="7" customFormat="1" ht="22.5" customHeight="1">
      <c r="A121" s="129" t="s">
        <v>30</v>
      </c>
      <c r="B121" s="111">
        <f t="shared" si="6"/>
        <v>0</v>
      </c>
      <c r="C121" s="112" t="s">
        <v>11</v>
      </c>
      <c r="D121" s="179">
        <f t="shared" si="7"/>
        <v>0</v>
      </c>
      <c r="E121" s="111">
        <v>0</v>
      </c>
      <c r="F121" s="112" t="s">
        <v>11</v>
      </c>
      <c r="G121" s="179">
        <v>0</v>
      </c>
      <c r="H121" s="111">
        <v>0</v>
      </c>
      <c r="I121" s="112" t="s">
        <v>11</v>
      </c>
      <c r="J121" s="179">
        <v>0</v>
      </c>
      <c r="K121" s="111">
        <v>0</v>
      </c>
      <c r="L121" s="112" t="s">
        <v>11</v>
      </c>
      <c r="M121" s="179">
        <v>0</v>
      </c>
      <c r="N121" s="111">
        <v>0</v>
      </c>
      <c r="O121" s="112" t="s">
        <v>11</v>
      </c>
      <c r="P121" s="179">
        <v>0</v>
      </c>
      <c r="Q121" s="111">
        <v>0</v>
      </c>
      <c r="R121" s="112" t="s">
        <v>11</v>
      </c>
      <c r="S121" s="140">
        <v>0</v>
      </c>
      <c r="T121" s="111">
        <f>'(변경)집계표'!H174</f>
        <v>0</v>
      </c>
      <c r="U121" s="112" t="s">
        <v>11</v>
      </c>
      <c r="V121" s="140">
        <f>'(변경)집계표'!J174</f>
        <v>0</v>
      </c>
      <c r="W121" s="111">
        <f>'(변경)집계표'!H204</f>
        <v>0</v>
      </c>
      <c r="X121" s="112" t="s">
        <v>11</v>
      </c>
      <c r="Y121" s="140">
        <f>'(변경)집계표'!J204</f>
        <v>0</v>
      </c>
      <c r="Z121" s="111">
        <f>'(변경)집계표'!H234</f>
        <v>0</v>
      </c>
      <c r="AA121" s="112" t="s">
        <v>11</v>
      </c>
      <c r="AB121" s="140">
        <f>'(변경)집계표'!J234</f>
        <v>0</v>
      </c>
      <c r="AC121" s="111">
        <f>'(변경)집계표'!H264</f>
        <v>0</v>
      </c>
      <c r="AD121" s="112" t="s">
        <v>11</v>
      </c>
      <c r="AE121" s="140">
        <f>'(변경)집계표'!J264</f>
        <v>0</v>
      </c>
      <c r="AF121" s="111">
        <f>'(변경)집계표'!H294</f>
        <v>0</v>
      </c>
      <c r="AG121" s="112" t="s">
        <v>11</v>
      </c>
      <c r="AH121" s="140">
        <f>'(변경)집계표'!J294</f>
        <v>0</v>
      </c>
      <c r="AI121" s="128"/>
      <c r="AJ121" s="6"/>
    </row>
    <row r="122" spans="1:36" s="7" customFormat="1" ht="22.5" customHeight="1">
      <c r="A122" s="129" t="s">
        <v>31</v>
      </c>
      <c r="B122" s="111">
        <f t="shared" si="6"/>
        <v>0</v>
      </c>
      <c r="C122" s="112" t="s">
        <v>11</v>
      </c>
      <c r="D122" s="179">
        <f t="shared" si="7"/>
        <v>0</v>
      </c>
      <c r="E122" s="111">
        <v>0</v>
      </c>
      <c r="F122" s="112" t="s">
        <v>11</v>
      </c>
      <c r="G122" s="179">
        <v>0</v>
      </c>
      <c r="H122" s="111">
        <v>0</v>
      </c>
      <c r="I122" s="112" t="s">
        <v>11</v>
      </c>
      <c r="J122" s="179">
        <v>0</v>
      </c>
      <c r="K122" s="111">
        <v>0</v>
      </c>
      <c r="L122" s="112" t="s">
        <v>11</v>
      </c>
      <c r="M122" s="179">
        <v>0</v>
      </c>
      <c r="N122" s="111">
        <v>0</v>
      </c>
      <c r="O122" s="112" t="s">
        <v>11</v>
      </c>
      <c r="P122" s="179">
        <v>0</v>
      </c>
      <c r="Q122" s="111">
        <v>0</v>
      </c>
      <c r="R122" s="112" t="s">
        <v>11</v>
      </c>
      <c r="S122" s="140">
        <v>0</v>
      </c>
      <c r="T122" s="111">
        <f>'(변경)집계표'!H175</f>
        <v>0</v>
      </c>
      <c r="U122" s="112" t="s">
        <v>11</v>
      </c>
      <c r="V122" s="140">
        <f>'(변경)집계표'!J175</f>
        <v>0</v>
      </c>
      <c r="W122" s="111">
        <f>'(변경)집계표'!H205</f>
        <v>0</v>
      </c>
      <c r="X122" s="112" t="s">
        <v>11</v>
      </c>
      <c r="Y122" s="140">
        <f>'(변경)집계표'!J205</f>
        <v>0</v>
      </c>
      <c r="Z122" s="111">
        <f>'(변경)집계표'!H235</f>
        <v>0</v>
      </c>
      <c r="AA122" s="112" t="s">
        <v>11</v>
      </c>
      <c r="AB122" s="140">
        <f>'(변경)집계표'!J235</f>
        <v>0</v>
      </c>
      <c r="AC122" s="111">
        <f>'(변경)집계표'!H265</f>
        <v>0</v>
      </c>
      <c r="AD122" s="112" t="s">
        <v>11</v>
      </c>
      <c r="AE122" s="140">
        <f>'(변경)집계표'!J265</f>
        <v>0</v>
      </c>
      <c r="AF122" s="111">
        <f>'(변경)집계표'!H295</f>
        <v>0</v>
      </c>
      <c r="AG122" s="112" t="s">
        <v>11</v>
      </c>
      <c r="AH122" s="140">
        <f>'(변경)집계표'!J295</f>
        <v>0</v>
      </c>
      <c r="AI122" s="128"/>
      <c r="AJ122" s="6"/>
    </row>
    <row r="123" spans="1:36" s="7" customFormat="1" ht="22.5" customHeight="1">
      <c r="A123" s="129" t="s">
        <v>32</v>
      </c>
      <c r="B123" s="111">
        <f t="shared" si="6"/>
        <v>0</v>
      </c>
      <c r="C123" s="112" t="s">
        <v>11</v>
      </c>
      <c r="D123" s="179">
        <f t="shared" si="7"/>
        <v>0</v>
      </c>
      <c r="E123" s="111">
        <v>0</v>
      </c>
      <c r="F123" s="112" t="s">
        <v>11</v>
      </c>
      <c r="G123" s="179">
        <v>0</v>
      </c>
      <c r="H123" s="111">
        <v>0</v>
      </c>
      <c r="I123" s="112" t="s">
        <v>11</v>
      </c>
      <c r="J123" s="179">
        <v>0</v>
      </c>
      <c r="K123" s="111">
        <v>0</v>
      </c>
      <c r="L123" s="112" t="s">
        <v>11</v>
      </c>
      <c r="M123" s="179">
        <v>0</v>
      </c>
      <c r="N123" s="111">
        <v>0</v>
      </c>
      <c r="O123" s="112" t="s">
        <v>11</v>
      </c>
      <c r="P123" s="179">
        <v>0</v>
      </c>
      <c r="Q123" s="111">
        <v>0</v>
      </c>
      <c r="R123" s="112" t="s">
        <v>11</v>
      </c>
      <c r="S123" s="140">
        <v>0</v>
      </c>
      <c r="T123" s="111">
        <f>'(변경)집계표'!H176</f>
        <v>0</v>
      </c>
      <c r="U123" s="112" t="s">
        <v>11</v>
      </c>
      <c r="V123" s="140">
        <f>'(변경)집계표'!J176</f>
        <v>0</v>
      </c>
      <c r="W123" s="111">
        <f>'(변경)집계표'!H206</f>
        <v>0</v>
      </c>
      <c r="X123" s="112" t="s">
        <v>11</v>
      </c>
      <c r="Y123" s="140">
        <f>'(변경)집계표'!J206</f>
        <v>0</v>
      </c>
      <c r="Z123" s="111">
        <f>'(변경)집계표'!H236</f>
        <v>0</v>
      </c>
      <c r="AA123" s="112" t="s">
        <v>11</v>
      </c>
      <c r="AB123" s="140">
        <f>'(변경)집계표'!J236</f>
        <v>0</v>
      </c>
      <c r="AC123" s="111">
        <f>'(변경)집계표'!H266</f>
        <v>0</v>
      </c>
      <c r="AD123" s="112" t="s">
        <v>11</v>
      </c>
      <c r="AE123" s="140">
        <f>'(변경)집계표'!J266</f>
        <v>0</v>
      </c>
      <c r="AF123" s="111">
        <f>'(변경)집계표'!H296</f>
        <v>0</v>
      </c>
      <c r="AG123" s="112" t="s">
        <v>11</v>
      </c>
      <c r="AH123" s="140">
        <f>'(변경)집계표'!J296</f>
        <v>0</v>
      </c>
      <c r="AI123" s="128"/>
      <c r="AJ123" s="6"/>
    </row>
    <row r="124" spans="1:36" s="7" customFormat="1" ht="22.5" customHeight="1">
      <c r="A124" s="129" t="s">
        <v>33</v>
      </c>
      <c r="B124" s="111">
        <f t="shared" si="6"/>
        <v>0</v>
      </c>
      <c r="C124" s="112" t="s">
        <v>11</v>
      </c>
      <c r="D124" s="179">
        <f t="shared" si="7"/>
        <v>0</v>
      </c>
      <c r="E124" s="111">
        <v>0</v>
      </c>
      <c r="F124" s="112" t="s">
        <v>11</v>
      </c>
      <c r="G124" s="179">
        <v>0</v>
      </c>
      <c r="H124" s="111">
        <v>0</v>
      </c>
      <c r="I124" s="112" t="s">
        <v>11</v>
      </c>
      <c r="J124" s="179">
        <v>0</v>
      </c>
      <c r="K124" s="111">
        <v>0</v>
      </c>
      <c r="L124" s="112" t="s">
        <v>11</v>
      </c>
      <c r="M124" s="179">
        <v>0</v>
      </c>
      <c r="N124" s="111">
        <v>0</v>
      </c>
      <c r="O124" s="112" t="s">
        <v>11</v>
      </c>
      <c r="P124" s="179">
        <v>0</v>
      </c>
      <c r="Q124" s="111">
        <v>0</v>
      </c>
      <c r="R124" s="112" t="s">
        <v>11</v>
      </c>
      <c r="S124" s="140">
        <v>0</v>
      </c>
      <c r="T124" s="111">
        <f>'(변경)집계표'!H177</f>
        <v>0</v>
      </c>
      <c r="U124" s="112" t="s">
        <v>11</v>
      </c>
      <c r="V124" s="140">
        <f>'(변경)집계표'!J177</f>
        <v>0</v>
      </c>
      <c r="W124" s="111">
        <f>'(변경)집계표'!H207</f>
        <v>0</v>
      </c>
      <c r="X124" s="112" t="s">
        <v>11</v>
      </c>
      <c r="Y124" s="140">
        <f>'(변경)집계표'!J207</f>
        <v>0</v>
      </c>
      <c r="Z124" s="111">
        <f>'(변경)집계표'!H237</f>
        <v>0</v>
      </c>
      <c r="AA124" s="112" t="s">
        <v>11</v>
      </c>
      <c r="AB124" s="140">
        <f>'(변경)집계표'!J237</f>
        <v>0</v>
      </c>
      <c r="AC124" s="111">
        <f>'(변경)집계표'!H267</f>
        <v>0</v>
      </c>
      <c r="AD124" s="112" t="s">
        <v>11</v>
      </c>
      <c r="AE124" s="140">
        <f>'(변경)집계표'!J267</f>
        <v>0</v>
      </c>
      <c r="AF124" s="111">
        <f>'(변경)집계표'!H297</f>
        <v>0</v>
      </c>
      <c r="AG124" s="112" t="s">
        <v>11</v>
      </c>
      <c r="AH124" s="140">
        <f>'(변경)집계표'!J297</f>
        <v>0</v>
      </c>
      <c r="AI124" s="128"/>
      <c r="AJ124" s="6"/>
    </row>
    <row r="125" spans="1:36" s="7" customFormat="1" ht="22.5" customHeight="1">
      <c r="A125" s="129" t="s">
        <v>34</v>
      </c>
      <c r="B125" s="111">
        <f t="shared" si="6"/>
        <v>0</v>
      </c>
      <c r="C125" s="112" t="s">
        <v>11</v>
      </c>
      <c r="D125" s="179">
        <f t="shared" si="7"/>
        <v>0</v>
      </c>
      <c r="E125" s="111">
        <v>0</v>
      </c>
      <c r="F125" s="112" t="s">
        <v>11</v>
      </c>
      <c r="G125" s="179">
        <v>0</v>
      </c>
      <c r="H125" s="111">
        <v>0</v>
      </c>
      <c r="I125" s="112" t="s">
        <v>11</v>
      </c>
      <c r="J125" s="179">
        <v>0</v>
      </c>
      <c r="K125" s="111">
        <v>0</v>
      </c>
      <c r="L125" s="112" t="s">
        <v>11</v>
      </c>
      <c r="M125" s="179">
        <v>0</v>
      </c>
      <c r="N125" s="111">
        <v>0</v>
      </c>
      <c r="O125" s="112" t="s">
        <v>11</v>
      </c>
      <c r="P125" s="179">
        <v>0</v>
      </c>
      <c r="Q125" s="111">
        <v>0</v>
      </c>
      <c r="R125" s="112" t="s">
        <v>11</v>
      </c>
      <c r="S125" s="140">
        <v>0</v>
      </c>
      <c r="T125" s="111">
        <f>'(변경)집계표'!H178</f>
        <v>0</v>
      </c>
      <c r="U125" s="112" t="s">
        <v>11</v>
      </c>
      <c r="V125" s="140">
        <f>'(변경)집계표'!J178</f>
        <v>0</v>
      </c>
      <c r="W125" s="111">
        <f>'(변경)집계표'!H208</f>
        <v>0</v>
      </c>
      <c r="X125" s="112" t="s">
        <v>11</v>
      </c>
      <c r="Y125" s="140">
        <f>'(변경)집계표'!J208</f>
        <v>0</v>
      </c>
      <c r="Z125" s="111">
        <f>'(변경)집계표'!H238</f>
        <v>0</v>
      </c>
      <c r="AA125" s="112" t="s">
        <v>11</v>
      </c>
      <c r="AB125" s="140">
        <f>'(변경)집계표'!J238</f>
        <v>0</v>
      </c>
      <c r="AC125" s="111">
        <f>'(변경)집계표'!H268</f>
        <v>0</v>
      </c>
      <c r="AD125" s="112" t="s">
        <v>11</v>
      </c>
      <c r="AE125" s="140">
        <f>'(변경)집계표'!J268</f>
        <v>0</v>
      </c>
      <c r="AF125" s="111">
        <f>'(변경)집계표'!H298</f>
        <v>0</v>
      </c>
      <c r="AG125" s="112" t="s">
        <v>11</v>
      </c>
      <c r="AH125" s="140">
        <f>'(변경)집계표'!J298</f>
        <v>0</v>
      </c>
      <c r="AI125" s="128"/>
      <c r="AJ125" s="6"/>
    </row>
    <row r="126" spans="1:36" s="7" customFormat="1" ht="22.5" customHeight="1">
      <c r="A126" s="129" t="s">
        <v>66</v>
      </c>
      <c r="B126" s="111">
        <f t="shared" si="6"/>
        <v>0</v>
      </c>
      <c r="C126" s="112" t="s">
        <v>11</v>
      </c>
      <c r="D126" s="179">
        <f t="shared" si="7"/>
        <v>0</v>
      </c>
      <c r="E126" s="111">
        <v>0</v>
      </c>
      <c r="F126" s="112" t="s">
        <v>11</v>
      </c>
      <c r="G126" s="179">
        <v>0</v>
      </c>
      <c r="H126" s="111">
        <v>0</v>
      </c>
      <c r="I126" s="112" t="s">
        <v>11</v>
      </c>
      <c r="J126" s="179">
        <v>0</v>
      </c>
      <c r="K126" s="111">
        <v>0</v>
      </c>
      <c r="L126" s="112" t="s">
        <v>11</v>
      </c>
      <c r="M126" s="179">
        <v>0</v>
      </c>
      <c r="N126" s="111">
        <v>0</v>
      </c>
      <c r="O126" s="112" t="s">
        <v>11</v>
      </c>
      <c r="P126" s="179">
        <v>0</v>
      </c>
      <c r="Q126" s="111">
        <v>0</v>
      </c>
      <c r="R126" s="112" t="s">
        <v>11</v>
      </c>
      <c r="S126" s="140">
        <v>0</v>
      </c>
      <c r="T126" s="111">
        <f>'(변경)집계표'!H179</f>
        <v>0</v>
      </c>
      <c r="U126" s="112" t="s">
        <v>11</v>
      </c>
      <c r="V126" s="140">
        <f>'(변경)집계표'!J179</f>
        <v>0</v>
      </c>
      <c r="W126" s="111">
        <f>'(변경)집계표'!H209</f>
        <v>0</v>
      </c>
      <c r="X126" s="112" t="s">
        <v>11</v>
      </c>
      <c r="Y126" s="140">
        <f>'(변경)집계표'!J209</f>
        <v>0</v>
      </c>
      <c r="Z126" s="111">
        <f>'(변경)집계표'!H239</f>
        <v>0</v>
      </c>
      <c r="AA126" s="112" t="s">
        <v>11</v>
      </c>
      <c r="AB126" s="140">
        <f>'(변경)집계표'!J239</f>
        <v>0</v>
      </c>
      <c r="AC126" s="111">
        <f>'(변경)집계표'!H269</f>
        <v>0</v>
      </c>
      <c r="AD126" s="112" t="s">
        <v>11</v>
      </c>
      <c r="AE126" s="140">
        <f>'(변경)집계표'!J269</f>
        <v>0</v>
      </c>
      <c r="AF126" s="111">
        <f>'(변경)집계표'!H299</f>
        <v>0</v>
      </c>
      <c r="AG126" s="112" t="s">
        <v>11</v>
      </c>
      <c r="AH126" s="140">
        <f>'(변경)집계표'!J299</f>
        <v>0</v>
      </c>
      <c r="AI126" s="128"/>
      <c r="AJ126" s="6"/>
    </row>
    <row r="127" spans="1:36" s="7" customFormat="1" ht="22.5" customHeight="1">
      <c r="A127" s="129" t="s">
        <v>75</v>
      </c>
      <c r="B127" s="111">
        <f t="shared" si="6"/>
        <v>0</v>
      </c>
      <c r="C127" s="112" t="s">
        <v>11</v>
      </c>
      <c r="D127" s="179">
        <f t="shared" si="7"/>
        <v>0</v>
      </c>
      <c r="E127" s="111">
        <v>0</v>
      </c>
      <c r="F127" s="112" t="s">
        <v>11</v>
      </c>
      <c r="G127" s="179">
        <v>0</v>
      </c>
      <c r="H127" s="111">
        <v>0</v>
      </c>
      <c r="I127" s="112" t="s">
        <v>11</v>
      </c>
      <c r="J127" s="179">
        <v>0</v>
      </c>
      <c r="K127" s="111">
        <v>0</v>
      </c>
      <c r="L127" s="112" t="s">
        <v>11</v>
      </c>
      <c r="M127" s="179">
        <v>0</v>
      </c>
      <c r="N127" s="111">
        <v>0</v>
      </c>
      <c r="O127" s="112" t="s">
        <v>11</v>
      </c>
      <c r="P127" s="179">
        <v>0</v>
      </c>
      <c r="Q127" s="111">
        <v>0</v>
      </c>
      <c r="R127" s="112" t="s">
        <v>11</v>
      </c>
      <c r="S127" s="140">
        <v>0</v>
      </c>
      <c r="T127" s="111">
        <f>'(변경)집계표'!H180</f>
        <v>0</v>
      </c>
      <c r="U127" s="112" t="s">
        <v>11</v>
      </c>
      <c r="V127" s="140">
        <f>'(변경)집계표'!J180</f>
        <v>0</v>
      </c>
      <c r="W127" s="111">
        <f>'(변경)집계표'!H210</f>
        <v>0</v>
      </c>
      <c r="X127" s="112" t="s">
        <v>11</v>
      </c>
      <c r="Y127" s="140">
        <f>'(변경)집계표'!J210</f>
        <v>0</v>
      </c>
      <c r="Z127" s="111">
        <f>'(변경)집계표'!H240</f>
        <v>0</v>
      </c>
      <c r="AA127" s="112" t="s">
        <v>11</v>
      </c>
      <c r="AB127" s="140">
        <f>'(변경)집계표'!J240</f>
        <v>0</v>
      </c>
      <c r="AC127" s="111">
        <f>'(변경)집계표'!H270</f>
        <v>0</v>
      </c>
      <c r="AD127" s="112" t="s">
        <v>11</v>
      </c>
      <c r="AE127" s="140">
        <f>'(변경)집계표'!J270</f>
        <v>0</v>
      </c>
      <c r="AF127" s="111">
        <f>'(변경)집계표'!H300</f>
        <v>0</v>
      </c>
      <c r="AG127" s="112" t="s">
        <v>11</v>
      </c>
      <c r="AH127" s="140">
        <f>'(변경)집계표'!J300</f>
        <v>0</v>
      </c>
      <c r="AI127" s="128"/>
      <c r="AJ127" s="6"/>
    </row>
    <row r="128" spans="1:36" s="7" customFormat="1" ht="22.5" customHeight="1" thickBot="1">
      <c r="A128" s="130" t="s">
        <v>68</v>
      </c>
      <c r="B128" s="131">
        <f t="shared" si="6"/>
        <v>0</v>
      </c>
      <c r="C128" s="132" t="s">
        <v>11</v>
      </c>
      <c r="D128" s="180">
        <f t="shared" si="7"/>
        <v>0</v>
      </c>
      <c r="E128" s="131">
        <v>0</v>
      </c>
      <c r="F128" s="132" t="s">
        <v>11</v>
      </c>
      <c r="G128" s="180">
        <v>0</v>
      </c>
      <c r="H128" s="131">
        <v>0</v>
      </c>
      <c r="I128" s="132" t="s">
        <v>11</v>
      </c>
      <c r="J128" s="180">
        <v>0</v>
      </c>
      <c r="K128" s="131">
        <v>0</v>
      </c>
      <c r="L128" s="132" t="s">
        <v>11</v>
      </c>
      <c r="M128" s="180">
        <v>0</v>
      </c>
      <c r="N128" s="131">
        <v>0</v>
      </c>
      <c r="O128" s="132" t="s">
        <v>11</v>
      </c>
      <c r="P128" s="180">
        <v>0</v>
      </c>
      <c r="Q128" s="131">
        <v>0</v>
      </c>
      <c r="R128" s="132" t="s">
        <v>11</v>
      </c>
      <c r="S128" s="141">
        <v>0</v>
      </c>
      <c r="T128" s="131">
        <f>'(변경)집계표'!H181</f>
        <v>0</v>
      </c>
      <c r="U128" s="132" t="s">
        <v>11</v>
      </c>
      <c r="V128" s="141">
        <f>'(변경)집계표'!J181</f>
        <v>0</v>
      </c>
      <c r="W128" s="131">
        <f>'(변경)집계표'!H211</f>
        <v>0</v>
      </c>
      <c r="X128" s="132" t="s">
        <v>11</v>
      </c>
      <c r="Y128" s="141">
        <f>'(변경)집계표'!J211</f>
        <v>0</v>
      </c>
      <c r="Z128" s="131">
        <f>'(변경)집계표'!H241</f>
        <v>0</v>
      </c>
      <c r="AA128" s="132" t="s">
        <v>11</v>
      </c>
      <c r="AB128" s="141">
        <f>'(변경)집계표'!J241</f>
        <v>0</v>
      </c>
      <c r="AC128" s="131">
        <f>'(변경)집계표'!H271</f>
        <v>0</v>
      </c>
      <c r="AD128" s="132" t="s">
        <v>11</v>
      </c>
      <c r="AE128" s="141">
        <f>'(변경)집계표'!J271</f>
        <v>0</v>
      </c>
      <c r="AF128" s="131">
        <f>'(변경)집계표'!H301</f>
        <v>0</v>
      </c>
      <c r="AG128" s="132" t="s">
        <v>11</v>
      </c>
      <c r="AH128" s="141">
        <f>'(변경)집계표'!J301</f>
        <v>0</v>
      </c>
      <c r="AI128" s="133"/>
      <c r="AJ128" s="6"/>
    </row>
    <row r="129" spans="35:36" ht="18" customHeight="1">
      <c r="AI129" s="5"/>
      <c r="AJ129" s="5"/>
    </row>
    <row r="130" spans="35:36" ht="18" customHeight="1">
      <c r="AI130" s="5"/>
      <c r="AJ130" s="5"/>
    </row>
    <row r="131" spans="35:36" ht="18" customHeight="1">
      <c r="AI131" s="5"/>
      <c r="AJ131" s="5"/>
    </row>
    <row r="132" spans="35:36" ht="18" customHeight="1">
      <c r="AI132" s="5"/>
      <c r="AJ132" s="5"/>
    </row>
    <row r="133" spans="35:36" ht="18" customHeight="1">
      <c r="AI133" s="5"/>
      <c r="AJ133" s="5"/>
    </row>
    <row r="134" spans="35:36" ht="18" customHeight="1">
      <c r="AI134" s="5"/>
      <c r="AJ134" s="5"/>
    </row>
    <row r="135" spans="35:36" ht="18" customHeight="1">
      <c r="AI135" s="5"/>
      <c r="AJ135" s="5"/>
    </row>
    <row r="136" spans="35:36" ht="18" customHeight="1">
      <c r="AI136" s="5"/>
      <c r="AJ136" s="5"/>
    </row>
    <row r="137" spans="35:36" ht="18" customHeight="1">
      <c r="AI137" s="5"/>
      <c r="AJ137" s="5"/>
    </row>
    <row r="138" spans="35:36" ht="18" customHeight="1">
      <c r="AI138" s="5"/>
      <c r="AJ138" s="5"/>
    </row>
    <row r="139" spans="35:36" ht="18" customHeight="1">
      <c r="AI139" s="5"/>
      <c r="AJ139" s="5"/>
    </row>
    <row r="140" spans="35:36" ht="18" customHeight="1">
      <c r="AI140" s="5"/>
      <c r="AJ140" s="5"/>
    </row>
    <row r="141" spans="35:36" ht="18" customHeight="1">
      <c r="AI141" s="5"/>
      <c r="AJ141" s="5"/>
    </row>
    <row r="142" spans="35:36" ht="18" customHeight="1">
      <c r="AI142" s="5"/>
      <c r="AJ142" s="5"/>
    </row>
    <row r="143" spans="35:36" ht="18" customHeight="1">
      <c r="AI143" s="5"/>
      <c r="AJ143" s="5"/>
    </row>
    <row r="144" spans="35:36" ht="18" customHeight="1">
      <c r="AI144" s="5"/>
      <c r="AJ144" s="5"/>
    </row>
    <row r="145" spans="35:36" ht="18" customHeight="1">
      <c r="AI145" s="5"/>
      <c r="AJ145" s="5"/>
    </row>
    <row r="146" spans="35:36" ht="18" customHeight="1">
      <c r="AI146" s="5"/>
      <c r="AJ146" s="5"/>
    </row>
    <row r="147" spans="35:36" ht="18" customHeight="1">
      <c r="AI147" s="5"/>
      <c r="AJ147" s="5"/>
    </row>
    <row r="148" spans="35:36" ht="18" customHeight="1">
      <c r="AI148" s="5"/>
      <c r="AJ148" s="5"/>
    </row>
    <row r="149" spans="35:36" ht="18" customHeight="1">
      <c r="AI149" s="5"/>
      <c r="AJ149" s="5"/>
    </row>
    <row r="150" spans="35:36" ht="18" customHeight="1">
      <c r="AI150" s="5"/>
      <c r="AJ150" s="5"/>
    </row>
    <row r="151" spans="35:36" ht="18" customHeight="1">
      <c r="AI151" s="5"/>
      <c r="AJ151" s="5"/>
    </row>
    <row r="152" spans="35:36" ht="18" customHeight="1">
      <c r="AI152" s="5"/>
      <c r="AJ152" s="5"/>
    </row>
    <row r="153" spans="35:36" ht="18" customHeight="1">
      <c r="AI153" s="5"/>
      <c r="AJ153" s="5"/>
    </row>
    <row r="154" spans="35:36" ht="18" customHeight="1">
      <c r="AI154" s="5"/>
      <c r="AJ154" s="5"/>
    </row>
    <row r="155" spans="35:36" ht="18" customHeight="1">
      <c r="AI155" s="5"/>
      <c r="AJ155" s="5"/>
    </row>
    <row r="156" spans="35:36" ht="18" customHeight="1">
      <c r="AI156" s="5"/>
      <c r="AJ156" s="5"/>
    </row>
    <row r="157" spans="35:36" ht="18" customHeight="1">
      <c r="AI157" s="5"/>
      <c r="AJ157" s="5"/>
    </row>
  </sheetData>
  <mergeCells count="8">
    <mergeCell ref="B99:D101"/>
    <mergeCell ref="AI99:AI102"/>
    <mergeCell ref="B3:D5"/>
    <mergeCell ref="AI3:AI6"/>
    <mergeCell ref="B35:D37"/>
    <mergeCell ref="AI35:AI38"/>
    <mergeCell ref="B67:D69"/>
    <mergeCell ref="AI67:AI70"/>
  </mergeCells>
  <phoneticPr fontId="5" type="noConversion"/>
  <printOptions horizontalCentered="1" verticalCentered="1"/>
  <pageMargins left="0.19685039370078741" right="0.19685039370078741" top="0.55118110236220474" bottom="0.27559055118110237" header="0.27559055118110237" footer="0.19685039370078741"/>
  <pageSetup paperSize="9" scale="85" orientation="portrait" r:id="rId1"/>
  <headerFooter alignWithMargins="0"/>
  <rowBreaks count="3" manualBreakCount="3">
    <brk id="32" max="16383" man="1"/>
    <brk id="64" max="16383" man="1"/>
    <brk id="9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J157"/>
  <sheetViews>
    <sheetView showGridLines="0" showZeros="0" view="pageBreakPreview" zoomScaleNormal="100" zoomScaleSheetLayoutView="100" workbookViewId="0">
      <selection activeCell="E9" sqref="E9"/>
    </sheetView>
  </sheetViews>
  <sheetFormatPr defaultRowHeight="18" customHeight="1"/>
  <cols>
    <col min="1" max="1" width="8.77734375" style="3" customWidth="1"/>
    <col min="2" max="2" width="4.77734375" style="4" customWidth="1"/>
    <col min="3" max="3" width="1.77734375" style="3" customWidth="1"/>
    <col min="4" max="4" width="7.77734375" style="177" customWidth="1"/>
    <col min="5" max="5" width="4.33203125" style="4" customWidth="1"/>
    <col min="6" max="6" width="1.77734375" style="3" customWidth="1"/>
    <col min="7" max="7" width="7.77734375" style="177" customWidth="1"/>
    <col min="8" max="8" width="4.33203125" style="4" customWidth="1"/>
    <col min="9" max="9" width="1.77734375" style="3" customWidth="1"/>
    <col min="10" max="10" width="7.77734375" style="177" customWidth="1"/>
    <col min="11" max="11" width="4.33203125" style="4" customWidth="1"/>
    <col min="12" max="12" width="1.77734375" style="3" customWidth="1"/>
    <col min="13" max="13" width="7.77734375" style="177" customWidth="1"/>
    <col min="14" max="14" width="4.33203125" style="4" customWidth="1"/>
    <col min="15" max="15" width="1.77734375" style="3" customWidth="1"/>
    <col min="16" max="16" width="7.77734375" style="177" customWidth="1"/>
    <col min="17" max="17" width="4.33203125" style="4" customWidth="1"/>
    <col min="18" max="18" width="1.77734375" style="3" customWidth="1"/>
    <col min="19" max="19" width="7.77734375" style="138" customWidth="1"/>
    <col min="20" max="20" width="4.33203125" style="4" hidden="1" customWidth="1"/>
    <col min="21" max="21" width="1.77734375" style="3" hidden="1" customWidth="1"/>
    <col min="22" max="22" width="7.77734375" style="138" hidden="1" customWidth="1"/>
    <col min="23" max="23" width="4.33203125" style="4" hidden="1" customWidth="1"/>
    <col min="24" max="24" width="1.77734375" style="3" hidden="1" customWidth="1"/>
    <col min="25" max="25" width="7.77734375" style="138" hidden="1" customWidth="1"/>
    <col min="26" max="26" width="4.33203125" style="4" hidden="1" customWidth="1"/>
    <col min="27" max="27" width="1.77734375" style="3" hidden="1" customWidth="1"/>
    <col min="28" max="28" width="7.77734375" style="138" hidden="1" customWidth="1"/>
    <col min="29" max="29" width="4.33203125" style="4" hidden="1" customWidth="1"/>
    <col min="30" max="30" width="1.77734375" style="3" hidden="1" customWidth="1"/>
    <col min="31" max="31" width="7.77734375" style="138" hidden="1" customWidth="1"/>
    <col min="32" max="32" width="4.33203125" style="4" hidden="1" customWidth="1"/>
    <col min="33" max="33" width="1.77734375" style="3" hidden="1" customWidth="1"/>
    <col min="34" max="34" width="7.77734375" style="138" hidden="1" customWidth="1"/>
    <col min="35" max="35" width="5.77734375" style="3" customWidth="1"/>
    <col min="36" max="41" width="6" style="3" customWidth="1"/>
    <col min="42" max="16384" width="8.88671875" style="3"/>
  </cols>
  <sheetData>
    <row r="1" spans="1:36" s="2" customFormat="1" ht="27.95" customHeight="1">
      <c r="A1" s="218" t="s">
        <v>989</v>
      </c>
      <c r="B1" s="219"/>
      <c r="C1" s="220"/>
      <c r="D1" s="221"/>
      <c r="E1" s="220"/>
      <c r="F1" s="220"/>
      <c r="G1" s="221"/>
      <c r="H1" s="220"/>
      <c r="I1" s="220"/>
      <c r="J1" s="221"/>
      <c r="K1" s="220"/>
      <c r="L1" s="220"/>
      <c r="M1" s="221"/>
      <c r="N1" s="220"/>
      <c r="O1" s="220"/>
      <c r="P1" s="221"/>
      <c r="Q1" s="220"/>
      <c r="R1" s="220"/>
      <c r="S1" s="222"/>
      <c r="T1" s="220"/>
      <c r="U1" s="220"/>
      <c r="V1" s="222"/>
      <c r="W1" s="220"/>
      <c r="X1" s="220"/>
      <c r="Y1" s="222"/>
      <c r="Z1" s="220"/>
      <c r="AA1" s="220"/>
      <c r="AB1" s="222"/>
      <c r="AC1" s="220"/>
      <c r="AD1" s="220"/>
      <c r="AE1" s="222"/>
      <c r="AF1" s="220"/>
      <c r="AG1" s="220"/>
      <c r="AH1" s="222"/>
      <c r="AI1" s="220"/>
      <c r="AJ1" s="1"/>
    </row>
    <row r="2" spans="1:36" ht="9.9499999999999993" customHeight="1" thickBot="1">
      <c r="A2" s="223"/>
      <c r="B2" s="224"/>
      <c r="C2" s="223"/>
      <c r="D2" s="225"/>
      <c r="E2" s="226"/>
      <c r="F2" s="223"/>
      <c r="G2" s="225"/>
      <c r="H2" s="226"/>
      <c r="I2" s="223"/>
      <c r="J2" s="225"/>
      <c r="K2" s="226"/>
      <c r="L2" s="223"/>
      <c r="M2" s="225"/>
      <c r="N2" s="226"/>
      <c r="O2" s="223"/>
      <c r="P2" s="225"/>
      <c r="Q2" s="226"/>
      <c r="R2" s="223"/>
      <c r="S2" s="227"/>
      <c r="T2" s="226"/>
      <c r="U2" s="223"/>
      <c r="V2" s="227"/>
      <c r="W2" s="226"/>
      <c r="X2" s="223"/>
      <c r="Y2" s="227"/>
      <c r="Z2" s="226"/>
      <c r="AA2" s="223"/>
      <c r="AB2" s="227"/>
      <c r="AC2" s="226"/>
      <c r="AD2" s="223"/>
      <c r="AE2" s="227"/>
      <c r="AF2" s="226"/>
      <c r="AG2" s="223"/>
      <c r="AH2" s="227"/>
      <c r="AI2" s="223"/>
      <c r="AJ2" s="5"/>
    </row>
    <row r="3" spans="1:36" s="7" customFormat="1" ht="30" customHeight="1">
      <c r="A3" s="119"/>
      <c r="B3" s="354" t="s">
        <v>8</v>
      </c>
      <c r="C3" s="355"/>
      <c r="D3" s="355"/>
      <c r="E3" s="120" t="s">
        <v>77</v>
      </c>
      <c r="F3" s="121"/>
      <c r="G3" s="182"/>
      <c r="H3" s="120"/>
      <c r="I3" s="121"/>
      <c r="J3" s="182"/>
      <c r="K3" s="120"/>
      <c r="L3" s="121"/>
      <c r="M3" s="182"/>
      <c r="N3" s="120"/>
      <c r="O3" s="121"/>
      <c r="P3" s="182"/>
      <c r="Q3" s="120"/>
      <c r="R3" s="121"/>
      <c r="S3" s="143"/>
      <c r="T3" s="120"/>
      <c r="U3" s="121"/>
      <c r="V3" s="143"/>
      <c r="W3" s="120"/>
      <c r="X3" s="121"/>
      <c r="Y3" s="143"/>
      <c r="Z3" s="120"/>
      <c r="AA3" s="121"/>
      <c r="AB3" s="143"/>
      <c r="AC3" s="120"/>
      <c r="AD3" s="121"/>
      <c r="AE3" s="143"/>
      <c r="AF3" s="120"/>
      <c r="AG3" s="121"/>
      <c r="AH3" s="143"/>
      <c r="AI3" s="358" t="s">
        <v>59</v>
      </c>
      <c r="AJ3" s="6"/>
    </row>
    <row r="4" spans="1:36" s="7" customFormat="1" ht="30" customHeight="1">
      <c r="A4" s="122"/>
      <c r="B4" s="356"/>
      <c r="C4" s="357"/>
      <c r="D4" s="357"/>
      <c r="E4" s="8" t="s">
        <v>78</v>
      </c>
      <c r="F4" s="9"/>
      <c r="G4" s="183"/>
      <c r="H4" s="8"/>
      <c r="I4" s="9"/>
      <c r="J4" s="183"/>
      <c r="K4" s="8"/>
      <c r="L4" s="9"/>
      <c r="M4" s="183"/>
      <c r="N4" s="8"/>
      <c r="O4" s="9"/>
      <c r="P4" s="183"/>
      <c r="Q4" s="8"/>
      <c r="R4" s="9"/>
      <c r="S4" s="144"/>
      <c r="T4" s="8"/>
      <c r="U4" s="9"/>
      <c r="V4" s="144"/>
      <c r="W4" s="8"/>
      <c r="X4" s="9"/>
      <c r="Y4" s="144"/>
      <c r="Z4" s="8"/>
      <c r="AA4" s="9"/>
      <c r="AB4" s="144"/>
      <c r="AC4" s="8"/>
      <c r="AD4" s="9"/>
      <c r="AE4" s="144"/>
      <c r="AF4" s="8"/>
      <c r="AG4" s="9"/>
      <c r="AH4" s="144"/>
      <c r="AI4" s="359"/>
      <c r="AJ4" s="6"/>
    </row>
    <row r="5" spans="1:36" s="7" customFormat="1" ht="30" customHeight="1">
      <c r="A5" s="123" t="s">
        <v>9</v>
      </c>
      <c r="B5" s="356"/>
      <c r="C5" s="357"/>
      <c r="D5" s="357"/>
      <c r="E5" s="8" t="s">
        <v>79</v>
      </c>
      <c r="F5" s="9"/>
      <c r="G5" s="183"/>
      <c r="H5" s="8" t="s">
        <v>80</v>
      </c>
      <c r="I5" s="9"/>
      <c r="J5" s="183"/>
      <c r="K5" s="8" t="s">
        <v>81</v>
      </c>
      <c r="L5" s="9"/>
      <c r="M5" s="183"/>
      <c r="N5" s="8" t="s">
        <v>82</v>
      </c>
      <c r="O5" s="9"/>
      <c r="P5" s="183"/>
      <c r="Q5" s="8" t="s">
        <v>83</v>
      </c>
      <c r="R5" s="9"/>
      <c r="S5" s="144"/>
      <c r="T5" s="8">
        <v>6</v>
      </c>
      <c r="U5" s="9"/>
      <c r="V5" s="144"/>
      <c r="W5" s="8">
        <v>7</v>
      </c>
      <c r="X5" s="9"/>
      <c r="Y5" s="144"/>
      <c r="Z5" s="8">
        <v>8</v>
      </c>
      <c r="AA5" s="9"/>
      <c r="AB5" s="144"/>
      <c r="AC5" s="8">
        <v>9</v>
      </c>
      <c r="AD5" s="9"/>
      <c r="AE5" s="144"/>
      <c r="AF5" s="8">
        <v>10</v>
      </c>
      <c r="AG5" s="9"/>
      <c r="AH5" s="144"/>
      <c r="AI5" s="359"/>
      <c r="AJ5" s="6"/>
    </row>
    <row r="6" spans="1:36" s="7" customFormat="1" ht="30" customHeight="1" thickBot="1">
      <c r="A6" s="124"/>
      <c r="B6" s="115" t="s">
        <v>10</v>
      </c>
      <c r="C6" s="116" t="s">
        <v>11</v>
      </c>
      <c r="D6" s="178" t="s">
        <v>12</v>
      </c>
      <c r="E6" s="115" t="s">
        <v>10</v>
      </c>
      <c r="F6" s="116" t="s">
        <v>11</v>
      </c>
      <c r="G6" s="178" t="s">
        <v>12</v>
      </c>
      <c r="H6" s="115" t="s">
        <v>10</v>
      </c>
      <c r="I6" s="116" t="s">
        <v>11</v>
      </c>
      <c r="J6" s="178" t="s">
        <v>12</v>
      </c>
      <c r="K6" s="115" t="s">
        <v>10</v>
      </c>
      <c r="L6" s="116" t="s">
        <v>11</v>
      </c>
      <c r="M6" s="178" t="s">
        <v>12</v>
      </c>
      <c r="N6" s="115" t="s">
        <v>10</v>
      </c>
      <c r="O6" s="116" t="s">
        <v>11</v>
      </c>
      <c r="P6" s="178" t="s">
        <v>12</v>
      </c>
      <c r="Q6" s="115" t="s">
        <v>10</v>
      </c>
      <c r="R6" s="116" t="s">
        <v>11</v>
      </c>
      <c r="S6" s="178" t="s">
        <v>12</v>
      </c>
      <c r="T6" s="117" t="s">
        <v>10</v>
      </c>
      <c r="U6" s="118" t="s">
        <v>11</v>
      </c>
      <c r="V6" s="145" t="s">
        <v>12</v>
      </c>
      <c r="W6" s="117" t="s">
        <v>10</v>
      </c>
      <c r="X6" s="118" t="s">
        <v>11</v>
      </c>
      <c r="Y6" s="145" t="s">
        <v>12</v>
      </c>
      <c r="Z6" s="117" t="s">
        <v>10</v>
      </c>
      <c r="AA6" s="118" t="s">
        <v>11</v>
      </c>
      <c r="AB6" s="145" t="s">
        <v>12</v>
      </c>
      <c r="AC6" s="117" t="s">
        <v>10</v>
      </c>
      <c r="AD6" s="118" t="s">
        <v>11</v>
      </c>
      <c r="AE6" s="145" t="s">
        <v>12</v>
      </c>
      <c r="AF6" s="117" t="s">
        <v>10</v>
      </c>
      <c r="AG6" s="118" t="s">
        <v>11</v>
      </c>
      <c r="AH6" s="145" t="s">
        <v>12</v>
      </c>
      <c r="AI6" s="360"/>
      <c r="AJ6" s="6"/>
    </row>
    <row r="7" spans="1:36" s="7" customFormat="1" ht="22.5" customHeight="1" thickTop="1">
      <c r="A7" s="125" t="s">
        <v>8</v>
      </c>
      <c r="B7" s="113" t="e">
        <f>SUM(B8:B32)</f>
        <v>#REF!</v>
      </c>
      <c r="C7" s="114" t="s">
        <v>11</v>
      </c>
      <c r="D7" s="139" t="e">
        <f>SUM(D8:D32)</f>
        <v>#REF!</v>
      </c>
      <c r="E7" s="113">
        <f>SUM(E8:E32)</f>
        <v>650</v>
      </c>
      <c r="F7" s="114" t="s">
        <v>11</v>
      </c>
      <c r="G7" s="139">
        <f>SUM(G8:G32)</f>
        <v>315781.7</v>
      </c>
      <c r="H7" s="113" t="e">
        <f>SUM(H8:H32)</f>
        <v>#REF!</v>
      </c>
      <c r="I7" s="114" t="s">
        <v>11</v>
      </c>
      <c r="J7" s="139" t="e">
        <f>SUM(J8:J32)</f>
        <v>#REF!</v>
      </c>
      <c r="K7" s="113" t="e">
        <f>SUM(K8:K32)</f>
        <v>#REF!</v>
      </c>
      <c r="L7" s="114" t="s">
        <v>11</v>
      </c>
      <c r="M7" s="139" t="e">
        <f>SUM(M8:M32)</f>
        <v>#REF!</v>
      </c>
      <c r="N7" s="113" t="e">
        <f>SUM(N8:N32)</f>
        <v>#REF!</v>
      </c>
      <c r="O7" s="114" t="s">
        <v>11</v>
      </c>
      <c r="P7" s="139" t="e">
        <f>SUM(P8:P32)</f>
        <v>#REF!</v>
      </c>
      <c r="Q7" s="113" t="e">
        <f>SUM(Q8:Q32)</f>
        <v>#REF!</v>
      </c>
      <c r="R7" s="114" t="s">
        <v>11</v>
      </c>
      <c r="S7" s="139" t="e">
        <f>SUM(S8:S32)</f>
        <v>#REF!</v>
      </c>
      <c r="T7" s="113">
        <f>SUM(T8:T32)</f>
        <v>0</v>
      </c>
      <c r="U7" s="114" t="s">
        <v>11</v>
      </c>
      <c r="V7" s="139">
        <f>SUM(V8:V32)</f>
        <v>0</v>
      </c>
      <c r="W7" s="113">
        <f>SUM(W8:W32)</f>
        <v>0</v>
      </c>
      <c r="X7" s="114" t="s">
        <v>11</v>
      </c>
      <c r="Y7" s="139">
        <f>SUM(Y8:Y32)</f>
        <v>0</v>
      </c>
      <c r="Z7" s="113">
        <f>SUM(Z8:Z32)</f>
        <v>0</v>
      </c>
      <c r="AA7" s="114" t="s">
        <v>11</v>
      </c>
      <c r="AB7" s="139">
        <f>SUM(AB8:AB32)</f>
        <v>0</v>
      </c>
      <c r="AC7" s="113">
        <f>SUM(AC8:AC32)</f>
        <v>0</v>
      </c>
      <c r="AD7" s="114" t="s">
        <v>11</v>
      </c>
      <c r="AE7" s="139">
        <f>SUM(AE8:AE32)</f>
        <v>0</v>
      </c>
      <c r="AF7" s="113">
        <f>SUM(AF8:AF32)</f>
        <v>0</v>
      </c>
      <c r="AG7" s="114" t="s">
        <v>11</v>
      </c>
      <c r="AH7" s="139">
        <f>SUM(AH8:AH32)</f>
        <v>0</v>
      </c>
      <c r="AI7" s="126"/>
      <c r="AJ7" s="6"/>
    </row>
    <row r="8" spans="1:36" s="7" customFormat="1" ht="22.5" customHeight="1">
      <c r="A8" s="127" t="s">
        <v>13</v>
      </c>
      <c r="B8" s="111" t="e">
        <f t="shared" ref="B8:B32" si="0">SUM(E8,H8,K8,N8,Q8,T8,W8,Z8,AC8,AF8)</f>
        <v>#REF!</v>
      </c>
      <c r="C8" s="112" t="s">
        <v>11</v>
      </c>
      <c r="D8" s="140" t="e">
        <f t="shared" ref="D8:D32" si="1">SUM(G8,J8,M8,P8,S8,V8,Y8,AB8,AE8,AH8)</f>
        <v>#REF!</v>
      </c>
      <c r="E8" s="111">
        <f>'(변경)집계표'!B7</f>
        <v>92</v>
      </c>
      <c r="F8" s="112" t="s">
        <v>11</v>
      </c>
      <c r="G8" s="140">
        <f>'(변경)집계표'!D7</f>
        <v>31389</v>
      </c>
      <c r="H8" s="111" t="e">
        <f>'(변경)집계표'!B37</f>
        <v>#REF!</v>
      </c>
      <c r="I8" s="112" t="s">
        <v>11</v>
      </c>
      <c r="J8" s="140" t="e">
        <f>'(변경)집계표'!D37</f>
        <v>#REF!</v>
      </c>
      <c r="K8" s="111" t="e">
        <f>'(변경)집계표'!B67</f>
        <v>#REF!</v>
      </c>
      <c r="L8" s="112" t="s">
        <v>11</v>
      </c>
      <c r="M8" s="140" t="e">
        <f>'(변경)집계표'!D67</f>
        <v>#REF!</v>
      </c>
      <c r="N8" s="111" t="e">
        <f>'(변경)집계표'!B97</f>
        <v>#REF!</v>
      </c>
      <c r="O8" s="112" t="s">
        <v>11</v>
      </c>
      <c r="P8" s="140" t="e">
        <f>'(변경)집계표'!D97</f>
        <v>#REF!</v>
      </c>
      <c r="Q8" s="111" t="e">
        <f>'(변경)집계표'!B127</f>
        <v>#REF!</v>
      </c>
      <c r="R8" s="112" t="s">
        <v>11</v>
      </c>
      <c r="S8" s="140" t="e">
        <f>'(변경)집계표'!D127</f>
        <v>#REF!</v>
      </c>
      <c r="T8" s="111">
        <f>'(변경)집계표'!B157</f>
        <v>0</v>
      </c>
      <c r="U8" s="112" t="s">
        <v>11</v>
      </c>
      <c r="V8" s="140">
        <f>'(변경)집계표'!D157</f>
        <v>0</v>
      </c>
      <c r="W8" s="111">
        <f>'(변경)집계표'!B187</f>
        <v>0</v>
      </c>
      <c r="X8" s="112" t="s">
        <v>11</v>
      </c>
      <c r="Y8" s="140">
        <f>'(변경)집계표'!D187</f>
        <v>0</v>
      </c>
      <c r="Z8" s="111">
        <f>'(변경)집계표'!B217</f>
        <v>0</v>
      </c>
      <c r="AA8" s="112" t="s">
        <v>11</v>
      </c>
      <c r="AB8" s="140">
        <f>'(변경)집계표'!D217</f>
        <v>0</v>
      </c>
      <c r="AC8" s="111">
        <f>'(변경)집계표'!B247</f>
        <v>0</v>
      </c>
      <c r="AD8" s="112" t="s">
        <v>11</v>
      </c>
      <c r="AE8" s="140">
        <f>'(변경)집계표'!D247</f>
        <v>0</v>
      </c>
      <c r="AF8" s="111">
        <f>'(변경)집계표'!B277</f>
        <v>0</v>
      </c>
      <c r="AG8" s="112" t="s">
        <v>11</v>
      </c>
      <c r="AH8" s="140">
        <f>'(변경)집계표'!D277</f>
        <v>0</v>
      </c>
      <c r="AI8" s="128"/>
      <c r="AJ8" s="6"/>
    </row>
    <row r="9" spans="1:36" s="7" customFormat="1" ht="22.5" customHeight="1">
      <c r="A9" s="127" t="s">
        <v>14</v>
      </c>
      <c r="B9" s="111" t="e">
        <f t="shared" si="0"/>
        <v>#REF!</v>
      </c>
      <c r="C9" s="112" t="s">
        <v>11</v>
      </c>
      <c r="D9" s="140" t="e">
        <f t="shared" si="1"/>
        <v>#REF!</v>
      </c>
      <c r="E9" s="111">
        <f>'(변경)집계표'!B8</f>
        <v>142</v>
      </c>
      <c r="F9" s="112" t="s">
        <v>11</v>
      </c>
      <c r="G9" s="140">
        <f>'(변경)집계표'!D8</f>
        <v>98608</v>
      </c>
      <c r="H9" s="111" t="e">
        <f>'(변경)집계표'!B38</f>
        <v>#REF!</v>
      </c>
      <c r="I9" s="112" t="s">
        <v>11</v>
      </c>
      <c r="J9" s="140" t="e">
        <f>'(변경)집계표'!D38</f>
        <v>#REF!</v>
      </c>
      <c r="K9" s="111" t="e">
        <f>'(변경)집계표'!B68</f>
        <v>#REF!</v>
      </c>
      <c r="L9" s="112" t="s">
        <v>11</v>
      </c>
      <c r="M9" s="140" t="e">
        <f>'(변경)집계표'!D68</f>
        <v>#REF!</v>
      </c>
      <c r="N9" s="111" t="e">
        <f>'(변경)집계표'!B98</f>
        <v>#REF!</v>
      </c>
      <c r="O9" s="112" t="s">
        <v>11</v>
      </c>
      <c r="P9" s="140" t="e">
        <f>'(변경)집계표'!D98</f>
        <v>#REF!</v>
      </c>
      <c r="Q9" s="111" t="e">
        <f>'(변경)집계표'!B128</f>
        <v>#REF!</v>
      </c>
      <c r="R9" s="112" t="s">
        <v>11</v>
      </c>
      <c r="S9" s="140" t="e">
        <f>'(변경)집계표'!D128</f>
        <v>#REF!</v>
      </c>
      <c r="T9" s="111">
        <f>'(변경)집계표'!B158</f>
        <v>0</v>
      </c>
      <c r="U9" s="112" t="s">
        <v>11</v>
      </c>
      <c r="V9" s="140">
        <f>'(변경)집계표'!D158</f>
        <v>0</v>
      </c>
      <c r="W9" s="111">
        <f>'(변경)집계표'!B188</f>
        <v>0</v>
      </c>
      <c r="X9" s="112" t="s">
        <v>11</v>
      </c>
      <c r="Y9" s="140">
        <f>'(변경)집계표'!D188</f>
        <v>0</v>
      </c>
      <c r="Z9" s="111">
        <f>'(변경)집계표'!B218</f>
        <v>0</v>
      </c>
      <c r="AA9" s="112" t="s">
        <v>11</v>
      </c>
      <c r="AB9" s="140">
        <f>'(변경)집계표'!D218</f>
        <v>0</v>
      </c>
      <c r="AC9" s="111">
        <f>'(변경)집계표'!B248</f>
        <v>0</v>
      </c>
      <c r="AD9" s="112" t="s">
        <v>11</v>
      </c>
      <c r="AE9" s="140">
        <f>'(변경)집계표'!D248</f>
        <v>0</v>
      </c>
      <c r="AF9" s="111">
        <f>'(변경)집계표'!B278</f>
        <v>0</v>
      </c>
      <c r="AG9" s="112" t="s">
        <v>11</v>
      </c>
      <c r="AH9" s="140">
        <f>'(변경)집계표'!D278</f>
        <v>0</v>
      </c>
      <c r="AI9" s="128"/>
      <c r="AJ9" s="6"/>
    </row>
    <row r="10" spans="1:36" s="7" customFormat="1" ht="22.5" customHeight="1">
      <c r="A10" s="127" t="s">
        <v>15</v>
      </c>
      <c r="B10" s="111" t="e">
        <f t="shared" si="0"/>
        <v>#REF!</v>
      </c>
      <c r="C10" s="112" t="s">
        <v>11</v>
      </c>
      <c r="D10" s="140" t="e">
        <f t="shared" si="1"/>
        <v>#REF!</v>
      </c>
      <c r="E10" s="111">
        <f>'(변경)집계표'!B9</f>
        <v>114</v>
      </c>
      <c r="F10" s="112" t="s">
        <v>11</v>
      </c>
      <c r="G10" s="140">
        <f>'(변경)집계표'!D9</f>
        <v>98855</v>
      </c>
      <c r="H10" s="111" t="e">
        <f>'(변경)집계표'!B39</f>
        <v>#REF!</v>
      </c>
      <c r="I10" s="112" t="s">
        <v>11</v>
      </c>
      <c r="J10" s="140" t="e">
        <f>'(변경)집계표'!D39</f>
        <v>#REF!</v>
      </c>
      <c r="K10" s="111" t="e">
        <f>'(변경)집계표'!B69</f>
        <v>#REF!</v>
      </c>
      <c r="L10" s="112" t="s">
        <v>11</v>
      </c>
      <c r="M10" s="140" t="e">
        <f>'(변경)집계표'!D69</f>
        <v>#REF!</v>
      </c>
      <c r="N10" s="111" t="e">
        <f>'(변경)집계표'!B99</f>
        <v>#REF!</v>
      </c>
      <c r="O10" s="112" t="s">
        <v>11</v>
      </c>
      <c r="P10" s="140" t="e">
        <f>'(변경)집계표'!D99</f>
        <v>#REF!</v>
      </c>
      <c r="Q10" s="111" t="e">
        <f>'(변경)집계표'!B129</f>
        <v>#REF!</v>
      </c>
      <c r="R10" s="112" t="s">
        <v>11</v>
      </c>
      <c r="S10" s="140" t="e">
        <f>'(변경)집계표'!D129</f>
        <v>#REF!</v>
      </c>
      <c r="T10" s="111">
        <f>'(변경)집계표'!B159</f>
        <v>0</v>
      </c>
      <c r="U10" s="112" t="s">
        <v>11</v>
      </c>
      <c r="V10" s="140">
        <f>'(변경)집계표'!D159</f>
        <v>0</v>
      </c>
      <c r="W10" s="111">
        <f>'(변경)집계표'!B189</f>
        <v>0</v>
      </c>
      <c r="X10" s="112" t="s">
        <v>11</v>
      </c>
      <c r="Y10" s="140">
        <f>'(변경)집계표'!D189</f>
        <v>0</v>
      </c>
      <c r="Z10" s="111">
        <f>'(변경)집계표'!B219</f>
        <v>0</v>
      </c>
      <c r="AA10" s="112" t="s">
        <v>11</v>
      </c>
      <c r="AB10" s="140">
        <f>'(변경)집계표'!D219</f>
        <v>0</v>
      </c>
      <c r="AC10" s="111">
        <f>'(변경)집계표'!B249</f>
        <v>0</v>
      </c>
      <c r="AD10" s="112" t="s">
        <v>11</v>
      </c>
      <c r="AE10" s="140">
        <f>'(변경)집계표'!D249</f>
        <v>0</v>
      </c>
      <c r="AF10" s="111">
        <f>'(변경)집계표'!B279</f>
        <v>0</v>
      </c>
      <c r="AG10" s="112" t="s">
        <v>11</v>
      </c>
      <c r="AH10" s="140">
        <f>'(변경)집계표'!D279</f>
        <v>0</v>
      </c>
      <c r="AI10" s="128"/>
      <c r="AJ10" s="6"/>
    </row>
    <row r="11" spans="1:36" s="7" customFormat="1" ht="22.5" customHeight="1">
      <c r="A11" s="127" t="s">
        <v>16</v>
      </c>
      <c r="B11" s="111" t="e">
        <f t="shared" si="0"/>
        <v>#REF!</v>
      </c>
      <c r="C11" s="112" t="s">
        <v>11</v>
      </c>
      <c r="D11" s="140" t="e">
        <f t="shared" si="1"/>
        <v>#REF!</v>
      </c>
      <c r="E11" s="111">
        <f>'(변경)집계표'!B10</f>
        <v>26</v>
      </c>
      <c r="F11" s="112" t="s">
        <v>11</v>
      </c>
      <c r="G11" s="140">
        <f>'(변경)집계표'!D10</f>
        <v>2982</v>
      </c>
      <c r="H11" s="111" t="e">
        <f>'(변경)집계표'!B40</f>
        <v>#REF!</v>
      </c>
      <c r="I11" s="112" t="s">
        <v>11</v>
      </c>
      <c r="J11" s="140" t="e">
        <f>'(변경)집계표'!D40</f>
        <v>#REF!</v>
      </c>
      <c r="K11" s="111" t="e">
        <f>'(변경)집계표'!B70</f>
        <v>#REF!</v>
      </c>
      <c r="L11" s="112" t="s">
        <v>11</v>
      </c>
      <c r="M11" s="140" t="e">
        <f>'(변경)집계표'!D70</f>
        <v>#REF!</v>
      </c>
      <c r="N11" s="111" t="e">
        <f>'(변경)집계표'!B100</f>
        <v>#REF!</v>
      </c>
      <c r="O11" s="112" t="s">
        <v>11</v>
      </c>
      <c r="P11" s="140" t="e">
        <f>'(변경)집계표'!D100</f>
        <v>#REF!</v>
      </c>
      <c r="Q11" s="111" t="e">
        <f>'(변경)집계표'!B130</f>
        <v>#REF!</v>
      </c>
      <c r="R11" s="112" t="s">
        <v>11</v>
      </c>
      <c r="S11" s="140" t="e">
        <f>'(변경)집계표'!D130</f>
        <v>#REF!</v>
      </c>
      <c r="T11" s="111">
        <f>'(변경)집계표'!B160</f>
        <v>0</v>
      </c>
      <c r="U11" s="112" t="s">
        <v>11</v>
      </c>
      <c r="V11" s="140">
        <f>'(변경)집계표'!D160</f>
        <v>0</v>
      </c>
      <c r="W11" s="111">
        <f>'(변경)집계표'!B190</f>
        <v>0</v>
      </c>
      <c r="X11" s="112" t="s">
        <v>11</v>
      </c>
      <c r="Y11" s="140">
        <f>'(변경)집계표'!D190</f>
        <v>0</v>
      </c>
      <c r="Z11" s="111">
        <f>'(변경)집계표'!B220</f>
        <v>0</v>
      </c>
      <c r="AA11" s="112" t="s">
        <v>11</v>
      </c>
      <c r="AB11" s="140">
        <f>'(변경)집계표'!D220</f>
        <v>0</v>
      </c>
      <c r="AC11" s="111">
        <f>'(변경)집계표'!B250</f>
        <v>0</v>
      </c>
      <c r="AD11" s="112" t="s">
        <v>11</v>
      </c>
      <c r="AE11" s="140">
        <f>'(변경)집계표'!D250</f>
        <v>0</v>
      </c>
      <c r="AF11" s="111">
        <f>'(변경)집계표'!B280</f>
        <v>0</v>
      </c>
      <c r="AG11" s="112" t="s">
        <v>11</v>
      </c>
      <c r="AH11" s="140">
        <f>'(변경)집계표'!D280</f>
        <v>0</v>
      </c>
      <c r="AI11" s="128"/>
      <c r="AJ11" s="6"/>
    </row>
    <row r="12" spans="1:36" s="7" customFormat="1" ht="22.5" customHeight="1">
      <c r="A12" s="127" t="s">
        <v>17</v>
      </c>
      <c r="B12" s="111" t="e">
        <f t="shared" si="0"/>
        <v>#REF!</v>
      </c>
      <c r="C12" s="112" t="s">
        <v>11</v>
      </c>
      <c r="D12" s="140" t="e">
        <f t="shared" si="1"/>
        <v>#REF!</v>
      </c>
      <c r="E12" s="111">
        <f>'(변경)집계표'!B11</f>
        <v>212</v>
      </c>
      <c r="F12" s="112" t="s">
        <v>11</v>
      </c>
      <c r="G12" s="140">
        <f>'(변경)집계표'!D11</f>
        <v>67484.3</v>
      </c>
      <c r="H12" s="111" t="e">
        <f>'(변경)집계표'!B41</f>
        <v>#REF!</v>
      </c>
      <c r="I12" s="112" t="s">
        <v>11</v>
      </c>
      <c r="J12" s="140" t="e">
        <f>'(변경)집계표'!D41</f>
        <v>#REF!</v>
      </c>
      <c r="K12" s="111" t="e">
        <f>'(변경)집계표'!B71</f>
        <v>#REF!</v>
      </c>
      <c r="L12" s="112" t="s">
        <v>11</v>
      </c>
      <c r="M12" s="140" t="e">
        <f>'(변경)집계표'!D71</f>
        <v>#REF!</v>
      </c>
      <c r="N12" s="111" t="e">
        <f>'(변경)집계표'!B101</f>
        <v>#REF!</v>
      </c>
      <c r="O12" s="112" t="s">
        <v>11</v>
      </c>
      <c r="P12" s="140" t="e">
        <f>'(변경)집계표'!D101</f>
        <v>#REF!</v>
      </c>
      <c r="Q12" s="111" t="e">
        <f>'(변경)집계표'!B131</f>
        <v>#REF!</v>
      </c>
      <c r="R12" s="112" t="s">
        <v>11</v>
      </c>
      <c r="S12" s="140" t="e">
        <f>'(변경)집계표'!D131</f>
        <v>#REF!</v>
      </c>
      <c r="T12" s="111">
        <f>'(변경)집계표'!B161</f>
        <v>0</v>
      </c>
      <c r="U12" s="112" t="s">
        <v>11</v>
      </c>
      <c r="V12" s="140">
        <f>'(변경)집계표'!D161</f>
        <v>0</v>
      </c>
      <c r="W12" s="111">
        <f>'(변경)집계표'!B191</f>
        <v>0</v>
      </c>
      <c r="X12" s="112" t="s">
        <v>11</v>
      </c>
      <c r="Y12" s="140">
        <f>'(변경)집계표'!D191</f>
        <v>0</v>
      </c>
      <c r="Z12" s="111">
        <f>'(변경)집계표'!B221</f>
        <v>0</v>
      </c>
      <c r="AA12" s="112" t="s">
        <v>11</v>
      </c>
      <c r="AB12" s="140">
        <f>'(변경)집계표'!D221</f>
        <v>0</v>
      </c>
      <c r="AC12" s="111">
        <f>'(변경)집계표'!B251</f>
        <v>0</v>
      </c>
      <c r="AD12" s="112" t="s">
        <v>11</v>
      </c>
      <c r="AE12" s="140">
        <f>'(변경)집계표'!D251</f>
        <v>0</v>
      </c>
      <c r="AF12" s="111">
        <f>'(변경)집계표'!B281</f>
        <v>0</v>
      </c>
      <c r="AG12" s="112" t="s">
        <v>11</v>
      </c>
      <c r="AH12" s="140">
        <f>'(변경)집계표'!D281</f>
        <v>0</v>
      </c>
      <c r="AI12" s="128"/>
      <c r="AJ12" s="6"/>
    </row>
    <row r="13" spans="1:36" s="7" customFormat="1" ht="22.5" customHeight="1">
      <c r="A13" s="127" t="s">
        <v>18</v>
      </c>
      <c r="B13" s="111" t="e">
        <f t="shared" si="0"/>
        <v>#REF!</v>
      </c>
      <c r="C13" s="112" t="s">
        <v>11</v>
      </c>
      <c r="D13" s="140" t="e">
        <f t="shared" si="1"/>
        <v>#REF!</v>
      </c>
      <c r="E13" s="111">
        <f>'(변경)집계표'!B12</f>
        <v>45</v>
      </c>
      <c r="F13" s="112" t="s">
        <v>11</v>
      </c>
      <c r="G13" s="140">
        <f>'(변경)집계표'!D12</f>
        <v>11349.5</v>
      </c>
      <c r="H13" s="111" t="e">
        <f>'(변경)집계표'!B42</f>
        <v>#REF!</v>
      </c>
      <c r="I13" s="112" t="s">
        <v>11</v>
      </c>
      <c r="J13" s="140" t="e">
        <f>'(변경)집계표'!D42</f>
        <v>#REF!</v>
      </c>
      <c r="K13" s="111" t="e">
        <f>'(변경)집계표'!B72</f>
        <v>#REF!</v>
      </c>
      <c r="L13" s="112" t="s">
        <v>11</v>
      </c>
      <c r="M13" s="140" t="e">
        <f>'(변경)집계표'!D72</f>
        <v>#REF!</v>
      </c>
      <c r="N13" s="111" t="e">
        <f>'(변경)집계표'!B102</f>
        <v>#REF!</v>
      </c>
      <c r="O13" s="112" t="s">
        <v>11</v>
      </c>
      <c r="P13" s="140" t="e">
        <f>'(변경)집계표'!D102</f>
        <v>#REF!</v>
      </c>
      <c r="Q13" s="111" t="e">
        <f>'(변경)집계표'!B132</f>
        <v>#REF!</v>
      </c>
      <c r="R13" s="112" t="s">
        <v>11</v>
      </c>
      <c r="S13" s="140" t="e">
        <f>'(변경)집계표'!D132</f>
        <v>#REF!</v>
      </c>
      <c r="T13" s="111">
        <f>'(변경)집계표'!B162</f>
        <v>0</v>
      </c>
      <c r="U13" s="112" t="s">
        <v>11</v>
      </c>
      <c r="V13" s="140">
        <f>'(변경)집계표'!D162</f>
        <v>0</v>
      </c>
      <c r="W13" s="111">
        <f>'(변경)집계표'!B192</f>
        <v>0</v>
      </c>
      <c r="X13" s="112" t="s">
        <v>11</v>
      </c>
      <c r="Y13" s="140">
        <f>'(변경)집계표'!D192</f>
        <v>0</v>
      </c>
      <c r="Z13" s="111">
        <f>'(변경)집계표'!B222</f>
        <v>0</v>
      </c>
      <c r="AA13" s="112" t="s">
        <v>11</v>
      </c>
      <c r="AB13" s="140">
        <f>'(변경)집계표'!D222</f>
        <v>0</v>
      </c>
      <c r="AC13" s="111">
        <f>'(변경)집계표'!B252</f>
        <v>0</v>
      </c>
      <c r="AD13" s="112" t="s">
        <v>11</v>
      </c>
      <c r="AE13" s="140">
        <f>'(변경)집계표'!D252</f>
        <v>0</v>
      </c>
      <c r="AF13" s="111">
        <f>'(변경)집계표'!B282</f>
        <v>0</v>
      </c>
      <c r="AG13" s="112" t="s">
        <v>11</v>
      </c>
      <c r="AH13" s="140">
        <f>'(변경)집계표'!D282</f>
        <v>0</v>
      </c>
      <c r="AI13" s="128"/>
      <c r="AJ13" s="6"/>
    </row>
    <row r="14" spans="1:36" s="7" customFormat="1" ht="22.5" customHeight="1">
      <c r="A14" s="127" t="s">
        <v>19</v>
      </c>
      <c r="B14" s="111" t="e">
        <f t="shared" si="0"/>
        <v>#REF!</v>
      </c>
      <c r="C14" s="112" t="s">
        <v>11</v>
      </c>
      <c r="D14" s="140" t="e">
        <f t="shared" si="1"/>
        <v>#REF!</v>
      </c>
      <c r="E14" s="111">
        <f>'(변경)집계표'!B13</f>
        <v>1</v>
      </c>
      <c r="F14" s="112" t="s">
        <v>11</v>
      </c>
      <c r="G14" s="140">
        <f>'(변경)집계표'!D13</f>
        <v>597.9</v>
      </c>
      <c r="H14" s="111" t="e">
        <f>'(변경)집계표'!B43</f>
        <v>#REF!</v>
      </c>
      <c r="I14" s="112" t="s">
        <v>11</v>
      </c>
      <c r="J14" s="140" t="e">
        <f>'(변경)집계표'!D43</f>
        <v>#REF!</v>
      </c>
      <c r="K14" s="111" t="e">
        <f>'(변경)집계표'!B73</f>
        <v>#REF!</v>
      </c>
      <c r="L14" s="112" t="s">
        <v>11</v>
      </c>
      <c r="M14" s="140" t="e">
        <f>'(변경)집계표'!D73</f>
        <v>#REF!</v>
      </c>
      <c r="N14" s="111" t="e">
        <f>'(변경)집계표'!B103</f>
        <v>#REF!</v>
      </c>
      <c r="O14" s="112" t="s">
        <v>11</v>
      </c>
      <c r="P14" s="140" t="e">
        <f>'(변경)집계표'!D103</f>
        <v>#REF!</v>
      </c>
      <c r="Q14" s="111" t="e">
        <f>'(변경)집계표'!B133</f>
        <v>#REF!</v>
      </c>
      <c r="R14" s="112" t="s">
        <v>11</v>
      </c>
      <c r="S14" s="140" t="e">
        <f>'(변경)집계표'!D133</f>
        <v>#REF!</v>
      </c>
      <c r="T14" s="111">
        <f>'(변경)집계표'!B163</f>
        <v>0</v>
      </c>
      <c r="U14" s="112" t="s">
        <v>11</v>
      </c>
      <c r="V14" s="140">
        <f>'(변경)집계표'!D163</f>
        <v>0</v>
      </c>
      <c r="W14" s="111">
        <f>'(변경)집계표'!B193</f>
        <v>0</v>
      </c>
      <c r="X14" s="112" t="s">
        <v>11</v>
      </c>
      <c r="Y14" s="140">
        <f>'(변경)집계표'!D193</f>
        <v>0</v>
      </c>
      <c r="Z14" s="111">
        <f>'(변경)집계표'!B223</f>
        <v>0</v>
      </c>
      <c r="AA14" s="112" t="s">
        <v>11</v>
      </c>
      <c r="AB14" s="140">
        <f>'(변경)집계표'!D223</f>
        <v>0</v>
      </c>
      <c r="AC14" s="111">
        <f>'(변경)집계표'!B253</f>
        <v>0</v>
      </c>
      <c r="AD14" s="112" t="s">
        <v>11</v>
      </c>
      <c r="AE14" s="140">
        <f>'(변경)집계표'!D253</f>
        <v>0</v>
      </c>
      <c r="AF14" s="111">
        <f>'(변경)집계표'!B283</f>
        <v>0</v>
      </c>
      <c r="AG14" s="112" t="s">
        <v>11</v>
      </c>
      <c r="AH14" s="140">
        <f>'(변경)집계표'!D283</f>
        <v>0</v>
      </c>
      <c r="AI14" s="128"/>
      <c r="AJ14" s="6"/>
    </row>
    <row r="15" spans="1:36" s="7" customFormat="1" ht="22.5" customHeight="1">
      <c r="A15" s="127" t="s">
        <v>20</v>
      </c>
      <c r="B15" s="111" t="e">
        <f t="shared" si="0"/>
        <v>#REF!</v>
      </c>
      <c r="C15" s="112" t="s">
        <v>11</v>
      </c>
      <c r="D15" s="140" t="e">
        <f t="shared" si="1"/>
        <v>#REF!</v>
      </c>
      <c r="E15" s="111">
        <f>'(변경)집계표'!B14</f>
        <v>8</v>
      </c>
      <c r="F15" s="112" t="s">
        <v>11</v>
      </c>
      <c r="G15" s="140">
        <f>'(변경)집계표'!D14</f>
        <v>2406</v>
      </c>
      <c r="H15" s="111" t="e">
        <f>'(변경)집계표'!B44</f>
        <v>#REF!</v>
      </c>
      <c r="I15" s="112" t="s">
        <v>11</v>
      </c>
      <c r="J15" s="140" t="e">
        <f>'(변경)집계표'!D44</f>
        <v>#REF!</v>
      </c>
      <c r="K15" s="111" t="e">
        <f>'(변경)집계표'!B74</f>
        <v>#REF!</v>
      </c>
      <c r="L15" s="112" t="s">
        <v>11</v>
      </c>
      <c r="M15" s="140" t="e">
        <f>'(변경)집계표'!D74</f>
        <v>#REF!</v>
      </c>
      <c r="N15" s="111" t="e">
        <f>'(변경)집계표'!B104</f>
        <v>#REF!</v>
      </c>
      <c r="O15" s="112" t="s">
        <v>11</v>
      </c>
      <c r="P15" s="140" t="e">
        <f>'(변경)집계표'!D104</f>
        <v>#REF!</v>
      </c>
      <c r="Q15" s="111" t="e">
        <f>'(변경)집계표'!B134</f>
        <v>#REF!</v>
      </c>
      <c r="R15" s="112" t="s">
        <v>11</v>
      </c>
      <c r="S15" s="140" t="e">
        <f>'(변경)집계표'!D134</f>
        <v>#REF!</v>
      </c>
      <c r="T15" s="111">
        <f>'(변경)집계표'!B164</f>
        <v>0</v>
      </c>
      <c r="U15" s="112" t="s">
        <v>11</v>
      </c>
      <c r="V15" s="140">
        <f>'(변경)집계표'!D164</f>
        <v>0</v>
      </c>
      <c r="W15" s="111">
        <f>'(변경)집계표'!B194</f>
        <v>0</v>
      </c>
      <c r="X15" s="112" t="s">
        <v>11</v>
      </c>
      <c r="Y15" s="140">
        <f>'(변경)집계표'!D194</f>
        <v>0</v>
      </c>
      <c r="Z15" s="111">
        <f>'(변경)집계표'!B224</f>
        <v>0</v>
      </c>
      <c r="AA15" s="112" t="s">
        <v>11</v>
      </c>
      <c r="AB15" s="140">
        <f>'(변경)집계표'!D224</f>
        <v>0</v>
      </c>
      <c r="AC15" s="111">
        <f>'(변경)집계표'!B254</f>
        <v>0</v>
      </c>
      <c r="AD15" s="112" t="s">
        <v>11</v>
      </c>
      <c r="AE15" s="140">
        <f>'(변경)집계표'!D254</f>
        <v>0</v>
      </c>
      <c r="AF15" s="111">
        <f>'(변경)집계표'!B284</f>
        <v>0</v>
      </c>
      <c r="AG15" s="112" t="s">
        <v>11</v>
      </c>
      <c r="AH15" s="140">
        <f>'(변경)집계표'!D284</f>
        <v>0</v>
      </c>
      <c r="AI15" s="128"/>
      <c r="AJ15" s="6"/>
    </row>
    <row r="16" spans="1:36" s="7" customFormat="1" ht="22.5" customHeight="1">
      <c r="A16" s="127" t="s">
        <v>21</v>
      </c>
      <c r="B16" s="111" t="e">
        <f t="shared" si="0"/>
        <v>#REF!</v>
      </c>
      <c r="C16" s="112" t="s">
        <v>11</v>
      </c>
      <c r="D16" s="140" t="e">
        <f t="shared" si="1"/>
        <v>#REF!</v>
      </c>
      <c r="E16" s="111">
        <f>'(변경)집계표'!B15</f>
        <v>2</v>
      </c>
      <c r="F16" s="112" t="s">
        <v>11</v>
      </c>
      <c r="G16" s="140">
        <f>'(변경)집계표'!D15</f>
        <v>117</v>
      </c>
      <c r="H16" s="111" t="e">
        <f>'(변경)집계표'!B45</f>
        <v>#REF!</v>
      </c>
      <c r="I16" s="112" t="s">
        <v>11</v>
      </c>
      <c r="J16" s="140" t="e">
        <f>'(변경)집계표'!D45</f>
        <v>#REF!</v>
      </c>
      <c r="K16" s="111" t="e">
        <f>'(변경)집계표'!B75</f>
        <v>#REF!</v>
      </c>
      <c r="L16" s="112" t="s">
        <v>11</v>
      </c>
      <c r="M16" s="140" t="e">
        <f>'(변경)집계표'!D75</f>
        <v>#REF!</v>
      </c>
      <c r="N16" s="111" t="e">
        <f>'(변경)집계표'!B105</f>
        <v>#REF!</v>
      </c>
      <c r="O16" s="112" t="s">
        <v>11</v>
      </c>
      <c r="P16" s="140" t="e">
        <f>'(변경)집계표'!D105</f>
        <v>#REF!</v>
      </c>
      <c r="Q16" s="111" t="e">
        <f>'(변경)집계표'!B135</f>
        <v>#REF!</v>
      </c>
      <c r="R16" s="112" t="s">
        <v>11</v>
      </c>
      <c r="S16" s="140" t="e">
        <f>'(변경)집계표'!D135</f>
        <v>#REF!</v>
      </c>
      <c r="T16" s="111">
        <f>'(변경)집계표'!B165</f>
        <v>0</v>
      </c>
      <c r="U16" s="112" t="s">
        <v>11</v>
      </c>
      <c r="V16" s="140">
        <f>'(변경)집계표'!D165</f>
        <v>0</v>
      </c>
      <c r="W16" s="111">
        <f>'(변경)집계표'!B195</f>
        <v>0</v>
      </c>
      <c r="X16" s="112" t="s">
        <v>11</v>
      </c>
      <c r="Y16" s="140">
        <f>'(변경)집계표'!D195</f>
        <v>0</v>
      </c>
      <c r="Z16" s="111">
        <f>'(변경)집계표'!B225</f>
        <v>0</v>
      </c>
      <c r="AA16" s="112" t="s">
        <v>11</v>
      </c>
      <c r="AB16" s="140">
        <f>'(변경)집계표'!D225</f>
        <v>0</v>
      </c>
      <c r="AC16" s="111">
        <f>'(변경)집계표'!B255</f>
        <v>0</v>
      </c>
      <c r="AD16" s="112" t="s">
        <v>11</v>
      </c>
      <c r="AE16" s="140">
        <f>'(변경)집계표'!D255</f>
        <v>0</v>
      </c>
      <c r="AF16" s="111">
        <f>'(변경)집계표'!B285</f>
        <v>0</v>
      </c>
      <c r="AG16" s="112" t="s">
        <v>11</v>
      </c>
      <c r="AH16" s="140">
        <f>'(변경)집계표'!D285</f>
        <v>0</v>
      </c>
      <c r="AI16" s="128"/>
      <c r="AJ16" s="6"/>
    </row>
    <row r="17" spans="1:36" s="7" customFormat="1" ht="22.5" customHeight="1">
      <c r="A17" s="127" t="s">
        <v>22</v>
      </c>
      <c r="B17" s="111" t="e">
        <f t="shared" si="0"/>
        <v>#REF!</v>
      </c>
      <c r="C17" s="112" t="s">
        <v>11</v>
      </c>
      <c r="D17" s="140" t="e">
        <f t="shared" si="1"/>
        <v>#REF!</v>
      </c>
      <c r="E17" s="111">
        <f>'(변경)집계표'!B16</f>
        <v>0</v>
      </c>
      <c r="F17" s="112" t="s">
        <v>11</v>
      </c>
      <c r="G17" s="140">
        <f>'(변경)집계표'!D16</f>
        <v>0</v>
      </c>
      <c r="H17" s="111" t="e">
        <f>'(변경)집계표'!B46</f>
        <v>#REF!</v>
      </c>
      <c r="I17" s="112" t="s">
        <v>11</v>
      </c>
      <c r="J17" s="140" t="e">
        <f>'(변경)집계표'!D46</f>
        <v>#REF!</v>
      </c>
      <c r="K17" s="111" t="e">
        <f>'(변경)집계표'!B76</f>
        <v>#REF!</v>
      </c>
      <c r="L17" s="112" t="s">
        <v>11</v>
      </c>
      <c r="M17" s="140" t="e">
        <f>'(변경)집계표'!D76</f>
        <v>#REF!</v>
      </c>
      <c r="N17" s="111" t="e">
        <f>'(변경)집계표'!B106</f>
        <v>#REF!</v>
      </c>
      <c r="O17" s="112" t="s">
        <v>11</v>
      </c>
      <c r="P17" s="140" t="e">
        <f>'(변경)집계표'!D106</f>
        <v>#REF!</v>
      </c>
      <c r="Q17" s="111" t="e">
        <f>'(변경)집계표'!B136</f>
        <v>#REF!</v>
      </c>
      <c r="R17" s="112" t="s">
        <v>11</v>
      </c>
      <c r="S17" s="140" t="e">
        <f>'(변경)집계표'!D136</f>
        <v>#REF!</v>
      </c>
      <c r="T17" s="111">
        <f>'(변경)집계표'!B166</f>
        <v>0</v>
      </c>
      <c r="U17" s="112" t="s">
        <v>11</v>
      </c>
      <c r="V17" s="140">
        <f>'(변경)집계표'!D166</f>
        <v>0</v>
      </c>
      <c r="W17" s="111">
        <f>'(변경)집계표'!B196</f>
        <v>0</v>
      </c>
      <c r="X17" s="112" t="s">
        <v>11</v>
      </c>
      <c r="Y17" s="140">
        <f>'(변경)집계표'!D196</f>
        <v>0</v>
      </c>
      <c r="Z17" s="111">
        <f>'(변경)집계표'!B226</f>
        <v>0</v>
      </c>
      <c r="AA17" s="112" t="s">
        <v>11</v>
      </c>
      <c r="AB17" s="140">
        <f>'(변경)집계표'!D226</f>
        <v>0</v>
      </c>
      <c r="AC17" s="111">
        <f>'(변경)집계표'!B256</f>
        <v>0</v>
      </c>
      <c r="AD17" s="112" t="s">
        <v>11</v>
      </c>
      <c r="AE17" s="140">
        <f>'(변경)집계표'!D256</f>
        <v>0</v>
      </c>
      <c r="AF17" s="111">
        <f>'(변경)집계표'!B286</f>
        <v>0</v>
      </c>
      <c r="AG17" s="112" t="s">
        <v>11</v>
      </c>
      <c r="AH17" s="140">
        <f>'(변경)집계표'!D286</f>
        <v>0</v>
      </c>
      <c r="AI17" s="128"/>
      <c r="AJ17" s="6"/>
    </row>
    <row r="18" spans="1:36" s="7" customFormat="1" ht="22.5" customHeight="1">
      <c r="A18" s="127" t="s">
        <v>23</v>
      </c>
      <c r="B18" s="111" t="e">
        <f t="shared" si="0"/>
        <v>#REF!</v>
      </c>
      <c r="C18" s="112" t="s">
        <v>11</v>
      </c>
      <c r="D18" s="140" t="e">
        <f t="shared" si="1"/>
        <v>#REF!</v>
      </c>
      <c r="E18" s="111">
        <f>'(변경)집계표'!B17</f>
        <v>0</v>
      </c>
      <c r="F18" s="112" t="s">
        <v>11</v>
      </c>
      <c r="G18" s="140">
        <f>'(변경)집계표'!D17</f>
        <v>0</v>
      </c>
      <c r="H18" s="111" t="e">
        <f>'(변경)집계표'!B47</f>
        <v>#REF!</v>
      </c>
      <c r="I18" s="112" t="s">
        <v>11</v>
      </c>
      <c r="J18" s="140" t="e">
        <f>'(변경)집계표'!D47</f>
        <v>#REF!</v>
      </c>
      <c r="K18" s="111" t="e">
        <f>'(변경)집계표'!B77</f>
        <v>#REF!</v>
      </c>
      <c r="L18" s="112" t="s">
        <v>11</v>
      </c>
      <c r="M18" s="140" t="e">
        <f>'(변경)집계표'!D77</f>
        <v>#REF!</v>
      </c>
      <c r="N18" s="111" t="e">
        <f>'(변경)집계표'!B107</f>
        <v>#REF!</v>
      </c>
      <c r="O18" s="112" t="s">
        <v>11</v>
      </c>
      <c r="P18" s="140" t="e">
        <f>'(변경)집계표'!D107</f>
        <v>#REF!</v>
      </c>
      <c r="Q18" s="111" t="e">
        <f>'(변경)집계표'!B137</f>
        <v>#REF!</v>
      </c>
      <c r="R18" s="112" t="s">
        <v>11</v>
      </c>
      <c r="S18" s="140" t="e">
        <f>'(변경)집계표'!D137</f>
        <v>#REF!</v>
      </c>
      <c r="T18" s="111">
        <f>'(변경)집계표'!B167</f>
        <v>0</v>
      </c>
      <c r="U18" s="112" t="s">
        <v>11</v>
      </c>
      <c r="V18" s="140">
        <f>'(변경)집계표'!D167</f>
        <v>0</v>
      </c>
      <c r="W18" s="111">
        <f>'(변경)집계표'!B197</f>
        <v>0</v>
      </c>
      <c r="X18" s="112" t="s">
        <v>11</v>
      </c>
      <c r="Y18" s="140">
        <f>'(변경)집계표'!D197</f>
        <v>0</v>
      </c>
      <c r="Z18" s="111">
        <f>'(변경)집계표'!B227</f>
        <v>0</v>
      </c>
      <c r="AA18" s="112" t="s">
        <v>11</v>
      </c>
      <c r="AB18" s="140">
        <f>'(변경)집계표'!D227</f>
        <v>0</v>
      </c>
      <c r="AC18" s="111">
        <f>'(변경)집계표'!B257</f>
        <v>0</v>
      </c>
      <c r="AD18" s="112" t="s">
        <v>11</v>
      </c>
      <c r="AE18" s="140">
        <f>'(변경)집계표'!D257</f>
        <v>0</v>
      </c>
      <c r="AF18" s="111">
        <f>'(변경)집계표'!B287</f>
        <v>0</v>
      </c>
      <c r="AG18" s="112" t="s">
        <v>11</v>
      </c>
      <c r="AH18" s="140">
        <f>'(변경)집계표'!D287</f>
        <v>0</v>
      </c>
      <c r="AI18" s="128"/>
      <c r="AJ18" s="6"/>
    </row>
    <row r="19" spans="1:36" s="7" customFormat="1" ht="22.5" customHeight="1">
      <c r="A19" s="127" t="s">
        <v>24</v>
      </c>
      <c r="B19" s="111" t="e">
        <f t="shared" si="0"/>
        <v>#REF!</v>
      </c>
      <c r="C19" s="112" t="s">
        <v>11</v>
      </c>
      <c r="D19" s="140" t="e">
        <f t="shared" si="1"/>
        <v>#REF!</v>
      </c>
      <c r="E19" s="111">
        <f>'(변경)집계표'!B18</f>
        <v>0</v>
      </c>
      <c r="F19" s="112" t="s">
        <v>11</v>
      </c>
      <c r="G19" s="140">
        <f>'(변경)집계표'!D18</f>
        <v>0</v>
      </c>
      <c r="H19" s="111" t="e">
        <f>'(변경)집계표'!B48</f>
        <v>#REF!</v>
      </c>
      <c r="I19" s="112" t="s">
        <v>11</v>
      </c>
      <c r="J19" s="140" t="e">
        <f>'(변경)집계표'!D48</f>
        <v>#REF!</v>
      </c>
      <c r="K19" s="111" t="e">
        <f>'(변경)집계표'!B78</f>
        <v>#REF!</v>
      </c>
      <c r="L19" s="112" t="s">
        <v>11</v>
      </c>
      <c r="M19" s="140" t="e">
        <f>'(변경)집계표'!D78</f>
        <v>#REF!</v>
      </c>
      <c r="N19" s="111" t="e">
        <f>'(변경)집계표'!B108</f>
        <v>#REF!</v>
      </c>
      <c r="O19" s="112" t="s">
        <v>11</v>
      </c>
      <c r="P19" s="140" t="e">
        <f>'(변경)집계표'!D108</f>
        <v>#REF!</v>
      </c>
      <c r="Q19" s="111" t="e">
        <f>'(변경)집계표'!B138</f>
        <v>#REF!</v>
      </c>
      <c r="R19" s="112" t="s">
        <v>11</v>
      </c>
      <c r="S19" s="140" t="e">
        <f>'(변경)집계표'!D138</f>
        <v>#REF!</v>
      </c>
      <c r="T19" s="111">
        <f>'(변경)집계표'!B168</f>
        <v>0</v>
      </c>
      <c r="U19" s="112" t="s">
        <v>11</v>
      </c>
      <c r="V19" s="140">
        <f>'(변경)집계표'!D168</f>
        <v>0</v>
      </c>
      <c r="W19" s="111">
        <f>'(변경)집계표'!B198</f>
        <v>0</v>
      </c>
      <c r="X19" s="112" t="s">
        <v>11</v>
      </c>
      <c r="Y19" s="140">
        <f>'(변경)집계표'!D198</f>
        <v>0</v>
      </c>
      <c r="Z19" s="111">
        <f>'(변경)집계표'!B228</f>
        <v>0</v>
      </c>
      <c r="AA19" s="112" t="s">
        <v>11</v>
      </c>
      <c r="AB19" s="140">
        <f>'(변경)집계표'!D228</f>
        <v>0</v>
      </c>
      <c r="AC19" s="111">
        <f>'(변경)집계표'!B258</f>
        <v>0</v>
      </c>
      <c r="AD19" s="112" t="s">
        <v>11</v>
      </c>
      <c r="AE19" s="140">
        <f>'(변경)집계표'!D258</f>
        <v>0</v>
      </c>
      <c r="AF19" s="111">
        <f>'(변경)집계표'!B288</f>
        <v>0</v>
      </c>
      <c r="AG19" s="112" t="s">
        <v>11</v>
      </c>
      <c r="AH19" s="140">
        <f>'(변경)집계표'!D288</f>
        <v>0</v>
      </c>
      <c r="AI19" s="128"/>
      <c r="AJ19" s="6"/>
    </row>
    <row r="20" spans="1:36" s="7" customFormat="1" ht="22.5" customHeight="1">
      <c r="A20" s="127" t="s">
        <v>25</v>
      </c>
      <c r="B20" s="111" t="e">
        <f t="shared" si="0"/>
        <v>#REF!</v>
      </c>
      <c r="C20" s="112" t="s">
        <v>11</v>
      </c>
      <c r="D20" s="140" t="e">
        <f t="shared" si="1"/>
        <v>#REF!</v>
      </c>
      <c r="E20" s="111">
        <f>'(변경)집계표'!B19</f>
        <v>0</v>
      </c>
      <c r="F20" s="112" t="s">
        <v>11</v>
      </c>
      <c r="G20" s="140">
        <f>'(변경)집계표'!D19</f>
        <v>0</v>
      </c>
      <c r="H20" s="111" t="e">
        <f>'(변경)집계표'!B49</f>
        <v>#REF!</v>
      </c>
      <c r="I20" s="112" t="s">
        <v>11</v>
      </c>
      <c r="J20" s="140" t="e">
        <f>'(변경)집계표'!D49</f>
        <v>#REF!</v>
      </c>
      <c r="K20" s="111" t="e">
        <f>'(변경)집계표'!B79</f>
        <v>#REF!</v>
      </c>
      <c r="L20" s="112" t="s">
        <v>11</v>
      </c>
      <c r="M20" s="140" t="e">
        <f>'(변경)집계표'!D79</f>
        <v>#REF!</v>
      </c>
      <c r="N20" s="111" t="e">
        <f>'(변경)집계표'!B109</f>
        <v>#REF!</v>
      </c>
      <c r="O20" s="112" t="s">
        <v>11</v>
      </c>
      <c r="P20" s="140" t="e">
        <f>'(변경)집계표'!D109</f>
        <v>#REF!</v>
      </c>
      <c r="Q20" s="111" t="e">
        <f>'(변경)집계표'!B139</f>
        <v>#REF!</v>
      </c>
      <c r="R20" s="112" t="s">
        <v>11</v>
      </c>
      <c r="S20" s="140" t="e">
        <f>'(변경)집계표'!D139</f>
        <v>#REF!</v>
      </c>
      <c r="T20" s="111">
        <f>'(변경)집계표'!B169</f>
        <v>0</v>
      </c>
      <c r="U20" s="112" t="s">
        <v>11</v>
      </c>
      <c r="V20" s="140">
        <f>'(변경)집계표'!D169</f>
        <v>0</v>
      </c>
      <c r="W20" s="111">
        <f>'(변경)집계표'!B199</f>
        <v>0</v>
      </c>
      <c r="X20" s="112" t="s">
        <v>11</v>
      </c>
      <c r="Y20" s="140">
        <f>'(변경)집계표'!D199</f>
        <v>0</v>
      </c>
      <c r="Z20" s="111">
        <f>'(변경)집계표'!B229</f>
        <v>0</v>
      </c>
      <c r="AA20" s="112" t="s">
        <v>11</v>
      </c>
      <c r="AB20" s="140">
        <f>'(변경)집계표'!D229</f>
        <v>0</v>
      </c>
      <c r="AC20" s="111">
        <f>'(변경)집계표'!B259</f>
        <v>0</v>
      </c>
      <c r="AD20" s="112" t="s">
        <v>11</v>
      </c>
      <c r="AE20" s="140">
        <f>'(변경)집계표'!D259</f>
        <v>0</v>
      </c>
      <c r="AF20" s="111">
        <f>'(변경)집계표'!B289</f>
        <v>0</v>
      </c>
      <c r="AG20" s="112" t="s">
        <v>11</v>
      </c>
      <c r="AH20" s="140">
        <f>'(변경)집계표'!D289</f>
        <v>0</v>
      </c>
      <c r="AI20" s="128"/>
      <c r="AJ20" s="6"/>
    </row>
    <row r="21" spans="1:36" s="7" customFormat="1" ht="22.5" customHeight="1">
      <c r="A21" s="127" t="s">
        <v>26</v>
      </c>
      <c r="B21" s="111" t="e">
        <f t="shared" si="0"/>
        <v>#REF!</v>
      </c>
      <c r="C21" s="112" t="s">
        <v>11</v>
      </c>
      <c r="D21" s="140" t="e">
        <f t="shared" si="1"/>
        <v>#REF!</v>
      </c>
      <c r="E21" s="111">
        <f>'(변경)집계표'!B20</f>
        <v>0</v>
      </c>
      <c r="F21" s="112" t="s">
        <v>11</v>
      </c>
      <c r="G21" s="140">
        <f>'(변경)집계표'!D20</f>
        <v>0</v>
      </c>
      <c r="H21" s="111" t="e">
        <f>'(변경)집계표'!B50</f>
        <v>#REF!</v>
      </c>
      <c r="I21" s="112" t="s">
        <v>11</v>
      </c>
      <c r="J21" s="140" t="e">
        <f>'(변경)집계표'!D50</f>
        <v>#REF!</v>
      </c>
      <c r="K21" s="111" t="e">
        <f>'(변경)집계표'!B80</f>
        <v>#REF!</v>
      </c>
      <c r="L21" s="112" t="s">
        <v>11</v>
      </c>
      <c r="M21" s="140" t="e">
        <f>'(변경)집계표'!D80</f>
        <v>#REF!</v>
      </c>
      <c r="N21" s="111" t="e">
        <f>'(변경)집계표'!B110</f>
        <v>#REF!</v>
      </c>
      <c r="O21" s="112" t="s">
        <v>11</v>
      </c>
      <c r="P21" s="140" t="e">
        <f>'(변경)집계표'!D110</f>
        <v>#REF!</v>
      </c>
      <c r="Q21" s="111" t="e">
        <f>'(변경)집계표'!B140</f>
        <v>#REF!</v>
      </c>
      <c r="R21" s="112" t="s">
        <v>11</v>
      </c>
      <c r="S21" s="140" t="e">
        <f>'(변경)집계표'!D140</f>
        <v>#REF!</v>
      </c>
      <c r="T21" s="111">
        <f>'(변경)집계표'!B170</f>
        <v>0</v>
      </c>
      <c r="U21" s="112" t="s">
        <v>11</v>
      </c>
      <c r="V21" s="140">
        <f>'(변경)집계표'!D170</f>
        <v>0</v>
      </c>
      <c r="W21" s="111">
        <f>'(변경)집계표'!B200</f>
        <v>0</v>
      </c>
      <c r="X21" s="112" t="s">
        <v>11</v>
      </c>
      <c r="Y21" s="140">
        <f>'(변경)집계표'!D200</f>
        <v>0</v>
      </c>
      <c r="Z21" s="111">
        <f>'(변경)집계표'!B230</f>
        <v>0</v>
      </c>
      <c r="AA21" s="112" t="s">
        <v>11</v>
      </c>
      <c r="AB21" s="140">
        <f>'(변경)집계표'!D230</f>
        <v>0</v>
      </c>
      <c r="AC21" s="111">
        <f>'(변경)집계표'!B260</f>
        <v>0</v>
      </c>
      <c r="AD21" s="112" t="s">
        <v>11</v>
      </c>
      <c r="AE21" s="140">
        <f>'(변경)집계표'!D260</f>
        <v>0</v>
      </c>
      <c r="AF21" s="111">
        <f>'(변경)집계표'!B290</f>
        <v>0</v>
      </c>
      <c r="AG21" s="112" t="s">
        <v>11</v>
      </c>
      <c r="AH21" s="140">
        <f>'(변경)집계표'!D290</f>
        <v>0</v>
      </c>
      <c r="AI21" s="128"/>
      <c r="AJ21" s="6"/>
    </row>
    <row r="22" spans="1:36" s="7" customFormat="1" ht="22.5" customHeight="1">
      <c r="A22" s="127" t="s">
        <v>27</v>
      </c>
      <c r="B22" s="111" t="e">
        <f t="shared" si="0"/>
        <v>#REF!</v>
      </c>
      <c r="C22" s="112" t="s">
        <v>11</v>
      </c>
      <c r="D22" s="140" t="e">
        <f t="shared" si="1"/>
        <v>#REF!</v>
      </c>
      <c r="E22" s="111">
        <f>'(변경)집계표'!B21</f>
        <v>0</v>
      </c>
      <c r="F22" s="112" t="s">
        <v>11</v>
      </c>
      <c r="G22" s="140">
        <f>'(변경)집계표'!D21</f>
        <v>0</v>
      </c>
      <c r="H22" s="111" t="e">
        <f>'(변경)집계표'!B51</f>
        <v>#REF!</v>
      </c>
      <c r="I22" s="112" t="s">
        <v>11</v>
      </c>
      <c r="J22" s="140" t="e">
        <f>'(변경)집계표'!D51</f>
        <v>#REF!</v>
      </c>
      <c r="K22" s="111" t="e">
        <f>'(변경)집계표'!B81</f>
        <v>#REF!</v>
      </c>
      <c r="L22" s="112" t="s">
        <v>11</v>
      </c>
      <c r="M22" s="140" t="e">
        <f>'(변경)집계표'!D81</f>
        <v>#REF!</v>
      </c>
      <c r="N22" s="111" t="e">
        <f>'(변경)집계표'!B111</f>
        <v>#REF!</v>
      </c>
      <c r="O22" s="112" t="s">
        <v>11</v>
      </c>
      <c r="P22" s="140" t="e">
        <f>'(변경)집계표'!D111</f>
        <v>#REF!</v>
      </c>
      <c r="Q22" s="111" t="e">
        <f>'(변경)집계표'!B141</f>
        <v>#REF!</v>
      </c>
      <c r="R22" s="112" t="s">
        <v>11</v>
      </c>
      <c r="S22" s="140" t="e">
        <f>'(변경)집계표'!D141</f>
        <v>#REF!</v>
      </c>
      <c r="T22" s="111">
        <f>'(변경)집계표'!B171</f>
        <v>0</v>
      </c>
      <c r="U22" s="112" t="s">
        <v>11</v>
      </c>
      <c r="V22" s="140">
        <f>'(변경)집계표'!D171</f>
        <v>0</v>
      </c>
      <c r="W22" s="111">
        <f>'(변경)집계표'!B201</f>
        <v>0</v>
      </c>
      <c r="X22" s="112" t="s">
        <v>11</v>
      </c>
      <c r="Y22" s="140">
        <f>'(변경)집계표'!D201</f>
        <v>0</v>
      </c>
      <c r="Z22" s="111">
        <f>'(변경)집계표'!B231</f>
        <v>0</v>
      </c>
      <c r="AA22" s="112" t="s">
        <v>11</v>
      </c>
      <c r="AB22" s="140">
        <f>'(변경)집계표'!D231</f>
        <v>0</v>
      </c>
      <c r="AC22" s="111">
        <f>'(변경)집계표'!B261</f>
        <v>0</v>
      </c>
      <c r="AD22" s="112" t="s">
        <v>11</v>
      </c>
      <c r="AE22" s="140">
        <f>'(변경)집계표'!D261</f>
        <v>0</v>
      </c>
      <c r="AF22" s="111">
        <f>'(변경)집계표'!B291</f>
        <v>0</v>
      </c>
      <c r="AG22" s="112" t="s">
        <v>11</v>
      </c>
      <c r="AH22" s="140">
        <f>'(변경)집계표'!D291</f>
        <v>0</v>
      </c>
      <c r="AI22" s="128"/>
      <c r="AJ22" s="6"/>
    </row>
    <row r="23" spans="1:36" s="7" customFormat="1" ht="22.5" customHeight="1">
      <c r="A23" s="127" t="s">
        <v>28</v>
      </c>
      <c r="B23" s="111" t="e">
        <f t="shared" si="0"/>
        <v>#REF!</v>
      </c>
      <c r="C23" s="112" t="s">
        <v>11</v>
      </c>
      <c r="D23" s="140" t="e">
        <f t="shared" si="1"/>
        <v>#REF!</v>
      </c>
      <c r="E23" s="111">
        <f>'(변경)집계표'!B22</f>
        <v>0</v>
      </c>
      <c r="F23" s="112" t="s">
        <v>11</v>
      </c>
      <c r="G23" s="140">
        <f>'(변경)집계표'!D22</f>
        <v>0</v>
      </c>
      <c r="H23" s="111" t="e">
        <f>'(변경)집계표'!B52</f>
        <v>#REF!</v>
      </c>
      <c r="I23" s="112" t="s">
        <v>11</v>
      </c>
      <c r="J23" s="140" t="e">
        <f>'(변경)집계표'!D52</f>
        <v>#REF!</v>
      </c>
      <c r="K23" s="111" t="e">
        <f>'(변경)집계표'!B82</f>
        <v>#REF!</v>
      </c>
      <c r="L23" s="112" t="s">
        <v>11</v>
      </c>
      <c r="M23" s="140" t="e">
        <f>'(변경)집계표'!D82</f>
        <v>#REF!</v>
      </c>
      <c r="N23" s="111" t="e">
        <f>'(변경)집계표'!B112</f>
        <v>#REF!</v>
      </c>
      <c r="O23" s="112" t="s">
        <v>11</v>
      </c>
      <c r="P23" s="140" t="e">
        <f>'(변경)집계표'!D112</f>
        <v>#REF!</v>
      </c>
      <c r="Q23" s="111" t="e">
        <f>'(변경)집계표'!B142</f>
        <v>#REF!</v>
      </c>
      <c r="R23" s="112" t="s">
        <v>11</v>
      </c>
      <c r="S23" s="140" t="e">
        <f>'(변경)집계표'!D142</f>
        <v>#REF!</v>
      </c>
      <c r="T23" s="111">
        <f>'(변경)집계표'!B172</f>
        <v>0</v>
      </c>
      <c r="U23" s="112" t="s">
        <v>11</v>
      </c>
      <c r="V23" s="140">
        <f>'(변경)집계표'!D172</f>
        <v>0</v>
      </c>
      <c r="W23" s="111">
        <f>'(변경)집계표'!B202</f>
        <v>0</v>
      </c>
      <c r="X23" s="112" t="s">
        <v>11</v>
      </c>
      <c r="Y23" s="140">
        <f>'(변경)집계표'!D202</f>
        <v>0</v>
      </c>
      <c r="Z23" s="111">
        <f>'(변경)집계표'!B232</f>
        <v>0</v>
      </c>
      <c r="AA23" s="112" t="s">
        <v>11</v>
      </c>
      <c r="AB23" s="140">
        <f>'(변경)집계표'!D232</f>
        <v>0</v>
      </c>
      <c r="AC23" s="111">
        <f>'(변경)집계표'!B262</f>
        <v>0</v>
      </c>
      <c r="AD23" s="112" t="s">
        <v>11</v>
      </c>
      <c r="AE23" s="140">
        <f>'(변경)집계표'!D262</f>
        <v>0</v>
      </c>
      <c r="AF23" s="111">
        <f>'(변경)집계표'!B292</f>
        <v>0</v>
      </c>
      <c r="AG23" s="112" t="s">
        <v>11</v>
      </c>
      <c r="AH23" s="140">
        <f>'(변경)집계표'!D292</f>
        <v>0</v>
      </c>
      <c r="AI23" s="128"/>
      <c r="AJ23" s="6"/>
    </row>
    <row r="24" spans="1:36" s="7" customFormat="1" ht="22.5" customHeight="1">
      <c r="A24" s="127" t="s">
        <v>29</v>
      </c>
      <c r="B24" s="111" t="e">
        <f t="shared" si="0"/>
        <v>#REF!</v>
      </c>
      <c r="C24" s="112" t="s">
        <v>11</v>
      </c>
      <c r="D24" s="140" t="e">
        <f t="shared" si="1"/>
        <v>#REF!</v>
      </c>
      <c r="E24" s="111">
        <f>'(변경)집계표'!B23</f>
        <v>3</v>
      </c>
      <c r="F24" s="112" t="s">
        <v>11</v>
      </c>
      <c r="G24" s="140">
        <f>'(변경)집계표'!D23</f>
        <v>483</v>
      </c>
      <c r="H24" s="111" t="e">
        <f>'(변경)집계표'!B53</f>
        <v>#REF!</v>
      </c>
      <c r="I24" s="112" t="s">
        <v>11</v>
      </c>
      <c r="J24" s="140" t="e">
        <f>'(변경)집계표'!D53</f>
        <v>#REF!</v>
      </c>
      <c r="K24" s="111" t="e">
        <f>'(변경)집계표'!B83</f>
        <v>#REF!</v>
      </c>
      <c r="L24" s="112" t="s">
        <v>11</v>
      </c>
      <c r="M24" s="140" t="e">
        <f>'(변경)집계표'!D83</f>
        <v>#REF!</v>
      </c>
      <c r="N24" s="111" t="e">
        <f>'(변경)집계표'!B113</f>
        <v>#REF!</v>
      </c>
      <c r="O24" s="112" t="s">
        <v>11</v>
      </c>
      <c r="P24" s="140" t="e">
        <f>'(변경)집계표'!D113</f>
        <v>#REF!</v>
      </c>
      <c r="Q24" s="111" t="e">
        <f>'(변경)집계표'!B143</f>
        <v>#REF!</v>
      </c>
      <c r="R24" s="112" t="s">
        <v>11</v>
      </c>
      <c r="S24" s="140" t="e">
        <f>'(변경)집계표'!D143</f>
        <v>#REF!</v>
      </c>
      <c r="T24" s="111">
        <f>'(변경)집계표'!B173</f>
        <v>0</v>
      </c>
      <c r="U24" s="112" t="s">
        <v>11</v>
      </c>
      <c r="V24" s="140">
        <f>'(변경)집계표'!D173</f>
        <v>0</v>
      </c>
      <c r="W24" s="111">
        <f>'(변경)집계표'!B203</f>
        <v>0</v>
      </c>
      <c r="X24" s="112" t="s">
        <v>11</v>
      </c>
      <c r="Y24" s="140">
        <f>'(변경)집계표'!D203</f>
        <v>0</v>
      </c>
      <c r="Z24" s="111">
        <f>'(변경)집계표'!B233</f>
        <v>0</v>
      </c>
      <c r="AA24" s="112" t="s">
        <v>11</v>
      </c>
      <c r="AB24" s="140">
        <f>'(변경)집계표'!D233</f>
        <v>0</v>
      </c>
      <c r="AC24" s="111">
        <f>'(변경)집계표'!B263</f>
        <v>0</v>
      </c>
      <c r="AD24" s="112" t="s">
        <v>11</v>
      </c>
      <c r="AE24" s="140">
        <f>'(변경)집계표'!D263</f>
        <v>0</v>
      </c>
      <c r="AF24" s="111">
        <f>'(변경)집계표'!B293</f>
        <v>0</v>
      </c>
      <c r="AG24" s="112" t="s">
        <v>11</v>
      </c>
      <c r="AH24" s="140">
        <f>'(변경)집계표'!D293</f>
        <v>0</v>
      </c>
      <c r="AI24" s="128"/>
      <c r="AJ24" s="6"/>
    </row>
    <row r="25" spans="1:36" s="7" customFormat="1" ht="22.5" customHeight="1">
      <c r="A25" s="129" t="s">
        <v>30</v>
      </c>
      <c r="B25" s="111" t="e">
        <f t="shared" si="0"/>
        <v>#REF!</v>
      </c>
      <c r="C25" s="112" t="s">
        <v>11</v>
      </c>
      <c r="D25" s="140" t="e">
        <f t="shared" si="1"/>
        <v>#REF!</v>
      </c>
      <c r="E25" s="111">
        <f>'(변경)집계표'!B24</f>
        <v>0</v>
      </c>
      <c r="F25" s="112" t="s">
        <v>11</v>
      </c>
      <c r="G25" s="140">
        <f>'(변경)집계표'!D24</f>
        <v>0</v>
      </c>
      <c r="H25" s="111" t="e">
        <f>'(변경)집계표'!B54</f>
        <v>#REF!</v>
      </c>
      <c r="I25" s="112" t="s">
        <v>11</v>
      </c>
      <c r="J25" s="140" t="e">
        <f>'(변경)집계표'!D54</f>
        <v>#REF!</v>
      </c>
      <c r="K25" s="111" t="e">
        <f>'(변경)집계표'!B84</f>
        <v>#REF!</v>
      </c>
      <c r="L25" s="112" t="s">
        <v>11</v>
      </c>
      <c r="M25" s="140" t="e">
        <f>'(변경)집계표'!D84</f>
        <v>#REF!</v>
      </c>
      <c r="N25" s="111" t="e">
        <f>'(변경)집계표'!B114</f>
        <v>#REF!</v>
      </c>
      <c r="O25" s="112" t="s">
        <v>11</v>
      </c>
      <c r="P25" s="140" t="e">
        <f>'(변경)집계표'!D114</f>
        <v>#REF!</v>
      </c>
      <c r="Q25" s="111" t="e">
        <f>'(변경)집계표'!B144</f>
        <v>#REF!</v>
      </c>
      <c r="R25" s="112" t="s">
        <v>11</v>
      </c>
      <c r="S25" s="140" t="e">
        <f>'(변경)집계표'!D144</f>
        <v>#REF!</v>
      </c>
      <c r="T25" s="111">
        <f>'(변경)집계표'!B174</f>
        <v>0</v>
      </c>
      <c r="U25" s="112" t="s">
        <v>11</v>
      </c>
      <c r="V25" s="140">
        <f>'(변경)집계표'!D174</f>
        <v>0</v>
      </c>
      <c r="W25" s="111">
        <f>'(변경)집계표'!B204</f>
        <v>0</v>
      </c>
      <c r="X25" s="112" t="s">
        <v>11</v>
      </c>
      <c r="Y25" s="140">
        <f>'(변경)집계표'!D204</f>
        <v>0</v>
      </c>
      <c r="Z25" s="111">
        <f>'(변경)집계표'!B234</f>
        <v>0</v>
      </c>
      <c r="AA25" s="112" t="s">
        <v>11</v>
      </c>
      <c r="AB25" s="140">
        <f>'(변경)집계표'!D234</f>
        <v>0</v>
      </c>
      <c r="AC25" s="111">
        <f>'(변경)집계표'!B264</f>
        <v>0</v>
      </c>
      <c r="AD25" s="112" t="s">
        <v>11</v>
      </c>
      <c r="AE25" s="140">
        <f>'(변경)집계표'!D264</f>
        <v>0</v>
      </c>
      <c r="AF25" s="111">
        <f>'(변경)집계표'!B294</f>
        <v>0</v>
      </c>
      <c r="AG25" s="112" t="s">
        <v>11</v>
      </c>
      <c r="AH25" s="140">
        <f>'(변경)집계표'!D294</f>
        <v>0</v>
      </c>
      <c r="AI25" s="128"/>
    </row>
    <row r="26" spans="1:36" s="7" customFormat="1" ht="22.5" customHeight="1">
      <c r="A26" s="129" t="s">
        <v>31</v>
      </c>
      <c r="B26" s="111" t="e">
        <f t="shared" si="0"/>
        <v>#REF!</v>
      </c>
      <c r="C26" s="112" t="s">
        <v>11</v>
      </c>
      <c r="D26" s="140" t="e">
        <f t="shared" si="1"/>
        <v>#REF!</v>
      </c>
      <c r="E26" s="111">
        <f>'(변경)집계표'!B25</f>
        <v>0</v>
      </c>
      <c r="F26" s="112" t="s">
        <v>11</v>
      </c>
      <c r="G26" s="140">
        <f>'(변경)집계표'!D25</f>
        <v>0</v>
      </c>
      <c r="H26" s="111" t="e">
        <f>'(변경)집계표'!B55</f>
        <v>#REF!</v>
      </c>
      <c r="I26" s="112" t="s">
        <v>11</v>
      </c>
      <c r="J26" s="140" t="e">
        <f>'(변경)집계표'!D55</f>
        <v>#REF!</v>
      </c>
      <c r="K26" s="111" t="e">
        <f>'(변경)집계표'!B85</f>
        <v>#REF!</v>
      </c>
      <c r="L26" s="112" t="s">
        <v>11</v>
      </c>
      <c r="M26" s="140" t="e">
        <f>'(변경)집계표'!D85</f>
        <v>#REF!</v>
      </c>
      <c r="N26" s="111" t="e">
        <f>'(변경)집계표'!B115</f>
        <v>#REF!</v>
      </c>
      <c r="O26" s="112" t="s">
        <v>11</v>
      </c>
      <c r="P26" s="140" t="e">
        <f>'(변경)집계표'!D115</f>
        <v>#REF!</v>
      </c>
      <c r="Q26" s="111" t="e">
        <f>'(변경)집계표'!B145</f>
        <v>#REF!</v>
      </c>
      <c r="R26" s="112" t="s">
        <v>11</v>
      </c>
      <c r="S26" s="140" t="e">
        <f>'(변경)집계표'!D145</f>
        <v>#REF!</v>
      </c>
      <c r="T26" s="111">
        <f>'(변경)집계표'!B175</f>
        <v>0</v>
      </c>
      <c r="U26" s="112" t="s">
        <v>11</v>
      </c>
      <c r="V26" s="140">
        <f>'(변경)집계표'!D175</f>
        <v>0</v>
      </c>
      <c r="W26" s="111">
        <f>'(변경)집계표'!B205</f>
        <v>0</v>
      </c>
      <c r="X26" s="112" t="s">
        <v>11</v>
      </c>
      <c r="Y26" s="140">
        <f>'(변경)집계표'!D205</f>
        <v>0</v>
      </c>
      <c r="Z26" s="111">
        <f>'(변경)집계표'!B235</f>
        <v>0</v>
      </c>
      <c r="AA26" s="112" t="s">
        <v>11</v>
      </c>
      <c r="AB26" s="140">
        <f>'(변경)집계표'!D235</f>
        <v>0</v>
      </c>
      <c r="AC26" s="111">
        <f>'(변경)집계표'!B265</f>
        <v>0</v>
      </c>
      <c r="AD26" s="112" t="s">
        <v>11</v>
      </c>
      <c r="AE26" s="140">
        <f>'(변경)집계표'!D265</f>
        <v>0</v>
      </c>
      <c r="AF26" s="111">
        <f>'(변경)집계표'!B295</f>
        <v>0</v>
      </c>
      <c r="AG26" s="112" t="s">
        <v>11</v>
      </c>
      <c r="AH26" s="140">
        <f>'(변경)집계표'!D295</f>
        <v>0</v>
      </c>
      <c r="AI26" s="128"/>
    </row>
    <row r="27" spans="1:36" s="7" customFormat="1" ht="22.5" customHeight="1">
      <c r="A27" s="129" t="s">
        <v>32</v>
      </c>
      <c r="B27" s="111" t="e">
        <f t="shared" si="0"/>
        <v>#REF!</v>
      </c>
      <c r="C27" s="112" t="s">
        <v>11</v>
      </c>
      <c r="D27" s="140" t="e">
        <f t="shared" si="1"/>
        <v>#REF!</v>
      </c>
      <c r="E27" s="111">
        <f>'(변경)집계표'!B26</f>
        <v>0</v>
      </c>
      <c r="F27" s="112" t="s">
        <v>11</v>
      </c>
      <c r="G27" s="140">
        <f>'(변경)집계표'!D26</f>
        <v>0</v>
      </c>
      <c r="H27" s="111" t="e">
        <f>'(변경)집계표'!B56</f>
        <v>#REF!</v>
      </c>
      <c r="I27" s="112" t="s">
        <v>11</v>
      </c>
      <c r="J27" s="140" t="e">
        <f>'(변경)집계표'!D56</f>
        <v>#REF!</v>
      </c>
      <c r="K27" s="111" t="e">
        <f>'(변경)집계표'!B86</f>
        <v>#REF!</v>
      </c>
      <c r="L27" s="112" t="s">
        <v>11</v>
      </c>
      <c r="M27" s="140" t="e">
        <f>'(변경)집계표'!D86</f>
        <v>#REF!</v>
      </c>
      <c r="N27" s="111" t="e">
        <f>'(변경)집계표'!B116</f>
        <v>#REF!</v>
      </c>
      <c r="O27" s="112" t="s">
        <v>11</v>
      </c>
      <c r="P27" s="140" t="e">
        <f>'(변경)집계표'!D116</f>
        <v>#REF!</v>
      </c>
      <c r="Q27" s="111" t="e">
        <f>'(변경)집계표'!B146</f>
        <v>#REF!</v>
      </c>
      <c r="R27" s="112" t="s">
        <v>11</v>
      </c>
      <c r="S27" s="140" t="e">
        <f>'(변경)집계표'!D146</f>
        <v>#REF!</v>
      </c>
      <c r="T27" s="111">
        <f>'(변경)집계표'!B176</f>
        <v>0</v>
      </c>
      <c r="U27" s="112" t="s">
        <v>11</v>
      </c>
      <c r="V27" s="140">
        <f>'(변경)집계표'!D176</f>
        <v>0</v>
      </c>
      <c r="W27" s="111">
        <f>'(변경)집계표'!B206</f>
        <v>0</v>
      </c>
      <c r="X27" s="112" t="s">
        <v>11</v>
      </c>
      <c r="Y27" s="140">
        <f>'(변경)집계표'!D206</f>
        <v>0</v>
      </c>
      <c r="Z27" s="111">
        <f>'(변경)집계표'!B236</f>
        <v>0</v>
      </c>
      <c r="AA27" s="112" t="s">
        <v>11</v>
      </c>
      <c r="AB27" s="140">
        <f>'(변경)집계표'!D236</f>
        <v>0</v>
      </c>
      <c r="AC27" s="111">
        <f>'(변경)집계표'!B266</f>
        <v>0</v>
      </c>
      <c r="AD27" s="112" t="s">
        <v>11</v>
      </c>
      <c r="AE27" s="140">
        <f>'(변경)집계표'!D266</f>
        <v>0</v>
      </c>
      <c r="AF27" s="111">
        <f>'(변경)집계표'!B296</f>
        <v>0</v>
      </c>
      <c r="AG27" s="112" t="s">
        <v>11</v>
      </c>
      <c r="AH27" s="140">
        <f>'(변경)집계표'!D296</f>
        <v>0</v>
      </c>
      <c r="AI27" s="128"/>
    </row>
    <row r="28" spans="1:36" s="7" customFormat="1" ht="22.5" customHeight="1">
      <c r="A28" s="129" t="s">
        <v>33</v>
      </c>
      <c r="B28" s="111" t="e">
        <f t="shared" si="0"/>
        <v>#REF!</v>
      </c>
      <c r="C28" s="112" t="s">
        <v>11</v>
      </c>
      <c r="D28" s="140" t="e">
        <f t="shared" si="1"/>
        <v>#REF!</v>
      </c>
      <c r="E28" s="111">
        <f>'(변경)집계표'!B27</f>
        <v>0</v>
      </c>
      <c r="F28" s="112" t="s">
        <v>11</v>
      </c>
      <c r="G28" s="140">
        <f>'(변경)집계표'!D27</f>
        <v>0</v>
      </c>
      <c r="H28" s="111" t="e">
        <f>'(변경)집계표'!B57</f>
        <v>#REF!</v>
      </c>
      <c r="I28" s="112" t="s">
        <v>11</v>
      </c>
      <c r="J28" s="140" t="e">
        <f>'(변경)집계표'!D57</f>
        <v>#REF!</v>
      </c>
      <c r="K28" s="111" t="e">
        <f>'(변경)집계표'!B87</f>
        <v>#REF!</v>
      </c>
      <c r="L28" s="112" t="s">
        <v>11</v>
      </c>
      <c r="M28" s="140" t="e">
        <f>'(변경)집계표'!D87</f>
        <v>#REF!</v>
      </c>
      <c r="N28" s="111" t="e">
        <f>'(변경)집계표'!B117</f>
        <v>#REF!</v>
      </c>
      <c r="O28" s="112" t="s">
        <v>11</v>
      </c>
      <c r="P28" s="140" t="e">
        <f>'(변경)집계표'!D117</f>
        <v>#REF!</v>
      </c>
      <c r="Q28" s="111" t="e">
        <f>'(변경)집계표'!B147</f>
        <v>#REF!</v>
      </c>
      <c r="R28" s="112" t="s">
        <v>11</v>
      </c>
      <c r="S28" s="140" t="e">
        <f>'(변경)집계표'!D147</f>
        <v>#REF!</v>
      </c>
      <c r="T28" s="111">
        <f>'(변경)집계표'!B177</f>
        <v>0</v>
      </c>
      <c r="U28" s="112" t="s">
        <v>11</v>
      </c>
      <c r="V28" s="140">
        <f>'(변경)집계표'!D177</f>
        <v>0</v>
      </c>
      <c r="W28" s="111">
        <f>'(변경)집계표'!B207</f>
        <v>0</v>
      </c>
      <c r="X28" s="112" t="s">
        <v>11</v>
      </c>
      <c r="Y28" s="140">
        <f>'(변경)집계표'!D207</f>
        <v>0</v>
      </c>
      <c r="Z28" s="111">
        <f>'(변경)집계표'!B237</f>
        <v>0</v>
      </c>
      <c r="AA28" s="112" t="s">
        <v>11</v>
      </c>
      <c r="AB28" s="140">
        <f>'(변경)집계표'!D237</f>
        <v>0</v>
      </c>
      <c r="AC28" s="111">
        <f>'(변경)집계표'!B267</f>
        <v>0</v>
      </c>
      <c r="AD28" s="112" t="s">
        <v>11</v>
      </c>
      <c r="AE28" s="140">
        <f>'(변경)집계표'!D267</f>
        <v>0</v>
      </c>
      <c r="AF28" s="111">
        <f>'(변경)집계표'!B297</f>
        <v>0</v>
      </c>
      <c r="AG28" s="112" t="s">
        <v>11</v>
      </c>
      <c r="AH28" s="140">
        <f>'(변경)집계표'!D297</f>
        <v>0</v>
      </c>
      <c r="AI28" s="128"/>
    </row>
    <row r="29" spans="1:36" s="7" customFormat="1" ht="22.5" customHeight="1">
      <c r="A29" s="129" t="s">
        <v>34</v>
      </c>
      <c r="B29" s="111" t="e">
        <f t="shared" si="0"/>
        <v>#REF!</v>
      </c>
      <c r="C29" s="112" t="s">
        <v>11</v>
      </c>
      <c r="D29" s="140" t="e">
        <f t="shared" si="1"/>
        <v>#REF!</v>
      </c>
      <c r="E29" s="111">
        <f>'(변경)집계표'!B28</f>
        <v>0</v>
      </c>
      <c r="F29" s="112" t="s">
        <v>11</v>
      </c>
      <c r="G29" s="140">
        <f>'(변경)집계표'!D28</f>
        <v>0</v>
      </c>
      <c r="H29" s="111" t="e">
        <f>'(변경)집계표'!B58</f>
        <v>#REF!</v>
      </c>
      <c r="I29" s="112" t="s">
        <v>11</v>
      </c>
      <c r="J29" s="140" t="e">
        <f>'(변경)집계표'!D58</f>
        <v>#REF!</v>
      </c>
      <c r="K29" s="111" t="e">
        <f>'(변경)집계표'!B88</f>
        <v>#REF!</v>
      </c>
      <c r="L29" s="112" t="s">
        <v>11</v>
      </c>
      <c r="M29" s="140" t="e">
        <f>'(변경)집계표'!D88</f>
        <v>#REF!</v>
      </c>
      <c r="N29" s="111" t="e">
        <f>'(변경)집계표'!B118</f>
        <v>#REF!</v>
      </c>
      <c r="O29" s="112" t="s">
        <v>11</v>
      </c>
      <c r="P29" s="140" t="e">
        <f>'(변경)집계표'!D118</f>
        <v>#REF!</v>
      </c>
      <c r="Q29" s="111" t="e">
        <f>'(변경)집계표'!B148</f>
        <v>#REF!</v>
      </c>
      <c r="R29" s="112" t="s">
        <v>11</v>
      </c>
      <c r="S29" s="140" t="e">
        <f>'(변경)집계표'!D148</f>
        <v>#REF!</v>
      </c>
      <c r="T29" s="111">
        <f>'(변경)집계표'!B178</f>
        <v>0</v>
      </c>
      <c r="U29" s="112" t="s">
        <v>11</v>
      </c>
      <c r="V29" s="140">
        <f>'(변경)집계표'!D178</f>
        <v>0</v>
      </c>
      <c r="W29" s="111">
        <f>'(변경)집계표'!B208</f>
        <v>0</v>
      </c>
      <c r="X29" s="112" t="s">
        <v>11</v>
      </c>
      <c r="Y29" s="140">
        <f>'(변경)집계표'!D208</f>
        <v>0</v>
      </c>
      <c r="Z29" s="111">
        <f>'(변경)집계표'!B238</f>
        <v>0</v>
      </c>
      <c r="AA29" s="112" t="s">
        <v>11</v>
      </c>
      <c r="AB29" s="140">
        <f>'(변경)집계표'!D238</f>
        <v>0</v>
      </c>
      <c r="AC29" s="111">
        <f>'(변경)집계표'!B268</f>
        <v>0</v>
      </c>
      <c r="AD29" s="112" t="s">
        <v>11</v>
      </c>
      <c r="AE29" s="140">
        <f>'(변경)집계표'!D268</f>
        <v>0</v>
      </c>
      <c r="AF29" s="111">
        <f>'(변경)집계표'!B298</f>
        <v>0</v>
      </c>
      <c r="AG29" s="112" t="s">
        <v>11</v>
      </c>
      <c r="AH29" s="140">
        <f>'(변경)집계표'!D298</f>
        <v>0</v>
      </c>
      <c r="AI29" s="128"/>
    </row>
    <row r="30" spans="1:36" s="7" customFormat="1" ht="22.5" customHeight="1">
      <c r="A30" s="129" t="s">
        <v>66</v>
      </c>
      <c r="B30" s="111" t="e">
        <f t="shared" si="0"/>
        <v>#REF!</v>
      </c>
      <c r="C30" s="112" t="s">
        <v>11</v>
      </c>
      <c r="D30" s="140" t="e">
        <f t="shared" si="1"/>
        <v>#REF!</v>
      </c>
      <c r="E30" s="111">
        <f>'(변경)집계표'!B29</f>
        <v>0</v>
      </c>
      <c r="F30" s="112" t="s">
        <v>11</v>
      </c>
      <c r="G30" s="140">
        <f>'(변경)집계표'!D29</f>
        <v>0</v>
      </c>
      <c r="H30" s="111" t="e">
        <f>'(변경)집계표'!B59</f>
        <v>#REF!</v>
      </c>
      <c r="I30" s="112" t="s">
        <v>11</v>
      </c>
      <c r="J30" s="140" t="e">
        <f>'(변경)집계표'!D59</f>
        <v>#REF!</v>
      </c>
      <c r="K30" s="111" t="e">
        <f>'(변경)집계표'!B89</f>
        <v>#REF!</v>
      </c>
      <c r="L30" s="112" t="s">
        <v>11</v>
      </c>
      <c r="M30" s="140" t="e">
        <f>'(변경)집계표'!D89</f>
        <v>#REF!</v>
      </c>
      <c r="N30" s="111" t="e">
        <f>'(변경)집계표'!B119</f>
        <v>#REF!</v>
      </c>
      <c r="O30" s="112" t="s">
        <v>11</v>
      </c>
      <c r="P30" s="140" t="e">
        <f>'(변경)집계표'!D119</f>
        <v>#REF!</v>
      </c>
      <c r="Q30" s="111" t="e">
        <f>'(변경)집계표'!B149</f>
        <v>#REF!</v>
      </c>
      <c r="R30" s="112" t="s">
        <v>11</v>
      </c>
      <c r="S30" s="140" t="e">
        <f>'(변경)집계표'!D149</f>
        <v>#REF!</v>
      </c>
      <c r="T30" s="111">
        <f>'(변경)집계표'!B179</f>
        <v>0</v>
      </c>
      <c r="U30" s="112" t="s">
        <v>11</v>
      </c>
      <c r="V30" s="140">
        <f>'(변경)집계표'!D179</f>
        <v>0</v>
      </c>
      <c r="W30" s="111">
        <f>'(변경)집계표'!B209</f>
        <v>0</v>
      </c>
      <c r="X30" s="112" t="s">
        <v>11</v>
      </c>
      <c r="Y30" s="140">
        <f>'(변경)집계표'!D209</f>
        <v>0</v>
      </c>
      <c r="Z30" s="111">
        <f>'(변경)집계표'!B239</f>
        <v>0</v>
      </c>
      <c r="AA30" s="112" t="s">
        <v>11</v>
      </c>
      <c r="AB30" s="140">
        <f>'(변경)집계표'!D239</f>
        <v>0</v>
      </c>
      <c r="AC30" s="111">
        <f>'(변경)집계표'!B269</f>
        <v>0</v>
      </c>
      <c r="AD30" s="112" t="s">
        <v>11</v>
      </c>
      <c r="AE30" s="140">
        <f>'(변경)집계표'!D269</f>
        <v>0</v>
      </c>
      <c r="AF30" s="111">
        <f>'(변경)집계표'!B299</f>
        <v>0</v>
      </c>
      <c r="AG30" s="112" t="s">
        <v>11</v>
      </c>
      <c r="AH30" s="140">
        <f>'(변경)집계표'!D299</f>
        <v>0</v>
      </c>
      <c r="AI30" s="128"/>
    </row>
    <row r="31" spans="1:36" s="7" customFormat="1" ht="22.5" customHeight="1">
      <c r="A31" s="129" t="s">
        <v>75</v>
      </c>
      <c r="B31" s="111" t="e">
        <f t="shared" si="0"/>
        <v>#REF!</v>
      </c>
      <c r="C31" s="112" t="s">
        <v>11</v>
      </c>
      <c r="D31" s="140" t="e">
        <f t="shared" si="1"/>
        <v>#REF!</v>
      </c>
      <c r="E31" s="111">
        <f>'(변경)집계표'!B30</f>
        <v>0</v>
      </c>
      <c r="F31" s="112" t="s">
        <v>11</v>
      </c>
      <c r="G31" s="140">
        <f>'(변경)집계표'!D30</f>
        <v>0</v>
      </c>
      <c r="H31" s="111" t="e">
        <f>'(변경)집계표'!B60</f>
        <v>#REF!</v>
      </c>
      <c r="I31" s="112" t="s">
        <v>11</v>
      </c>
      <c r="J31" s="140" t="e">
        <f>'(변경)집계표'!D60</f>
        <v>#REF!</v>
      </c>
      <c r="K31" s="111" t="e">
        <f>'(변경)집계표'!B90</f>
        <v>#REF!</v>
      </c>
      <c r="L31" s="112" t="s">
        <v>11</v>
      </c>
      <c r="M31" s="140" t="e">
        <f>'(변경)집계표'!D90</f>
        <v>#REF!</v>
      </c>
      <c r="N31" s="111" t="e">
        <f>'(변경)집계표'!B120</f>
        <v>#REF!</v>
      </c>
      <c r="O31" s="112" t="s">
        <v>11</v>
      </c>
      <c r="P31" s="140" t="e">
        <f>'(변경)집계표'!D120</f>
        <v>#REF!</v>
      </c>
      <c r="Q31" s="111" t="e">
        <f>'(변경)집계표'!B150</f>
        <v>#REF!</v>
      </c>
      <c r="R31" s="112" t="s">
        <v>11</v>
      </c>
      <c r="S31" s="140" t="e">
        <f>'(변경)집계표'!D150</f>
        <v>#REF!</v>
      </c>
      <c r="T31" s="111">
        <f>'(변경)집계표'!B180</f>
        <v>0</v>
      </c>
      <c r="U31" s="112" t="s">
        <v>11</v>
      </c>
      <c r="V31" s="140">
        <f>'(변경)집계표'!D180</f>
        <v>0</v>
      </c>
      <c r="W31" s="111">
        <f>'(변경)집계표'!B210</f>
        <v>0</v>
      </c>
      <c r="X31" s="112" t="s">
        <v>11</v>
      </c>
      <c r="Y31" s="140">
        <f>'(변경)집계표'!D210</f>
        <v>0</v>
      </c>
      <c r="Z31" s="111">
        <f>'(변경)집계표'!B240</f>
        <v>0</v>
      </c>
      <c r="AA31" s="112" t="s">
        <v>11</v>
      </c>
      <c r="AB31" s="140">
        <f>'(변경)집계표'!D240</f>
        <v>0</v>
      </c>
      <c r="AC31" s="111">
        <f>'(변경)집계표'!B270</f>
        <v>0</v>
      </c>
      <c r="AD31" s="112" t="s">
        <v>11</v>
      </c>
      <c r="AE31" s="140">
        <f>'(변경)집계표'!D270</f>
        <v>0</v>
      </c>
      <c r="AF31" s="111">
        <f>'(변경)집계표'!B300</f>
        <v>0</v>
      </c>
      <c r="AG31" s="112" t="s">
        <v>11</v>
      </c>
      <c r="AH31" s="140">
        <f>'(변경)집계표'!D300</f>
        <v>0</v>
      </c>
      <c r="AI31" s="128"/>
    </row>
    <row r="32" spans="1:36" s="7" customFormat="1" ht="22.5" customHeight="1" thickBot="1">
      <c r="A32" s="130" t="s">
        <v>68</v>
      </c>
      <c r="B32" s="131" t="e">
        <f t="shared" si="0"/>
        <v>#REF!</v>
      </c>
      <c r="C32" s="132" t="s">
        <v>11</v>
      </c>
      <c r="D32" s="141" t="e">
        <f t="shared" si="1"/>
        <v>#REF!</v>
      </c>
      <c r="E32" s="131">
        <f>'(변경)집계표'!B31</f>
        <v>5</v>
      </c>
      <c r="F32" s="132" t="s">
        <v>11</v>
      </c>
      <c r="G32" s="141">
        <f>'(변경)집계표'!D31</f>
        <v>1510</v>
      </c>
      <c r="H32" s="131" t="e">
        <f>'(변경)집계표'!B61</f>
        <v>#REF!</v>
      </c>
      <c r="I32" s="132" t="s">
        <v>11</v>
      </c>
      <c r="J32" s="141" t="e">
        <f>'(변경)집계표'!D61</f>
        <v>#REF!</v>
      </c>
      <c r="K32" s="131" t="e">
        <f>'(변경)집계표'!B91</f>
        <v>#REF!</v>
      </c>
      <c r="L32" s="132" t="s">
        <v>11</v>
      </c>
      <c r="M32" s="141" t="e">
        <f>'(변경)집계표'!D91</f>
        <v>#REF!</v>
      </c>
      <c r="N32" s="131" t="e">
        <f>'(변경)집계표'!B121</f>
        <v>#REF!</v>
      </c>
      <c r="O32" s="132" t="s">
        <v>11</v>
      </c>
      <c r="P32" s="141" t="e">
        <f>'(변경)집계표'!D121</f>
        <v>#REF!</v>
      </c>
      <c r="Q32" s="131" t="e">
        <f>'(변경)집계표'!B151</f>
        <v>#REF!</v>
      </c>
      <c r="R32" s="132" t="s">
        <v>11</v>
      </c>
      <c r="S32" s="141" t="e">
        <f>'(변경)집계표'!D151</f>
        <v>#REF!</v>
      </c>
      <c r="T32" s="131">
        <f>'(변경)집계표'!B181</f>
        <v>0</v>
      </c>
      <c r="U32" s="132" t="s">
        <v>11</v>
      </c>
      <c r="V32" s="141">
        <f>'(변경)집계표'!D181</f>
        <v>0</v>
      </c>
      <c r="W32" s="131">
        <f>'(변경)집계표'!B211</f>
        <v>0</v>
      </c>
      <c r="X32" s="132" t="s">
        <v>11</v>
      </c>
      <c r="Y32" s="141">
        <f>'(변경)집계표'!D211</f>
        <v>0</v>
      </c>
      <c r="Z32" s="131">
        <f>'(변경)집계표'!B241</f>
        <v>0</v>
      </c>
      <c r="AA32" s="132" t="s">
        <v>11</v>
      </c>
      <c r="AB32" s="141">
        <f>'(변경)집계표'!D241</f>
        <v>0</v>
      </c>
      <c r="AC32" s="131">
        <f>'(변경)집계표'!B271</f>
        <v>0</v>
      </c>
      <c r="AD32" s="132" t="s">
        <v>11</v>
      </c>
      <c r="AE32" s="141">
        <f>'(변경)집계표'!D271</f>
        <v>0</v>
      </c>
      <c r="AF32" s="131">
        <f>'(변경)집계표'!B301</f>
        <v>0</v>
      </c>
      <c r="AG32" s="132" t="s">
        <v>11</v>
      </c>
      <c r="AH32" s="141">
        <f>'(변경)집계표'!D301</f>
        <v>0</v>
      </c>
      <c r="AI32" s="133"/>
      <c r="AJ32" s="6"/>
    </row>
    <row r="33" spans="1:36" s="1" customFormat="1" ht="27.95" customHeight="1">
      <c r="A33" s="190" t="s">
        <v>60</v>
      </c>
      <c r="B33" s="191"/>
      <c r="C33" s="192"/>
      <c r="D33" s="193"/>
      <c r="E33" s="192"/>
      <c r="F33" s="192"/>
      <c r="G33" s="193"/>
      <c r="H33" s="192"/>
      <c r="I33" s="192"/>
      <c r="J33" s="193"/>
      <c r="K33" s="192"/>
      <c r="L33" s="192"/>
      <c r="M33" s="193"/>
      <c r="N33" s="192"/>
      <c r="O33" s="192"/>
      <c r="P33" s="193"/>
      <c r="Q33" s="192"/>
      <c r="R33" s="192"/>
      <c r="S33" s="194"/>
      <c r="T33" s="192"/>
      <c r="U33" s="192"/>
      <c r="V33" s="194"/>
      <c r="W33" s="192"/>
      <c r="X33" s="192"/>
      <c r="Y33" s="194"/>
      <c r="Z33" s="192"/>
      <c r="AA33" s="192"/>
      <c r="AB33" s="194"/>
      <c r="AC33" s="192"/>
      <c r="AD33" s="192"/>
      <c r="AE33" s="194"/>
      <c r="AF33" s="192"/>
      <c r="AG33" s="192"/>
      <c r="AH33" s="194"/>
      <c r="AI33" s="195"/>
    </row>
    <row r="34" spans="1:36" s="5" customFormat="1" ht="9.9499999999999993" customHeight="1" thickBot="1">
      <c r="A34" s="196"/>
      <c r="B34" s="189"/>
      <c r="D34" s="188"/>
      <c r="E34" s="189"/>
      <c r="G34" s="188"/>
      <c r="H34" s="189"/>
      <c r="J34" s="188"/>
      <c r="K34" s="189"/>
      <c r="M34" s="188"/>
      <c r="N34" s="189"/>
      <c r="P34" s="188"/>
      <c r="Q34" s="189"/>
      <c r="S34" s="146"/>
      <c r="T34" s="189"/>
      <c r="V34" s="146"/>
      <c r="W34" s="189"/>
      <c r="Y34" s="146"/>
      <c r="Z34" s="189"/>
      <c r="AB34" s="146"/>
      <c r="AC34" s="189"/>
      <c r="AE34" s="146"/>
      <c r="AF34" s="189"/>
      <c r="AH34" s="146"/>
      <c r="AI34" s="197"/>
    </row>
    <row r="35" spans="1:36" s="7" customFormat="1" ht="30" customHeight="1">
      <c r="A35" s="119"/>
      <c r="B35" s="354" t="s">
        <v>8</v>
      </c>
      <c r="C35" s="355"/>
      <c r="D35" s="355"/>
      <c r="E35" s="120" t="s">
        <v>77</v>
      </c>
      <c r="F35" s="121"/>
      <c r="G35" s="182"/>
      <c r="H35" s="120"/>
      <c r="I35" s="121"/>
      <c r="J35" s="182"/>
      <c r="K35" s="120"/>
      <c r="L35" s="121"/>
      <c r="M35" s="182"/>
      <c r="N35" s="120"/>
      <c r="O35" s="121"/>
      <c r="P35" s="182"/>
      <c r="Q35" s="120"/>
      <c r="R35" s="121"/>
      <c r="S35" s="143"/>
      <c r="T35" s="120"/>
      <c r="U35" s="121"/>
      <c r="V35" s="143"/>
      <c r="W35" s="120"/>
      <c r="X35" s="121"/>
      <c r="Y35" s="143"/>
      <c r="Z35" s="120"/>
      <c r="AA35" s="121"/>
      <c r="AB35" s="143"/>
      <c r="AC35" s="120"/>
      <c r="AD35" s="121"/>
      <c r="AE35" s="143"/>
      <c r="AF35" s="120"/>
      <c r="AG35" s="121"/>
      <c r="AH35" s="143"/>
      <c r="AI35" s="358" t="s">
        <v>59</v>
      </c>
      <c r="AJ35" s="6"/>
    </row>
    <row r="36" spans="1:36" s="7" customFormat="1" ht="30" customHeight="1">
      <c r="A36" s="122"/>
      <c r="B36" s="356"/>
      <c r="C36" s="357"/>
      <c r="D36" s="357"/>
      <c r="E36" s="8" t="s">
        <v>78</v>
      </c>
      <c r="F36" s="9"/>
      <c r="G36" s="183"/>
      <c r="H36" s="8"/>
      <c r="I36" s="9"/>
      <c r="J36" s="183"/>
      <c r="K36" s="8"/>
      <c r="L36" s="9"/>
      <c r="M36" s="183"/>
      <c r="N36" s="8"/>
      <c r="O36" s="9"/>
      <c r="P36" s="183"/>
      <c r="Q36" s="8"/>
      <c r="R36" s="9"/>
      <c r="S36" s="144"/>
      <c r="T36" s="8"/>
      <c r="U36" s="9"/>
      <c r="V36" s="144"/>
      <c r="W36" s="8"/>
      <c r="X36" s="9"/>
      <c r="Y36" s="144"/>
      <c r="Z36" s="8"/>
      <c r="AA36" s="9"/>
      <c r="AB36" s="144"/>
      <c r="AC36" s="8"/>
      <c r="AD36" s="9"/>
      <c r="AE36" s="144"/>
      <c r="AF36" s="8"/>
      <c r="AG36" s="9"/>
      <c r="AH36" s="144"/>
      <c r="AI36" s="359"/>
      <c r="AJ36" s="6"/>
    </row>
    <row r="37" spans="1:36" s="7" customFormat="1" ht="30" customHeight="1">
      <c r="A37" s="123" t="s">
        <v>9</v>
      </c>
      <c r="B37" s="356"/>
      <c r="C37" s="357"/>
      <c r="D37" s="357"/>
      <c r="E37" s="8" t="s">
        <v>79</v>
      </c>
      <c r="F37" s="9"/>
      <c r="G37" s="183"/>
      <c r="H37" s="8" t="s">
        <v>80</v>
      </c>
      <c r="I37" s="9"/>
      <c r="J37" s="183"/>
      <c r="K37" s="8" t="s">
        <v>81</v>
      </c>
      <c r="L37" s="9"/>
      <c r="M37" s="183"/>
      <c r="N37" s="8" t="s">
        <v>82</v>
      </c>
      <c r="O37" s="9"/>
      <c r="P37" s="183"/>
      <c r="Q37" s="8" t="s">
        <v>83</v>
      </c>
      <c r="R37" s="9"/>
      <c r="S37" s="144"/>
      <c r="T37" s="8">
        <v>6</v>
      </c>
      <c r="U37" s="9"/>
      <c r="V37" s="144"/>
      <c r="W37" s="8">
        <v>7</v>
      </c>
      <c r="X37" s="9"/>
      <c r="Y37" s="144"/>
      <c r="Z37" s="8">
        <v>8</v>
      </c>
      <c r="AA37" s="9"/>
      <c r="AB37" s="144"/>
      <c r="AC37" s="8">
        <v>9</v>
      </c>
      <c r="AD37" s="9"/>
      <c r="AE37" s="144"/>
      <c r="AF37" s="8">
        <v>10</v>
      </c>
      <c r="AG37" s="9"/>
      <c r="AH37" s="144"/>
      <c r="AI37" s="359"/>
      <c r="AJ37" s="6"/>
    </row>
    <row r="38" spans="1:36" s="7" customFormat="1" ht="30" customHeight="1" thickBot="1">
      <c r="A38" s="124"/>
      <c r="B38" s="115" t="s">
        <v>10</v>
      </c>
      <c r="C38" s="116" t="s">
        <v>11</v>
      </c>
      <c r="D38" s="178" t="s">
        <v>12</v>
      </c>
      <c r="E38" s="115" t="s">
        <v>10</v>
      </c>
      <c r="F38" s="116" t="s">
        <v>11</v>
      </c>
      <c r="G38" s="178" t="s">
        <v>12</v>
      </c>
      <c r="H38" s="115" t="s">
        <v>10</v>
      </c>
      <c r="I38" s="116" t="s">
        <v>11</v>
      </c>
      <c r="J38" s="178" t="s">
        <v>12</v>
      </c>
      <c r="K38" s="115" t="s">
        <v>10</v>
      </c>
      <c r="L38" s="116" t="s">
        <v>11</v>
      </c>
      <c r="M38" s="178" t="s">
        <v>12</v>
      </c>
      <c r="N38" s="115" t="s">
        <v>10</v>
      </c>
      <c r="O38" s="116" t="s">
        <v>11</v>
      </c>
      <c r="P38" s="178" t="s">
        <v>12</v>
      </c>
      <c r="Q38" s="115" t="s">
        <v>10</v>
      </c>
      <c r="R38" s="116" t="s">
        <v>11</v>
      </c>
      <c r="S38" s="178" t="s">
        <v>12</v>
      </c>
      <c r="T38" s="117" t="s">
        <v>10</v>
      </c>
      <c r="U38" s="118" t="s">
        <v>11</v>
      </c>
      <c r="V38" s="145" t="s">
        <v>12</v>
      </c>
      <c r="W38" s="117" t="s">
        <v>10</v>
      </c>
      <c r="X38" s="118" t="s">
        <v>11</v>
      </c>
      <c r="Y38" s="145" t="s">
        <v>12</v>
      </c>
      <c r="Z38" s="117" t="s">
        <v>10</v>
      </c>
      <c r="AA38" s="118" t="s">
        <v>11</v>
      </c>
      <c r="AB38" s="145" t="s">
        <v>12</v>
      </c>
      <c r="AC38" s="117" t="s">
        <v>10</v>
      </c>
      <c r="AD38" s="118" t="s">
        <v>11</v>
      </c>
      <c r="AE38" s="145" t="s">
        <v>12</v>
      </c>
      <c r="AF38" s="117" t="s">
        <v>10</v>
      </c>
      <c r="AG38" s="118" t="s">
        <v>11</v>
      </c>
      <c r="AH38" s="145" t="s">
        <v>12</v>
      </c>
      <c r="AI38" s="360"/>
      <c r="AJ38" s="6"/>
    </row>
    <row r="39" spans="1:36" s="6" customFormat="1" ht="22.5" customHeight="1" thickTop="1">
      <c r="A39" s="134" t="s">
        <v>8</v>
      </c>
      <c r="B39" s="135" t="e">
        <f>SUM(B40:B64)</f>
        <v>#REF!</v>
      </c>
      <c r="C39" s="136" t="s">
        <v>11</v>
      </c>
      <c r="D39" s="181" t="e">
        <f>SUM(D40:D64)</f>
        <v>#REF!</v>
      </c>
      <c r="E39" s="135" t="e">
        <f>SUM(E40:E64)</f>
        <v>#REF!</v>
      </c>
      <c r="F39" s="136" t="s">
        <v>11</v>
      </c>
      <c r="G39" s="181" t="e">
        <f>SUM(G40:G64)</f>
        <v>#REF!</v>
      </c>
      <c r="H39" s="135" t="e">
        <f>SUM(H40:H64)</f>
        <v>#REF!</v>
      </c>
      <c r="I39" s="136" t="s">
        <v>11</v>
      </c>
      <c r="J39" s="181" t="e">
        <f>SUM(J40:J64)</f>
        <v>#REF!</v>
      </c>
      <c r="K39" s="135" t="e">
        <f>SUM(K40:K64)</f>
        <v>#REF!</v>
      </c>
      <c r="L39" s="136" t="s">
        <v>11</v>
      </c>
      <c r="M39" s="181" t="e">
        <f>SUM(M40:M64)</f>
        <v>#REF!</v>
      </c>
      <c r="N39" s="135" t="e">
        <f>SUM(N40:N64)</f>
        <v>#REF!</v>
      </c>
      <c r="O39" s="136" t="s">
        <v>11</v>
      </c>
      <c r="P39" s="181" t="e">
        <f>SUM(P40:P64)</f>
        <v>#REF!</v>
      </c>
      <c r="Q39" s="135" t="e">
        <f>SUM(Q40:Q64)</f>
        <v>#REF!</v>
      </c>
      <c r="R39" s="136" t="s">
        <v>11</v>
      </c>
      <c r="S39" s="142" t="e">
        <f>SUM(S40:S64)</f>
        <v>#REF!</v>
      </c>
      <c r="T39" s="135">
        <f>SUM(T40:T64)</f>
        <v>0</v>
      </c>
      <c r="U39" s="136" t="s">
        <v>11</v>
      </c>
      <c r="V39" s="142">
        <f>SUM(V40:V64)</f>
        <v>0</v>
      </c>
      <c r="W39" s="135">
        <f>SUM(W40:W64)</f>
        <v>0</v>
      </c>
      <c r="X39" s="136" t="s">
        <v>11</v>
      </c>
      <c r="Y39" s="142">
        <f>SUM(Y40:Y64)</f>
        <v>0</v>
      </c>
      <c r="Z39" s="135">
        <f>SUM(Z40:Z64)</f>
        <v>0</v>
      </c>
      <c r="AA39" s="136" t="s">
        <v>11</v>
      </c>
      <c r="AB39" s="142">
        <f>SUM(AB40:AB64)</f>
        <v>0</v>
      </c>
      <c r="AC39" s="135">
        <f>SUM(AC40:AC64)</f>
        <v>0</v>
      </c>
      <c r="AD39" s="136" t="s">
        <v>11</v>
      </c>
      <c r="AE39" s="142">
        <f>SUM(AE40:AE64)</f>
        <v>0</v>
      </c>
      <c r="AF39" s="135">
        <f>SUM(AF40:AF64)</f>
        <v>0</v>
      </c>
      <c r="AG39" s="136" t="s">
        <v>11</v>
      </c>
      <c r="AH39" s="142">
        <f>SUM(AH40:AH64)</f>
        <v>0</v>
      </c>
      <c r="AI39" s="137"/>
    </row>
    <row r="40" spans="1:36" s="6" customFormat="1" ht="22.5" customHeight="1">
      <c r="A40" s="127" t="s">
        <v>13</v>
      </c>
      <c r="B40" s="111" t="e">
        <f t="shared" ref="B40:B64" si="2">SUM(E40,H40,K40,N40,Q40,T40,W40,Z40,AC40,AF40)</f>
        <v>#REF!</v>
      </c>
      <c r="C40" s="112" t="s">
        <v>11</v>
      </c>
      <c r="D40" s="179" t="e">
        <f t="shared" ref="D40:D64" si="3">SUM(G40,J40,M40,P40,S40,V40,Y40,AB40,AE40,AH40)</f>
        <v>#REF!</v>
      </c>
      <c r="E40" s="111" t="e">
        <f>'(변경)집계표'!E7</f>
        <v>#REF!</v>
      </c>
      <c r="F40" s="112" t="s">
        <v>11</v>
      </c>
      <c r="G40" s="179" t="e">
        <f>'(변경)집계표'!G7</f>
        <v>#REF!</v>
      </c>
      <c r="H40" s="111" t="e">
        <f>'(변경)집계표'!E37</f>
        <v>#REF!</v>
      </c>
      <c r="I40" s="112" t="s">
        <v>11</v>
      </c>
      <c r="J40" s="179" t="e">
        <f>'(변경)집계표'!G37</f>
        <v>#REF!</v>
      </c>
      <c r="K40" s="111" t="e">
        <f>'(변경)집계표'!E67</f>
        <v>#REF!</v>
      </c>
      <c r="L40" s="112" t="s">
        <v>11</v>
      </c>
      <c r="M40" s="179" t="e">
        <f>'(변경)집계표'!G67</f>
        <v>#REF!</v>
      </c>
      <c r="N40" s="111" t="e">
        <f>'(변경)집계표'!E97</f>
        <v>#REF!</v>
      </c>
      <c r="O40" s="112" t="s">
        <v>11</v>
      </c>
      <c r="P40" s="179" t="e">
        <f>'(변경)집계표'!G97</f>
        <v>#REF!</v>
      </c>
      <c r="Q40" s="111" t="e">
        <f>'(변경)집계표'!E127</f>
        <v>#REF!</v>
      </c>
      <c r="R40" s="112" t="s">
        <v>11</v>
      </c>
      <c r="S40" s="140" t="e">
        <f>'(변경)집계표'!G127</f>
        <v>#REF!</v>
      </c>
      <c r="T40" s="111">
        <f>'(변경)집계표'!E157</f>
        <v>0</v>
      </c>
      <c r="U40" s="112" t="s">
        <v>11</v>
      </c>
      <c r="V40" s="140">
        <f>'(변경)집계표'!G157</f>
        <v>0</v>
      </c>
      <c r="W40" s="111">
        <f>'(변경)집계표'!E187</f>
        <v>0</v>
      </c>
      <c r="X40" s="112" t="s">
        <v>11</v>
      </c>
      <c r="Y40" s="140">
        <f>'(변경)집계표'!G187</f>
        <v>0</v>
      </c>
      <c r="Z40" s="111">
        <f>'(변경)집계표'!E217</f>
        <v>0</v>
      </c>
      <c r="AA40" s="112" t="s">
        <v>11</v>
      </c>
      <c r="AB40" s="140">
        <f>'(변경)집계표'!G217</f>
        <v>0</v>
      </c>
      <c r="AC40" s="111">
        <f>'(변경)집계표'!E247</f>
        <v>0</v>
      </c>
      <c r="AD40" s="112" t="s">
        <v>11</v>
      </c>
      <c r="AE40" s="140">
        <f>'(변경)집계표'!G247</f>
        <v>0</v>
      </c>
      <c r="AF40" s="111">
        <f>'(변경)집계표'!E277</f>
        <v>0</v>
      </c>
      <c r="AG40" s="112" t="s">
        <v>11</v>
      </c>
      <c r="AH40" s="140">
        <f>'(변경)집계표'!G277</f>
        <v>0</v>
      </c>
      <c r="AI40" s="128"/>
    </row>
    <row r="41" spans="1:36" s="6" customFormat="1" ht="22.5" customHeight="1">
      <c r="A41" s="127" t="s">
        <v>14</v>
      </c>
      <c r="B41" s="111" t="e">
        <f t="shared" si="2"/>
        <v>#REF!</v>
      </c>
      <c r="C41" s="112" t="s">
        <v>11</v>
      </c>
      <c r="D41" s="179" t="e">
        <f t="shared" si="3"/>
        <v>#REF!</v>
      </c>
      <c r="E41" s="111" t="e">
        <f>'(변경)집계표'!E8</f>
        <v>#REF!</v>
      </c>
      <c r="F41" s="112" t="s">
        <v>11</v>
      </c>
      <c r="G41" s="179" t="e">
        <f>'(변경)집계표'!G8</f>
        <v>#REF!</v>
      </c>
      <c r="H41" s="111" t="e">
        <f>'(변경)집계표'!E38</f>
        <v>#REF!</v>
      </c>
      <c r="I41" s="112" t="s">
        <v>11</v>
      </c>
      <c r="J41" s="179" t="e">
        <f>'(변경)집계표'!G38</f>
        <v>#REF!</v>
      </c>
      <c r="K41" s="111" t="e">
        <f>'(변경)집계표'!E68</f>
        <v>#REF!</v>
      </c>
      <c r="L41" s="112" t="s">
        <v>11</v>
      </c>
      <c r="M41" s="179" t="e">
        <f>'(변경)집계표'!G68</f>
        <v>#REF!</v>
      </c>
      <c r="N41" s="111" t="e">
        <f>'(변경)집계표'!E98</f>
        <v>#REF!</v>
      </c>
      <c r="O41" s="112" t="s">
        <v>11</v>
      </c>
      <c r="P41" s="179" t="e">
        <f>'(변경)집계표'!G98</f>
        <v>#REF!</v>
      </c>
      <c r="Q41" s="111" t="e">
        <f>'(변경)집계표'!E128</f>
        <v>#REF!</v>
      </c>
      <c r="R41" s="112" t="s">
        <v>11</v>
      </c>
      <c r="S41" s="140" t="e">
        <f>'(변경)집계표'!G128</f>
        <v>#REF!</v>
      </c>
      <c r="T41" s="111">
        <f>'(변경)집계표'!E158</f>
        <v>0</v>
      </c>
      <c r="U41" s="112" t="s">
        <v>11</v>
      </c>
      <c r="V41" s="140">
        <f>'(변경)집계표'!G158</f>
        <v>0</v>
      </c>
      <c r="W41" s="111">
        <f>'(변경)집계표'!E188</f>
        <v>0</v>
      </c>
      <c r="X41" s="112" t="s">
        <v>11</v>
      </c>
      <c r="Y41" s="140">
        <f>'(변경)집계표'!G188</f>
        <v>0</v>
      </c>
      <c r="Z41" s="111">
        <f>'(변경)집계표'!E218</f>
        <v>0</v>
      </c>
      <c r="AA41" s="112" t="s">
        <v>11</v>
      </c>
      <c r="AB41" s="140">
        <f>'(변경)집계표'!G218</f>
        <v>0</v>
      </c>
      <c r="AC41" s="111">
        <f>'(변경)집계표'!E248</f>
        <v>0</v>
      </c>
      <c r="AD41" s="112" t="s">
        <v>11</v>
      </c>
      <c r="AE41" s="140">
        <f>'(변경)집계표'!G248</f>
        <v>0</v>
      </c>
      <c r="AF41" s="111">
        <f>'(변경)집계표'!E278</f>
        <v>0</v>
      </c>
      <c r="AG41" s="112" t="s">
        <v>11</v>
      </c>
      <c r="AH41" s="140">
        <f>'(변경)집계표'!G278</f>
        <v>0</v>
      </c>
      <c r="AI41" s="128"/>
    </row>
    <row r="42" spans="1:36" s="6" customFormat="1" ht="22.5" customHeight="1">
      <c r="A42" s="127" t="s">
        <v>15</v>
      </c>
      <c r="B42" s="111" t="e">
        <f t="shared" si="2"/>
        <v>#REF!</v>
      </c>
      <c r="C42" s="112" t="s">
        <v>11</v>
      </c>
      <c r="D42" s="179" t="e">
        <f t="shared" si="3"/>
        <v>#REF!</v>
      </c>
      <c r="E42" s="111" t="e">
        <f>'(변경)집계표'!E9</f>
        <v>#REF!</v>
      </c>
      <c r="F42" s="112" t="s">
        <v>11</v>
      </c>
      <c r="G42" s="179" t="e">
        <f>'(변경)집계표'!G9</f>
        <v>#REF!</v>
      </c>
      <c r="H42" s="111" t="e">
        <f>'(변경)집계표'!E39</f>
        <v>#REF!</v>
      </c>
      <c r="I42" s="112" t="s">
        <v>11</v>
      </c>
      <c r="J42" s="179" t="e">
        <f>'(변경)집계표'!G39</f>
        <v>#REF!</v>
      </c>
      <c r="K42" s="111" t="e">
        <f>'(변경)집계표'!E69</f>
        <v>#REF!</v>
      </c>
      <c r="L42" s="112" t="s">
        <v>11</v>
      </c>
      <c r="M42" s="179" t="e">
        <f>'(변경)집계표'!G69</f>
        <v>#REF!</v>
      </c>
      <c r="N42" s="111" t="e">
        <f>'(변경)집계표'!E99</f>
        <v>#REF!</v>
      </c>
      <c r="O42" s="112" t="s">
        <v>11</v>
      </c>
      <c r="P42" s="179" t="e">
        <f>'(변경)집계표'!G99</f>
        <v>#REF!</v>
      </c>
      <c r="Q42" s="111" t="e">
        <f>'(변경)집계표'!E129</f>
        <v>#REF!</v>
      </c>
      <c r="R42" s="112" t="s">
        <v>11</v>
      </c>
      <c r="S42" s="140" t="e">
        <f>'(변경)집계표'!G129</f>
        <v>#REF!</v>
      </c>
      <c r="T42" s="111">
        <f>'(변경)집계표'!E159</f>
        <v>0</v>
      </c>
      <c r="U42" s="112" t="s">
        <v>11</v>
      </c>
      <c r="V42" s="140">
        <f>'(변경)집계표'!G159</f>
        <v>0</v>
      </c>
      <c r="W42" s="111">
        <f>'(변경)집계표'!E189</f>
        <v>0</v>
      </c>
      <c r="X42" s="112" t="s">
        <v>11</v>
      </c>
      <c r="Y42" s="140">
        <f>'(변경)집계표'!G189</f>
        <v>0</v>
      </c>
      <c r="Z42" s="111">
        <f>'(변경)집계표'!E219</f>
        <v>0</v>
      </c>
      <c r="AA42" s="112" t="s">
        <v>11</v>
      </c>
      <c r="AB42" s="140">
        <f>'(변경)집계표'!G219</f>
        <v>0</v>
      </c>
      <c r="AC42" s="111">
        <f>'(변경)집계표'!E249</f>
        <v>0</v>
      </c>
      <c r="AD42" s="112" t="s">
        <v>11</v>
      </c>
      <c r="AE42" s="140">
        <f>'(변경)집계표'!G249</f>
        <v>0</v>
      </c>
      <c r="AF42" s="111">
        <f>'(변경)집계표'!E279</f>
        <v>0</v>
      </c>
      <c r="AG42" s="112" t="s">
        <v>11</v>
      </c>
      <c r="AH42" s="140">
        <f>'(변경)집계표'!G279</f>
        <v>0</v>
      </c>
      <c r="AI42" s="128"/>
    </row>
    <row r="43" spans="1:36" s="6" customFormat="1" ht="22.5" customHeight="1">
      <c r="A43" s="127" t="s">
        <v>16</v>
      </c>
      <c r="B43" s="111" t="e">
        <f t="shared" si="2"/>
        <v>#REF!</v>
      </c>
      <c r="C43" s="112" t="s">
        <v>11</v>
      </c>
      <c r="D43" s="179" t="e">
        <f t="shared" si="3"/>
        <v>#REF!</v>
      </c>
      <c r="E43" s="111" t="e">
        <f>'(변경)집계표'!E10</f>
        <v>#REF!</v>
      </c>
      <c r="F43" s="112" t="s">
        <v>11</v>
      </c>
      <c r="G43" s="179" t="e">
        <f>'(변경)집계표'!G10</f>
        <v>#REF!</v>
      </c>
      <c r="H43" s="111" t="e">
        <f>'(변경)집계표'!E40</f>
        <v>#REF!</v>
      </c>
      <c r="I43" s="112" t="s">
        <v>11</v>
      </c>
      <c r="J43" s="179" t="e">
        <f>'(변경)집계표'!G40</f>
        <v>#REF!</v>
      </c>
      <c r="K43" s="111" t="e">
        <f>'(변경)집계표'!E70</f>
        <v>#REF!</v>
      </c>
      <c r="L43" s="112" t="s">
        <v>11</v>
      </c>
      <c r="M43" s="179" t="e">
        <f>'(변경)집계표'!G70</f>
        <v>#REF!</v>
      </c>
      <c r="N43" s="111" t="e">
        <f>'(변경)집계표'!E100</f>
        <v>#REF!</v>
      </c>
      <c r="O43" s="112" t="s">
        <v>11</v>
      </c>
      <c r="P43" s="179" t="e">
        <f>'(변경)집계표'!G100</f>
        <v>#REF!</v>
      </c>
      <c r="Q43" s="111" t="e">
        <f>'(변경)집계표'!E130</f>
        <v>#REF!</v>
      </c>
      <c r="R43" s="112" t="s">
        <v>11</v>
      </c>
      <c r="S43" s="140" t="e">
        <f>'(변경)집계표'!G130</f>
        <v>#REF!</v>
      </c>
      <c r="T43" s="111">
        <f>'(변경)집계표'!E160</f>
        <v>0</v>
      </c>
      <c r="U43" s="112" t="s">
        <v>11</v>
      </c>
      <c r="V43" s="140">
        <f>'(변경)집계표'!G160</f>
        <v>0</v>
      </c>
      <c r="W43" s="111">
        <f>'(변경)집계표'!E190</f>
        <v>0</v>
      </c>
      <c r="X43" s="112" t="s">
        <v>11</v>
      </c>
      <c r="Y43" s="140">
        <f>'(변경)집계표'!G190</f>
        <v>0</v>
      </c>
      <c r="Z43" s="111">
        <f>'(변경)집계표'!E220</f>
        <v>0</v>
      </c>
      <c r="AA43" s="112" t="s">
        <v>11</v>
      </c>
      <c r="AB43" s="140">
        <f>'(변경)집계표'!G220</f>
        <v>0</v>
      </c>
      <c r="AC43" s="111">
        <f>'(변경)집계표'!E250</f>
        <v>0</v>
      </c>
      <c r="AD43" s="112" t="s">
        <v>11</v>
      </c>
      <c r="AE43" s="140">
        <f>'(변경)집계표'!G250</f>
        <v>0</v>
      </c>
      <c r="AF43" s="111">
        <f>'(변경)집계표'!E280</f>
        <v>0</v>
      </c>
      <c r="AG43" s="112" t="s">
        <v>11</v>
      </c>
      <c r="AH43" s="140">
        <f>'(변경)집계표'!G280</f>
        <v>0</v>
      </c>
      <c r="AI43" s="128"/>
    </row>
    <row r="44" spans="1:36" s="6" customFormat="1" ht="22.5" customHeight="1">
      <c r="A44" s="127" t="s">
        <v>17</v>
      </c>
      <c r="B44" s="111" t="e">
        <f t="shared" si="2"/>
        <v>#REF!</v>
      </c>
      <c r="C44" s="112" t="s">
        <v>11</v>
      </c>
      <c r="D44" s="179" t="e">
        <f t="shared" si="3"/>
        <v>#REF!</v>
      </c>
      <c r="E44" s="111" t="e">
        <f>'(변경)집계표'!E11</f>
        <v>#REF!</v>
      </c>
      <c r="F44" s="112" t="s">
        <v>11</v>
      </c>
      <c r="G44" s="179" t="e">
        <f>'(변경)집계표'!G11</f>
        <v>#REF!</v>
      </c>
      <c r="H44" s="111" t="e">
        <f>'(변경)집계표'!E41</f>
        <v>#REF!</v>
      </c>
      <c r="I44" s="112" t="s">
        <v>11</v>
      </c>
      <c r="J44" s="179" t="e">
        <f>'(변경)집계표'!G41</f>
        <v>#REF!</v>
      </c>
      <c r="K44" s="111" t="e">
        <f>'(변경)집계표'!E71</f>
        <v>#REF!</v>
      </c>
      <c r="L44" s="112" t="s">
        <v>11</v>
      </c>
      <c r="M44" s="179" t="e">
        <f>'(변경)집계표'!G71</f>
        <v>#REF!</v>
      </c>
      <c r="N44" s="111" t="e">
        <f>'(변경)집계표'!E101</f>
        <v>#REF!</v>
      </c>
      <c r="O44" s="112" t="s">
        <v>11</v>
      </c>
      <c r="P44" s="179" t="e">
        <f>'(변경)집계표'!G101</f>
        <v>#REF!</v>
      </c>
      <c r="Q44" s="111" t="e">
        <f>'(변경)집계표'!E131</f>
        <v>#REF!</v>
      </c>
      <c r="R44" s="112" t="s">
        <v>11</v>
      </c>
      <c r="S44" s="140" t="e">
        <f>'(변경)집계표'!G131</f>
        <v>#REF!</v>
      </c>
      <c r="T44" s="111">
        <f>'(변경)집계표'!E161</f>
        <v>0</v>
      </c>
      <c r="U44" s="112" t="s">
        <v>11</v>
      </c>
      <c r="V44" s="140">
        <f>'(변경)집계표'!G161</f>
        <v>0</v>
      </c>
      <c r="W44" s="111">
        <f>'(변경)집계표'!E191</f>
        <v>0</v>
      </c>
      <c r="X44" s="112" t="s">
        <v>11</v>
      </c>
      <c r="Y44" s="140">
        <f>'(변경)집계표'!G191</f>
        <v>0</v>
      </c>
      <c r="Z44" s="111">
        <f>'(변경)집계표'!E221</f>
        <v>0</v>
      </c>
      <c r="AA44" s="112" t="s">
        <v>11</v>
      </c>
      <c r="AB44" s="140">
        <f>'(변경)집계표'!G221</f>
        <v>0</v>
      </c>
      <c r="AC44" s="111">
        <f>'(변경)집계표'!E251</f>
        <v>0</v>
      </c>
      <c r="AD44" s="112" t="s">
        <v>11</v>
      </c>
      <c r="AE44" s="140">
        <f>'(변경)집계표'!G251</f>
        <v>0</v>
      </c>
      <c r="AF44" s="111">
        <f>'(변경)집계표'!E281</f>
        <v>0</v>
      </c>
      <c r="AG44" s="112" t="s">
        <v>11</v>
      </c>
      <c r="AH44" s="140">
        <f>'(변경)집계표'!G281</f>
        <v>0</v>
      </c>
      <c r="AI44" s="128"/>
    </row>
    <row r="45" spans="1:36" s="6" customFormat="1" ht="22.5" customHeight="1">
      <c r="A45" s="127" t="s">
        <v>18</v>
      </c>
      <c r="B45" s="111" t="e">
        <f t="shared" si="2"/>
        <v>#REF!</v>
      </c>
      <c r="C45" s="112" t="s">
        <v>11</v>
      </c>
      <c r="D45" s="179" t="e">
        <f t="shared" si="3"/>
        <v>#REF!</v>
      </c>
      <c r="E45" s="111" t="e">
        <f>'(변경)집계표'!E12</f>
        <v>#REF!</v>
      </c>
      <c r="F45" s="112" t="s">
        <v>11</v>
      </c>
      <c r="G45" s="179" t="e">
        <f>'(변경)집계표'!G12</f>
        <v>#REF!</v>
      </c>
      <c r="H45" s="111" t="e">
        <f>'(변경)집계표'!E42</f>
        <v>#REF!</v>
      </c>
      <c r="I45" s="112" t="s">
        <v>11</v>
      </c>
      <c r="J45" s="179" t="e">
        <f>'(변경)집계표'!G42</f>
        <v>#REF!</v>
      </c>
      <c r="K45" s="111" t="e">
        <f>'(변경)집계표'!E72</f>
        <v>#REF!</v>
      </c>
      <c r="L45" s="112" t="s">
        <v>11</v>
      </c>
      <c r="M45" s="179" t="e">
        <f>'(변경)집계표'!G72</f>
        <v>#REF!</v>
      </c>
      <c r="N45" s="111" t="e">
        <f>'(변경)집계표'!E102</f>
        <v>#REF!</v>
      </c>
      <c r="O45" s="112" t="s">
        <v>11</v>
      </c>
      <c r="P45" s="179" t="e">
        <f>'(변경)집계표'!G102</f>
        <v>#REF!</v>
      </c>
      <c r="Q45" s="111" t="e">
        <f>'(변경)집계표'!E132</f>
        <v>#REF!</v>
      </c>
      <c r="R45" s="112" t="s">
        <v>11</v>
      </c>
      <c r="S45" s="140" t="e">
        <f>'(변경)집계표'!G132</f>
        <v>#REF!</v>
      </c>
      <c r="T45" s="111">
        <f>'(변경)집계표'!E162</f>
        <v>0</v>
      </c>
      <c r="U45" s="112" t="s">
        <v>11</v>
      </c>
      <c r="V45" s="140">
        <f>'(변경)집계표'!G162</f>
        <v>0</v>
      </c>
      <c r="W45" s="111">
        <f>'(변경)집계표'!E192</f>
        <v>0</v>
      </c>
      <c r="X45" s="112" t="s">
        <v>11</v>
      </c>
      <c r="Y45" s="140">
        <f>'(변경)집계표'!G192</f>
        <v>0</v>
      </c>
      <c r="Z45" s="111">
        <f>'(변경)집계표'!E222</f>
        <v>0</v>
      </c>
      <c r="AA45" s="112" t="s">
        <v>11</v>
      </c>
      <c r="AB45" s="140">
        <f>'(변경)집계표'!G222</f>
        <v>0</v>
      </c>
      <c r="AC45" s="111">
        <f>'(변경)집계표'!E252</f>
        <v>0</v>
      </c>
      <c r="AD45" s="112" t="s">
        <v>11</v>
      </c>
      <c r="AE45" s="140">
        <f>'(변경)집계표'!G252</f>
        <v>0</v>
      </c>
      <c r="AF45" s="111">
        <f>'(변경)집계표'!E282</f>
        <v>0</v>
      </c>
      <c r="AG45" s="112" t="s">
        <v>11</v>
      </c>
      <c r="AH45" s="140">
        <f>'(변경)집계표'!G282</f>
        <v>0</v>
      </c>
      <c r="AI45" s="128"/>
    </row>
    <row r="46" spans="1:36" s="6" customFormat="1" ht="22.5" customHeight="1">
      <c r="A46" s="127" t="s">
        <v>19</v>
      </c>
      <c r="B46" s="111" t="e">
        <f t="shared" si="2"/>
        <v>#REF!</v>
      </c>
      <c r="C46" s="112" t="s">
        <v>11</v>
      </c>
      <c r="D46" s="179" t="e">
        <f t="shared" si="3"/>
        <v>#REF!</v>
      </c>
      <c r="E46" s="111" t="e">
        <f>'(변경)집계표'!E13</f>
        <v>#REF!</v>
      </c>
      <c r="F46" s="112" t="s">
        <v>11</v>
      </c>
      <c r="G46" s="179" t="e">
        <f>'(변경)집계표'!G13</f>
        <v>#REF!</v>
      </c>
      <c r="H46" s="111" t="e">
        <f>'(변경)집계표'!E43</f>
        <v>#REF!</v>
      </c>
      <c r="I46" s="112" t="s">
        <v>11</v>
      </c>
      <c r="J46" s="179" t="e">
        <f>'(변경)집계표'!G43</f>
        <v>#REF!</v>
      </c>
      <c r="K46" s="111" t="e">
        <f>'(변경)집계표'!E73</f>
        <v>#REF!</v>
      </c>
      <c r="L46" s="112" t="s">
        <v>11</v>
      </c>
      <c r="M46" s="179" t="e">
        <f>'(변경)집계표'!G73</f>
        <v>#REF!</v>
      </c>
      <c r="N46" s="111" t="e">
        <f>'(변경)집계표'!E103</f>
        <v>#REF!</v>
      </c>
      <c r="O46" s="112" t="s">
        <v>11</v>
      </c>
      <c r="P46" s="179" t="e">
        <f>'(변경)집계표'!G103</f>
        <v>#REF!</v>
      </c>
      <c r="Q46" s="111" t="e">
        <f>'(변경)집계표'!E133</f>
        <v>#REF!</v>
      </c>
      <c r="R46" s="112" t="s">
        <v>11</v>
      </c>
      <c r="S46" s="140" t="e">
        <f>'(변경)집계표'!G133</f>
        <v>#REF!</v>
      </c>
      <c r="T46" s="111">
        <f>'(변경)집계표'!E163</f>
        <v>0</v>
      </c>
      <c r="U46" s="112" t="s">
        <v>11</v>
      </c>
      <c r="V46" s="140">
        <f>'(변경)집계표'!G163</f>
        <v>0</v>
      </c>
      <c r="W46" s="111">
        <f>'(변경)집계표'!E193</f>
        <v>0</v>
      </c>
      <c r="X46" s="112" t="s">
        <v>11</v>
      </c>
      <c r="Y46" s="140">
        <f>'(변경)집계표'!G193</f>
        <v>0</v>
      </c>
      <c r="Z46" s="111">
        <f>'(변경)집계표'!E223</f>
        <v>0</v>
      </c>
      <c r="AA46" s="112" t="s">
        <v>11</v>
      </c>
      <c r="AB46" s="140">
        <f>'(변경)집계표'!G223</f>
        <v>0</v>
      </c>
      <c r="AC46" s="111">
        <f>'(변경)집계표'!E253</f>
        <v>0</v>
      </c>
      <c r="AD46" s="112" t="s">
        <v>11</v>
      </c>
      <c r="AE46" s="140">
        <f>'(변경)집계표'!G253</f>
        <v>0</v>
      </c>
      <c r="AF46" s="111">
        <f>'(변경)집계표'!E283</f>
        <v>0</v>
      </c>
      <c r="AG46" s="112" t="s">
        <v>11</v>
      </c>
      <c r="AH46" s="140">
        <f>'(변경)집계표'!G283</f>
        <v>0</v>
      </c>
      <c r="AI46" s="128"/>
    </row>
    <row r="47" spans="1:36" s="6" customFormat="1" ht="22.5" customHeight="1">
      <c r="A47" s="127" t="s">
        <v>20</v>
      </c>
      <c r="B47" s="111" t="e">
        <f t="shared" si="2"/>
        <v>#REF!</v>
      </c>
      <c r="C47" s="112" t="s">
        <v>11</v>
      </c>
      <c r="D47" s="179" t="e">
        <f t="shared" si="3"/>
        <v>#REF!</v>
      </c>
      <c r="E47" s="111" t="e">
        <f>'(변경)집계표'!E14</f>
        <v>#REF!</v>
      </c>
      <c r="F47" s="112" t="s">
        <v>11</v>
      </c>
      <c r="G47" s="179" t="e">
        <f>'(변경)집계표'!G14</f>
        <v>#REF!</v>
      </c>
      <c r="H47" s="111" t="e">
        <f>'(변경)집계표'!E44</f>
        <v>#REF!</v>
      </c>
      <c r="I47" s="112" t="s">
        <v>11</v>
      </c>
      <c r="J47" s="179" t="e">
        <f>'(변경)집계표'!G44</f>
        <v>#REF!</v>
      </c>
      <c r="K47" s="111" t="e">
        <f>'(변경)집계표'!E74</f>
        <v>#REF!</v>
      </c>
      <c r="L47" s="112" t="s">
        <v>11</v>
      </c>
      <c r="M47" s="179" t="e">
        <f>'(변경)집계표'!G74</f>
        <v>#REF!</v>
      </c>
      <c r="N47" s="111" t="e">
        <f>'(변경)집계표'!E104</f>
        <v>#REF!</v>
      </c>
      <c r="O47" s="112" t="s">
        <v>11</v>
      </c>
      <c r="P47" s="179" t="e">
        <f>'(변경)집계표'!G104</f>
        <v>#REF!</v>
      </c>
      <c r="Q47" s="111" t="e">
        <f>'(변경)집계표'!E134</f>
        <v>#REF!</v>
      </c>
      <c r="R47" s="112" t="s">
        <v>11</v>
      </c>
      <c r="S47" s="140" t="e">
        <f>'(변경)집계표'!G134</f>
        <v>#REF!</v>
      </c>
      <c r="T47" s="111">
        <f>'(변경)집계표'!E164</f>
        <v>0</v>
      </c>
      <c r="U47" s="112" t="s">
        <v>11</v>
      </c>
      <c r="V47" s="140">
        <f>'(변경)집계표'!G164</f>
        <v>0</v>
      </c>
      <c r="W47" s="111">
        <f>'(변경)집계표'!E194</f>
        <v>0</v>
      </c>
      <c r="X47" s="112" t="s">
        <v>11</v>
      </c>
      <c r="Y47" s="140">
        <f>'(변경)집계표'!G194</f>
        <v>0</v>
      </c>
      <c r="Z47" s="111">
        <f>'(변경)집계표'!E224</f>
        <v>0</v>
      </c>
      <c r="AA47" s="112" t="s">
        <v>11</v>
      </c>
      <c r="AB47" s="140">
        <f>'(변경)집계표'!G224</f>
        <v>0</v>
      </c>
      <c r="AC47" s="111">
        <f>'(변경)집계표'!E254</f>
        <v>0</v>
      </c>
      <c r="AD47" s="112" t="s">
        <v>11</v>
      </c>
      <c r="AE47" s="140">
        <f>'(변경)집계표'!G254</f>
        <v>0</v>
      </c>
      <c r="AF47" s="111">
        <f>'(변경)집계표'!E284</f>
        <v>0</v>
      </c>
      <c r="AG47" s="112" t="s">
        <v>11</v>
      </c>
      <c r="AH47" s="140">
        <f>'(변경)집계표'!G284</f>
        <v>0</v>
      </c>
      <c r="AI47" s="128"/>
    </row>
    <row r="48" spans="1:36" s="6" customFormat="1" ht="22.5" customHeight="1">
      <c r="A48" s="127" t="s">
        <v>21</v>
      </c>
      <c r="B48" s="111" t="e">
        <f t="shared" si="2"/>
        <v>#REF!</v>
      </c>
      <c r="C48" s="112" t="s">
        <v>11</v>
      </c>
      <c r="D48" s="179" t="e">
        <f t="shared" si="3"/>
        <v>#REF!</v>
      </c>
      <c r="E48" s="111" t="e">
        <f>'(변경)집계표'!E15</f>
        <v>#REF!</v>
      </c>
      <c r="F48" s="112" t="s">
        <v>11</v>
      </c>
      <c r="G48" s="179" t="e">
        <f>'(변경)집계표'!G15</f>
        <v>#REF!</v>
      </c>
      <c r="H48" s="111" t="e">
        <f>'(변경)집계표'!E45</f>
        <v>#REF!</v>
      </c>
      <c r="I48" s="112" t="s">
        <v>11</v>
      </c>
      <c r="J48" s="179" t="e">
        <f>'(변경)집계표'!G45</f>
        <v>#REF!</v>
      </c>
      <c r="K48" s="111" t="e">
        <f>'(변경)집계표'!E75</f>
        <v>#REF!</v>
      </c>
      <c r="L48" s="112" t="s">
        <v>11</v>
      </c>
      <c r="M48" s="179" t="e">
        <f>'(변경)집계표'!G75</f>
        <v>#REF!</v>
      </c>
      <c r="N48" s="111" t="e">
        <f>'(변경)집계표'!E105</f>
        <v>#REF!</v>
      </c>
      <c r="O48" s="112" t="s">
        <v>11</v>
      </c>
      <c r="P48" s="179" t="e">
        <f>'(변경)집계표'!G105</f>
        <v>#REF!</v>
      </c>
      <c r="Q48" s="111" t="e">
        <f>'(변경)집계표'!E135</f>
        <v>#REF!</v>
      </c>
      <c r="R48" s="112" t="s">
        <v>11</v>
      </c>
      <c r="S48" s="140" t="e">
        <f>'(변경)집계표'!G135</f>
        <v>#REF!</v>
      </c>
      <c r="T48" s="111">
        <f>'(변경)집계표'!E165</f>
        <v>0</v>
      </c>
      <c r="U48" s="112" t="s">
        <v>11</v>
      </c>
      <c r="V48" s="140">
        <f>'(변경)집계표'!G165</f>
        <v>0</v>
      </c>
      <c r="W48" s="111">
        <f>'(변경)집계표'!E195</f>
        <v>0</v>
      </c>
      <c r="X48" s="112" t="s">
        <v>11</v>
      </c>
      <c r="Y48" s="140">
        <f>'(변경)집계표'!G195</f>
        <v>0</v>
      </c>
      <c r="Z48" s="111">
        <f>'(변경)집계표'!E225</f>
        <v>0</v>
      </c>
      <c r="AA48" s="112" t="s">
        <v>11</v>
      </c>
      <c r="AB48" s="140">
        <f>'(변경)집계표'!G225</f>
        <v>0</v>
      </c>
      <c r="AC48" s="111">
        <f>'(변경)집계표'!E255</f>
        <v>0</v>
      </c>
      <c r="AD48" s="112" t="s">
        <v>11</v>
      </c>
      <c r="AE48" s="140">
        <f>'(변경)집계표'!G255</f>
        <v>0</v>
      </c>
      <c r="AF48" s="111">
        <f>'(변경)집계표'!E285</f>
        <v>0</v>
      </c>
      <c r="AG48" s="112" t="s">
        <v>11</v>
      </c>
      <c r="AH48" s="140">
        <f>'(변경)집계표'!G285</f>
        <v>0</v>
      </c>
      <c r="AI48" s="128"/>
    </row>
    <row r="49" spans="1:35" s="6" customFormat="1" ht="22.5" customHeight="1">
      <c r="A49" s="127" t="s">
        <v>22</v>
      </c>
      <c r="B49" s="111" t="e">
        <f t="shared" si="2"/>
        <v>#REF!</v>
      </c>
      <c r="C49" s="112" t="s">
        <v>11</v>
      </c>
      <c r="D49" s="179" t="e">
        <f t="shared" si="3"/>
        <v>#REF!</v>
      </c>
      <c r="E49" s="111" t="e">
        <f>'(변경)집계표'!E16</f>
        <v>#REF!</v>
      </c>
      <c r="F49" s="112" t="s">
        <v>11</v>
      </c>
      <c r="G49" s="179" t="e">
        <f>'(변경)집계표'!G16</f>
        <v>#REF!</v>
      </c>
      <c r="H49" s="111" t="e">
        <f>'(변경)집계표'!E46</f>
        <v>#REF!</v>
      </c>
      <c r="I49" s="112" t="s">
        <v>11</v>
      </c>
      <c r="J49" s="179" t="e">
        <f>'(변경)집계표'!G46</f>
        <v>#REF!</v>
      </c>
      <c r="K49" s="111" t="e">
        <f>'(변경)집계표'!E76</f>
        <v>#REF!</v>
      </c>
      <c r="L49" s="112" t="s">
        <v>11</v>
      </c>
      <c r="M49" s="179" t="e">
        <f>'(변경)집계표'!G76</f>
        <v>#REF!</v>
      </c>
      <c r="N49" s="111" t="e">
        <f>'(변경)집계표'!E106</f>
        <v>#REF!</v>
      </c>
      <c r="O49" s="112" t="s">
        <v>11</v>
      </c>
      <c r="P49" s="179" t="e">
        <f>'(변경)집계표'!G106</f>
        <v>#REF!</v>
      </c>
      <c r="Q49" s="111" t="e">
        <f>'(변경)집계표'!E136</f>
        <v>#REF!</v>
      </c>
      <c r="R49" s="112" t="s">
        <v>11</v>
      </c>
      <c r="S49" s="140" t="e">
        <f>'(변경)집계표'!G136</f>
        <v>#REF!</v>
      </c>
      <c r="T49" s="111">
        <f>'(변경)집계표'!E166</f>
        <v>0</v>
      </c>
      <c r="U49" s="112" t="s">
        <v>11</v>
      </c>
      <c r="V49" s="140">
        <f>'(변경)집계표'!G166</f>
        <v>0</v>
      </c>
      <c r="W49" s="111">
        <f>'(변경)집계표'!E196</f>
        <v>0</v>
      </c>
      <c r="X49" s="112" t="s">
        <v>11</v>
      </c>
      <c r="Y49" s="140">
        <f>'(변경)집계표'!G196</f>
        <v>0</v>
      </c>
      <c r="Z49" s="111">
        <f>'(변경)집계표'!E226</f>
        <v>0</v>
      </c>
      <c r="AA49" s="112" t="s">
        <v>11</v>
      </c>
      <c r="AB49" s="140">
        <f>'(변경)집계표'!G226</f>
        <v>0</v>
      </c>
      <c r="AC49" s="111">
        <f>'(변경)집계표'!E256</f>
        <v>0</v>
      </c>
      <c r="AD49" s="112" t="s">
        <v>11</v>
      </c>
      <c r="AE49" s="140">
        <f>'(변경)집계표'!G256</f>
        <v>0</v>
      </c>
      <c r="AF49" s="111">
        <f>'(변경)집계표'!E286</f>
        <v>0</v>
      </c>
      <c r="AG49" s="112" t="s">
        <v>11</v>
      </c>
      <c r="AH49" s="140">
        <f>'(변경)집계표'!G286</f>
        <v>0</v>
      </c>
      <c r="AI49" s="128"/>
    </row>
    <row r="50" spans="1:35" s="6" customFormat="1" ht="22.5" customHeight="1">
      <c r="A50" s="127" t="s">
        <v>23</v>
      </c>
      <c r="B50" s="111" t="e">
        <f t="shared" si="2"/>
        <v>#REF!</v>
      </c>
      <c r="C50" s="112" t="s">
        <v>11</v>
      </c>
      <c r="D50" s="179" t="e">
        <f t="shared" si="3"/>
        <v>#REF!</v>
      </c>
      <c r="E50" s="111" t="e">
        <f>'(변경)집계표'!E17</f>
        <v>#REF!</v>
      </c>
      <c r="F50" s="112" t="s">
        <v>11</v>
      </c>
      <c r="G50" s="179" t="e">
        <f>'(변경)집계표'!G17</f>
        <v>#REF!</v>
      </c>
      <c r="H50" s="111" t="e">
        <f>'(변경)집계표'!E47</f>
        <v>#REF!</v>
      </c>
      <c r="I50" s="112" t="s">
        <v>11</v>
      </c>
      <c r="J50" s="179" t="e">
        <f>'(변경)집계표'!G47</f>
        <v>#REF!</v>
      </c>
      <c r="K50" s="111" t="e">
        <f>'(변경)집계표'!E77</f>
        <v>#REF!</v>
      </c>
      <c r="L50" s="112" t="s">
        <v>11</v>
      </c>
      <c r="M50" s="179" t="e">
        <f>'(변경)집계표'!G77</f>
        <v>#REF!</v>
      </c>
      <c r="N50" s="111" t="e">
        <f>'(변경)집계표'!E107</f>
        <v>#REF!</v>
      </c>
      <c r="O50" s="112" t="s">
        <v>11</v>
      </c>
      <c r="P50" s="179" t="e">
        <f>'(변경)집계표'!G107</f>
        <v>#REF!</v>
      </c>
      <c r="Q50" s="111" t="e">
        <f>'(변경)집계표'!E137</f>
        <v>#REF!</v>
      </c>
      <c r="R50" s="112" t="s">
        <v>11</v>
      </c>
      <c r="S50" s="140" t="e">
        <f>'(변경)집계표'!G137</f>
        <v>#REF!</v>
      </c>
      <c r="T50" s="111">
        <f>'(변경)집계표'!E167</f>
        <v>0</v>
      </c>
      <c r="U50" s="112" t="s">
        <v>11</v>
      </c>
      <c r="V50" s="140">
        <f>'(변경)집계표'!G167</f>
        <v>0</v>
      </c>
      <c r="W50" s="111">
        <f>'(변경)집계표'!E197</f>
        <v>0</v>
      </c>
      <c r="X50" s="112" t="s">
        <v>11</v>
      </c>
      <c r="Y50" s="140">
        <f>'(변경)집계표'!G197</f>
        <v>0</v>
      </c>
      <c r="Z50" s="111">
        <f>'(변경)집계표'!E227</f>
        <v>0</v>
      </c>
      <c r="AA50" s="112" t="s">
        <v>11</v>
      </c>
      <c r="AB50" s="140">
        <f>'(변경)집계표'!G227</f>
        <v>0</v>
      </c>
      <c r="AC50" s="111">
        <f>'(변경)집계표'!E257</f>
        <v>0</v>
      </c>
      <c r="AD50" s="112" t="s">
        <v>11</v>
      </c>
      <c r="AE50" s="140">
        <f>'(변경)집계표'!G257</f>
        <v>0</v>
      </c>
      <c r="AF50" s="111">
        <f>'(변경)집계표'!E287</f>
        <v>0</v>
      </c>
      <c r="AG50" s="112" t="s">
        <v>11</v>
      </c>
      <c r="AH50" s="140">
        <f>'(변경)집계표'!G287</f>
        <v>0</v>
      </c>
      <c r="AI50" s="128"/>
    </row>
    <row r="51" spans="1:35" s="6" customFormat="1" ht="22.5" customHeight="1">
      <c r="A51" s="127" t="s">
        <v>24</v>
      </c>
      <c r="B51" s="111" t="e">
        <f t="shared" si="2"/>
        <v>#REF!</v>
      </c>
      <c r="C51" s="112" t="s">
        <v>11</v>
      </c>
      <c r="D51" s="179" t="e">
        <f t="shared" si="3"/>
        <v>#REF!</v>
      </c>
      <c r="E51" s="111" t="e">
        <f>'(변경)집계표'!E18</f>
        <v>#REF!</v>
      </c>
      <c r="F51" s="112" t="s">
        <v>11</v>
      </c>
      <c r="G51" s="179" t="e">
        <f>'(변경)집계표'!G18</f>
        <v>#REF!</v>
      </c>
      <c r="H51" s="111" t="e">
        <f>'(변경)집계표'!E48</f>
        <v>#REF!</v>
      </c>
      <c r="I51" s="112" t="s">
        <v>11</v>
      </c>
      <c r="J51" s="179" t="e">
        <f>'(변경)집계표'!G48</f>
        <v>#REF!</v>
      </c>
      <c r="K51" s="111" t="e">
        <f>'(변경)집계표'!E78</f>
        <v>#REF!</v>
      </c>
      <c r="L51" s="112" t="s">
        <v>11</v>
      </c>
      <c r="M51" s="179" t="e">
        <f>'(변경)집계표'!G78</f>
        <v>#REF!</v>
      </c>
      <c r="N51" s="111" t="e">
        <f>'(변경)집계표'!E108</f>
        <v>#REF!</v>
      </c>
      <c r="O51" s="112" t="s">
        <v>11</v>
      </c>
      <c r="P51" s="179" t="e">
        <f>'(변경)집계표'!G108</f>
        <v>#REF!</v>
      </c>
      <c r="Q51" s="111" t="e">
        <f>'(변경)집계표'!E138</f>
        <v>#REF!</v>
      </c>
      <c r="R51" s="112" t="s">
        <v>11</v>
      </c>
      <c r="S51" s="140" t="e">
        <f>'(변경)집계표'!G138</f>
        <v>#REF!</v>
      </c>
      <c r="T51" s="111">
        <f>'(변경)집계표'!E168</f>
        <v>0</v>
      </c>
      <c r="U51" s="112" t="s">
        <v>11</v>
      </c>
      <c r="V51" s="140">
        <f>'(변경)집계표'!G168</f>
        <v>0</v>
      </c>
      <c r="W51" s="111">
        <f>'(변경)집계표'!E198</f>
        <v>0</v>
      </c>
      <c r="X51" s="112" t="s">
        <v>11</v>
      </c>
      <c r="Y51" s="140">
        <f>'(변경)집계표'!G198</f>
        <v>0</v>
      </c>
      <c r="Z51" s="111">
        <f>'(변경)집계표'!E228</f>
        <v>0</v>
      </c>
      <c r="AA51" s="112" t="s">
        <v>11</v>
      </c>
      <c r="AB51" s="140">
        <f>'(변경)집계표'!G228</f>
        <v>0</v>
      </c>
      <c r="AC51" s="111">
        <f>'(변경)집계표'!E258</f>
        <v>0</v>
      </c>
      <c r="AD51" s="112" t="s">
        <v>11</v>
      </c>
      <c r="AE51" s="140">
        <f>'(변경)집계표'!G258</f>
        <v>0</v>
      </c>
      <c r="AF51" s="111">
        <f>'(변경)집계표'!E288</f>
        <v>0</v>
      </c>
      <c r="AG51" s="112" t="s">
        <v>11</v>
      </c>
      <c r="AH51" s="140">
        <f>'(변경)집계표'!G288</f>
        <v>0</v>
      </c>
      <c r="AI51" s="128"/>
    </row>
    <row r="52" spans="1:35" s="6" customFormat="1" ht="22.5" customHeight="1">
      <c r="A52" s="127" t="s">
        <v>25</v>
      </c>
      <c r="B52" s="111" t="e">
        <f t="shared" si="2"/>
        <v>#REF!</v>
      </c>
      <c r="C52" s="112" t="s">
        <v>11</v>
      </c>
      <c r="D52" s="179" t="e">
        <f t="shared" si="3"/>
        <v>#REF!</v>
      </c>
      <c r="E52" s="111" t="e">
        <f>'(변경)집계표'!E19</f>
        <v>#REF!</v>
      </c>
      <c r="F52" s="112" t="s">
        <v>11</v>
      </c>
      <c r="G52" s="179" t="e">
        <f>'(변경)집계표'!G19</f>
        <v>#REF!</v>
      </c>
      <c r="H52" s="111" t="e">
        <f>'(변경)집계표'!E49</f>
        <v>#REF!</v>
      </c>
      <c r="I52" s="112" t="s">
        <v>11</v>
      </c>
      <c r="J52" s="179" t="e">
        <f>'(변경)집계표'!G49</f>
        <v>#REF!</v>
      </c>
      <c r="K52" s="111" t="e">
        <f>'(변경)집계표'!E79</f>
        <v>#REF!</v>
      </c>
      <c r="L52" s="112" t="s">
        <v>11</v>
      </c>
      <c r="M52" s="179" t="e">
        <f>'(변경)집계표'!G79</f>
        <v>#REF!</v>
      </c>
      <c r="N52" s="111" t="e">
        <f>'(변경)집계표'!E109</f>
        <v>#REF!</v>
      </c>
      <c r="O52" s="112" t="s">
        <v>11</v>
      </c>
      <c r="P52" s="179" t="e">
        <f>'(변경)집계표'!G109</f>
        <v>#REF!</v>
      </c>
      <c r="Q52" s="111" t="e">
        <f>'(변경)집계표'!E139</f>
        <v>#REF!</v>
      </c>
      <c r="R52" s="112" t="s">
        <v>11</v>
      </c>
      <c r="S52" s="140" t="e">
        <f>'(변경)집계표'!G139</f>
        <v>#REF!</v>
      </c>
      <c r="T52" s="111">
        <f>'(변경)집계표'!E169</f>
        <v>0</v>
      </c>
      <c r="U52" s="112" t="s">
        <v>11</v>
      </c>
      <c r="V52" s="140">
        <f>'(변경)집계표'!G169</f>
        <v>0</v>
      </c>
      <c r="W52" s="111">
        <f>'(변경)집계표'!E199</f>
        <v>0</v>
      </c>
      <c r="X52" s="112" t="s">
        <v>11</v>
      </c>
      <c r="Y52" s="140">
        <f>'(변경)집계표'!G199</f>
        <v>0</v>
      </c>
      <c r="Z52" s="111">
        <f>'(변경)집계표'!E229</f>
        <v>0</v>
      </c>
      <c r="AA52" s="112" t="s">
        <v>11</v>
      </c>
      <c r="AB52" s="140">
        <f>'(변경)집계표'!G229</f>
        <v>0</v>
      </c>
      <c r="AC52" s="111">
        <f>'(변경)집계표'!E259</f>
        <v>0</v>
      </c>
      <c r="AD52" s="112" t="s">
        <v>11</v>
      </c>
      <c r="AE52" s="140">
        <f>'(변경)집계표'!G259</f>
        <v>0</v>
      </c>
      <c r="AF52" s="111">
        <f>'(변경)집계표'!E289</f>
        <v>0</v>
      </c>
      <c r="AG52" s="112" t="s">
        <v>11</v>
      </c>
      <c r="AH52" s="140">
        <f>'(변경)집계표'!G289</f>
        <v>0</v>
      </c>
      <c r="AI52" s="128"/>
    </row>
    <row r="53" spans="1:35" s="6" customFormat="1" ht="22.5" customHeight="1">
      <c r="A53" s="127" t="s">
        <v>26</v>
      </c>
      <c r="B53" s="111" t="e">
        <f t="shared" si="2"/>
        <v>#REF!</v>
      </c>
      <c r="C53" s="112" t="s">
        <v>11</v>
      </c>
      <c r="D53" s="179" t="e">
        <f t="shared" si="3"/>
        <v>#REF!</v>
      </c>
      <c r="E53" s="111" t="e">
        <f>'(변경)집계표'!E20</f>
        <v>#REF!</v>
      </c>
      <c r="F53" s="112" t="s">
        <v>11</v>
      </c>
      <c r="G53" s="179" t="e">
        <f>'(변경)집계표'!G20</f>
        <v>#REF!</v>
      </c>
      <c r="H53" s="111" t="e">
        <f>'(변경)집계표'!E50</f>
        <v>#REF!</v>
      </c>
      <c r="I53" s="112" t="s">
        <v>11</v>
      </c>
      <c r="J53" s="179" t="e">
        <f>'(변경)집계표'!G50</f>
        <v>#REF!</v>
      </c>
      <c r="K53" s="111" t="e">
        <f>'(변경)집계표'!E80</f>
        <v>#REF!</v>
      </c>
      <c r="L53" s="112" t="s">
        <v>11</v>
      </c>
      <c r="M53" s="179" t="e">
        <f>'(변경)집계표'!G80</f>
        <v>#REF!</v>
      </c>
      <c r="N53" s="111" t="e">
        <f>'(변경)집계표'!E110</f>
        <v>#REF!</v>
      </c>
      <c r="O53" s="112" t="s">
        <v>11</v>
      </c>
      <c r="P53" s="179" t="e">
        <f>'(변경)집계표'!G110</f>
        <v>#REF!</v>
      </c>
      <c r="Q53" s="111" t="e">
        <f>'(변경)집계표'!E140</f>
        <v>#REF!</v>
      </c>
      <c r="R53" s="112" t="s">
        <v>11</v>
      </c>
      <c r="S53" s="140" t="e">
        <f>'(변경)집계표'!G140</f>
        <v>#REF!</v>
      </c>
      <c r="T53" s="111">
        <f>'(변경)집계표'!E170</f>
        <v>0</v>
      </c>
      <c r="U53" s="112" t="s">
        <v>11</v>
      </c>
      <c r="V53" s="140">
        <f>'(변경)집계표'!G170</f>
        <v>0</v>
      </c>
      <c r="W53" s="111">
        <f>'(변경)집계표'!E200</f>
        <v>0</v>
      </c>
      <c r="X53" s="112" t="s">
        <v>11</v>
      </c>
      <c r="Y53" s="140">
        <f>'(변경)집계표'!G200</f>
        <v>0</v>
      </c>
      <c r="Z53" s="111">
        <f>'(변경)집계표'!E230</f>
        <v>0</v>
      </c>
      <c r="AA53" s="112" t="s">
        <v>11</v>
      </c>
      <c r="AB53" s="140">
        <f>'(변경)집계표'!G230</f>
        <v>0</v>
      </c>
      <c r="AC53" s="111">
        <f>'(변경)집계표'!E260</f>
        <v>0</v>
      </c>
      <c r="AD53" s="112" t="s">
        <v>11</v>
      </c>
      <c r="AE53" s="140">
        <f>'(변경)집계표'!G260</f>
        <v>0</v>
      </c>
      <c r="AF53" s="111">
        <f>'(변경)집계표'!E290</f>
        <v>0</v>
      </c>
      <c r="AG53" s="112" t="s">
        <v>11</v>
      </c>
      <c r="AH53" s="140">
        <f>'(변경)집계표'!G290</f>
        <v>0</v>
      </c>
      <c r="AI53" s="128"/>
    </row>
    <row r="54" spans="1:35" s="6" customFormat="1" ht="22.5" customHeight="1">
      <c r="A54" s="127" t="s">
        <v>27</v>
      </c>
      <c r="B54" s="111" t="e">
        <f t="shared" si="2"/>
        <v>#REF!</v>
      </c>
      <c r="C54" s="112" t="s">
        <v>11</v>
      </c>
      <c r="D54" s="179" t="e">
        <f t="shared" si="3"/>
        <v>#REF!</v>
      </c>
      <c r="E54" s="111" t="e">
        <f>'(변경)집계표'!E21</f>
        <v>#REF!</v>
      </c>
      <c r="F54" s="112" t="s">
        <v>11</v>
      </c>
      <c r="G54" s="179" t="e">
        <f>'(변경)집계표'!G21</f>
        <v>#REF!</v>
      </c>
      <c r="H54" s="111" t="e">
        <f>'(변경)집계표'!E51</f>
        <v>#REF!</v>
      </c>
      <c r="I54" s="112" t="s">
        <v>11</v>
      </c>
      <c r="J54" s="179" t="e">
        <f>'(변경)집계표'!G51</f>
        <v>#REF!</v>
      </c>
      <c r="K54" s="111" t="e">
        <f>'(변경)집계표'!E81</f>
        <v>#REF!</v>
      </c>
      <c r="L54" s="112" t="s">
        <v>11</v>
      </c>
      <c r="M54" s="179" t="e">
        <f>'(변경)집계표'!G81</f>
        <v>#REF!</v>
      </c>
      <c r="N54" s="111" t="e">
        <f>'(변경)집계표'!E111</f>
        <v>#REF!</v>
      </c>
      <c r="O54" s="112" t="s">
        <v>11</v>
      </c>
      <c r="P54" s="179" t="e">
        <f>'(변경)집계표'!G111</f>
        <v>#REF!</v>
      </c>
      <c r="Q54" s="111" t="e">
        <f>'(변경)집계표'!E141</f>
        <v>#REF!</v>
      </c>
      <c r="R54" s="112" t="s">
        <v>11</v>
      </c>
      <c r="S54" s="140" t="e">
        <f>'(변경)집계표'!G141</f>
        <v>#REF!</v>
      </c>
      <c r="T54" s="111">
        <f>'(변경)집계표'!E171</f>
        <v>0</v>
      </c>
      <c r="U54" s="112" t="s">
        <v>11</v>
      </c>
      <c r="V54" s="140">
        <f>'(변경)집계표'!G171</f>
        <v>0</v>
      </c>
      <c r="W54" s="111">
        <f>'(변경)집계표'!E201</f>
        <v>0</v>
      </c>
      <c r="X54" s="112" t="s">
        <v>11</v>
      </c>
      <c r="Y54" s="140">
        <f>'(변경)집계표'!G201</f>
        <v>0</v>
      </c>
      <c r="Z54" s="111">
        <f>'(변경)집계표'!E231</f>
        <v>0</v>
      </c>
      <c r="AA54" s="112" t="s">
        <v>11</v>
      </c>
      <c r="AB54" s="140">
        <f>'(변경)집계표'!G231</f>
        <v>0</v>
      </c>
      <c r="AC54" s="111">
        <f>'(변경)집계표'!E261</f>
        <v>0</v>
      </c>
      <c r="AD54" s="112" t="s">
        <v>11</v>
      </c>
      <c r="AE54" s="140">
        <f>'(변경)집계표'!G261</f>
        <v>0</v>
      </c>
      <c r="AF54" s="111">
        <f>'(변경)집계표'!E291</f>
        <v>0</v>
      </c>
      <c r="AG54" s="112" t="s">
        <v>11</v>
      </c>
      <c r="AH54" s="140">
        <f>'(변경)집계표'!G291</f>
        <v>0</v>
      </c>
      <c r="AI54" s="128"/>
    </row>
    <row r="55" spans="1:35" s="6" customFormat="1" ht="22.5" customHeight="1">
      <c r="A55" s="127" t="s">
        <v>28</v>
      </c>
      <c r="B55" s="111" t="e">
        <f t="shared" si="2"/>
        <v>#REF!</v>
      </c>
      <c r="C55" s="112" t="s">
        <v>11</v>
      </c>
      <c r="D55" s="179" t="e">
        <f t="shared" si="3"/>
        <v>#REF!</v>
      </c>
      <c r="E55" s="111" t="e">
        <f>'(변경)집계표'!E22</f>
        <v>#REF!</v>
      </c>
      <c r="F55" s="112" t="s">
        <v>11</v>
      </c>
      <c r="G55" s="179" t="e">
        <f>'(변경)집계표'!G22</f>
        <v>#REF!</v>
      </c>
      <c r="H55" s="111" t="e">
        <f>'(변경)집계표'!E52</f>
        <v>#REF!</v>
      </c>
      <c r="I55" s="112" t="s">
        <v>11</v>
      </c>
      <c r="J55" s="179" t="e">
        <f>'(변경)집계표'!G52</f>
        <v>#REF!</v>
      </c>
      <c r="K55" s="111" t="e">
        <f>'(변경)집계표'!E82</f>
        <v>#REF!</v>
      </c>
      <c r="L55" s="112" t="s">
        <v>11</v>
      </c>
      <c r="M55" s="179" t="e">
        <f>'(변경)집계표'!G82</f>
        <v>#REF!</v>
      </c>
      <c r="N55" s="111" t="e">
        <f>'(변경)집계표'!E112</f>
        <v>#REF!</v>
      </c>
      <c r="O55" s="112" t="s">
        <v>11</v>
      </c>
      <c r="P55" s="179" t="e">
        <f>'(변경)집계표'!G112</f>
        <v>#REF!</v>
      </c>
      <c r="Q55" s="111" t="e">
        <f>'(변경)집계표'!E142</f>
        <v>#REF!</v>
      </c>
      <c r="R55" s="112" t="s">
        <v>11</v>
      </c>
      <c r="S55" s="140" t="e">
        <f>'(변경)집계표'!G142</f>
        <v>#REF!</v>
      </c>
      <c r="T55" s="111">
        <f>'(변경)집계표'!E172</f>
        <v>0</v>
      </c>
      <c r="U55" s="112" t="s">
        <v>11</v>
      </c>
      <c r="V55" s="140">
        <f>'(변경)집계표'!G172</f>
        <v>0</v>
      </c>
      <c r="W55" s="111">
        <f>'(변경)집계표'!E202</f>
        <v>0</v>
      </c>
      <c r="X55" s="112" t="s">
        <v>11</v>
      </c>
      <c r="Y55" s="140">
        <f>'(변경)집계표'!G202</f>
        <v>0</v>
      </c>
      <c r="Z55" s="111">
        <f>'(변경)집계표'!E232</f>
        <v>0</v>
      </c>
      <c r="AA55" s="112" t="s">
        <v>11</v>
      </c>
      <c r="AB55" s="140">
        <f>'(변경)집계표'!G232</f>
        <v>0</v>
      </c>
      <c r="AC55" s="111">
        <f>'(변경)집계표'!E262</f>
        <v>0</v>
      </c>
      <c r="AD55" s="112" t="s">
        <v>11</v>
      </c>
      <c r="AE55" s="140">
        <f>'(변경)집계표'!G262</f>
        <v>0</v>
      </c>
      <c r="AF55" s="111">
        <f>'(변경)집계표'!E292</f>
        <v>0</v>
      </c>
      <c r="AG55" s="112" t="s">
        <v>11</v>
      </c>
      <c r="AH55" s="140">
        <f>'(변경)집계표'!G292</f>
        <v>0</v>
      </c>
      <c r="AI55" s="128"/>
    </row>
    <row r="56" spans="1:35" s="6" customFormat="1" ht="22.5" customHeight="1">
      <c r="A56" s="127" t="s">
        <v>29</v>
      </c>
      <c r="B56" s="111" t="e">
        <f t="shared" si="2"/>
        <v>#REF!</v>
      </c>
      <c r="C56" s="112" t="s">
        <v>11</v>
      </c>
      <c r="D56" s="179" t="e">
        <f t="shared" si="3"/>
        <v>#REF!</v>
      </c>
      <c r="E56" s="111" t="e">
        <f>'(변경)집계표'!E23</f>
        <v>#REF!</v>
      </c>
      <c r="F56" s="112" t="s">
        <v>11</v>
      </c>
      <c r="G56" s="179" t="e">
        <f>'(변경)집계표'!G23</f>
        <v>#REF!</v>
      </c>
      <c r="H56" s="111" t="e">
        <f>'(변경)집계표'!E53</f>
        <v>#REF!</v>
      </c>
      <c r="I56" s="112" t="s">
        <v>11</v>
      </c>
      <c r="J56" s="179" t="e">
        <f>'(변경)집계표'!G53</f>
        <v>#REF!</v>
      </c>
      <c r="K56" s="111" t="e">
        <f>'(변경)집계표'!E83</f>
        <v>#REF!</v>
      </c>
      <c r="L56" s="112" t="s">
        <v>11</v>
      </c>
      <c r="M56" s="179" t="e">
        <f>'(변경)집계표'!G83</f>
        <v>#REF!</v>
      </c>
      <c r="N56" s="111" t="e">
        <f>'(변경)집계표'!E113</f>
        <v>#REF!</v>
      </c>
      <c r="O56" s="112" t="s">
        <v>11</v>
      </c>
      <c r="P56" s="179" t="e">
        <f>'(변경)집계표'!G113</f>
        <v>#REF!</v>
      </c>
      <c r="Q56" s="111" t="e">
        <f>'(변경)집계표'!E143</f>
        <v>#REF!</v>
      </c>
      <c r="R56" s="112" t="s">
        <v>11</v>
      </c>
      <c r="S56" s="140" t="e">
        <f>'(변경)집계표'!G143</f>
        <v>#REF!</v>
      </c>
      <c r="T56" s="111">
        <f>'(변경)집계표'!E173</f>
        <v>0</v>
      </c>
      <c r="U56" s="112" t="s">
        <v>11</v>
      </c>
      <c r="V56" s="140">
        <f>'(변경)집계표'!G173</f>
        <v>0</v>
      </c>
      <c r="W56" s="111">
        <f>'(변경)집계표'!E203</f>
        <v>0</v>
      </c>
      <c r="X56" s="112" t="s">
        <v>11</v>
      </c>
      <c r="Y56" s="140">
        <f>'(변경)집계표'!G203</f>
        <v>0</v>
      </c>
      <c r="Z56" s="111">
        <f>'(변경)집계표'!E233</f>
        <v>0</v>
      </c>
      <c r="AA56" s="112" t="s">
        <v>11</v>
      </c>
      <c r="AB56" s="140">
        <f>'(변경)집계표'!G233</f>
        <v>0</v>
      </c>
      <c r="AC56" s="111">
        <f>'(변경)집계표'!E263</f>
        <v>0</v>
      </c>
      <c r="AD56" s="112" t="s">
        <v>11</v>
      </c>
      <c r="AE56" s="140">
        <f>'(변경)집계표'!G263</f>
        <v>0</v>
      </c>
      <c r="AF56" s="111">
        <f>'(변경)집계표'!E293</f>
        <v>0</v>
      </c>
      <c r="AG56" s="112" t="s">
        <v>11</v>
      </c>
      <c r="AH56" s="140">
        <f>'(변경)집계표'!G293</f>
        <v>0</v>
      </c>
      <c r="AI56" s="128"/>
    </row>
    <row r="57" spans="1:35" s="6" customFormat="1" ht="22.5" customHeight="1">
      <c r="A57" s="129" t="s">
        <v>30</v>
      </c>
      <c r="B57" s="111" t="e">
        <f t="shared" si="2"/>
        <v>#REF!</v>
      </c>
      <c r="C57" s="112" t="s">
        <v>11</v>
      </c>
      <c r="D57" s="179" t="e">
        <f t="shared" si="3"/>
        <v>#REF!</v>
      </c>
      <c r="E57" s="111" t="e">
        <f>'(변경)집계표'!E24</f>
        <v>#REF!</v>
      </c>
      <c r="F57" s="112" t="s">
        <v>11</v>
      </c>
      <c r="G57" s="179" t="e">
        <f>'(변경)집계표'!G24</f>
        <v>#REF!</v>
      </c>
      <c r="H57" s="111" t="e">
        <f>'(변경)집계표'!E54</f>
        <v>#REF!</v>
      </c>
      <c r="I57" s="112" t="s">
        <v>11</v>
      </c>
      <c r="J57" s="179" t="e">
        <f>'(변경)집계표'!G54</f>
        <v>#REF!</v>
      </c>
      <c r="K57" s="111" t="e">
        <f>'(변경)집계표'!E84</f>
        <v>#REF!</v>
      </c>
      <c r="L57" s="112" t="s">
        <v>11</v>
      </c>
      <c r="M57" s="179" t="e">
        <f>'(변경)집계표'!G84</f>
        <v>#REF!</v>
      </c>
      <c r="N57" s="111" t="e">
        <f>'(변경)집계표'!E114</f>
        <v>#REF!</v>
      </c>
      <c r="O57" s="112" t="s">
        <v>11</v>
      </c>
      <c r="P57" s="179" t="e">
        <f>'(변경)집계표'!G114</f>
        <v>#REF!</v>
      </c>
      <c r="Q57" s="111" t="e">
        <f>'(변경)집계표'!E144</f>
        <v>#REF!</v>
      </c>
      <c r="R57" s="112" t="s">
        <v>11</v>
      </c>
      <c r="S57" s="140" t="e">
        <f>'(변경)집계표'!G144</f>
        <v>#REF!</v>
      </c>
      <c r="T57" s="111">
        <f>'(변경)집계표'!E174</f>
        <v>0</v>
      </c>
      <c r="U57" s="112" t="s">
        <v>11</v>
      </c>
      <c r="V57" s="140">
        <f>'(변경)집계표'!G174</f>
        <v>0</v>
      </c>
      <c r="W57" s="111">
        <f>'(변경)집계표'!E204</f>
        <v>0</v>
      </c>
      <c r="X57" s="112" t="s">
        <v>11</v>
      </c>
      <c r="Y57" s="140">
        <f>'(변경)집계표'!G204</f>
        <v>0</v>
      </c>
      <c r="Z57" s="111">
        <f>'(변경)집계표'!E234</f>
        <v>0</v>
      </c>
      <c r="AA57" s="112" t="s">
        <v>11</v>
      </c>
      <c r="AB57" s="140">
        <f>'(변경)집계표'!G234</f>
        <v>0</v>
      </c>
      <c r="AC57" s="111">
        <f>'(변경)집계표'!E264</f>
        <v>0</v>
      </c>
      <c r="AD57" s="112" t="s">
        <v>11</v>
      </c>
      <c r="AE57" s="140">
        <f>'(변경)집계표'!G264</f>
        <v>0</v>
      </c>
      <c r="AF57" s="111">
        <f>'(변경)집계표'!E294</f>
        <v>0</v>
      </c>
      <c r="AG57" s="112" t="s">
        <v>11</v>
      </c>
      <c r="AH57" s="140">
        <f>'(변경)집계표'!G294</f>
        <v>0</v>
      </c>
      <c r="AI57" s="128"/>
    </row>
    <row r="58" spans="1:35" s="6" customFormat="1" ht="22.5" customHeight="1">
      <c r="A58" s="129" t="s">
        <v>31</v>
      </c>
      <c r="B58" s="111" t="e">
        <f t="shared" si="2"/>
        <v>#REF!</v>
      </c>
      <c r="C58" s="112" t="s">
        <v>11</v>
      </c>
      <c r="D58" s="179" t="e">
        <f t="shared" si="3"/>
        <v>#REF!</v>
      </c>
      <c r="E58" s="111" t="e">
        <f>'(변경)집계표'!E25</f>
        <v>#REF!</v>
      </c>
      <c r="F58" s="112" t="s">
        <v>11</v>
      </c>
      <c r="G58" s="179" t="e">
        <f>'(변경)집계표'!G25</f>
        <v>#REF!</v>
      </c>
      <c r="H58" s="111" t="e">
        <f>'(변경)집계표'!E55</f>
        <v>#REF!</v>
      </c>
      <c r="I58" s="112" t="s">
        <v>11</v>
      </c>
      <c r="J58" s="179" t="e">
        <f>'(변경)집계표'!G55</f>
        <v>#REF!</v>
      </c>
      <c r="K58" s="111" t="e">
        <f>'(변경)집계표'!E85</f>
        <v>#REF!</v>
      </c>
      <c r="L58" s="112" t="s">
        <v>11</v>
      </c>
      <c r="M58" s="179" t="e">
        <f>'(변경)집계표'!G85</f>
        <v>#REF!</v>
      </c>
      <c r="N58" s="111" t="e">
        <f>'(변경)집계표'!E115</f>
        <v>#REF!</v>
      </c>
      <c r="O58" s="112" t="s">
        <v>11</v>
      </c>
      <c r="P58" s="179" t="e">
        <f>'(변경)집계표'!G115</f>
        <v>#REF!</v>
      </c>
      <c r="Q58" s="111" t="e">
        <f>'(변경)집계표'!E145</f>
        <v>#REF!</v>
      </c>
      <c r="R58" s="112" t="s">
        <v>11</v>
      </c>
      <c r="S58" s="140" t="e">
        <f>'(변경)집계표'!G145</f>
        <v>#REF!</v>
      </c>
      <c r="T58" s="111">
        <f>'(변경)집계표'!E175</f>
        <v>0</v>
      </c>
      <c r="U58" s="112" t="s">
        <v>11</v>
      </c>
      <c r="V58" s="140">
        <f>'(변경)집계표'!G175</f>
        <v>0</v>
      </c>
      <c r="W58" s="111">
        <f>'(변경)집계표'!E205</f>
        <v>0</v>
      </c>
      <c r="X58" s="112" t="s">
        <v>11</v>
      </c>
      <c r="Y58" s="140">
        <f>'(변경)집계표'!G205</f>
        <v>0</v>
      </c>
      <c r="Z58" s="111">
        <f>'(변경)집계표'!E235</f>
        <v>0</v>
      </c>
      <c r="AA58" s="112" t="s">
        <v>11</v>
      </c>
      <c r="AB58" s="140">
        <f>'(변경)집계표'!G235</f>
        <v>0</v>
      </c>
      <c r="AC58" s="111">
        <f>'(변경)집계표'!E265</f>
        <v>0</v>
      </c>
      <c r="AD58" s="112" t="s">
        <v>11</v>
      </c>
      <c r="AE58" s="140">
        <f>'(변경)집계표'!G265</f>
        <v>0</v>
      </c>
      <c r="AF58" s="111">
        <f>'(변경)집계표'!E295</f>
        <v>0</v>
      </c>
      <c r="AG58" s="112" t="s">
        <v>11</v>
      </c>
      <c r="AH58" s="140">
        <f>'(변경)집계표'!G295</f>
        <v>0</v>
      </c>
      <c r="AI58" s="128"/>
    </row>
    <row r="59" spans="1:35" s="6" customFormat="1" ht="22.5" customHeight="1">
      <c r="A59" s="129" t="s">
        <v>32</v>
      </c>
      <c r="B59" s="111" t="e">
        <f t="shared" si="2"/>
        <v>#REF!</v>
      </c>
      <c r="C59" s="112" t="s">
        <v>11</v>
      </c>
      <c r="D59" s="179" t="e">
        <f t="shared" si="3"/>
        <v>#REF!</v>
      </c>
      <c r="E59" s="111" t="e">
        <f>'(변경)집계표'!E26</f>
        <v>#REF!</v>
      </c>
      <c r="F59" s="112" t="s">
        <v>11</v>
      </c>
      <c r="G59" s="179" t="e">
        <f>'(변경)집계표'!G26</f>
        <v>#REF!</v>
      </c>
      <c r="H59" s="111" t="e">
        <f>'(변경)집계표'!E56</f>
        <v>#REF!</v>
      </c>
      <c r="I59" s="112" t="s">
        <v>11</v>
      </c>
      <c r="J59" s="179" t="e">
        <f>'(변경)집계표'!G56</f>
        <v>#REF!</v>
      </c>
      <c r="K59" s="111" t="e">
        <f>'(변경)집계표'!E86</f>
        <v>#REF!</v>
      </c>
      <c r="L59" s="112" t="s">
        <v>11</v>
      </c>
      <c r="M59" s="179" t="e">
        <f>'(변경)집계표'!G86</f>
        <v>#REF!</v>
      </c>
      <c r="N59" s="111" t="e">
        <f>'(변경)집계표'!E116</f>
        <v>#REF!</v>
      </c>
      <c r="O59" s="112" t="s">
        <v>11</v>
      </c>
      <c r="P59" s="179" t="e">
        <f>'(변경)집계표'!G116</f>
        <v>#REF!</v>
      </c>
      <c r="Q59" s="111" t="e">
        <f>'(변경)집계표'!E146</f>
        <v>#REF!</v>
      </c>
      <c r="R59" s="112" t="s">
        <v>11</v>
      </c>
      <c r="S59" s="140" t="e">
        <f>'(변경)집계표'!G146</f>
        <v>#REF!</v>
      </c>
      <c r="T59" s="111">
        <f>'(변경)집계표'!E176</f>
        <v>0</v>
      </c>
      <c r="U59" s="112" t="s">
        <v>11</v>
      </c>
      <c r="V59" s="140">
        <f>'(변경)집계표'!G176</f>
        <v>0</v>
      </c>
      <c r="W59" s="111">
        <f>'(변경)집계표'!E206</f>
        <v>0</v>
      </c>
      <c r="X59" s="112" t="s">
        <v>11</v>
      </c>
      <c r="Y59" s="140">
        <f>'(변경)집계표'!G206</f>
        <v>0</v>
      </c>
      <c r="Z59" s="111">
        <f>'(변경)집계표'!E236</f>
        <v>0</v>
      </c>
      <c r="AA59" s="112" t="s">
        <v>11</v>
      </c>
      <c r="AB59" s="140">
        <f>'(변경)집계표'!G236</f>
        <v>0</v>
      </c>
      <c r="AC59" s="111">
        <f>'(변경)집계표'!E266</f>
        <v>0</v>
      </c>
      <c r="AD59" s="112" t="s">
        <v>11</v>
      </c>
      <c r="AE59" s="140">
        <f>'(변경)집계표'!G266</f>
        <v>0</v>
      </c>
      <c r="AF59" s="111">
        <f>'(변경)집계표'!E296</f>
        <v>0</v>
      </c>
      <c r="AG59" s="112" t="s">
        <v>11</v>
      </c>
      <c r="AH59" s="140">
        <f>'(변경)집계표'!G296</f>
        <v>0</v>
      </c>
      <c r="AI59" s="128"/>
    </row>
    <row r="60" spans="1:35" s="6" customFormat="1" ht="22.5" customHeight="1">
      <c r="A60" s="129" t="s">
        <v>33</v>
      </c>
      <c r="B60" s="111" t="e">
        <f t="shared" si="2"/>
        <v>#REF!</v>
      </c>
      <c r="C60" s="112" t="s">
        <v>11</v>
      </c>
      <c r="D60" s="179" t="e">
        <f t="shared" si="3"/>
        <v>#REF!</v>
      </c>
      <c r="E60" s="111" t="e">
        <f>'(변경)집계표'!E27</f>
        <v>#REF!</v>
      </c>
      <c r="F60" s="112" t="s">
        <v>11</v>
      </c>
      <c r="G60" s="179" t="e">
        <f>'(변경)집계표'!G27</f>
        <v>#REF!</v>
      </c>
      <c r="H60" s="111" t="e">
        <f>'(변경)집계표'!E57</f>
        <v>#REF!</v>
      </c>
      <c r="I60" s="112" t="s">
        <v>11</v>
      </c>
      <c r="J60" s="179" t="e">
        <f>'(변경)집계표'!G57</f>
        <v>#REF!</v>
      </c>
      <c r="K60" s="111" t="e">
        <f>'(변경)집계표'!E87</f>
        <v>#REF!</v>
      </c>
      <c r="L60" s="112" t="s">
        <v>11</v>
      </c>
      <c r="M60" s="179" t="e">
        <f>'(변경)집계표'!G87</f>
        <v>#REF!</v>
      </c>
      <c r="N60" s="111" t="e">
        <f>'(변경)집계표'!E117</f>
        <v>#REF!</v>
      </c>
      <c r="O60" s="112" t="s">
        <v>11</v>
      </c>
      <c r="P60" s="179" t="e">
        <f>'(변경)집계표'!G117</f>
        <v>#REF!</v>
      </c>
      <c r="Q60" s="111" t="e">
        <f>'(변경)집계표'!E147</f>
        <v>#REF!</v>
      </c>
      <c r="R60" s="112" t="s">
        <v>11</v>
      </c>
      <c r="S60" s="140" t="e">
        <f>'(변경)집계표'!G147</f>
        <v>#REF!</v>
      </c>
      <c r="T60" s="111">
        <f>'(변경)집계표'!E177</f>
        <v>0</v>
      </c>
      <c r="U60" s="112" t="s">
        <v>11</v>
      </c>
      <c r="V60" s="140">
        <f>'(변경)집계표'!G177</f>
        <v>0</v>
      </c>
      <c r="W60" s="111">
        <f>'(변경)집계표'!E207</f>
        <v>0</v>
      </c>
      <c r="X60" s="112" t="s">
        <v>11</v>
      </c>
      <c r="Y60" s="140">
        <f>'(변경)집계표'!G207</f>
        <v>0</v>
      </c>
      <c r="Z60" s="111">
        <f>'(변경)집계표'!E237</f>
        <v>0</v>
      </c>
      <c r="AA60" s="112" t="s">
        <v>11</v>
      </c>
      <c r="AB60" s="140">
        <f>'(변경)집계표'!G237</f>
        <v>0</v>
      </c>
      <c r="AC60" s="111">
        <f>'(변경)집계표'!E267</f>
        <v>0</v>
      </c>
      <c r="AD60" s="112" t="s">
        <v>11</v>
      </c>
      <c r="AE60" s="140">
        <f>'(변경)집계표'!G267</f>
        <v>0</v>
      </c>
      <c r="AF60" s="111">
        <f>'(변경)집계표'!E297</f>
        <v>0</v>
      </c>
      <c r="AG60" s="112" t="s">
        <v>11</v>
      </c>
      <c r="AH60" s="140">
        <f>'(변경)집계표'!G297</f>
        <v>0</v>
      </c>
      <c r="AI60" s="128"/>
    </row>
    <row r="61" spans="1:35" s="6" customFormat="1" ht="22.5" customHeight="1">
      <c r="A61" s="129" t="s">
        <v>34</v>
      </c>
      <c r="B61" s="111" t="e">
        <f t="shared" si="2"/>
        <v>#REF!</v>
      </c>
      <c r="C61" s="112" t="s">
        <v>11</v>
      </c>
      <c r="D61" s="179" t="e">
        <f t="shared" si="3"/>
        <v>#REF!</v>
      </c>
      <c r="E61" s="111" t="e">
        <f>'(변경)집계표'!E28</f>
        <v>#REF!</v>
      </c>
      <c r="F61" s="112" t="s">
        <v>11</v>
      </c>
      <c r="G61" s="179" t="e">
        <f>'(변경)집계표'!G28</f>
        <v>#REF!</v>
      </c>
      <c r="H61" s="111" t="e">
        <f>'(변경)집계표'!E58</f>
        <v>#REF!</v>
      </c>
      <c r="I61" s="112" t="s">
        <v>11</v>
      </c>
      <c r="J61" s="179" t="e">
        <f>'(변경)집계표'!G58</f>
        <v>#REF!</v>
      </c>
      <c r="K61" s="111" t="e">
        <f>'(변경)집계표'!E88</f>
        <v>#REF!</v>
      </c>
      <c r="L61" s="112" t="s">
        <v>11</v>
      </c>
      <c r="M61" s="179" t="e">
        <f>'(변경)집계표'!G88</f>
        <v>#REF!</v>
      </c>
      <c r="N61" s="111" t="e">
        <f>'(변경)집계표'!E118</f>
        <v>#REF!</v>
      </c>
      <c r="O61" s="112" t="s">
        <v>11</v>
      </c>
      <c r="P61" s="179" t="e">
        <f>'(변경)집계표'!G118</f>
        <v>#REF!</v>
      </c>
      <c r="Q61" s="111" t="e">
        <f>'(변경)집계표'!E148</f>
        <v>#REF!</v>
      </c>
      <c r="R61" s="112" t="s">
        <v>11</v>
      </c>
      <c r="S61" s="140" t="e">
        <f>'(변경)집계표'!G148</f>
        <v>#REF!</v>
      </c>
      <c r="T61" s="111">
        <f>'(변경)집계표'!E178</f>
        <v>0</v>
      </c>
      <c r="U61" s="112" t="s">
        <v>11</v>
      </c>
      <c r="V61" s="140">
        <f>'(변경)집계표'!G178</f>
        <v>0</v>
      </c>
      <c r="W61" s="111">
        <f>'(변경)집계표'!E208</f>
        <v>0</v>
      </c>
      <c r="X61" s="112" t="s">
        <v>11</v>
      </c>
      <c r="Y61" s="140">
        <f>'(변경)집계표'!G208</f>
        <v>0</v>
      </c>
      <c r="Z61" s="111">
        <f>'(변경)집계표'!E238</f>
        <v>0</v>
      </c>
      <c r="AA61" s="112" t="s">
        <v>11</v>
      </c>
      <c r="AB61" s="140">
        <f>'(변경)집계표'!G238</f>
        <v>0</v>
      </c>
      <c r="AC61" s="111">
        <f>'(변경)집계표'!E268</f>
        <v>0</v>
      </c>
      <c r="AD61" s="112" t="s">
        <v>11</v>
      </c>
      <c r="AE61" s="140">
        <f>'(변경)집계표'!G268</f>
        <v>0</v>
      </c>
      <c r="AF61" s="111">
        <f>'(변경)집계표'!E298</f>
        <v>0</v>
      </c>
      <c r="AG61" s="112" t="s">
        <v>11</v>
      </c>
      <c r="AH61" s="140">
        <f>'(변경)집계표'!G298</f>
        <v>0</v>
      </c>
      <c r="AI61" s="128"/>
    </row>
    <row r="62" spans="1:35" s="6" customFormat="1" ht="22.5" customHeight="1">
      <c r="A62" s="129" t="s">
        <v>66</v>
      </c>
      <c r="B62" s="111" t="e">
        <f t="shared" si="2"/>
        <v>#REF!</v>
      </c>
      <c r="C62" s="112" t="s">
        <v>11</v>
      </c>
      <c r="D62" s="179" t="e">
        <f t="shared" si="3"/>
        <v>#REF!</v>
      </c>
      <c r="E62" s="111" t="e">
        <f>'(변경)집계표'!E29</f>
        <v>#REF!</v>
      </c>
      <c r="F62" s="112" t="s">
        <v>11</v>
      </c>
      <c r="G62" s="179" t="e">
        <f>'(변경)집계표'!G29</f>
        <v>#REF!</v>
      </c>
      <c r="H62" s="111" t="e">
        <f>'(변경)집계표'!E59</f>
        <v>#REF!</v>
      </c>
      <c r="I62" s="112" t="s">
        <v>11</v>
      </c>
      <c r="J62" s="179" t="e">
        <f>'(변경)집계표'!G59</f>
        <v>#REF!</v>
      </c>
      <c r="K62" s="111" t="e">
        <f>'(변경)집계표'!E89</f>
        <v>#REF!</v>
      </c>
      <c r="L62" s="112" t="s">
        <v>11</v>
      </c>
      <c r="M62" s="179" t="e">
        <f>'(변경)집계표'!G89</f>
        <v>#REF!</v>
      </c>
      <c r="N62" s="111" t="e">
        <f>'(변경)집계표'!E119</f>
        <v>#REF!</v>
      </c>
      <c r="O62" s="112" t="s">
        <v>11</v>
      </c>
      <c r="P62" s="179" t="e">
        <f>'(변경)집계표'!G119</f>
        <v>#REF!</v>
      </c>
      <c r="Q62" s="111" t="e">
        <f>'(변경)집계표'!E149</f>
        <v>#REF!</v>
      </c>
      <c r="R62" s="112" t="s">
        <v>11</v>
      </c>
      <c r="S62" s="140" t="e">
        <f>'(변경)집계표'!G149</f>
        <v>#REF!</v>
      </c>
      <c r="T62" s="111">
        <f>'(변경)집계표'!E179</f>
        <v>0</v>
      </c>
      <c r="U62" s="112" t="s">
        <v>11</v>
      </c>
      <c r="V62" s="140">
        <f>'(변경)집계표'!G179</f>
        <v>0</v>
      </c>
      <c r="W62" s="111">
        <f>'(변경)집계표'!E209</f>
        <v>0</v>
      </c>
      <c r="X62" s="112" t="s">
        <v>11</v>
      </c>
      <c r="Y62" s="140">
        <f>'(변경)집계표'!G209</f>
        <v>0</v>
      </c>
      <c r="Z62" s="111">
        <f>'(변경)집계표'!E239</f>
        <v>0</v>
      </c>
      <c r="AA62" s="112" t="s">
        <v>11</v>
      </c>
      <c r="AB62" s="140">
        <f>'(변경)집계표'!G239</f>
        <v>0</v>
      </c>
      <c r="AC62" s="111">
        <f>'(변경)집계표'!E269</f>
        <v>0</v>
      </c>
      <c r="AD62" s="112" t="s">
        <v>11</v>
      </c>
      <c r="AE62" s="140">
        <f>'(변경)집계표'!G269</f>
        <v>0</v>
      </c>
      <c r="AF62" s="111">
        <f>'(변경)집계표'!E299</f>
        <v>0</v>
      </c>
      <c r="AG62" s="112" t="s">
        <v>11</v>
      </c>
      <c r="AH62" s="140">
        <f>'(변경)집계표'!G299</f>
        <v>0</v>
      </c>
      <c r="AI62" s="128"/>
    </row>
    <row r="63" spans="1:35" s="6" customFormat="1" ht="22.5" customHeight="1">
      <c r="A63" s="129" t="s">
        <v>75</v>
      </c>
      <c r="B63" s="111" t="e">
        <f t="shared" si="2"/>
        <v>#REF!</v>
      </c>
      <c r="C63" s="112" t="s">
        <v>11</v>
      </c>
      <c r="D63" s="179" t="e">
        <f t="shared" si="3"/>
        <v>#REF!</v>
      </c>
      <c r="E63" s="111" t="e">
        <f>'(변경)집계표'!E30</f>
        <v>#REF!</v>
      </c>
      <c r="F63" s="112" t="s">
        <v>11</v>
      </c>
      <c r="G63" s="179" t="e">
        <f>'(변경)집계표'!G30</f>
        <v>#REF!</v>
      </c>
      <c r="H63" s="111" t="e">
        <f>'(변경)집계표'!E60</f>
        <v>#REF!</v>
      </c>
      <c r="I63" s="112" t="s">
        <v>11</v>
      </c>
      <c r="J63" s="179" t="e">
        <f>'(변경)집계표'!G60</f>
        <v>#REF!</v>
      </c>
      <c r="K63" s="111" t="e">
        <f>'(변경)집계표'!E90</f>
        <v>#REF!</v>
      </c>
      <c r="L63" s="112" t="s">
        <v>11</v>
      </c>
      <c r="M63" s="179" t="e">
        <f>'(변경)집계표'!G90</f>
        <v>#REF!</v>
      </c>
      <c r="N63" s="111" t="e">
        <f>'(변경)집계표'!E120</f>
        <v>#REF!</v>
      </c>
      <c r="O63" s="112" t="s">
        <v>11</v>
      </c>
      <c r="P63" s="179" t="e">
        <f>'(변경)집계표'!G120</f>
        <v>#REF!</v>
      </c>
      <c r="Q63" s="111" t="e">
        <f>'(변경)집계표'!E150</f>
        <v>#REF!</v>
      </c>
      <c r="R63" s="112" t="s">
        <v>11</v>
      </c>
      <c r="S63" s="140" t="e">
        <f>'(변경)집계표'!G150</f>
        <v>#REF!</v>
      </c>
      <c r="T63" s="111">
        <f>'(변경)집계표'!E180</f>
        <v>0</v>
      </c>
      <c r="U63" s="112" t="s">
        <v>11</v>
      </c>
      <c r="V63" s="140">
        <f>'(변경)집계표'!G180</f>
        <v>0</v>
      </c>
      <c r="W63" s="111">
        <f>'(변경)집계표'!E210</f>
        <v>0</v>
      </c>
      <c r="X63" s="112" t="s">
        <v>11</v>
      </c>
      <c r="Y63" s="140">
        <f>'(변경)집계표'!G210</f>
        <v>0</v>
      </c>
      <c r="Z63" s="111">
        <f>'(변경)집계표'!E240</f>
        <v>0</v>
      </c>
      <c r="AA63" s="112" t="s">
        <v>11</v>
      </c>
      <c r="AB63" s="140">
        <f>'(변경)집계표'!G240</f>
        <v>0</v>
      </c>
      <c r="AC63" s="111">
        <f>'(변경)집계표'!E270</f>
        <v>0</v>
      </c>
      <c r="AD63" s="112" t="s">
        <v>11</v>
      </c>
      <c r="AE63" s="140">
        <f>'(변경)집계표'!G270</f>
        <v>0</v>
      </c>
      <c r="AF63" s="111">
        <f>'(변경)집계표'!E300</f>
        <v>0</v>
      </c>
      <c r="AG63" s="112" t="s">
        <v>11</v>
      </c>
      <c r="AH63" s="140">
        <f>'(변경)집계표'!G300</f>
        <v>0</v>
      </c>
      <c r="AI63" s="128"/>
    </row>
    <row r="64" spans="1:35" s="6" customFormat="1" ht="22.5" customHeight="1" thickBot="1">
      <c r="A64" s="130" t="s">
        <v>68</v>
      </c>
      <c r="B64" s="131" t="e">
        <f t="shared" si="2"/>
        <v>#REF!</v>
      </c>
      <c r="C64" s="132" t="s">
        <v>11</v>
      </c>
      <c r="D64" s="180" t="e">
        <f t="shared" si="3"/>
        <v>#REF!</v>
      </c>
      <c r="E64" s="131" t="e">
        <f>'(변경)집계표'!E31</f>
        <v>#REF!</v>
      </c>
      <c r="F64" s="132" t="s">
        <v>11</v>
      </c>
      <c r="G64" s="180" t="e">
        <f>'(변경)집계표'!G31</f>
        <v>#REF!</v>
      </c>
      <c r="H64" s="131" t="e">
        <f>'(변경)집계표'!E61</f>
        <v>#REF!</v>
      </c>
      <c r="I64" s="132" t="s">
        <v>11</v>
      </c>
      <c r="J64" s="180" t="e">
        <f>'(변경)집계표'!G61</f>
        <v>#REF!</v>
      </c>
      <c r="K64" s="131" t="e">
        <f>'(변경)집계표'!E91</f>
        <v>#REF!</v>
      </c>
      <c r="L64" s="132" t="s">
        <v>11</v>
      </c>
      <c r="M64" s="180" t="e">
        <f>'(변경)집계표'!G91</f>
        <v>#REF!</v>
      </c>
      <c r="N64" s="131" t="e">
        <f>'(변경)집계표'!E121</f>
        <v>#REF!</v>
      </c>
      <c r="O64" s="132" t="s">
        <v>11</v>
      </c>
      <c r="P64" s="180" t="e">
        <f>'(변경)집계표'!G121</f>
        <v>#REF!</v>
      </c>
      <c r="Q64" s="131" t="e">
        <f>'(변경)집계표'!E151</f>
        <v>#REF!</v>
      </c>
      <c r="R64" s="132" t="s">
        <v>11</v>
      </c>
      <c r="S64" s="141" t="e">
        <f>'(변경)집계표'!G151</f>
        <v>#REF!</v>
      </c>
      <c r="T64" s="131">
        <f>'(변경)집계표'!E181</f>
        <v>0</v>
      </c>
      <c r="U64" s="132" t="s">
        <v>11</v>
      </c>
      <c r="V64" s="141">
        <f>'(변경)집계표'!G181</f>
        <v>0</v>
      </c>
      <c r="W64" s="131">
        <f>'(변경)집계표'!E211</f>
        <v>0</v>
      </c>
      <c r="X64" s="132" t="s">
        <v>11</v>
      </c>
      <c r="Y64" s="141">
        <f>'(변경)집계표'!G211</f>
        <v>0</v>
      </c>
      <c r="Z64" s="131">
        <f>'(변경)집계표'!E241</f>
        <v>0</v>
      </c>
      <c r="AA64" s="132" t="s">
        <v>11</v>
      </c>
      <c r="AB64" s="141">
        <f>'(변경)집계표'!G241</f>
        <v>0</v>
      </c>
      <c r="AC64" s="131">
        <f>'(변경)집계표'!E271</f>
        <v>0</v>
      </c>
      <c r="AD64" s="132" t="s">
        <v>11</v>
      </c>
      <c r="AE64" s="141">
        <f>'(변경)집계표'!G271</f>
        <v>0</v>
      </c>
      <c r="AF64" s="131">
        <f>'(변경)집계표'!E301</f>
        <v>0</v>
      </c>
      <c r="AG64" s="132" t="s">
        <v>11</v>
      </c>
      <c r="AH64" s="141">
        <f>'(변경)집계표'!G301</f>
        <v>0</v>
      </c>
      <c r="AI64" s="133"/>
    </row>
    <row r="65" spans="1:36" s="1" customFormat="1" ht="27.95" customHeight="1">
      <c r="A65" s="190" t="s">
        <v>61</v>
      </c>
      <c r="B65" s="191"/>
      <c r="C65" s="192"/>
      <c r="D65" s="193"/>
      <c r="E65" s="192"/>
      <c r="F65" s="192"/>
      <c r="G65" s="193"/>
      <c r="H65" s="192"/>
      <c r="I65" s="192"/>
      <c r="J65" s="193"/>
      <c r="K65" s="192"/>
      <c r="L65" s="192"/>
      <c r="M65" s="193"/>
      <c r="N65" s="192"/>
      <c r="O65" s="192"/>
      <c r="P65" s="193"/>
      <c r="Q65" s="192"/>
      <c r="R65" s="192"/>
      <c r="S65" s="194"/>
      <c r="T65" s="192"/>
      <c r="U65" s="192"/>
      <c r="V65" s="194"/>
      <c r="W65" s="192"/>
      <c r="X65" s="192"/>
      <c r="Y65" s="194"/>
      <c r="Z65" s="192"/>
      <c r="AA65" s="192"/>
      <c r="AB65" s="194"/>
      <c r="AC65" s="192"/>
      <c r="AD65" s="192"/>
      <c r="AE65" s="194"/>
      <c r="AF65" s="192"/>
      <c r="AG65" s="192"/>
      <c r="AH65" s="194"/>
      <c r="AI65" s="195"/>
    </row>
    <row r="66" spans="1:36" s="5" customFormat="1" ht="9.9499999999999993" customHeight="1" thickBot="1">
      <c r="A66" s="196"/>
      <c r="B66" s="189"/>
      <c r="D66" s="188"/>
      <c r="E66" s="189"/>
      <c r="G66" s="188"/>
      <c r="H66" s="189"/>
      <c r="J66" s="188"/>
      <c r="K66" s="189"/>
      <c r="M66" s="188"/>
      <c r="N66" s="189"/>
      <c r="P66" s="188"/>
      <c r="Q66" s="189"/>
      <c r="S66" s="146"/>
      <c r="T66" s="189"/>
      <c r="V66" s="146"/>
      <c r="W66" s="189"/>
      <c r="Y66" s="146"/>
      <c r="Z66" s="189"/>
      <c r="AB66" s="146"/>
      <c r="AC66" s="189"/>
      <c r="AE66" s="146"/>
      <c r="AF66" s="189"/>
      <c r="AH66" s="146"/>
      <c r="AI66" s="197"/>
    </row>
    <row r="67" spans="1:36" s="7" customFormat="1" ht="30" customHeight="1">
      <c r="A67" s="119"/>
      <c r="B67" s="354" t="s">
        <v>8</v>
      </c>
      <c r="C67" s="355"/>
      <c r="D67" s="355"/>
      <c r="E67" s="120" t="s">
        <v>77</v>
      </c>
      <c r="F67" s="121"/>
      <c r="G67" s="182"/>
      <c r="H67" s="120"/>
      <c r="I67" s="121"/>
      <c r="J67" s="182"/>
      <c r="K67" s="120"/>
      <c r="L67" s="121"/>
      <c r="M67" s="182"/>
      <c r="N67" s="120"/>
      <c r="O67" s="121"/>
      <c r="P67" s="182"/>
      <c r="Q67" s="120"/>
      <c r="R67" s="121"/>
      <c r="S67" s="143"/>
      <c r="T67" s="120"/>
      <c r="U67" s="121"/>
      <c r="V67" s="143"/>
      <c r="W67" s="120"/>
      <c r="X67" s="121"/>
      <c r="Y67" s="143"/>
      <c r="Z67" s="120"/>
      <c r="AA67" s="121"/>
      <c r="AB67" s="143"/>
      <c r="AC67" s="120"/>
      <c r="AD67" s="121"/>
      <c r="AE67" s="143"/>
      <c r="AF67" s="120"/>
      <c r="AG67" s="121"/>
      <c r="AH67" s="143"/>
      <c r="AI67" s="358" t="s">
        <v>59</v>
      </c>
      <c r="AJ67" s="6"/>
    </row>
    <row r="68" spans="1:36" s="7" customFormat="1" ht="30" customHeight="1">
      <c r="A68" s="122"/>
      <c r="B68" s="356"/>
      <c r="C68" s="357"/>
      <c r="D68" s="357"/>
      <c r="E68" s="8" t="s">
        <v>78</v>
      </c>
      <c r="F68" s="9"/>
      <c r="G68" s="183"/>
      <c r="H68" s="8"/>
      <c r="I68" s="9"/>
      <c r="J68" s="183"/>
      <c r="K68" s="8"/>
      <c r="L68" s="9"/>
      <c r="M68" s="183"/>
      <c r="N68" s="8"/>
      <c r="O68" s="9"/>
      <c r="P68" s="183"/>
      <c r="Q68" s="8"/>
      <c r="R68" s="9"/>
      <c r="S68" s="144"/>
      <c r="T68" s="8"/>
      <c r="U68" s="9"/>
      <c r="V68" s="144"/>
      <c r="W68" s="8"/>
      <c r="X68" s="9"/>
      <c r="Y68" s="144"/>
      <c r="Z68" s="8"/>
      <c r="AA68" s="9"/>
      <c r="AB68" s="144"/>
      <c r="AC68" s="8"/>
      <c r="AD68" s="9"/>
      <c r="AE68" s="144"/>
      <c r="AF68" s="8"/>
      <c r="AG68" s="9"/>
      <c r="AH68" s="144"/>
      <c r="AI68" s="359"/>
      <c r="AJ68" s="6"/>
    </row>
    <row r="69" spans="1:36" s="7" customFormat="1" ht="30" customHeight="1">
      <c r="A69" s="123" t="s">
        <v>9</v>
      </c>
      <c r="B69" s="356"/>
      <c r="C69" s="357"/>
      <c r="D69" s="357"/>
      <c r="E69" s="8" t="s">
        <v>79</v>
      </c>
      <c r="F69" s="9"/>
      <c r="G69" s="183"/>
      <c r="H69" s="8" t="s">
        <v>80</v>
      </c>
      <c r="I69" s="9"/>
      <c r="J69" s="183"/>
      <c r="K69" s="8" t="s">
        <v>81</v>
      </c>
      <c r="L69" s="9"/>
      <c r="M69" s="183"/>
      <c r="N69" s="8" t="s">
        <v>82</v>
      </c>
      <c r="O69" s="9"/>
      <c r="P69" s="183"/>
      <c r="Q69" s="8" t="s">
        <v>83</v>
      </c>
      <c r="R69" s="9"/>
      <c r="S69" s="144"/>
      <c r="T69" s="8">
        <v>6</v>
      </c>
      <c r="U69" s="9"/>
      <c r="V69" s="144"/>
      <c r="W69" s="8">
        <v>7</v>
      </c>
      <c r="X69" s="9"/>
      <c r="Y69" s="144"/>
      <c r="Z69" s="8">
        <v>8</v>
      </c>
      <c r="AA69" s="9"/>
      <c r="AB69" s="144"/>
      <c r="AC69" s="8">
        <v>9</v>
      </c>
      <c r="AD69" s="9"/>
      <c r="AE69" s="144"/>
      <c r="AF69" s="8">
        <v>10</v>
      </c>
      <c r="AG69" s="9"/>
      <c r="AH69" s="144"/>
      <c r="AI69" s="359"/>
      <c r="AJ69" s="6"/>
    </row>
    <row r="70" spans="1:36" s="7" customFormat="1" ht="30" customHeight="1" thickBot="1">
      <c r="A70" s="124"/>
      <c r="B70" s="115" t="s">
        <v>10</v>
      </c>
      <c r="C70" s="116" t="s">
        <v>11</v>
      </c>
      <c r="D70" s="178" t="s">
        <v>12</v>
      </c>
      <c r="E70" s="115" t="s">
        <v>10</v>
      </c>
      <c r="F70" s="116" t="s">
        <v>11</v>
      </c>
      <c r="G70" s="178" t="s">
        <v>12</v>
      </c>
      <c r="H70" s="115" t="s">
        <v>10</v>
      </c>
      <c r="I70" s="116" t="s">
        <v>11</v>
      </c>
      <c r="J70" s="178" t="s">
        <v>12</v>
      </c>
      <c r="K70" s="115" t="s">
        <v>10</v>
      </c>
      <c r="L70" s="116" t="s">
        <v>11</v>
      </c>
      <c r="M70" s="178" t="s">
        <v>12</v>
      </c>
      <c r="N70" s="115" t="s">
        <v>10</v>
      </c>
      <c r="O70" s="116" t="s">
        <v>11</v>
      </c>
      <c r="P70" s="178" t="s">
        <v>12</v>
      </c>
      <c r="Q70" s="115" t="s">
        <v>10</v>
      </c>
      <c r="R70" s="116" t="s">
        <v>11</v>
      </c>
      <c r="S70" s="178" t="s">
        <v>12</v>
      </c>
      <c r="T70" s="117" t="s">
        <v>10</v>
      </c>
      <c r="U70" s="118" t="s">
        <v>11</v>
      </c>
      <c r="V70" s="145" t="s">
        <v>12</v>
      </c>
      <c r="W70" s="117" t="s">
        <v>10</v>
      </c>
      <c r="X70" s="118" t="s">
        <v>11</v>
      </c>
      <c r="Y70" s="145" t="s">
        <v>12</v>
      </c>
      <c r="Z70" s="117" t="s">
        <v>10</v>
      </c>
      <c r="AA70" s="118" t="s">
        <v>11</v>
      </c>
      <c r="AB70" s="145" t="s">
        <v>12</v>
      </c>
      <c r="AC70" s="117" t="s">
        <v>10</v>
      </c>
      <c r="AD70" s="118" t="s">
        <v>11</v>
      </c>
      <c r="AE70" s="145" t="s">
        <v>12</v>
      </c>
      <c r="AF70" s="117" t="s">
        <v>10</v>
      </c>
      <c r="AG70" s="118" t="s">
        <v>11</v>
      </c>
      <c r="AH70" s="145" t="s">
        <v>12</v>
      </c>
      <c r="AI70" s="360"/>
      <c r="AJ70" s="6"/>
    </row>
    <row r="71" spans="1:36" s="6" customFormat="1" ht="22.5" customHeight="1" thickTop="1">
      <c r="A71" s="134" t="s">
        <v>8</v>
      </c>
      <c r="B71" s="135" t="e">
        <f>SUM(B72:B96)</f>
        <v>#REF!</v>
      </c>
      <c r="C71" s="136" t="s">
        <v>11</v>
      </c>
      <c r="D71" s="181" t="e">
        <f>SUM(D72:D96)</f>
        <v>#REF!</v>
      </c>
      <c r="E71" s="135" t="e">
        <f>SUM(E72:E96)</f>
        <v>#REF!</v>
      </c>
      <c r="F71" s="136" t="s">
        <v>11</v>
      </c>
      <c r="G71" s="181" t="e">
        <f>SUM(G72:G96)</f>
        <v>#REF!</v>
      </c>
      <c r="H71" s="135" t="e">
        <f>SUM(H72:H96)</f>
        <v>#REF!</v>
      </c>
      <c r="I71" s="136" t="s">
        <v>11</v>
      </c>
      <c r="J71" s="181" t="e">
        <f>SUM(J72:J96)</f>
        <v>#REF!</v>
      </c>
      <c r="K71" s="135" t="e">
        <f>SUM(K72:K96)</f>
        <v>#REF!</v>
      </c>
      <c r="L71" s="136" t="s">
        <v>11</v>
      </c>
      <c r="M71" s="181" t="e">
        <f>SUM(M72:M96)</f>
        <v>#REF!</v>
      </c>
      <c r="N71" s="135" t="e">
        <f>SUM(N72:N96)</f>
        <v>#REF!</v>
      </c>
      <c r="O71" s="136" t="s">
        <v>11</v>
      </c>
      <c r="P71" s="181" t="e">
        <f>SUM(P72:P96)</f>
        <v>#REF!</v>
      </c>
      <c r="Q71" s="135" t="e">
        <f>SUM(Q72:Q96)</f>
        <v>#REF!</v>
      </c>
      <c r="R71" s="136" t="s">
        <v>11</v>
      </c>
      <c r="S71" s="142" t="e">
        <f>SUM(S72:S96)</f>
        <v>#REF!</v>
      </c>
      <c r="T71" s="135">
        <f>SUM(T72:T96)</f>
        <v>0</v>
      </c>
      <c r="U71" s="136" t="s">
        <v>11</v>
      </c>
      <c r="V71" s="142">
        <f>SUM(V72:V96)</f>
        <v>0</v>
      </c>
      <c r="W71" s="135">
        <f>SUM(W72:W96)</f>
        <v>0</v>
      </c>
      <c r="X71" s="136" t="s">
        <v>11</v>
      </c>
      <c r="Y71" s="142">
        <f>SUM(Y72:Y96)</f>
        <v>0</v>
      </c>
      <c r="Z71" s="135">
        <f>SUM(Z72:Z96)</f>
        <v>0</v>
      </c>
      <c r="AA71" s="136" t="s">
        <v>11</v>
      </c>
      <c r="AB71" s="142">
        <f>SUM(AB72:AB96)</f>
        <v>0</v>
      </c>
      <c r="AC71" s="135">
        <f>SUM(AC72:AC96)</f>
        <v>0</v>
      </c>
      <c r="AD71" s="136" t="s">
        <v>11</v>
      </c>
      <c r="AE71" s="142">
        <f>SUM(AE72:AE96)</f>
        <v>0</v>
      </c>
      <c r="AF71" s="135">
        <f>SUM(AF72:AF96)</f>
        <v>0</v>
      </c>
      <c r="AG71" s="136" t="s">
        <v>11</v>
      </c>
      <c r="AH71" s="142">
        <f>SUM(AH72:AH96)</f>
        <v>0</v>
      </c>
      <c r="AI71" s="137"/>
    </row>
    <row r="72" spans="1:36" s="6" customFormat="1" ht="22.5" customHeight="1">
      <c r="A72" s="127" t="s">
        <v>13</v>
      </c>
      <c r="B72" s="111" t="e">
        <f t="shared" ref="B72:B96" si="4">SUM(E72,H72,K72,N72,Q72,T72,W72,Z72,AC72,AF72)</f>
        <v>#REF!</v>
      </c>
      <c r="C72" s="112" t="s">
        <v>11</v>
      </c>
      <c r="D72" s="179" t="e">
        <f t="shared" ref="D72:D96" si="5">SUM(G72,J72,M72,P72,S72,V72,Y72,AB72,AE72,AH72)</f>
        <v>#REF!</v>
      </c>
      <c r="E72" s="111" t="e">
        <f>'(변경)집계표'!K7</f>
        <v>#REF!</v>
      </c>
      <c r="F72" s="112" t="s">
        <v>11</v>
      </c>
      <c r="G72" s="179" t="e">
        <f>'(변경)집계표'!M7</f>
        <v>#REF!</v>
      </c>
      <c r="H72" s="111" t="e">
        <f>'(변경)집계표'!K37</f>
        <v>#REF!</v>
      </c>
      <c r="I72" s="112" t="s">
        <v>11</v>
      </c>
      <c r="J72" s="179" t="e">
        <f>'(변경)집계표'!M37</f>
        <v>#REF!</v>
      </c>
      <c r="K72" s="111" t="e">
        <f>'(변경)집계표'!K67</f>
        <v>#REF!</v>
      </c>
      <c r="L72" s="112" t="s">
        <v>11</v>
      </c>
      <c r="M72" s="179" t="e">
        <f>'(변경)집계표'!M67</f>
        <v>#REF!</v>
      </c>
      <c r="N72" s="111" t="e">
        <f>'(변경)집계표'!K97</f>
        <v>#REF!</v>
      </c>
      <c r="O72" s="112" t="s">
        <v>11</v>
      </c>
      <c r="P72" s="179" t="e">
        <f>'(변경)집계표'!M97</f>
        <v>#REF!</v>
      </c>
      <c r="Q72" s="111" t="e">
        <f>'(변경)집계표'!K127</f>
        <v>#REF!</v>
      </c>
      <c r="R72" s="112" t="s">
        <v>11</v>
      </c>
      <c r="S72" s="140" t="e">
        <f>'(변경)집계표'!M127</f>
        <v>#REF!</v>
      </c>
      <c r="T72" s="111">
        <f>'(변경)집계표'!K157</f>
        <v>0</v>
      </c>
      <c r="U72" s="112" t="s">
        <v>11</v>
      </c>
      <c r="V72" s="140">
        <f>'(변경)집계표'!M157</f>
        <v>0</v>
      </c>
      <c r="W72" s="111">
        <f>'(변경)집계표'!K187</f>
        <v>0</v>
      </c>
      <c r="X72" s="112" t="s">
        <v>11</v>
      </c>
      <c r="Y72" s="140">
        <f>'(변경)집계표'!M187</f>
        <v>0</v>
      </c>
      <c r="Z72" s="111">
        <f>'(변경)집계표'!K217</f>
        <v>0</v>
      </c>
      <c r="AA72" s="112" t="s">
        <v>11</v>
      </c>
      <c r="AB72" s="140">
        <f>'(변경)집계표'!M217</f>
        <v>0</v>
      </c>
      <c r="AC72" s="111">
        <f>'(변경)집계표'!K247</f>
        <v>0</v>
      </c>
      <c r="AD72" s="112" t="s">
        <v>11</v>
      </c>
      <c r="AE72" s="140">
        <f>'(변경)집계표'!M247</f>
        <v>0</v>
      </c>
      <c r="AF72" s="111">
        <f>'(변경)집계표'!K277</f>
        <v>0</v>
      </c>
      <c r="AG72" s="112" t="s">
        <v>11</v>
      </c>
      <c r="AH72" s="140">
        <f>'(변경)집계표'!M277</f>
        <v>0</v>
      </c>
      <c r="AI72" s="128"/>
    </row>
    <row r="73" spans="1:36" s="6" customFormat="1" ht="22.5" customHeight="1">
      <c r="A73" s="127" t="s">
        <v>14</v>
      </c>
      <c r="B73" s="111" t="e">
        <f t="shared" si="4"/>
        <v>#REF!</v>
      </c>
      <c r="C73" s="112" t="s">
        <v>11</v>
      </c>
      <c r="D73" s="179" t="e">
        <f t="shared" si="5"/>
        <v>#REF!</v>
      </c>
      <c r="E73" s="111" t="e">
        <f>'(변경)집계표'!K8</f>
        <v>#REF!</v>
      </c>
      <c r="F73" s="112" t="s">
        <v>11</v>
      </c>
      <c r="G73" s="179" t="e">
        <f>'(변경)집계표'!M8</f>
        <v>#REF!</v>
      </c>
      <c r="H73" s="111" t="e">
        <f>'(변경)집계표'!K38</f>
        <v>#REF!</v>
      </c>
      <c r="I73" s="112" t="s">
        <v>11</v>
      </c>
      <c r="J73" s="179" t="e">
        <f>'(변경)집계표'!M38</f>
        <v>#REF!</v>
      </c>
      <c r="K73" s="111" t="e">
        <f>'(변경)집계표'!K68</f>
        <v>#REF!</v>
      </c>
      <c r="L73" s="112" t="s">
        <v>11</v>
      </c>
      <c r="M73" s="179" t="e">
        <f>'(변경)집계표'!M68</f>
        <v>#REF!</v>
      </c>
      <c r="N73" s="111" t="e">
        <f>'(변경)집계표'!K98</f>
        <v>#REF!</v>
      </c>
      <c r="O73" s="112" t="s">
        <v>11</v>
      </c>
      <c r="P73" s="179" t="e">
        <f>'(변경)집계표'!M98</f>
        <v>#REF!</v>
      </c>
      <c r="Q73" s="111" t="e">
        <f>'(변경)집계표'!K128</f>
        <v>#REF!</v>
      </c>
      <c r="R73" s="112" t="s">
        <v>11</v>
      </c>
      <c r="S73" s="140" t="e">
        <f>'(변경)집계표'!M128</f>
        <v>#REF!</v>
      </c>
      <c r="T73" s="111">
        <f>'(변경)집계표'!K158</f>
        <v>0</v>
      </c>
      <c r="U73" s="112" t="s">
        <v>11</v>
      </c>
      <c r="V73" s="140">
        <f>'(변경)집계표'!M158</f>
        <v>0</v>
      </c>
      <c r="W73" s="111">
        <f>'(변경)집계표'!K188</f>
        <v>0</v>
      </c>
      <c r="X73" s="112" t="s">
        <v>11</v>
      </c>
      <c r="Y73" s="140">
        <f>'(변경)집계표'!M188</f>
        <v>0</v>
      </c>
      <c r="Z73" s="111">
        <f>'(변경)집계표'!K218</f>
        <v>0</v>
      </c>
      <c r="AA73" s="112" t="s">
        <v>11</v>
      </c>
      <c r="AB73" s="140">
        <f>'(변경)집계표'!M218</f>
        <v>0</v>
      </c>
      <c r="AC73" s="111">
        <f>'(변경)집계표'!K248</f>
        <v>0</v>
      </c>
      <c r="AD73" s="112" t="s">
        <v>11</v>
      </c>
      <c r="AE73" s="140">
        <f>'(변경)집계표'!M248</f>
        <v>0</v>
      </c>
      <c r="AF73" s="111">
        <f>'(변경)집계표'!K278</f>
        <v>0</v>
      </c>
      <c r="AG73" s="112" t="s">
        <v>11</v>
      </c>
      <c r="AH73" s="140">
        <f>'(변경)집계표'!M278</f>
        <v>0</v>
      </c>
      <c r="AI73" s="128"/>
    </row>
    <row r="74" spans="1:36" s="6" customFormat="1" ht="22.5" customHeight="1">
      <c r="A74" s="127" t="s">
        <v>15</v>
      </c>
      <c r="B74" s="111" t="e">
        <f t="shared" si="4"/>
        <v>#REF!</v>
      </c>
      <c r="C74" s="112" t="s">
        <v>11</v>
      </c>
      <c r="D74" s="179" t="e">
        <f t="shared" si="5"/>
        <v>#REF!</v>
      </c>
      <c r="E74" s="111" t="e">
        <f>'(변경)집계표'!K9</f>
        <v>#REF!</v>
      </c>
      <c r="F74" s="112" t="s">
        <v>11</v>
      </c>
      <c r="G74" s="179" t="e">
        <f>'(변경)집계표'!M9</f>
        <v>#REF!</v>
      </c>
      <c r="H74" s="111" t="e">
        <f>'(변경)집계표'!K39</f>
        <v>#REF!</v>
      </c>
      <c r="I74" s="112" t="s">
        <v>11</v>
      </c>
      <c r="J74" s="179" t="e">
        <f>'(변경)집계표'!M39</f>
        <v>#REF!</v>
      </c>
      <c r="K74" s="111" t="e">
        <f>'(변경)집계표'!K69</f>
        <v>#REF!</v>
      </c>
      <c r="L74" s="112" t="s">
        <v>11</v>
      </c>
      <c r="M74" s="179" t="e">
        <f>'(변경)집계표'!M69</f>
        <v>#REF!</v>
      </c>
      <c r="N74" s="111" t="e">
        <f>'(변경)집계표'!K99</f>
        <v>#REF!</v>
      </c>
      <c r="O74" s="112" t="s">
        <v>11</v>
      </c>
      <c r="P74" s="179" t="e">
        <f>'(변경)집계표'!M99</f>
        <v>#REF!</v>
      </c>
      <c r="Q74" s="111" t="e">
        <f>'(변경)집계표'!K129</f>
        <v>#REF!</v>
      </c>
      <c r="R74" s="112" t="s">
        <v>11</v>
      </c>
      <c r="S74" s="140" t="e">
        <f>'(변경)집계표'!M129</f>
        <v>#REF!</v>
      </c>
      <c r="T74" s="111">
        <f>'(변경)집계표'!K159</f>
        <v>0</v>
      </c>
      <c r="U74" s="112" t="s">
        <v>11</v>
      </c>
      <c r="V74" s="140">
        <f>'(변경)집계표'!M159</f>
        <v>0</v>
      </c>
      <c r="W74" s="111">
        <f>'(변경)집계표'!K189</f>
        <v>0</v>
      </c>
      <c r="X74" s="112" t="s">
        <v>11</v>
      </c>
      <c r="Y74" s="140">
        <f>'(변경)집계표'!M189</f>
        <v>0</v>
      </c>
      <c r="Z74" s="111">
        <f>'(변경)집계표'!K219</f>
        <v>0</v>
      </c>
      <c r="AA74" s="112" t="s">
        <v>11</v>
      </c>
      <c r="AB74" s="140">
        <f>'(변경)집계표'!M219</f>
        <v>0</v>
      </c>
      <c r="AC74" s="111">
        <f>'(변경)집계표'!K249</f>
        <v>0</v>
      </c>
      <c r="AD74" s="112" t="s">
        <v>11</v>
      </c>
      <c r="AE74" s="140">
        <f>'(변경)집계표'!M249</f>
        <v>0</v>
      </c>
      <c r="AF74" s="111">
        <f>'(변경)집계표'!K279</f>
        <v>0</v>
      </c>
      <c r="AG74" s="112" t="s">
        <v>11</v>
      </c>
      <c r="AH74" s="140">
        <f>'(변경)집계표'!M279</f>
        <v>0</v>
      </c>
      <c r="AI74" s="128"/>
    </row>
    <row r="75" spans="1:36" s="6" customFormat="1" ht="22.5" customHeight="1">
      <c r="A75" s="127" t="s">
        <v>16</v>
      </c>
      <c r="B75" s="111" t="e">
        <f t="shared" si="4"/>
        <v>#REF!</v>
      </c>
      <c r="C75" s="112" t="s">
        <v>11</v>
      </c>
      <c r="D75" s="179" t="e">
        <f t="shared" si="5"/>
        <v>#REF!</v>
      </c>
      <c r="E75" s="111" t="e">
        <f>'(변경)집계표'!K10</f>
        <v>#REF!</v>
      </c>
      <c r="F75" s="112" t="s">
        <v>11</v>
      </c>
      <c r="G75" s="179" t="e">
        <f>'(변경)집계표'!M10</f>
        <v>#REF!</v>
      </c>
      <c r="H75" s="111" t="e">
        <f>'(변경)집계표'!K40</f>
        <v>#REF!</v>
      </c>
      <c r="I75" s="112" t="s">
        <v>11</v>
      </c>
      <c r="J75" s="179" t="e">
        <f>'(변경)집계표'!M40</f>
        <v>#REF!</v>
      </c>
      <c r="K75" s="111" t="e">
        <f>'(변경)집계표'!K70</f>
        <v>#REF!</v>
      </c>
      <c r="L75" s="112" t="s">
        <v>11</v>
      </c>
      <c r="M75" s="179" t="e">
        <f>'(변경)집계표'!M70</f>
        <v>#REF!</v>
      </c>
      <c r="N75" s="111" t="e">
        <f>'(변경)집계표'!K100</f>
        <v>#REF!</v>
      </c>
      <c r="O75" s="112" t="s">
        <v>11</v>
      </c>
      <c r="P75" s="179" t="e">
        <f>'(변경)집계표'!M100</f>
        <v>#REF!</v>
      </c>
      <c r="Q75" s="111" t="e">
        <f>'(변경)집계표'!K130</f>
        <v>#REF!</v>
      </c>
      <c r="R75" s="112" t="s">
        <v>11</v>
      </c>
      <c r="S75" s="140" t="e">
        <f>'(변경)집계표'!M130</f>
        <v>#REF!</v>
      </c>
      <c r="T75" s="111">
        <f>'(변경)집계표'!K160</f>
        <v>0</v>
      </c>
      <c r="U75" s="112" t="s">
        <v>11</v>
      </c>
      <c r="V75" s="140">
        <f>'(변경)집계표'!M160</f>
        <v>0</v>
      </c>
      <c r="W75" s="111">
        <f>'(변경)집계표'!K190</f>
        <v>0</v>
      </c>
      <c r="X75" s="112" t="s">
        <v>11</v>
      </c>
      <c r="Y75" s="140">
        <f>'(변경)집계표'!M190</f>
        <v>0</v>
      </c>
      <c r="Z75" s="111">
        <f>'(변경)집계표'!K220</f>
        <v>0</v>
      </c>
      <c r="AA75" s="112" t="s">
        <v>11</v>
      </c>
      <c r="AB75" s="140">
        <f>'(변경)집계표'!M220</f>
        <v>0</v>
      </c>
      <c r="AC75" s="111">
        <f>'(변경)집계표'!K250</f>
        <v>0</v>
      </c>
      <c r="AD75" s="112" t="s">
        <v>11</v>
      </c>
      <c r="AE75" s="140">
        <f>'(변경)집계표'!M250</f>
        <v>0</v>
      </c>
      <c r="AF75" s="111">
        <f>'(변경)집계표'!K280</f>
        <v>0</v>
      </c>
      <c r="AG75" s="112" t="s">
        <v>11</v>
      </c>
      <c r="AH75" s="140">
        <f>'(변경)집계표'!M280</f>
        <v>0</v>
      </c>
      <c r="AI75" s="128"/>
    </row>
    <row r="76" spans="1:36" s="6" customFormat="1" ht="22.5" customHeight="1">
      <c r="A76" s="127" t="s">
        <v>17</v>
      </c>
      <c r="B76" s="111" t="e">
        <f t="shared" si="4"/>
        <v>#REF!</v>
      </c>
      <c r="C76" s="112" t="s">
        <v>11</v>
      </c>
      <c r="D76" s="179" t="e">
        <f t="shared" si="5"/>
        <v>#REF!</v>
      </c>
      <c r="E76" s="111" t="e">
        <f>'(변경)집계표'!K11</f>
        <v>#REF!</v>
      </c>
      <c r="F76" s="112" t="s">
        <v>11</v>
      </c>
      <c r="G76" s="179" t="e">
        <f>'(변경)집계표'!M11</f>
        <v>#REF!</v>
      </c>
      <c r="H76" s="111" t="e">
        <f>'(변경)집계표'!K41</f>
        <v>#REF!</v>
      </c>
      <c r="I76" s="112" t="s">
        <v>11</v>
      </c>
      <c r="J76" s="179" t="e">
        <f>'(변경)집계표'!M41</f>
        <v>#REF!</v>
      </c>
      <c r="K76" s="111" t="e">
        <f>'(변경)집계표'!K71</f>
        <v>#REF!</v>
      </c>
      <c r="L76" s="112" t="s">
        <v>11</v>
      </c>
      <c r="M76" s="179" t="e">
        <f>'(변경)집계표'!M71</f>
        <v>#REF!</v>
      </c>
      <c r="N76" s="111" t="e">
        <f>'(변경)집계표'!K101</f>
        <v>#REF!</v>
      </c>
      <c r="O76" s="112" t="s">
        <v>11</v>
      </c>
      <c r="P76" s="179" t="e">
        <f>'(변경)집계표'!M101</f>
        <v>#REF!</v>
      </c>
      <c r="Q76" s="111" t="e">
        <f>'(변경)집계표'!K131</f>
        <v>#REF!</v>
      </c>
      <c r="R76" s="112" t="s">
        <v>11</v>
      </c>
      <c r="S76" s="140" t="e">
        <f>'(변경)집계표'!M131</f>
        <v>#REF!</v>
      </c>
      <c r="T76" s="111">
        <f>'(변경)집계표'!K161</f>
        <v>0</v>
      </c>
      <c r="U76" s="112" t="s">
        <v>11</v>
      </c>
      <c r="V76" s="140">
        <f>'(변경)집계표'!M161</f>
        <v>0</v>
      </c>
      <c r="W76" s="111">
        <f>'(변경)집계표'!K191</f>
        <v>0</v>
      </c>
      <c r="X76" s="112" t="s">
        <v>11</v>
      </c>
      <c r="Y76" s="140">
        <f>'(변경)집계표'!M191</f>
        <v>0</v>
      </c>
      <c r="Z76" s="111">
        <f>'(변경)집계표'!K221</f>
        <v>0</v>
      </c>
      <c r="AA76" s="112" t="s">
        <v>11</v>
      </c>
      <c r="AB76" s="140">
        <f>'(변경)집계표'!M221</f>
        <v>0</v>
      </c>
      <c r="AC76" s="111">
        <f>'(변경)집계표'!K251</f>
        <v>0</v>
      </c>
      <c r="AD76" s="112" t="s">
        <v>11</v>
      </c>
      <c r="AE76" s="140">
        <f>'(변경)집계표'!M251</f>
        <v>0</v>
      </c>
      <c r="AF76" s="111">
        <f>'(변경)집계표'!K281</f>
        <v>0</v>
      </c>
      <c r="AG76" s="112" t="s">
        <v>11</v>
      </c>
      <c r="AH76" s="140">
        <f>'(변경)집계표'!M281</f>
        <v>0</v>
      </c>
      <c r="AI76" s="128"/>
    </row>
    <row r="77" spans="1:36" s="6" customFormat="1" ht="22.5" customHeight="1">
      <c r="A77" s="127" t="s">
        <v>18</v>
      </c>
      <c r="B77" s="111" t="e">
        <f t="shared" si="4"/>
        <v>#REF!</v>
      </c>
      <c r="C77" s="112" t="s">
        <v>11</v>
      </c>
      <c r="D77" s="179" t="e">
        <f t="shared" si="5"/>
        <v>#REF!</v>
      </c>
      <c r="E77" s="111" t="e">
        <f>'(변경)집계표'!K12</f>
        <v>#REF!</v>
      </c>
      <c r="F77" s="112" t="s">
        <v>11</v>
      </c>
      <c r="G77" s="179" t="e">
        <f>'(변경)집계표'!M12</f>
        <v>#REF!</v>
      </c>
      <c r="H77" s="111" t="e">
        <f>'(변경)집계표'!K42</f>
        <v>#REF!</v>
      </c>
      <c r="I77" s="112" t="s">
        <v>11</v>
      </c>
      <c r="J77" s="179" t="e">
        <f>'(변경)집계표'!M42</f>
        <v>#REF!</v>
      </c>
      <c r="K77" s="111" t="e">
        <f>'(변경)집계표'!K72</f>
        <v>#REF!</v>
      </c>
      <c r="L77" s="112" t="s">
        <v>11</v>
      </c>
      <c r="M77" s="179" t="e">
        <f>'(변경)집계표'!M72</f>
        <v>#REF!</v>
      </c>
      <c r="N77" s="111" t="e">
        <f>'(변경)집계표'!K102</f>
        <v>#REF!</v>
      </c>
      <c r="O77" s="112" t="s">
        <v>11</v>
      </c>
      <c r="P77" s="179" t="e">
        <f>'(변경)집계표'!M102</f>
        <v>#REF!</v>
      </c>
      <c r="Q77" s="111" t="e">
        <f>'(변경)집계표'!K132</f>
        <v>#REF!</v>
      </c>
      <c r="R77" s="112" t="s">
        <v>11</v>
      </c>
      <c r="S77" s="140" t="e">
        <f>'(변경)집계표'!M132</f>
        <v>#REF!</v>
      </c>
      <c r="T77" s="111">
        <f>'(변경)집계표'!K162</f>
        <v>0</v>
      </c>
      <c r="U77" s="112" t="s">
        <v>11</v>
      </c>
      <c r="V77" s="140">
        <f>'(변경)집계표'!M162</f>
        <v>0</v>
      </c>
      <c r="W77" s="111">
        <f>'(변경)집계표'!K192</f>
        <v>0</v>
      </c>
      <c r="X77" s="112" t="s">
        <v>11</v>
      </c>
      <c r="Y77" s="140">
        <f>'(변경)집계표'!M192</f>
        <v>0</v>
      </c>
      <c r="Z77" s="111">
        <f>'(변경)집계표'!K222</f>
        <v>0</v>
      </c>
      <c r="AA77" s="112" t="s">
        <v>11</v>
      </c>
      <c r="AB77" s="140">
        <f>'(변경)집계표'!M222</f>
        <v>0</v>
      </c>
      <c r="AC77" s="111">
        <f>'(변경)집계표'!K252</f>
        <v>0</v>
      </c>
      <c r="AD77" s="112" t="s">
        <v>11</v>
      </c>
      <c r="AE77" s="140">
        <f>'(변경)집계표'!M252</f>
        <v>0</v>
      </c>
      <c r="AF77" s="111">
        <f>'(변경)집계표'!K282</f>
        <v>0</v>
      </c>
      <c r="AG77" s="112" t="s">
        <v>11</v>
      </c>
      <c r="AH77" s="140">
        <f>'(변경)집계표'!M282</f>
        <v>0</v>
      </c>
      <c r="AI77" s="128"/>
    </row>
    <row r="78" spans="1:36" s="6" customFormat="1" ht="22.5" customHeight="1">
      <c r="A78" s="127" t="s">
        <v>19</v>
      </c>
      <c r="B78" s="111" t="e">
        <f t="shared" si="4"/>
        <v>#REF!</v>
      </c>
      <c r="C78" s="112" t="s">
        <v>11</v>
      </c>
      <c r="D78" s="179" t="e">
        <f t="shared" si="5"/>
        <v>#REF!</v>
      </c>
      <c r="E78" s="111" t="e">
        <f>'(변경)집계표'!K13</f>
        <v>#REF!</v>
      </c>
      <c r="F78" s="112" t="s">
        <v>11</v>
      </c>
      <c r="G78" s="179" t="e">
        <f>'(변경)집계표'!M13</f>
        <v>#REF!</v>
      </c>
      <c r="H78" s="111" t="e">
        <f>'(변경)집계표'!K43</f>
        <v>#REF!</v>
      </c>
      <c r="I78" s="112" t="s">
        <v>11</v>
      </c>
      <c r="J78" s="179" t="e">
        <f>'(변경)집계표'!M43</f>
        <v>#REF!</v>
      </c>
      <c r="K78" s="111" t="e">
        <f>'(변경)집계표'!K73</f>
        <v>#REF!</v>
      </c>
      <c r="L78" s="112" t="s">
        <v>11</v>
      </c>
      <c r="M78" s="179" t="e">
        <f>'(변경)집계표'!M73</f>
        <v>#REF!</v>
      </c>
      <c r="N78" s="111" t="e">
        <f>'(변경)집계표'!K103</f>
        <v>#REF!</v>
      </c>
      <c r="O78" s="112" t="s">
        <v>11</v>
      </c>
      <c r="P78" s="179" t="e">
        <f>'(변경)집계표'!M103</f>
        <v>#REF!</v>
      </c>
      <c r="Q78" s="111" t="e">
        <f>'(변경)집계표'!K133</f>
        <v>#REF!</v>
      </c>
      <c r="R78" s="112" t="s">
        <v>11</v>
      </c>
      <c r="S78" s="140" t="e">
        <f>'(변경)집계표'!M133</f>
        <v>#REF!</v>
      </c>
      <c r="T78" s="111">
        <f>'(변경)집계표'!K163</f>
        <v>0</v>
      </c>
      <c r="U78" s="112" t="s">
        <v>11</v>
      </c>
      <c r="V78" s="140">
        <f>'(변경)집계표'!M163</f>
        <v>0</v>
      </c>
      <c r="W78" s="111">
        <f>'(변경)집계표'!K193</f>
        <v>0</v>
      </c>
      <c r="X78" s="112" t="s">
        <v>11</v>
      </c>
      <c r="Y78" s="140">
        <f>'(변경)집계표'!M193</f>
        <v>0</v>
      </c>
      <c r="Z78" s="111">
        <f>'(변경)집계표'!K223</f>
        <v>0</v>
      </c>
      <c r="AA78" s="112" t="s">
        <v>11</v>
      </c>
      <c r="AB78" s="140">
        <f>'(변경)집계표'!M223</f>
        <v>0</v>
      </c>
      <c r="AC78" s="111">
        <f>'(변경)집계표'!K253</f>
        <v>0</v>
      </c>
      <c r="AD78" s="112" t="s">
        <v>11</v>
      </c>
      <c r="AE78" s="140">
        <f>'(변경)집계표'!M253</f>
        <v>0</v>
      </c>
      <c r="AF78" s="111">
        <f>'(변경)집계표'!K283</f>
        <v>0</v>
      </c>
      <c r="AG78" s="112" t="s">
        <v>11</v>
      </c>
      <c r="AH78" s="140">
        <f>'(변경)집계표'!M283</f>
        <v>0</v>
      </c>
      <c r="AI78" s="128"/>
    </row>
    <row r="79" spans="1:36" s="6" customFormat="1" ht="22.5" customHeight="1">
      <c r="A79" s="127" t="s">
        <v>20</v>
      </c>
      <c r="B79" s="111" t="e">
        <f t="shared" si="4"/>
        <v>#REF!</v>
      </c>
      <c r="C79" s="112" t="s">
        <v>11</v>
      </c>
      <c r="D79" s="179" t="e">
        <f t="shared" si="5"/>
        <v>#REF!</v>
      </c>
      <c r="E79" s="111" t="e">
        <f>'(변경)집계표'!K14</f>
        <v>#REF!</v>
      </c>
      <c r="F79" s="112" t="s">
        <v>11</v>
      </c>
      <c r="G79" s="179" t="e">
        <f>'(변경)집계표'!M14</f>
        <v>#REF!</v>
      </c>
      <c r="H79" s="111" t="e">
        <f>'(변경)집계표'!K44</f>
        <v>#REF!</v>
      </c>
      <c r="I79" s="112" t="s">
        <v>11</v>
      </c>
      <c r="J79" s="179" t="e">
        <f>'(변경)집계표'!M44</f>
        <v>#REF!</v>
      </c>
      <c r="K79" s="111" t="e">
        <f>'(변경)집계표'!K74</f>
        <v>#REF!</v>
      </c>
      <c r="L79" s="112" t="s">
        <v>11</v>
      </c>
      <c r="M79" s="179" t="e">
        <f>'(변경)집계표'!M74</f>
        <v>#REF!</v>
      </c>
      <c r="N79" s="111" t="e">
        <f>'(변경)집계표'!K104</f>
        <v>#REF!</v>
      </c>
      <c r="O79" s="112" t="s">
        <v>11</v>
      </c>
      <c r="P79" s="179" t="e">
        <f>'(변경)집계표'!M104</f>
        <v>#REF!</v>
      </c>
      <c r="Q79" s="111" t="e">
        <f>'(변경)집계표'!K134</f>
        <v>#REF!</v>
      </c>
      <c r="R79" s="112" t="s">
        <v>11</v>
      </c>
      <c r="S79" s="140" t="e">
        <f>'(변경)집계표'!M134</f>
        <v>#REF!</v>
      </c>
      <c r="T79" s="111">
        <f>'(변경)집계표'!K164</f>
        <v>0</v>
      </c>
      <c r="U79" s="112" t="s">
        <v>11</v>
      </c>
      <c r="V79" s="140">
        <f>'(변경)집계표'!M164</f>
        <v>0</v>
      </c>
      <c r="W79" s="111">
        <f>'(변경)집계표'!K194</f>
        <v>0</v>
      </c>
      <c r="X79" s="112" t="s">
        <v>11</v>
      </c>
      <c r="Y79" s="140">
        <f>'(변경)집계표'!M194</f>
        <v>0</v>
      </c>
      <c r="Z79" s="111">
        <f>'(변경)집계표'!K224</f>
        <v>0</v>
      </c>
      <c r="AA79" s="112" t="s">
        <v>11</v>
      </c>
      <c r="AB79" s="140">
        <f>'(변경)집계표'!M224</f>
        <v>0</v>
      </c>
      <c r="AC79" s="111">
        <f>'(변경)집계표'!K254</f>
        <v>0</v>
      </c>
      <c r="AD79" s="112" t="s">
        <v>11</v>
      </c>
      <c r="AE79" s="140">
        <f>'(변경)집계표'!M254</f>
        <v>0</v>
      </c>
      <c r="AF79" s="111">
        <f>'(변경)집계표'!K284</f>
        <v>0</v>
      </c>
      <c r="AG79" s="112" t="s">
        <v>11</v>
      </c>
      <c r="AH79" s="140">
        <f>'(변경)집계표'!M284</f>
        <v>0</v>
      </c>
      <c r="AI79" s="128"/>
    </row>
    <row r="80" spans="1:36" s="6" customFormat="1" ht="22.5" customHeight="1">
      <c r="A80" s="127" t="s">
        <v>21</v>
      </c>
      <c r="B80" s="111" t="e">
        <f t="shared" si="4"/>
        <v>#REF!</v>
      </c>
      <c r="C80" s="112" t="s">
        <v>11</v>
      </c>
      <c r="D80" s="179" t="e">
        <f t="shared" si="5"/>
        <v>#REF!</v>
      </c>
      <c r="E80" s="111" t="e">
        <f>'(변경)집계표'!K15</f>
        <v>#REF!</v>
      </c>
      <c r="F80" s="112" t="s">
        <v>11</v>
      </c>
      <c r="G80" s="179" t="e">
        <f>'(변경)집계표'!M15</f>
        <v>#REF!</v>
      </c>
      <c r="H80" s="111" t="e">
        <f>'(변경)집계표'!K45</f>
        <v>#REF!</v>
      </c>
      <c r="I80" s="112" t="s">
        <v>11</v>
      </c>
      <c r="J80" s="179" t="e">
        <f>'(변경)집계표'!M45</f>
        <v>#REF!</v>
      </c>
      <c r="K80" s="111" t="e">
        <f>'(변경)집계표'!K75</f>
        <v>#REF!</v>
      </c>
      <c r="L80" s="112" t="s">
        <v>11</v>
      </c>
      <c r="M80" s="179" t="e">
        <f>'(변경)집계표'!M75</f>
        <v>#REF!</v>
      </c>
      <c r="N80" s="111" t="e">
        <f>'(변경)집계표'!K105</f>
        <v>#REF!</v>
      </c>
      <c r="O80" s="112" t="s">
        <v>11</v>
      </c>
      <c r="P80" s="179" t="e">
        <f>'(변경)집계표'!M105</f>
        <v>#REF!</v>
      </c>
      <c r="Q80" s="111" t="e">
        <f>'(변경)집계표'!K135</f>
        <v>#REF!</v>
      </c>
      <c r="R80" s="112" t="s">
        <v>11</v>
      </c>
      <c r="S80" s="140" t="e">
        <f>'(변경)집계표'!M135</f>
        <v>#REF!</v>
      </c>
      <c r="T80" s="111">
        <f>'(변경)집계표'!K165</f>
        <v>0</v>
      </c>
      <c r="U80" s="112" t="s">
        <v>11</v>
      </c>
      <c r="V80" s="140">
        <f>'(변경)집계표'!M165</f>
        <v>0</v>
      </c>
      <c r="W80" s="111">
        <f>'(변경)집계표'!K195</f>
        <v>0</v>
      </c>
      <c r="X80" s="112" t="s">
        <v>11</v>
      </c>
      <c r="Y80" s="140">
        <f>'(변경)집계표'!M195</f>
        <v>0</v>
      </c>
      <c r="Z80" s="111">
        <f>'(변경)집계표'!K225</f>
        <v>0</v>
      </c>
      <c r="AA80" s="112" t="s">
        <v>11</v>
      </c>
      <c r="AB80" s="140">
        <f>'(변경)집계표'!M225</f>
        <v>0</v>
      </c>
      <c r="AC80" s="111">
        <f>'(변경)집계표'!K255</f>
        <v>0</v>
      </c>
      <c r="AD80" s="112" t="s">
        <v>11</v>
      </c>
      <c r="AE80" s="140">
        <f>'(변경)집계표'!M255</f>
        <v>0</v>
      </c>
      <c r="AF80" s="111">
        <f>'(변경)집계표'!K285</f>
        <v>0</v>
      </c>
      <c r="AG80" s="112" t="s">
        <v>11</v>
      </c>
      <c r="AH80" s="140">
        <f>'(변경)집계표'!M285</f>
        <v>0</v>
      </c>
      <c r="AI80" s="128"/>
    </row>
    <row r="81" spans="1:36" s="6" customFormat="1" ht="22.5" customHeight="1">
      <c r="A81" s="127" t="s">
        <v>22</v>
      </c>
      <c r="B81" s="111" t="e">
        <f t="shared" si="4"/>
        <v>#REF!</v>
      </c>
      <c r="C81" s="112" t="s">
        <v>11</v>
      </c>
      <c r="D81" s="179" t="e">
        <f t="shared" si="5"/>
        <v>#REF!</v>
      </c>
      <c r="E81" s="111" t="e">
        <f>'(변경)집계표'!K16</f>
        <v>#REF!</v>
      </c>
      <c r="F81" s="112" t="s">
        <v>11</v>
      </c>
      <c r="G81" s="179" t="e">
        <f>'(변경)집계표'!M16</f>
        <v>#REF!</v>
      </c>
      <c r="H81" s="111" t="e">
        <f>'(변경)집계표'!K46</f>
        <v>#REF!</v>
      </c>
      <c r="I81" s="112" t="s">
        <v>11</v>
      </c>
      <c r="J81" s="179" t="e">
        <f>'(변경)집계표'!M46</f>
        <v>#REF!</v>
      </c>
      <c r="K81" s="111" t="e">
        <f>'(변경)집계표'!K76</f>
        <v>#REF!</v>
      </c>
      <c r="L81" s="112" t="s">
        <v>11</v>
      </c>
      <c r="M81" s="179" t="e">
        <f>'(변경)집계표'!M76</f>
        <v>#REF!</v>
      </c>
      <c r="N81" s="111" t="e">
        <f>'(변경)집계표'!K106</f>
        <v>#REF!</v>
      </c>
      <c r="O81" s="112" t="s">
        <v>11</v>
      </c>
      <c r="P81" s="179" t="e">
        <f>'(변경)집계표'!M106</f>
        <v>#REF!</v>
      </c>
      <c r="Q81" s="111" t="e">
        <f>'(변경)집계표'!K136</f>
        <v>#REF!</v>
      </c>
      <c r="R81" s="112" t="s">
        <v>11</v>
      </c>
      <c r="S81" s="140" t="e">
        <f>'(변경)집계표'!M136</f>
        <v>#REF!</v>
      </c>
      <c r="T81" s="111">
        <f>'(변경)집계표'!K166</f>
        <v>0</v>
      </c>
      <c r="U81" s="112" t="s">
        <v>11</v>
      </c>
      <c r="V81" s="140">
        <f>'(변경)집계표'!M166</f>
        <v>0</v>
      </c>
      <c r="W81" s="111">
        <f>'(변경)집계표'!K196</f>
        <v>0</v>
      </c>
      <c r="X81" s="112" t="s">
        <v>11</v>
      </c>
      <c r="Y81" s="140">
        <f>'(변경)집계표'!M196</f>
        <v>0</v>
      </c>
      <c r="Z81" s="111">
        <f>'(변경)집계표'!K226</f>
        <v>0</v>
      </c>
      <c r="AA81" s="112" t="s">
        <v>11</v>
      </c>
      <c r="AB81" s="140">
        <f>'(변경)집계표'!M226</f>
        <v>0</v>
      </c>
      <c r="AC81" s="111">
        <f>'(변경)집계표'!K256</f>
        <v>0</v>
      </c>
      <c r="AD81" s="112" t="s">
        <v>11</v>
      </c>
      <c r="AE81" s="140">
        <f>'(변경)집계표'!M256</f>
        <v>0</v>
      </c>
      <c r="AF81" s="111">
        <f>'(변경)집계표'!K286</f>
        <v>0</v>
      </c>
      <c r="AG81" s="112" t="s">
        <v>11</v>
      </c>
      <c r="AH81" s="140">
        <f>'(변경)집계표'!M286</f>
        <v>0</v>
      </c>
      <c r="AI81" s="128"/>
    </row>
    <row r="82" spans="1:36" s="6" customFormat="1" ht="22.5" customHeight="1">
      <c r="A82" s="127" t="s">
        <v>23</v>
      </c>
      <c r="B82" s="111" t="e">
        <f t="shared" si="4"/>
        <v>#REF!</v>
      </c>
      <c r="C82" s="112" t="s">
        <v>11</v>
      </c>
      <c r="D82" s="179" t="e">
        <f t="shared" si="5"/>
        <v>#REF!</v>
      </c>
      <c r="E82" s="111" t="e">
        <f>'(변경)집계표'!K17</f>
        <v>#REF!</v>
      </c>
      <c r="F82" s="112" t="s">
        <v>11</v>
      </c>
      <c r="G82" s="179" t="e">
        <f>'(변경)집계표'!M17</f>
        <v>#REF!</v>
      </c>
      <c r="H82" s="111" t="e">
        <f>'(변경)집계표'!K47</f>
        <v>#REF!</v>
      </c>
      <c r="I82" s="112" t="s">
        <v>11</v>
      </c>
      <c r="J82" s="179" t="e">
        <f>'(변경)집계표'!M47</f>
        <v>#REF!</v>
      </c>
      <c r="K82" s="111" t="e">
        <f>'(변경)집계표'!K77</f>
        <v>#REF!</v>
      </c>
      <c r="L82" s="112" t="s">
        <v>11</v>
      </c>
      <c r="M82" s="179" t="e">
        <f>'(변경)집계표'!M77</f>
        <v>#REF!</v>
      </c>
      <c r="N82" s="111" t="e">
        <f>'(변경)집계표'!K107</f>
        <v>#REF!</v>
      </c>
      <c r="O82" s="112" t="s">
        <v>11</v>
      </c>
      <c r="P82" s="179" t="e">
        <f>'(변경)집계표'!M107</f>
        <v>#REF!</v>
      </c>
      <c r="Q82" s="111" t="e">
        <f>'(변경)집계표'!K137</f>
        <v>#REF!</v>
      </c>
      <c r="R82" s="112" t="s">
        <v>11</v>
      </c>
      <c r="S82" s="140" t="e">
        <f>'(변경)집계표'!M137</f>
        <v>#REF!</v>
      </c>
      <c r="T82" s="111">
        <f>'(변경)집계표'!K167</f>
        <v>0</v>
      </c>
      <c r="U82" s="112" t="s">
        <v>11</v>
      </c>
      <c r="V82" s="140">
        <f>'(변경)집계표'!M167</f>
        <v>0</v>
      </c>
      <c r="W82" s="111">
        <f>'(변경)집계표'!K197</f>
        <v>0</v>
      </c>
      <c r="X82" s="112" t="s">
        <v>11</v>
      </c>
      <c r="Y82" s="140">
        <f>'(변경)집계표'!M197</f>
        <v>0</v>
      </c>
      <c r="Z82" s="111">
        <f>'(변경)집계표'!K227</f>
        <v>0</v>
      </c>
      <c r="AA82" s="112" t="s">
        <v>11</v>
      </c>
      <c r="AB82" s="140">
        <f>'(변경)집계표'!M227</f>
        <v>0</v>
      </c>
      <c r="AC82" s="111">
        <f>'(변경)집계표'!K257</f>
        <v>0</v>
      </c>
      <c r="AD82" s="112" t="s">
        <v>11</v>
      </c>
      <c r="AE82" s="140">
        <f>'(변경)집계표'!M257</f>
        <v>0</v>
      </c>
      <c r="AF82" s="111">
        <f>'(변경)집계표'!K287</f>
        <v>0</v>
      </c>
      <c r="AG82" s="112" t="s">
        <v>11</v>
      </c>
      <c r="AH82" s="140">
        <f>'(변경)집계표'!M287</f>
        <v>0</v>
      </c>
      <c r="AI82" s="128"/>
    </row>
    <row r="83" spans="1:36" s="7" customFormat="1" ht="22.5" customHeight="1">
      <c r="A83" s="127" t="s">
        <v>24</v>
      </c>
      <c r="B83" s="111" t="e">
        <f t="shared" si="4"/>
        <v>#REF!</v>
      </c>
      <c r="C83" s="112" t="s">
        <v>11</v>
      </c>
      <c r="D83" s="179" t="e">
        <f t="shared" si="5"/>
        <v>#REF!</v>
      </c>
      <c r="E83" s="111" t="e">
        <f>'(변경)집계표'!K18</f>
        <v>#REF!</v>
      </c>
      <c r="F83" s="112" t="s">
        <v>11</v>
      </c>
      <c r="G83" s="179" t="e">
        <f>'(변경)집계표'!M18</f>
        <v>#REF!</v>
      </c>
      <c r="H83" s="111" t="e">
        <f>'(변경)집계표'!K48</f>
        <v>#REF!</v>
      </c>
      <c r="I83" s="112" t="s">
        <v>11</v>
      </c>
      <c r="J83" s="179" t="e">
        <f>'(변경)집계표'!M48</f>
        <v>#REF!</v>
      </c>
      <c r="K83" s="111" t="e">
        <f>'(변경)집계표'!K78</f>
        <v>#REF!</v>
      </c>
      <c r="L83" s="112" t="s">
        <v>11</v>
      </c>
      <c r="M83" s="179" t="e">
        <f>'(변경)집계표'!M78</f>
        <v>#REF!</v>
      </c>
      <c r="N83" s="111" t="e">
        <f>'(변경)집계표'!K108</f>
        <v>#REF!</v>
      </c>
      <c r="O83" s="112" t="s">
        <v>11</v>
      </c>
      <c r="P83" s="179" t="e">
        <f>'(변경)집계표'!M108</f>
        <v>#REF!</v>
      </c>
      <c r="Q83" s="111" t="e">
        <f>'(변경)집계표'!K138</f>
        <v>#REF!</v>
      </c>
      <c r="R83" s="112" t="s">
        <v>11</v>
      </c>
      <c r="S83" s="140" t="e">
        <f>'(변경)집계표'!M138</f>
        <v>#REF!</v>
      </c>
      <c r="T83" s="111">
        <f>'(변경)집계표'!K168</f>
        <v>0</v>
      </c>
      <c r="U83" s="112" t="s">
        <v>11</v>
      </c>
      <c r="V83" s="140">
        <f>'(변경)집계표'!M168</f>
        <v>0</v>
      </c>
      <c r="W83" s="111">
        <f>'(변경)집계표'!K198</f>
        <v>0</v>
      </c>
      <c r="X83" s="112" t="s">
        <v>11</v>
      </c>
      <c r="Y83" s="140">
        <f>'(변경)집계표'!M198</f>
        <v>0</v>
      </c>
      <c r="Z83" s="111">
        <f>'(변경)집계표'!K228</f>
        <v>0</v>
      </c>
      <c r="AA83" s="112" t="s">
        <v>11</v>
      </c>
      <c r="AB83" s="140">
        <f>'(변경)집계표'!M228</f>
        <v>0</v>
      </c>
      <c r="AC83" s="111">
        <f>'(변경)집계표'!K258</f>
        <v>0</v>
      </c>
      <c r="AD83" s="112" t="s">
        <v>11</v>
      </c>
      <c r="AE83" s="140">
        <f>'(변경)집계표'!M258</f>
        <v>0</v>
      </c>
      <c r="AF83" s="111">
        <f>'(변경)집계표'!K288</f>
        <v>0</v>
      </c>
      <c r="AG83" s="112" t="s">
        <v>11</v>
      </c>
      <c r="AH83" s="140">
        <f>'(변경)집계표'!M288</f>
        <v>0</v>
      </c>
      <c r="AI83" s="128"/>
      <c r="AJ83" s="6"/>
    </row>
    <row r="84" spans="1:36" s="7" customFormat="1" ht="22.5" customHeight="1">
      <c r="A84" s="127" t="s">
        <v>25</v>
      </c>
      <c r="B84" s="111" t="e">
        <f t="shared" si="4"/>
        <v>#REF!</v>
      </c>
      <c r="C84" s="112" t="s">
        <v>11</v>
      </c>
      <c r="D84" s="179" t="e">
        <f t="shared" si="5"/>
        <v>#REF!</v>
      </c>
      <c r="E84" s="111" t="e">
        <f>'(변경)집계표'!K19</f>
        <v>#REF!</v>
      </c>
      <c r="F84" s="112" t="s">
        <v>11</v>
      </c>
      <c r="G84" s="179" t="e">
        <f>'(변경)집계표'!M19</f>
        <v>#REF!</v>
      </c>
      <c r="H84" s="111" t="e">
        <f>'(변경)집계표'!K49</f>
        <v>#REF!</v>
      </c>
      <c r="I84" s="112" t="s">
        <v>11</v>
      </c>
      <c r="J84" s="179" t="e">
        <f>'(변경)집계표'!M49</f>
        <v>#REF!</v>
      </c>
      <c r="K84" s="111" t="e">
        <f>'(변경)집계표'!K79</f>
        <v>#REF!</v>
      </c>
      <c r="L84" s="112" t="s">
        <v>11</v>
      </c>
      <c r="M84" s="179" t="e">
        <f>'(변경)집계표'!M79</f>
        <v>#REF!</v>
      </c>
      <c r="N84" s="111" t="e">
        <f>'(변경)집계표'!K109</f>
        <v>#REF!</v>
      </c>
      <c r="O84" s="112" t="s">
        <v>11</v>
      </c>
      <c r="P84" s="179" t="e">
        <f>'(변경)집계표'!M109</f>
        <v>#REF!</v>
      </c>
      <c r="Q84" s="111" t="e">
        <f>'(변경)집계표'!K139</f>
        <v>#REF!</v>
      </c>
      <c r="R84" s="112" t="s">
        <v>11</v>
      </c>
      <c r="S84" s="140" t="e">
        <f>'(변경)집계표'!M139</f>
        <v>#REF!</v>
      </c>
      <c r="T84" s="111">
        <f>'(변경)집계표'!K169</f>
        <v>0</v>
      </c>
      <c r="U84" s="112" t="s">
        <v>11</v>
      </c>
      <c r="V84" s="140">
        <f>'(변경)집계표'!M169</f>
        <v>0</v>
      </c>
      <c r="W84" s="111">
        <f>'(변경)집계표'!K199</f>
        <v>0</v>
      </c>
      <c r="X84" s="112" t="s">
        <v>11</v>
      </c>
      <c r="Y84" s="140">
        <f>'(변경)집계표'!M199</f>
        <v>0</v>
      </c>
      <c r="Z84" s="111">
        <f>'(변경)집계표'!K229</f>
        <v>0</v>
      </c>
      <c r="AA84" s="112" t="s">
        <v>11</v>
      </c>
      <c r="AB84" s="140">
        <f>'(변경)집계표'!M229</f>
        <v>0</v>
      </c>
      <c r="AC84" s="111">
        <f>'(변경)집계표'!K259</f>
        <v>0</v>
      </c>
      <c r="AD84" s="112" t="s">
        <v>11</v>
      </c>
      <c r="AE84" s="140">
        <f>'(변경)집계표'!M259</f>
        <v>0</v>
      </c>
      <c r="AF84" s="111">
        <f>'(변경)집계표'!K289</f>
        <v>0</v>
      </c>
      <c r="AG84" s="112" t="s">
        <v>11</v>
      </c>
      <c r="AH84" s="140">
        <f>'(변경)집계표'!M289</f>
        <v>0</v>
      </c>
      <c r="AI84" s="128"/>
      <c r="AJ84" s="6"/>
    </row>
    <row r="85" spans="1:36" s="7" customFormat="1" ht="22.5" customHeight="1">
      <c r="A85" s="127" t="s">
        <v>26</v>
      </c>
      <c r="B85" s="111" t="e">
        <f t="shared" si="4"/>
        <v>#REF!</v>
      </c>
      <c r="C85" s="112" t="s">
        <v>11</v>
      </c>
      <c r="D85" s="179" t="e">
        <f t="shared" si="5"/>
        <v>#REF!</v>
      </c>
      <c r="E85" s="111" t="e">
        <f>'(변경)집계표'!K20</f>
        <v>#REF!</v>
      </c>
      <c r="F85" s="112" t="s">
        <v>11</v>
      </c>
      <c r="G85" s="179" t="e">
        <f>'(변경)집계표'!M20</f>
        <v>#REF!</v>
      </c>
      <c r="H85" s="111" t="e">
        <f>'(변경)집계표'!K50</f>
        <v>#REF!</v>
      </c>
      <c r="I85" s="112" t="s">
        <v>11</v>
      </c>
      <c r="J85" s="179" t="e">
        <f>'(변경)집계표'!M50</f>
        <v>#REF!</v>
      </c>
      <c r="K85" s="111" t="e">
        <f>'(변경)집계표'!K80</f>
        <v>#REF!</v>
      </c>
      <c r="L85" s="112" t="s">
        <v>11</v>
      </c>
      <c r="M85" s="179" t="e">
        <f>'(변경)집계표'!M80</f>
        <v>#REF!</v>
      </c>
      <c r="N85" s="111" t="e">
        <f>'(변경)집계표'!K110</f>
        <v>#REF!</v>
      </c>
      <c r="O85" s="112" t="s">
        <v>11</v>
      </c>
      <c r="P85" s="179" t="e">
        <f>'(변경)집계표'!M110</f>
        <v>#REF!</v>
      </c>
      <c r="Q85" s="111" t="e">
        <f>'(변경)집계표'!K140</f>
        <v>#REF!</v>
      </c>
      <c r="R85" s="112" t="s">
        <v>11</v>
      </c>
      <c r="S85" s="140" t="e">
        <f>'(변경)집계표'!M140</f>
        <v>#REF!</v>
      </c>
      <c r="T85" s="111">
        <f>'(변경)집계표'!K170</f>
        <v>0</v>
      </c>
      <c r="U85" s="112" t="s">
        <v>11</v>
      </c>
      <c r="V85" s="140">
        <f>'(변경)집계표'!M170</f>
        <v>0</v>
      </c>
      <c r="W85" s="111">
        <f>'(변경)집계표'!K200</f>
        <v>0</v>
      </c>
      <c r="X85" s="112" t="s">
        <v>11</v>
      </c>
      <c r="Y85" s="140">
        <f>'(변경)집계표'!M200</f>
        <v>0</v>
      </c>
      <c r="Z85" s="111">
        <f>'(변경)집계표'!K230</f>
        <v>0</v>
      </c>
      <c r="AA85" s="112" t="s">
        <v>11</v>
      </c>
      <c r="AB85" s="140">
        <f>'(변경)집계표'!M230</f>
        <v>0</v>
      </c>
      <c r="AC85" s="111">
        <f>'(변경)집계표'!K260</f>
        <v>0</v>
      </c>
      <c r="AD85" s="112" t="s">
        <v>11</v>
      </c>
      <c r="AE85" s="140">
        <f>'(변경)집계표'!M260</f>
        <v>0</v>
      </c>
      <c r="AF85" s="111">
        <f>'(변경)집계표'!K290</f>
        <v>0</v>
      </c>
      <c r="AG85" s="112" t="s">
        <v>11</v>
      </c>
      <c r="AH85" s="140">
        <f>'(변경)집계표'!M290</f>
        <v>0</v>
      </c>
      <c r="AI85" s="128"/>
      <c r="AJ85" s="6"/>
    </row>
    <row r="86" spans="1:36" s="7" customFormat="1" ht="22.5" customHeight="1">
      <c r="A86" s="127" t="s">
        <v>27</v>
      </c>
      <c r="B86" s="111" t="e">
        <f t="shared" si="4"/>
        <v>#REF!</v>
      </c>
      <c r="C86" s="112" t="s">
        <v>11</v>
      </c>
      <c r="D86" s="179" t="e">
        <f t="shared" si="5"/>
        <v>#REF!</v>
      </c>
      <c r="E86" s="111" t="e">
        <f>'(변경)집계표'!K21</f>
        <v>#REF!</v>
      </c>
      <c r="F86" s="112" t="s">
        <v>11</v>
      </c>
      <c r="G86" s="179" t="e">
        <f>'(변경)집계표'!M21</f>
        <v>#REF!</v>
      </c>
      <c r="H86" s="111" t="e">
        <f>'(변경)집계표'!K51</f>
        <v>#REF!</v>
      </c>
      <c r="I86" s="112" t="s">
        <v>11</v>
      </c>
      <c r="J86" s="179" t="e">
        <f>'(변경)집계표'!M51</f>
        <v>#REF!</v>
      </c>
      <c r="K86" s="111" t="e">
        <f>'(변경)집계표'!K81</f>
        <v>#REF!</v>
      </c>
      <c r="L86" s="112" t="s">
        <v>11</v>
      </c>
      <c r="M86" s="179" t="e">
        <f>'(변경)집계표'!M81</f>
        <v>#REF!</v>
      </c>
      <c r="N86" s="111" t="e">
        <f>'(변경)집계표'!K111</f>
        <v>#REF!</v>
      </c>
      <c r="O86" s="112" t="s">
        <v>11</v>
      </c>
      <c r="P86" s="179" t="e">
        <f>'(변경)집계표'!M111</f>
        <v>#REF!</v>
      </c>
      <c r="Q86" s="111" t="e">
        <f>'(변경)집계표'!K141</f>
        <v>#REF!</v>
      </c>
      <c r="R86" s="112" t="s">
        <v>11</v>
      </c>
      <c r="S86" s="140" t="e">
        <f>'(변경)집계표'!M141</f>
        <v>#REF!</v>
      </c>
      <c r="T86" s="111">
        <f>'(변경)집계표'!K171</f>
        <v>0</v>
      </c>
      <c r="U86" s="112" t="s">
        <v>11</v>
      </c>
      <c r="V86" s="140">
        <f>'(변경)집계표'!M171</f>
        <v>0</v>
      </c>
      <c r="W86" s="111">
        <f>'(변경)집계표'!K201</f>
        <v>0</v>
      </c>
      <c r="X86" s="112" t="s">
        <v>11</v>
      </c>
      <c r="Y86" s="140">
        <f>'(변경)집계표'!M201</f>
        <v>0</v>
      </c>
      <c r="Z86" s="111">
        <f>'(변경)집계표'!K231</f>
        <v>0</v>
      </c>
      <c r="AA86" s="112" t="s">
        <v>11</v>
      </c>
      <c r="AB86" s="140">
        <f>'(변경)집계표'!M231</f>
        <v>0</v>
      </c>
      <c r="AC86" s="111">
        <f>'(변경)집계표'!K261</f>
        <v>0</v>
      </c>
      <c r="AD86" s="112" t="s">
        <v>11</v>
      </c>
      <c r="AE86" s="140">
        <f>'(변경)집계표'!M261</f>
        <v>0</v>
      </c>
      <c r="AF86" s="111">
        <f>'(변경)집계표'!K291</f>
        <v>0</v>
      </c>
      <c r="AG86" s="112" t="s">
        <v>11</v>
      </c>
      <c r="AH86" s="140">
        <f>'(변경)집계표'!M291</f>
        <v>0</v>
      </c>
      <c r="AI86" s="128"/>
      <c r="AJ86" s="6"/>
    </row>
    <row r="87" spans="1:36" s="7" customFormat="1" ht="22.5" customHeight="1">
      <c r="A87" s="127" t="s">
        <v>28</v>
      </c>
      <c r="B87" s="111" t="e">
        <f t="shared" si="4"/>
        <v>#REF!</v>
      </c>
      <c r="C87" s="112" t="s">
        <v>11</v>
      </c>
      <c r="D87" s="179" t="e">
        <f t="shared" si="5"/>
        <v>#REF!</v>
      </c>
      <c r="E87" s="111" t="e">
        <f>'(변경)집계표'!K22</f>
        <v>#REF!</v>
      </c>
      <c r="F87" s="112" t="s">
        <v>11</v>
      </c>
      <c r="G87" s="179" t="e">
        <f>'(변경)집계표'!M22</f>
        <v>#REF!</v>
      </c>
      <c r="H87" s="111" t="e">
        <f>'(변경)집계표'!K52</f>
        <v>#REF!</v>
      </c>
      <c r="I87" s="112" t="s">
        <v>11</v>
      </c>
      <c r="J87" s="179" t="e">
        <f>'(변경)집계표'!M52</f>
        <v>#REF!</v>
      </c>
      <c r="K87" s="111" t="e">
        <f>'(변경)집계표'!K82</f>
        <v>#REF!</v>
      </c>
      <c r="L87" s="112" t="s">
        <v>11</v>
      </c>
      <c r="M87" s="179" t="e">
        <f>'(변경)집계표'!M82</f>
        <v>#REF!</v>
      </c>
      <c r="N87" s="111" t="e">
        <f>'(변경)집계표'!K112</f>
        <v>#REF!</v>
      </c>
      <c r="O87" s="112" t="s">
        <v>11</v>
      </c>
      <c r="P87" s="179" t="e">
        <f>'(변경)집계표'!M112</f>
        <v>#REF!</v>
      </c>
      <c r="Q87" s="111" t="e">
        <f>'(변경)집계표'!K142</f>
        <v>#REF!</v>
      </c>
      <c r="R87" s="112" t="s">
        <v>11</v>
      </c>
      <c r="S87" s="140" t="e">
        <f>'(변경)집계표'!M142</f>
        <v>#REF!</v>
      </c>
      <c r="T87" s="111">
        <f>'(변경)집계표'!K172</f>
        <v>0</v>
      </c>
      <c r="U87" s="112" t="s">
        <v>11</v>
      </c>
      <c r="V87" s="140">
        <f>'(변경)집계표'!M172</f>
        <v>0</v>
      </c>
      <c r="W87" s="111">
        <f>'(변경)집계표'!K202</f>
        <v>0</v>
      </c>
      <c r="X87" s="112" t="s">
        <v>11</v>
      </c>
      <c r="Y87" s="140">
        <f>'(변경)집계표'!M202</f>
        <v>0</v>
      </c>
      <c r="Z87" s="111">
        <f>'(변경)집계표'!K232</f>
        <v>0</v>
      </c>
      <c r="AA87" s="112" t="s">
        <v>11</v>
      </c>
      <c r="AB87" s="140">
        <f>'(변경)집계표'!M232</f>
        <v>0</v>
      </c>
      <c r="AC87" s="111">
        <f>'(변경)집계표'!K262</f>
        <v>0</v>
      </c>
      <c r="AD87" s="112" t="s">
        <v>11</v>
      </c>
      <c r="AE87" s="140">
        <f>'(변경)집계표'!M262</f>
        <v>0</v>
      </c>
      <c r="AF87" s="111">
        <f>'(변경)집계표'!K292</f>
        <v>0</v>
      </c>
      <c r="AG87" s="112" t="s">
        <v>11</v>
      </c>
      <c r="AH87" s="140">
        <f>'(변경)집계표'!M292</f>
        <v>0</v>
      </c>
      <c r="AI87" s="128"/>
      <c r="AJ87" s="6"/>
    </row>
    <row r="88" spans="1:36" s="7" customFormat="1" ht="22.5" customHeight="1">
      <c r="A88" s="127" t="s">
        <v>29</v>
      </c>
      <c r="B88" s="111" t="e">
        <f t="shared" si="4"/>
        <v>#REF!</v>
      </c>
      <c r="C88" s="112" t="s">
        <v>11</v>
      </c>
      <c r="D88" s="179" t="e">
        <f t="shared" si="5"/>
        <v>#REF!</v>
      </c>
      <c r="E88" s="111" t="e">
        <f>'(변경)집계표'!K23</f>
        <v>#REF!</v>
      </c>
      <c r="F88" s="112" t="s">
        <v>11</v>
      </c>
      <c r="G88" s="179" t="e">
        <f>'(변경)집계표'!M23</f>
        <v>#REF!</v>
      </c>
      <c r="H88" s="111" t="e">
        <f>'(변경)집계표'!K53</f>
        <v>#REF!</v>
      </c>
      <c r="I88" s="112" t="s">
        <v>11</v>
      </c>
      <c r="J88" s="179" t="e">
        <f>'(변경)집계표'!M53</f>
        <v>#REF!</v>
      </c>
      <c r="K88" s="111" t="e">
        <f>'(변경)집계표'!K83</f>
        <v>#REF!</v>
      </c>
      <c r="L88" s="112" t="s">
        <v>11</v>
      </c>
      <c r="M88" s="179" t="e">
        <f>'(변경)집계표'!M83</f>
        <v>#REF!</v>
      </c>
      <c r="N88" s="111" t="e">
        <f>'(변경)집계표'!K113</f>
        <v>#REF!</v>
      </c>
      <c r="O88" s="112" t="s">
        <v>11</v>
      </c>
      <c r="P88" s="179" t="e">
        <f>'(변경)집계표'!M113</f>
        <v>#REF!</v>
      </c>
      <c r="Q88" s="111" t="e">
        <f>'(변경)집계표'!K143</f>
        <v>#REF!</v>
      </c>
      <c r="R88" s="112" t="s">
        <v>11</v>
      </c>
      <c r="S88" s="140" t="e">
        <f>'(변경)집계표'!M143</f>
        <v>#REF!</v>
      </c>
      <c r="T88" s="111">
        <f>'(변경)집계표'!K173</f>
        <v>0</v>
      </c>
      <c r="U88" s="112" t="s">
        <v>11</v>
      </c>
      <c r="V88" s="140">
        <f>'(변경)집계표'!M173</f>
        <v>0</v>
      </c>
      <c r="W88" s="111">
        <f>'(변경)집계표'!K203</f>
        <v>0</v>
      </c>
      <c r="X88" s="112" t="s">
        <v>11</v>
      </c>
      <c r="Y88" s="140">
        <f>'(변경)집계표'!M203</f>
        <v>0</v>
      </c>
      <c r="Z88" s="111">
        <f>'(변경)집계표'!K233</f>
        <v>0</v>
      </c>
      <c r="AA88" s="112" t="s">
        <v>11</v>
      </c>
      <c r="AB88" s="140">
        <f>'(변경)집계표'!M233</f>
        <v>0</v>
      </c>
      <c r="AC88" s="111">
        <f>'(변경)집계표'!K263</f>
        <v>0</v>
      </c>
      <c r="AD88" s="112" t="s">
        <v>11</v>
      </c>
      <c r="AE88" s="140">
        <f>'(변경)집계표'!M263</f>
        <v>0</v>
      </c>
      <c r="AF88" s="111">
        <f>'(변경)집계표'!K293</f>
        <v>0</v>
      </c>
      <c r="AG88" s="112" t="s">
        <v>11</v>
      </c>
      <c r="AH88" s="140">
        <f>'(변경)집계표'!M293</f>
        <v>0</v>
      </c>
      <c r="AI88" s="128"/>
      <c r="AJ88" s="6"/>
    </row>
    <row r="89" spans="1:36" s="7" customFormat="1" ht="22.5" customHeight="1">
      <c r="A89" s="129" t="s">
        <v>30</v>
      </c>
      <c r="B89" s="111" t="e">
        <f t="shared" si="4"/>
        <v>#REF!</v>
      </c>
      <c r="C89" s="112" t="s">
        <v>11</v>
      </c>
      <c r="D89" s="179" t="e">
        <f t="shared" si="5"/>
        <v>#REF!</v>
      </c>
      <c r="E89" s="111" t="e">
        <f>'(변경)집계표'!K24</f>
        <v>#REF!</v>
      </c>
      <c r="F89" s="112" t="s">
        <v>11</v>
      </c>
      <c r="G89" s="179" t="e">
        <f>'(변경)집계표'!M24</f>
        <v>#REF!</v>
      </c>
      <c r="H89" s="111" t="e">
        <f>'(변경)집계표'!K54</f>
        <v>#REF!</v>
      </c>
      <c r="I89" s="112" t="s">
        <v>11</v>
      </c>
      <c r="J89" s="179" t="e">
        <f>'(변경)집계표'!M54</f>
        <v>#REF!</v>
      </c>
      <c r="K89" s="111" t="e">
        <f>'(변경)집계표'!K84</f>
        <v>#REF!</v>
      </c>
      <c r="L89" s="112" t="s">
        <v>11</v>
      </c>
      <c r="M89" s="179" t="e">
        <f>'(변경)집계표'!M84</f>
        <v>#REF!</v>
      </c>
      <c r="N89" s="111" t="e">
        <f>'(변경)집계표'!K114</f>
        <v>#REF!</v>
      </c>
      <c r="O89" s="112" t="s">
        <v>11</v>
      </c>
      <c r="P89" s="179" t="e">
        <f>'(변경)집계표'!M114</f>
        <v>#REF!</v>
      </c>
      <c r="Q89" s="111" t="e">
        <f>'(변경)집계표'!K144</f>
        <v>#REF!</v>
      </c>
      <c r="R89" s="112" t="s">
        <v>11</v>
      </c>
      <c r="S89" s="140" t="e">
        <f>'(변경)집계표'!M144</f>
        <v>#REF!</v>
      </c>
      <c r="T89" s="111">
        <f>'(변경)집계표'!K174</f>
        <v>0</v>
      </c>
      <c r="U89" s="112" t="s">
        <v>11</v>
      </c>
      <c r="V89" s="140">
        <f>'(변경)집계표'!M174</f>
        <v>0</v>
      </c>
      <c r="W89" s="111">
        <f>'(변경)집계표'!K204</f>
        <v>0</v>
      </c>
      <c r="X89" s="112" t="s">
        <v>11</v>
      </c>
      <c r="Y89" s="140">
        <f>'(변경)집계표'!M204</f>
        <v>0</v>
      </c>
      <c r="Z89" s="111">
        <f>'(변경)집계표'!K234</f>
        <v>0</v>
      </c>
      <c r="AA89" s="112" t="s">
        <v>11</v>
      </c>
      <c r="AB89" s="140">
        <f>'(변경)집계표'!M234</f>
        <v>0</v>
      </c>
      <c r="AC89" s="111">
        <f>'(변경)집계표'!K264</f>
        <v>0</v>
      </c>
      <c r="AD89" s="112" t="s">
        <v>11</v>
      </c>
      <c r="AE89" s="140">
        <f>'(변경)집계표'!M264</f>
        <v>0</v>
      </c>
      <c r="AF89" s="111">
        <f>'(변경)집계표'!K294</f>
        <v>0</v>
      </c>
      <c r="AG89" s="112" t="s">
        <v>11</v>
      </c>
      <c r="AH89" s="140">
        <f>'(변경)집계표'!M294</f>
        <v>0</v>
      </c>
      <c r="AI89" s="128"/>
      <c r="AJ89" s="6"/>
    </row>
    <row r="90" spans="1:36" s="7" customFormat="1" ht="22.5" customHeight="1">
      <c r="A90" s="129" t="s">
        <v>31</v>
      </c>
      <c r="B90" s="111" t="e">
        <f t="shared" si="4"/>
        <v>#REF!</v>
      </c>
      <c r="C90" s="112" t="s">
        <v>11</v>
      </c>
      <c r="D90" s="179" t="e">
        <f t="shared" si="5"/>
        <v>#REF!</v>
      </c>
      <c r="E90" s="111" t="e">
        <f>'(변경)집계표'!K25</f>
        <v>#REF!</v>
      </c>
      <c r="F90" s="112" t="s">
        <v>11</v>
      </c>
      <c r="G90" s="179" t="e">
        <f>'(변경)집계표'!M25</f>
        <v>#REF!</v>
      </c>
      <c r="H90" s="111" t="e">
        <f>'(변경)집계표'!K55</f>
        <v>#REF!</v>
      </c>
      <c r="I90" s="112" t="s">
        <v>11</v>
      </c>
      <c r="J90" s="179" t="e">
        <f>'(변경)집계표'!M55</f>
        <v>#REF!</v>
      </c>
      <c r="K90" s="111" t="e">
        <f>'(변경)집계표'!K85</f>
        <v>#REF!</v>
      </c>
      <c r="L90" s="112" t="s">
        <v>11</v>
      </c>
      <c r="M90" s="179" t="e">
        <f>'(변경)집계표'!M85</f>
        <v>#REF!</v>
      </c>
      <c r="N90" s="111" t="e">
        <f>'(변경)집계표'!K115</f>
        <v>#REF!</v>
      </c>
      <c r="O90" s="112" t="s">
        <v>11</v>
      </c>
      <c r="P90" s="179" t="e">
        <f>'(변경)집계표'!M115</f>
        <v>#REF!</v>
      </c>
      <c r="Q90" s="111" t="e">
        <f>'(변경)집계표'!K145</f>
        <v>#REF!</v>
      </c>
      <c r="R90" s="112" t="s">
        <v>11</v>
      </c>
      <c r="S90" s="140" t="e">
        <f>'(변경)집계표'!M145</f>
        <v>#REF!</v>
      </c>
      <c r="T90" s="111">
        <f>'(변경)집계표'!K175</f>
        <v>0</v>
      </c>
      <c r="U90" s="112" t="s">
        <v>11</v>
      </c>
      <c r="V90" s="140">
        <f>'(변경)집계표'!M175</f>
        <v>0</v>
      </c>
      <c r="W90" s="111">
        <f>'(변경)집계표'!K205</f>
        <v>0</v>
      </c>
      <c r="X90" s="112" t="s">
        <v>11</v>
      </c>
      <c r="Y90" s="140">
        <f>'(변경)집계표'!M205</f>
        <v>0</v>
      </c>
      <c r="Z90" s="111">
        <f>'(변경)집계표'!K235</f>
        <v>0</v>
      </c>
      <c r="AA90" s="112" t="s">
        <v>11</v>
      </c>
      <c r="AB90" s="140">
        <f>'(변경)집계표'!M235</f>
        <v>0</v>
      </c>
      <c r="AC90" s="111">
        <f>'(변경)집계표'!K265</f>
        <v>0</v>
      </c>
      <c r="AD90" s="112" t="s">
        <v>11</v>
      </c>
      <c r="AE90" s="140">
        <f>'(변경)집계표'!M265</f>
        <v>0</v>
      </c>
      <c r="AF90" s="111">
        <f>'(변경)집계표'!K295</f>
        <v>0</v>
      </c>
      <c r="AG90" s="112" t="s">
        <v>11</v>
      </c>
      <c r="AH90" s="140">
        <f>'(변경)집계표'!M295</f>
        <v>0</v>
      </c>
      <c r="AI90" s="128"/>
      <c r="AJ90" s="6"/>
    </row>
    <row r="91" spans="1:36" s="7" customFormat="1" ht="22.5" customHeight="1">
      <c r="A91" s="129" t="s">
        <v>32</v>
      </c>
      <c r="B91" s="111" t="e">
        <f t="shared" si="4"/>
        <v>#REF!</v>
      </c>
      <c r="C91" s="112" t="s">
        <v>11</v>
      </c>
      <c r="D91" s="179" t="e">
        <f t="shared" si="5"/>
        <v>#REF!</v>
      </c>
      <c r="E91" s="111" t="e">
        <f>'(변경)집계표'!K26</f>
        <v>#REF!</v>
      </c>
      <c r="F91" s="112" t="s">
        <v>11</v>
      </c>
      <c r="G91" s="179" t="e">
        <f>'(변경)집계표'!M26</f>
        <v>#REF!</v>
      </c>
      <c r="H91" s="111" t="e">
        <f>'(변경)집계표'!K56</f>
        <v>#REF!</v>
      </c>
      <c r="I91" s="112" t="s">
        <v>11</v>
      </c>
      <c r="J91" s="179" t="e">
        <f>'(변경)집계표'!M56</f>
        <v>#REF!</v>
      </c>
      <c r="K91" s="111" t="e">
        <f>'(변경)집계표'!K86</f>
        <v>#REF!</v>
      </c>
      <c r="L91" s="112" t="s">
        <v>11</v>
      </c>
      <c r="M91" s="179" t="e">
        <f>'(변경)집계표'!M86</f>
        <v>#REF!</v>
      </c>
      <c r="N91" s="111" t="e">
        <f>'(변경)집계표'!K116</f>
        <v>#REF!</v>
      </c>
      <c r="O91" s="112" t="s">
        <v>11</v>
      </c>
      <c r="P91" s="179" t="e">
        <f>'(변경)집계표'!M116</f>
        <v>#REF!</v>
      </c>
      <c r="Q91" s="111" t="e">
        <f>'(변경)집계표'!K146</f>
        <v>#REF!</v>
      </c>
      <c r="R91" s="112" t="s">
        <v>11</v>
      </c>
      <c r="S91" s="140" t="e">
        <f>'(변경)집계표'!M146</f>
        <v>#REF!</v>
      </c>
      <c r="T91" s="111">
        <f>'(변경)집계표'!K176</f>
        <v>0</v>
      </c>
      <c r="U91" s="112" t="s">
        <v>11</v>
      </c>
      <c r="V91" s="140">
        <f>'(변경)집계표'!M176</f>
        <v>0</v>
      </c>
      <c r="W91" s="111">
        <f>'(변경)집계표'!K206</f>
        <v>0</v>
      </c>
      <c r="X91" s="112" t="s">
        <v>11</v>
      </c>
      <c r="Y91" s="140">
        <f>'(변경)집계표'!M206</f>
        <v>0</v>
      </c>
      <c r="Z91" s="111">
        <f>'(변경)집계표'!K236</f>
        <v>0</v>
      </c>
      <c r="AA91" s="112" t="s">
        <v>11</v>
      </c>
      <c r="AB91" s="140">
        <f>'(변경)집계표'!M236</f>
        <v>0</v>
      </c>
      <c r="AC91" s="111">
        <f>'(변경)집계표'!K266</f>
        <v>0</v>
      </c>
      <c r="AD91" s="112" t="s">
        <v>11</v>
      </c>
      <c r="AE91" s="140">
        <f>'(변경)집계표'!M266</f>
        <v>0</v>
      </c>
      <c r="AF91" s="111">
        <f>'(변경)집계표'!K296</f>
        <v>0</v>
      </c>
      <c r="AG91" s="112" t="s">
        <v>11</v>
      </c>
      <c r="AH91" s="140">
        <f>'(변경)집계표'!M296</f>
        <v>0</v>
      </c>
      <c r="AI91" s="128"/>
      <c r="AJ91" s="6"/>
    </row>
    <row r="92" spans="1:36" s="7" customFormat="1" ht="22.5" customHeight="1">
      <c r="A92" s="129" t="s">
        <v>33</v>
      </c>
      <c r="B92" s="111" t="e">
        <f t="shared" si="4"/>
        <v>#REF!</v>
      </c>
      <c r="C92" s="112" t="s">
        <v>11</v>
      </c>
      <c r="D92" s="179" t="e">
        <f t="shared" si="5"/>
        <v>#REF!</v>
      </c>
      <c r="E92" s="111" t="e">
        <f>'(변경)집계표'!K27</f>
        <v>#REF!</v>
      </c>
      <c r="F92" s="112" t="s">
        <v>11</v>
      </c>
      <c r="G92" s="179" t="e">
        <f>'(변경)집계표'!M27</f>
        <v>#REF!</v>
      </c>
      <c r="H92" s="111" t="e">
        <f>'(변경)집계표'!K57</f>
        <v>#REF!</v>
      </c>
      <c r="I92" s="112" t="s">
        <v>11</v>
      </c>
      <c r="J92" s="179" t="e">
        <f>'(변경)집계표'!M57</f>
        <v>#REF!</v>
      </c>
      <c r="K92" s="111" t="e">
        <f>'(변경)집계표'!K87</f>
        <v>#REF!</v>
      </c>
      <c r="L92" s="112" t="s">
        <v>11</v>
      </c>
      <c r="M92" s="179" t="e">
        <f>'(변경)집계표'!M87</f>
        <v>#REF!</v>
      </c>
      <c r="N92" s="111" t="e">
        <f>'(변경)집계표'!K117</f>
        <v>#REF!</v>
      </c>
      <c r="O92" s="112" t="s">
        <v>11</v>
      </c>
      <c r="P92" s="179" t="e">
        <f>'(변경)집계표'!M117</f>
        <v>#REF!</v>
      </c>
      <c r="Q92" s="111" t="e">
        <f>'(변경)집계표'!K147</f>
        <v>#REF!</v>
      </c>
      <c r="R92" s="112" t="s">
        <v>11</v>
      </c>
      <c r="S92" s="140" t="e">
        <f>'(변경)집계표'!M147</f>
        <v>#REF!</v>
      </c>
      <c r="T92" s="111">
        <f>'(변경)집계표'!K177</f>
        <v>0</v>
      </c>
      <c r="U92" s="112" t="s">
        <v>11</v>
      </c>
      <c r="V92" s="140">
        <f>'(변경)집계표'!M177</f>
        <v>0</v>
      </c>
      <c r="W92" s="111">
        <f>'(변경)집계표'!K207</f>
        <v>0</v>
      </c>
      <c r="X92" s="112" t="s">
        <v>11</v>
      </c>
      <c r="Y92" s="140">
        <f>'(변경)집계표'!M207</f>
        <v>0</v>
      </c>
      <c r="Z92" s="111">
        <f>'(변경)집계표'!K237</f>
        <v>0</v>
      </c>
      <c r="AA92" s="112" t="s">
        <v>11</v>
      </c>
      <c r="AB92" s="140">
        <f>'(변경)집계표'!M237</f>
        <v>0</v>
      </c>
      <c r="AC92" s="111">
        <f>'(변경)집계표'!K267</f>
        <v>0</v>
      </c>
      <c r="AD92" s="112" t="s">
        <v>11</v>
      </c>
      <c r="AE92" s="140">
        <f>'(변경)집계표'!M267</f>
        <v>0</v>
      </c>
      <c r="AF92" s="111">
        <f>'(변경)집계표'!K297</f>
        <v>0</v>
      </c>
      <c r="AG92" s="112" t="s">
        <v>11</v>
      </c>
      <c r="AH92" s="140">
        <f>'(변경)집계표'!M297</f>
        <v>0</v>
      </c>
      <c r="AI92" s="128"/>
      <c r="AJ92" s="6"/>
    </row>
    <row r="93" spans="1:36" s="7" customFormat="1" ht="22.5" customHeight="1">
      <c r="A93" s="129" t="s">
        <v>34</v>
      </c>
      <c r="B93" s="111" t="e">
        <f t="shared" si="4"/>
        <v>#REF!</v>
      </c>
      <c r="C93" s="112" t="s">
        <v>11</v>
      </c>
      <c r="D93" s="179" t="e">
        <f t="shared" si="5"/>
        <v>#REF!</v>
      </c>
      <c r="E93" s="111" t="e">
        <f>'(변경)집계표'!K28</f>
        <v>#REF!</v>
      </c>
      <c r="F93" s="112" t="s">
        <v>11</v>
      </c>
      <c r="G93" s="179" t="e">
        <f>'(변경)집계표'!M28</f>
        <v>#REF!</v>
      </c>
      <c r="H93" s="111" t="e">
        <f>'(변경)집계표'!K58</f>
        <v>#REF!</v>
      </c>
      <c r="I93" s="112" t="s">
        <v>11</v>
      </c>
      <c r="J93" s="179" t="e">
        <f>'(변경)집계표'!M58</f>
        <v>#REF!</v>
      </c>
      <c r="K93" s="111" t="e">
        <f>'(변경)집계표'!K88</f>
        <v>#REF!</v>
      </c>
      <c r="L93" s="112" t="s">
        <v>11</v>
      </c>
      <c r="M93" s="179" t="e">
        <f>'(변경)집계표'!M88</f>
        <v>#REF!</v>
      </c>
      <c r="N93" s="111" t="e">
        <f>'(변경)집계표'!K118</f>
        <v>#REF!</v>
      </c>
      <c r="O93" s="112" t="s">
        <v>11</v>
      </c>
      <c r="P93" s="179" t="e">
        <f>'(변경)집계표'!M118</f>
        <v>#REF!</v>
      </c>
      <c r="Q93" s="111" t="e">
        <f>'(변경)집계표'!K148</f>
        <v>#REF!</v>
      </c>
      <c r="R93" s="112" t="s">
        <v>11</v>
      </c>
      <c r="S93" s="140" t="e">
        <f>'(변경)집계표'!M148</f>
        <v>#REF!</v>
      </c>
      <c r="T93" s="111">
        <f>'(변경)집계표'!K178</f>
        <v>0</v>
      </c>
      <c r="U93" s="112" t="s">
        <v>11</v>
      </c>
      <c r="V93" s="140">
        <f>'(변경)집계표'!M178</f>
        <v>0</v>
      </c>
      <c r="W93" s="111">
        <f>'(변경)집계표'!K208</f>
        <v>0</v>
      </c>
      <c r="X93" s="112" t="s">
        <v>11</v>
      </c>
      <c r="Y93" s="140">
        <f>'(변경)집계표'!M208</f>
        <v>0</v>
      </c>
      <c r="Z93" s="111">
        <f>'(변경)집계표'!K238</f>
        <v>0</v>
      </c>
      <c r="AA93" s="112" t="s">
        <v>11</v>
      </c>
      <c r="AB93" s="140">
        <f>'(변경)집계표'!M238</f>
        <v>0</v>
      </c>
      <c r="AC93" s="111">
        <f>'(변경)집계표'!K268</f>
        <v>0</v>
      </c>
      <c r="AD93" s="112" t="s">
        <v>11</v>
      </c>
      <c r="AE93" s="140">
        <f>'(변경)집계표'!M268</f>
        <v>0</v>
      </c>
      <c r="AF93" s="111">
        <f>'(변경)집계표'!K298</f>
        <v>0</v>
      </c>
      <c r="AG93" s="112" t="s">
        <v>11</v>
      </c>
      <c r="AH93" s="140">
        <f>'(변경)집계표'!M298</f>
        <v>0</v>
      </c>
      <c r="AI93" s="128"/>
      <c r="AJ93" s="6"/>
    </row>
    <row r="94" spans="1:36" s="7" customFormat="1" ht="22.5" customHeight="1">
      <c r="A94" s="129" t="s">
        <v>66</v>
      </c>
      <c r="B94" s="111" t="e">
        <f t="shared" si="4"/>
        <v>#REF!</v>
      </c>
      <c r="C94" s="112" t="s">
        <v>11</v>
      </c>
      <c r="D94" s="179" t="e">
        <f t="shared" si="5"/>
        <v>#REF!</v>
      </c>
      <c r="E94" s="111" t="e">
        <f>'(변경)집계표'!K29</f>
        <v>#REF!</v>
      </c>
      <c r="F94" s="112" t="s">
        <v>11</v>
      </c>
      <c r="G94" s="179" t="e">
        <f>'(변경)집계표'!M29</f>
        <v>#REF!</v>
      </c>
      <c r="H94" s="111" t="e">
        <f>'(변경)집계표'!K59</f>
        <v>#REF!</v>
      </c>
      <c r="I94" s="112" t="s">
        <v>11</v>
      </c>
      <c r="J94" s="179" t="e">
        <f>'(변경)집계표'!M59</f>
        <v>#REF!</v>
      </c>
      <c r="K94" s="111" t="e">
        <f>'(변경)집계표'!K89</f>
        <v>#REF!</v>
      </c>
      <c r="L94" s="112" t="s">
        <v>11</v>
      </c>
      <c r="M94" s="179" t="e">
        <f>'(변경)집계표'!M89</f>
        <v>#REF!</v>
      </c>
      <c r="N94" s="111" t="e">
        <f>'(변경)집계표'!K119</f>
        <v>#REF!</v>
      </c>
      <c r="O94" s="112" t="s">
        <v>11</v>
      </c>
      <c r="P94" s="179" t="e">
        <f>'(변경)집계표'!M119</f>
        <v>#REF!</v>
      </c>
      <c r="Q94" s="111" t="e">
        <f>'(변경)집계표'!K149</f>
        <v>#REF!</v>
      </c>
      <c r="R94" s="112" t="s">
        <v>11</v>
      </c>
      <c r="S94" s="140" t="e">
        <f>'(변경)집계표'!M149</f>
        <v>#REF!</v>
      </c>
      <c r="T94" s="111">
        <f>'(변경)집계표'!K179</f>
        <v>0</v>
      </c>
      <c r="U94" s="112" t="s">
        <v>11</v>
      </c>
      <c r="V94" s="140">
        <f>'(변경)집계표'!M179</f>
        <v>0</v>
      </c>
      <c r="W94" s="111">
        <f>'(변경)집계표'!K209</f>
        <v>0</v>
      </c>
      <c r="X94" s="112" t="s">
        <v>11</v>
      </c>
      <c r="Y94" s="140">
        <f>'(변경)집계표'!M209</f>
        <v>0</v>
      </c>
      <c r="Z94" s="111">
        <f>'(변경)집계표'!K239</f>
        <v>0</v>
      </c>
      <c r="AA94" s="112" t="s">
        <v>11</v>
      </c>
      <c r="AB94" s="140">
        <f>'(변경)집계표'!M239</f>
        <v>0</v>
      </c>
      <c r="AC94" s="111">
        <f>'(변경)집계표'!K269</f>
        <v>0</v>
      </c>
      <c r="AD94" s="112" t="s">
        <v>11</v>
      </c>
      <c r="AE94" s="140">
        <f>'(변경)집계표'!M269</f>
        <v>0</v>
      </c>
      <c r="AF94" s="111">
        <f>'(변경)집계표'!K299</f>
        <v>0</v>
      </c>
      <c r="AG94" s="112" t="s">
        <v>11</v>
      </c>
      <c r="AH94" s="140">
        <f>'(변경)집계표'!M299</f>
        <v>0</v>
      </c>
      <c r="AI94" s="128"/>
      <c r="AJ94" s="6"/>
    </row>
    <row r="95" spans="1:36" s="7" customFormat="1" ht="22.5" customHeight="1">
      <c r="A95" s="129" t="s">
        <v>75</v>
      </c>
      <c r="B95" s="111" t="e">
        <f t="shared" si="4"/>
        <v>#REF!</v>
      </c>
      <c r="C95" s="112" t="s">
        <v>11</v>
      </c>
      <c r="D95" s="179" t="e">
        <f t="shared" si="5"/>
        <v>#REF!</v>
      </c>
      <c r="E95" s="111" t="e">
        <f>'(변경)집계표'!K30</f>
        <v>#REF!</v>
      </c>
      <c r="F95" s="112" t="s">
        <v>11</v>
      </c>
      <c r="G95" s="179" t="e">
        <f>'(변경)집계표'!M30</f>
        <v>#REF!</v>
      </c>
      <c r="H95" s="111" t="e">
        <f>'(변경)집계표'!K60</f>
        <v>#REF!</v>
      </c>
      <c r="I95" s="112" t="s">
        <v>11</v>
      </c>
      <c r="J95" s="179" t="e">
        <f>'(변경)집계표'!M60</f>
        <v>#REF!</v>
      </c>
      <c r="K95" s="111" t="e">
        <f>'(변경)집계표'!K90</f>
        <v>#REF!</v>
      </c>
      <c r="L95" s="112" t="s">
        <v>11</v>
      </c>
      <c r="M95" s="179" t="e">
        <f>'(변경)집계표'!M90</f>
        <v>#REF!</v>
      </c>
      <c r="N95" s="111" t="e">
        <f>'(변경)집계표'!K120</f>
        <v>#REF!</v>
      </c>
      <c r="O95" s="112" t="s">
        <v>11</v>
      </c>
      <c r="P95" s="179" t="e">
        <f>'(변경)집계표'!M120</f>
        <v>#REF!</v>
      </c>
      <c r="Q95" s="111" t="e">
        <f>'(변경)집계표'!K150</f>
        <v>#REF!</v>
      </c>
      <c r="R95" s="112" t="s">
        <v>11</v>
      </c>
      <c r="S95" s="140" t="e">
        <f>'(변경)집계표'!M150</f>
        <v>#REF!</v>
      </c>
      <c r="T95" s="111">
        <f>'(변경)집계표'!K180</f>
        <v>0</v>
      </c>
      <c r="U95" s="112" t="s">
        <v>11</v>
      </c>
      <c r="V95" s="140">
        <f>'(변경)집계표'!M180</f>
        <v>0</v>
      </c>
      <c r="W95" s="111">
        <f>'(변경)집계표'!K210</f>
        <v>0</v>
      </c>
      <c r="X95" s="112" t="s">
        <v>11</v>
      </c>
      <c r="Y95" s="140">
        <f>'(변경)집계표'!M210</f>
        <v>0</v>
      </c>
      <c r="Z95" s="111">
        <f>'(변경)집계표'!K240</f>
        <v>0</v>
      </c>
      <c r="AA95" s="112" t="s">
        <v>11</v>
      </c>
      <c r="AB95" s="140">
        <f>'(변경)집계표'!M240</f>
        <v>0</v>
      </c>
      <c r="AC95" s="111">
        <f>'(변경)집계표'!K270</f>
        <v>0</v>
      </c>
      <c r="AD95" s="112" t="s">
        <v>11</v>
      </c>
      <c r="AE95" s="140">
        <f>'(변경)집계표'!M270</f>
        <v>0</v>
      </c>
      <c r="AF95" s="111">
        <f>'(변경)집계표'!K300</f>
        <v>0</v>
      </c>
      <c r="AG95" s="112" t="s">
        <v>11</v>
      </c>
      <c r="AH95" s="140">
        <f>'(변경)집계표'!M300</f>
        <v>0</v>
      </c>
      <c r="AI95" s="128"/>
      <c r="AJ95" s="6"/>
    </row>
    <row r="96" spans="1:36" s="7" customFormat="1" ht="22.5" customHeight="1" thickBot="1">
      <c r="A96" s="130" t="s">
        <v>68</v>
      </c>
      <c r="B96" s="131" t="e">
        <f t="shared" si="4"/>
        <v>#REF!</v>
      </c>
      <c r="C96" s="132" t="s">
        <v>11</v>
      </c>
      <c r="D96" s="180" t="e">
        <f t="shared" si="5"/>
        <v>#REF!</v>
      </c>
      <c r="E96" s="131" t="e">
        <f>'(변경)집계표'!K31</f>
        <v>#REF!</v>
      </c>
      <c r="F96" s="132" t="s">
        <v>11</v>
      </c>
      <c r="G96" s="180" t="e">
        <f>'(변경)집계표'!M31</f>
        <v>#REF!</v>
      </c>
      <c r="H96" s="131" t="e">
        <f>'(변경)집계표'!K61</f>
        <v>#REF!</v>
      </c>
      <c r="I96" s="132" t="s">
        <v>11</v>
      </c>
      <c r="J96" s="180" t="e">
        <f>'(변경)집계표'!M61</f>
        <v>#REF!</v>
      </c>
      <c r="K96" s="131" t="e">
        <f>'(변경)집계표'!K91</f>
        <v>#REF!</v>
      </c>
      <c r="L96" s="132" t="s">
        <v>11</v>
      </c>
      <c r="M96" s="180" t="e">
        <f>'(변경)집계표'!M91</f>
        <v>#REF!</v>
      </c>
      <c r="N96" s="131" t="e">
        <f>'(변경)집계표'!K121</f>
        <v>#REF!</v>
      </c>
      <c r="O96" s="132" t="s">
        <v>11</v>
      </c>
      <c r="P96" s="180" t="e">
        <f>'(변경)집계표'!M121</f>
        <v>#REF!</v>
      </c>
      <c r="Q96" s="131" t="e">
        <f>'(변경)집계표'!K151</f>
        <v>#REF!</v>
      </c>
      <c r="R96" s="132" t="s">
        <v>11</v>
      </c>
      <c r="S96" s="141" t="e">
        <f>'(변경)집계표'!M151</f>
        <v>#REF!</v>
      </c>
      <c r="T96" s="131">
        <f>'(변경)집계표'!K181</f>
        <v>0</v>
      </c>
      <c r="U96" s="132" t="s">
        <v>11</v>
      </c>
      <c r="V96" s="141">
        <f>'(변경)집계표'!M181</f>
        <v>0</v>
      </c>
      <c r="W96" s="131">
        <f>'(변경)집계표'!K211</f>
        <v>0</v>
      </c>
      <c r="X96" s="132" t="s">
        <v>11</v>
      </c>
      <c r="Y96" s="141">
        <f>'(변경)집계표'!M211</f>
        <v>0</v>
      </c>
      <c r="Z96" s="131">
        <f>'(변경)집계표'!K241</f>
        <v>0</v>
      </c>
      <c r="AA96" s="132" t="s">
        <v>11</v>
      </c>
      <c r="AB96" s="141">
        <f>'(변경)집계표'!M241</f>
        <v>0</v>
      </c>
      <c r="AC96" s="131">
        <f>'(변경)집계표'!K271</f>
        <v>0</v>
      </c>
      <c r="AD96" s="132" t="s">
        <v>11</v>
      </c>
      <c r="AE96" s="141">
        <f>'(변경)집계표'!M271</f>
        <v>0</v>
      </c>
      <c r="AF96" s="131">
        <f>'(변경)집계표'!K301</f>
        <v>0</v>
      </c>
      <c r="AG96" s="132" t="s">
        <v>11</v>
      </c>
      <c r="AH96" s="141">
        <f>'(변경)집계표'!M301</f>
        <v>0</v>
      </c>
      <c r="AI96" s="133"/>
      <c r="AJ96" s="6"/>
    </row>
    <row r="97" spans="1:36" s="5" customFormat="1" ht="27.95" customHeight="1">
      <c r="A97" s="190" t="s">
        <v>62</v>
      </c>
      <c r="B97" s="191"/>
      <c r="C97" s="192"/>
      <c r="D97" s="193"/>
      <c r="E97" s="192"/>
      <c r="F97" s="192"/>
      <c r="G97" s="193"/>
      <c r="H97" s="192"/>
      <c r="I97" s="192"/>
      <c r="J97" s="193"/>
      <c r="K97" s="192"/>
      <c r="L97" s="192"/>
      <c r="M97" s="193"/>
      <c r="N97" s="192"/>
      <c r="O97" s="192"/>
      <c r="P97" s="193"/>
      <c r="Q97" s="192"/>
      <c r="R97" s="192"/>
      <c r="S97" s="194"/>
      <c r="T97" s="192"/>
      <c r="U97" s="192"/>
      <c r="V97" s="194"/>
      <c r="W97" s="192"/>
      <c r="X97" s="192"/>
      <c r="Y97" s="194"/>
      <c r="Z97" s="192"/>
      <c r="AA97" s="192"/>
      <c r="AB97" s="194"/>
      <c r="AC97" s="192"/>
      <c r="AD97" s="192"/>
      <c r="AE97" s="194"/>
      <c r="AF97" s="192"/>
      <c r="AG97" s="192"/>
      <c r="AH97" s="194"/>
      <c r="AI97" s="198"/>
    </row>
    <row r="98" spans="1:36" s="5" customFormat="1" ht="9.9499999999999993" customHeight="1" thickBot="1">
      <c r="A98" s="196"/>
      <c r="B98" s="189"/>
      <c r="D98" s="188"/>
      <c r="E98" s="189"/>
      <c r="G98" s="188"/>
      <c r="H98" s="189"/>
      <c r="J98" s="188"/>
      <c r="K98" s="189"/>
      <c r="M98" s="188"/>
      <c r="N98" s="189"/>
      <c r="P98" s="188"/>
      <c r="Q98" s="189"/>
      <c r="S98" s="146"/>
      <c r="T98" s="189"/>
      <c r="V98" s="146"/>
      <c r="W98" s="189"/>
      <c r="Y98" s="146"/>
      <c r="Z98" s="189"/>
      <c r="AB98" s="146"/>
      <c r="AC98" s="189"/>
      <c r="AE98" s="146"/>
      <c r="AF98" s="189"/>
      <c r="AH98" s="146"/>
      <c r="AI98" s="197"/>
    </row>
    <row r="99" spans="1:36" s="7" customFormat="1" ht="30" customHeight="1">
      <c r="A99" s="119"/>
      <c r="B99" s="354" t="s">
        <v>8</v>
      </c>
      <c r="C99" s="355"/>
      <c r="D99" s="355"/>
      <c r="E99" s="120" t="s">
        <v>77</v>
      </c>
      <c r="F99" s="121"/>
      <c r="G99" s="182"/>
      <c r="H99" s="120"/>
      <c r="I99" s="121"/>
      <c r="J99" s="182"/>
      <c r="K99" s="120"/>
      <c r="L99" s="121"/>
      <c r="M99" s="182"/>
      <c r="N99" s="120"/>
      <c r="O99" s="121"/>
      <c r="P99" s="182"/>
      <c r="Q99" s="120"/>
      <c r="R99" s="121"/>
      <c r="S99" s="143"/>
      <c r="T99" s="120"/>
      <c r="U99" s="121"/>
      <c r="V99" s="143"/>
      <c r="W99" s="120"/>
      <c r="X99" s="121"/>
      <c r="Y99" s="143"/>
      <c r="Z99" s="120"/>
      <c r="AA99" s="121"/>
      <c r="AB99" s="143"/>
      <c r="AC99" s="120"/>
      <c r="AD99" s="121"/>
      <c r="AE99" s="143"/>
      <c r="AF99" s="120"/>
      <c r="AG99" s="121"/>
      <c r="AH99" s="143"/>
      <c r="AI99" s="358" t="s">
        <v>59</v>
      </c>
      <c r="AJ99" s="6"/>
    </row>
    <row r="100" spans="1:36" s="7" customFormat="1" ht="30" customHeight="1">
      <c r="A100" s="122"/>
      <c r="B100" s="356"/>
      <c r="C100" s="357"/>
      <c r="D100" s="357"/>
      <c r="E100" s="8" t="s">
        <v>78</v>
      </c>
      <c r="F100" s="9"/>
      <c r="G100" s="183"/>
      <c r="H100" s="8"/>
      <c r="I100" s="9"/>
      <c r="J100" s="183"/>
      <c r="K100" s="8"/>
      <c r="L100" s="9"/>
      <c r="M100" s="183"/>
      <c r="N100" s="8"/>
      <c r="O100" s="9"/>
      <c r="P100" s="183"/>
      <c r="Q100" s="8"/>
      <c r="R100" s="9"/>
      <c r="S100" s="144"/>
      <c r="T100" s="8"/>
      <c r="U100" s="9"/>
      <c r="V100" s="144"/>
      <c r="W100" s="8"/>
      <c r="X100" s="9"/>
      <c r="Y100" s="144"/>
      <c r="Z100" s="8"/>
      <c r="AA100" s="9"/>
      <c r="AB100" s="144"/>
      <c r="AC100" s="8"/>
      <c r="AD100" s="9"/>
      <c r="AE100" s="144"/>
      <c r="AF100" s="8"/>
      <c r="AG100" s="9"/>
      <c r="AH100" s="144"/>
      <c r="AI100" s="359"/>
      <c r="AJ100" s="6"/>
    </row>
    <row r="101" spans="1:36" s="7" customFormat="1" ht="30" customHeight="1">
      <c r="A101" s="123" t="s">
        <v>9</v>
      </c>
      <c r="B101" s="356"/>
      <c r="C101" s="357"/>
      <c r="D101" s="357"/>
      <c r="E101" s="8" t="s">
        <v>79</v>
      </c>
      <c r="F101" s="9"/>
      <c r="G101" s="183"/>
      <c r="H101" s="8" t="s">
        <v>80</v>
      </c>
      <c r="I101" s="9"/>
      <c r="J101" s="183"/>
      <c r="K101" s="8" t="s">
        <v>81</v>
      </c>
      <c r="L101" s="9"/>
      <c r="M101" s="183"/>
      <c r="N101" s="8" t="s">
        <v>82</v>
      </c>
      <c r="O101" s="9"/>
      <c r="P101" s="183"/>
      <c r="Q101" s="8" t="s">
        <v>83</v>
      </c>
      <c r="R101" s="9"/>
      <c r="S101" s="144"/>
      <c r="T101" s="8">
        <v>6</v>
      </c>
      <c r="U101" s="9"/>
      <c r="V101" s="144"/>
      <c r="W101" s="8">
        <v>7</v>
      </c>
      <c r="X101" s="9"/>
      <c r="Y101" s="144"/>
      <c r="Z101" s="8">
        <v>8</v>
      </c>
      <c r="AA101" s="9"/>
      <c r="AB101" s="144"/>
      <c r="AC101" s="8">
        <v>9</v>
      </c>
      <c r="AD101" s="9"/>
      <c r="AE101" s="144"/>
      <c r="AF101" s="8">
        <v>10</v>
      </c>
      <c r="AG101" s="9"/>
      <c r="AH101" s="144"/>
      <c r="AI101" s="359"/>
      <c r="AJ101" s="6"/>
    </row>
    <row r="102" spans="1:36" s="7" customFormat="1" ht="30" customHeight="1" thickBot="1">
      <c r="A102" s="124"/>
      <c r="B102" s="115" t="s">
        <v>10</v>
      </c>
      <c r="C102" s="116" t="s">
        <v>11</v>
      </c>
      <c r="D102" s="178" t="s">
        <v>12</v>
      </c>
      <c r="E102" s="115" t="s">
        <v>10</v>
      </c>
      <c r="F102" s="116" t="s">
        <v>11</v>
      </c>
      <c r="G102" s="178" t="s">
        <v>12</v>
      </c>
      <c r="H102" s="115" t="s">
        <v>10</v>
      </c>
      <c r="I102" s="116" t="s">
        <v>11</v>
      </c>
      <c r="J102" s="178" t="s">
        <v>12</v>
      </c>
      <c r="K102" s="115" t="s">
        <v>10</v>
      </c>
      <c r="L102" s="116" t="s">
        <v>11</v>
      </c>
      <c r="M102" s="178" t="s">
        <v>12</v>
      </c>
      <c r="N102" s="115" t="s">
        <v>10</v>
      </c>
      <c r="O102" s="116" t="s">
        <v>11</v>
      </c>
      <c r="P102" s="178" t="s">
        <v>12</v>
      </c>
      <c r="Q102" s="115" t="s">
        <v>10</v>
      </c>
      <c r="R102" s="116" t="s">
        <v>11</v>
      </c>
      <c r="S102" s="178" t="s">
        <v>12</v>
      </c>
      <c r="T102" s="117" t="s">
        <v>10</v>
      </c>
      <c r="U102" s="118" t="s">
        <v>11</v>
      </c>
      <c r="V102" s="145" t="s">
        <v>12</v>
      </c>
      <c r="W102" s="117" t="s">
        <v>10</v>
      </c>
      <c r="X102" s="118" t="s">
        <v>11</v>
      </c>
      <c r="Y102" s="145" t="s">
        <v>12</v>
      </c>
      <c r="Z102" s="117" t="s">
        <v>10</v>
      </c>
      <c r="AA102" s="118" t="s">
        <v>11</v>
      </c>
      <c r="AB102" s="145" t="s">
        <v>12</v>
      </c>
      <c r="AC102" s="117" t="s">
        <v>10</v>
      </c>
      <c r="AD102" s="118" t="s">
        <v>11</v>
      </c>
      <c r="AE102" s="145" t="s">
        <v>12</v>
      </c>
      <c r="AF102" s="117" t="s">
        <v>10</v>
      </c>
      <c r="AG102" s="118" t="s">
        <v>11</v>
      </c>
      <c r="AH102" s="145" t="s">
        <v>12</v>
      </c>
      <c r="AI102" s="360"/>
      <c r="AJ102" s="6"/>
    </row>
    <row r="103" spans="1:36" s="6" customFormat="1" ht="22.5" customHeight="1" thickTop="1">
      <c r="A103" s="134" t="s">
        <v>8</v>
      </c>
      <c r="B103" s="135" t="e">
        <f>SUM(B104:B128)</f>
        <v>#REF!</v>
      </c>
      <c r="C103" s="136" t="s">
        <v>11</v>
      </c>
      <c r="D103" s="181" t="e">
        <f>SUM(D104:D128)</f>
        <v>#REF!</v>
      </c>
      <c r="E103" s="135" t="e">
        <f>SUM(E104:E128)</f>
        <v>#REF!</v>
      </c>
      <c r="F103" s="136" t="s">
        <v>11</v>
      </c>
      <c r="G103" s="181" t="e">
        <f>SUM(G104:G128)</f>
        <v>#REF!</v>
      </c>
      <c r="H103" s="135" t="e">
        <f>SUM(H104:H128)</f>
        <v>#REF!</v>
      </c>
      <c r="I103" s="136" t="s">
        <v>11</v>
      </c>
      <c r="J103" s="181" t="e">
        <f>SUM(J104:J128)</f>
        <v>#REF!</v>
      </c>
      <c r="K103" s="135" t="e">
        <f>SUM(K104:K128)</f>
        <v>#REF!</v>
      </c>
      <c r="L103" s="136" t="s">
        <v>11</v>
      </c>
      <c r="M103" s="181" t="e">
        <f>SUM(M104:M128)</f>
        <v>#REF!</v>
      </c>
      <c r="N103" s="135" t="e">
        <f>SUM(N104:N128)</f>
        <v>#REF!</v>
      </c>
      <c r="O103" s="136" t="s">
        <v>11</v>
      </c>
      <c r="P103" s="181" t="e">
        <f>SUM(P104:P128)</f>
        <v>#REF!</v>
      </c>
      <c r="Q103" s="135" t="e">
        <f>SUM(Q104:Q128)</f>
        <v>#REF!</v>
      </c>
      <c r="R103" s="136" t="s">
        <v>11</v>
      </c>
      <c r="S103" s="181" t="e">
        <f>SUM(S104:S128)</f>
        <v>#REF!</v>
      </c>
      <c r="T103" s="135">
        <f>SUM(T104:T128)</f>
        <v>0</v>
      </c>
      <c r="U103" s="136" t="s">
        <v>11</v>
      </c>
      <c r="V103" s="181">
        <f>SUM(V104:V128)</f>
        <v>0</v>
      </c>
      <c r="W103" s="135">
        <f>SUM(W104:W128)</f>
        <v>0</v>
      </c>
      <c r="X103" s="136" t="s">
        <v>11</v>
      </c>
      <c r="Y103" s="181">
        <f>SUM(Y104:Y128)</f>
        <v>0</v>
      </c>
      <c r="Z103" s="135">
        <f>SUM(Z104:Z128)</f>
        <v>0</v>
      </c>
      <c r="AA103" s="136" t="s">
        <v>11</v>
      </c>
      <c r="AB103" s="181">
        <f>SUM(AB104:AB128)</f>
        <v>0</v>
      </c>
      <c r="AC103" s="135">
        <f>SUM(AC104:AC128)</f>
        <v>0</v>
      </c>
      <c r="AD103" s="136" t="s">
        <v>11</v>
      </c>
      <c r="AE103" s="181">
        <f>SUM(AE104:AE128)</f>
        <v>0</v>
      </c>
      <c r="AF103" s="135">
        <f>SUM(AF104:AF128)</f>
        <v>0</v>
      </c>
      <c r="AG103" s="136" t="s">
        <v>11</v>
      </c>
      <c r="AH103" s="181">
        <f>SUM(AH104:AH128)</f>
        <v>0</v>
      </c>
      <c r="AI103" s="137"/>
    </row>
    <row r="104" spans="1:36" s="6" customFormat="1" ht="22.5" customHeight="1">
      <c r="A104" s="127" t="s">
        <v>13</v>
      </c>
      <c r="B104" s="111" t="e">
        <f t="shared" ref="B104:B128" si="6">SUM(E104,H104,K104,N104,Q104,T104,W104,Z104,AC104,AF104)</f>
        <v>#REF!</v>
      </c>
      <c r="C104" s="112" t="s">
        <v>11</v>
      </c>
      <c r="D104" s="179" t="e">
        <f t="shared" ref="D104:D128" si="7">SUM(G104,J104,M104,P104,S104,V104,Y104,AB104,AE104,AH104)</f>
        <v>#REF!</v>
      </c>
      <c r="E104" s="111" t="e">
        <f>'(변경)집계표'!H7</f>
        <v>#REF!</v>
      </c>
      <c r="F104" s="112" t="s">
        <v>11</v>
      </c>
      <c r="G104" s="179" t="e">
        <f>'(변경)집계표'!J7</f>
        <v>#REF!</v>
      </c>
      <c r="H104" s="111" t="e">
        <f>'(변경)집계표'!H37</f>
        <v>#REF!</v>
      </c>
      <c r="I104" s="112" t="s">
        <v>11</v>
      </c>
      <c r="J104" s="179" t="e">
        <f>'(변경)집계표'!J37</f>
        <v>#REF!</v>
      </c>
      <c r="K104" s="111" t="e">
        <f>'(변경)집계표'!H67</f>
        <v>#REF!</v>
      </c>
      <c r="L104" s="112" t="s">
        <v>11</v>
      </c>
      <c r="M104" s="179" t="e">
        <f>'(변경)집계표'!J67</f>
        <v>#REF!</v>
      </c>
      <c r="N104" s="111" t="e">
        <f>'(변경)집계표'!H97</f>
        <v>#REF!</v>
      </c>
      <c r="O104" s="112" t="s">
        <v>11</v>
      </c>
      <c r="P104" s="179" t="e">
        <f>'(변경)집계표'!J97</f>
        <v>#REF!</v>
      </c>
      <c r="Q104" s="111" t="e">
        <f>'(변경)집계표'!H127</f>
        <v>#REF!</v>
      </c>
      <c r="R104" s="112" t="s">
        <v>11</v>
      </c>
      <c r="S104" s="140" t="e">
        <f>'(변경)집계표'!J127</f>
        <v>#REF!</v>
      </c>
      <c r="T104" s="111">
        <f>'(변경)집계표'!H157</f>
        <v>0</v>
      </c>
      <c r="U104" s="112" t="s">
        <v>11</v>
      </c>
      <c r="V104" s="140">
        <f>'(변경)집계표'!J157</f>
        <v>0</v>
      </c>
      <c r="W104" s="111">
        <f>'(변경)집계표'!H187</f>
        <v>0</v>
      </c>
      <c r="X104" s="112" t="s">
        <v>11</v>
      </c>
      <c r="Y104" s="140">
        <f>'(변경)집계표'!J187</f>
        <v>0</v>
      </c>
      <c r="Z104" s="111">
        <f>'(변경)집계표'!H217</f>
        <v>0</v>
      </c>
      <c r="AA104" s="112" t="s">
        <v>11</v>
      </c>
      <c r="AB104" s="140">
        <f>'(변경)집계표'!J217</f>
        <v>0</v>
      </c>
      <c r="AC104" s="111">
        <f>'(변경)집계표'!H247</f>
        <v>0</v>
      </c>
      <c r="AD104" s="112" t="s">
        <v>11</v>
      </c>
      <c r="AE104" s="140">
        <f>'(변경)집계표'!J247</f>
        <v>0</v>
      </c>
      <c r="AF104" s="111">
        <f>'(변경)집계표'!H277</f>
        <v>0</v>
      </c>
      <c r="AG104" s="112" t="s">
        <v>11</v>
      </c>
      <c r="AH104" s="140">
        <f>'(변경)집계표'!J277</f>
        <v>0</v>
      </c>
      <c r="AI104" s="128"/>
    </row>
    <row r="105" spans="1:36" s="6" customFormat="1" ht="22.5" customHeight="1">
      <c r="A105" s="127" t="s">
        <v>14</v>
      </c>
      <c r="B105" s="111" t="e">
        <f t="shared" si="6"/>
        <v>#REF!</v>
      </c>
      <c r="C105" s="112" t="s">
        <v>11</v>
      </c>
      <c r="D105" s="179" t="e">
        <f t="shared" si="7"/>
        <v>#REF!</v>
      </c>
      <c r="E105" s="111" t="e">
        <f>'(변경)집계표'!H8</f>
        <v>#REF!</v>
      </c>
      <c r="F105" s="112" t="s">
        <v>11</v>
      </c>
      <c r="G105" s="179" t="e">
        <f>'(변경)집계표'!J8</f>
        <v>#REF!</v>
      </c>
      <c r="H105" s="111" t="e">
        <f>'(변경)집계표'!H38</f>
        <v>#REF!</v>
      </c>
      <c r="I105" s="112" t="s">
        <v>11</v>
      </c>
      <c r="J105" s="179" t="e">
        <f>'(변경)집계표'!J38</f>
        <v>#REF!</v>
      </c>
      <c r="K105" s="111" t="e">
        <f>'(변경)집계표'!H68</f>
        <v>#REF!</v>
      </c>
      <c r="L105" s="112" t="s">
        <v>11</v>
      </c>
      <c r="M105" s="179" t="e">
        <f>'(변경)집계표'!J68</f>
        <v>#REF!</v>
      </c>
      <c r="N105" s="111" t="e">
        <f>'(변경)집계표'!H98</f>
        <v>#REF!</v>
      </c>
      <c r="O105" s="112" t="s">
        <v>11</v>
      </c>
      <c r="P105" s="179" t="e">
        <f>'(변경)집계표'!J98</f>
        <v>#REF!</v>
      </c>
      <c r="Q105" s="111" t="e">
        <f>'(변경)집계표'!H128</f>
        <v>#REF!</v>
      </c>
      <c r="R105" s="112" t="s">
        <v>11</v>
      </c>
      <c r="S105" s="140" t="e">
        <f>'(변경)집계표'!J128</f>
        <v>#REF!</v>
      </c>
      <c r="T105" s="111">
        <f>'(변경)집계표'!H158</f>
        <v>0</v>
      </c>
      <c r="U105" s="112" t="s">
        <v>11</v>
      </c>
      <c r="V105" s="140">
        <f>'(변경)집계표'!J158</f>
        <v>0</v>
      </c>
      <c r="W105" s="111">
        <f>'(변경)집계표'!H188</f>
        <v>0</v>
      </c>
      <c r="X105" s="112" t="s">
        <v>11</v>
      </c>
      <c r="Y105" s="140">
        <f>'(변경)집계표'!J188</f>
        <v>0</v>
      </c>
      <c r="Z105" s="111">
        <f>'(변경)집계표'!H218</f>
        <v>0</v>
      </c>
      <c r="AA105" s="112" t="s">
        <v>11</v>
      </c>
      <c r="AB105" s="140">
        <f>'(변경)집계표'!J218</f>
        <v>0</v>
      </c>
      <c r="AC105" s="111">
        <f>'(변경)집계표'!H248</f>
        <v>0</v>
      </c>
      <c r="AD105" s="112" t="s">
        <v>11</v>
      </c>
      <c r="AE105" s="140">
        <f>'(변경)집계표'!J248</f>
        <v>0</v>
      </c>
      <c r="AF105" s="111">
        <f>'(변경)집계표'!H278</f>
        <v>0</v>
      </c>
      <c r="AG105" s="112" t="s">
        <v>11</v>
      </c>
      <c r="AH105" s="140">
        <f>'(변경)집계표'!J278</f>
        <v>0</v>
      </c>
      <c r="AI105" s="128"/>
    </row>
    <row r="106" spans="1:36" s="6" customFormat="1" ht="22.5" customHeight="1">
      <c r="A106" s="127" t="s">
        <v>15</v>
      </c>
      <c r="B106" s="111" t="e">
        <f t="shared" si="6"/>
        <v>#REF!</v>
      </c>
      <c r="C106" s="112" t="s">
        <v>11</v>
      </c>
      <c r="D106" s="179" t="e">
        <f t="shared" si="7"/>
        <v>#REF!</v>
      </c>
      <c r="E106" s="111" t="e">
        <f>'(변경)집계표'!H9</f>
        <v>#REF!</v>
      </c>
      <c r="F106" s="112" t="s">
        <v>11</v>
      </c>
      <c r="G106" s="179" t="e">
        <f>'(변경)집계표'!J9</f>
        <v>#REF!</v>
      </c>
      <c r="H106" s="111" t="e">
        <f>'(변경)집계표'!H39</f>
        <v>#REF!</v>
      </c>
      <c r="I106" s="112" t="s">
        <v>11</v>
      </c>
      <c r="J106" s="179" t="e">
        <f>'(변경)집계표'!J39</f>
        <v>#REF!</v>
      </c>
      <c r="K106" s="111" t="e">
        <f>'(변경)집계표'!H69</f>
        <v>#REF!</v>
      </c>
      <c r="L106" s="112" t="s">
        <v>11</v>
      </c>
      <c r="M106" s="179" t="e">
        <f>'(변경)집계표'!J69</f>
        <v>#REF!</v>
      </c>
      <c r="N106" s="111" t="e">
        <f>'(변경)집계표'!H99</f>
        <v>#REF!</v>
      </c>
      <c r="O106" s="112" t="s">
        <v>11</v>
      </c>
      <c r="P106" s="179" t="e">
        <f>'(변경)집계표'!J99</f>
        <v>#REF!</v>
      </c>
      <c r="Q106" s="111" t="e">
        <f>'(변경)집계표'!H129</f>
        <v>#REF!</v>
      </c>
      <c r="R106" s="112" t="s">
        <v>11</v>
      </c>
      <c r="S106" s="140" t="e">
        <f>'(변경)집계표'!J129</f>
        <v>#REF!</v>
      </c>
      <c r="T106" s="111">
        <f>'(변경)집계표'!H159</f>
        <v>0</v>
      </c>
      <c r="U106" s="112" t="s">
        <v>11</v>
      </c>
      <c r="V106" s="140">
        <f>'(변경)집계표'!J159</f>
        <v>0</v>
      </c>
      <c r="W106" s="111">
        <f>'(변경)집계표'!H189</f>
        <v>0</v>
      </c>
      <c r="X106" s="112" t="s">
        <v>11</v>
      </c>
      <c r="Y106" s="140">
        <f>'(변경)집계표'!J189</f>
        <v>0</v>
      </c>
      <c r="Z106" s="111">
        <f>'(변경)집계표'!H219</f>
        <v>0</v>
      </c>
      <c r="AA106" s="112" t="s">
        <v>11</v>
      </c>
      <c r="AB106" s="140">
        <f>'(변경)집계표'!J219</f>
        <v>0</v>
      </c>
      <c r="AC106" s="111">
        <f>'(변경)집계표'!H249</f>
        <v>0</v>
      </c>
      <c r="AD106" s="112" t="s">
        <v>11</v>
      </c>
      <c r="AE106" s="140">
        <f>'(변경)집계표'!J249</f>
        <v>0</v>
      </c>
      <c r="AF106" s="111">
        <f>'(변경)집계표'!H279</f>
        <v>0</v>
      </c>
      <c r="AG106" s="112" t="s">
        <v>11</v>
      </c>
      <c r="AH106" s="140">
        <f>'(변경)집계표'!J279</f>
        <v>0</v>
      </c>
      <c r="AI106" s="128"/>
    </row>
    <row r="107" spans="1:36" s="6" customFormat="1" ht="22.5" customHeight="1">
      <c r="A107" s="127" t="s">
        <v>16</v>
      </c>
      <c r="B107" s="111" t="e">
        <f t="shared" si="6"/>
        <v>#REF!</v>
      </c>
      <c r="C107" s="112" t="s">
        <v>11</v>
      </c>
      <c r="D107" s="179" t="e">
        <f t="shared" si="7"/>
        <v>#REF!</v>
      </c>
      <c r="E107" s="111" t="e">
        <f>'(변경)집계표'!H10</f>
        <v>#REF!</v>
      </c>
      <c r="F107" s="112" t="s">
        <v>11</v>
      </c>
      <c r="G107" s="179" t="e">
        <f>'(변경)집계표'!J10</f>
        <v>#REF!</v>
      </c>
      <c r="H107" s="111" t="e">
        <f>'(변경)집계표'!H40</f>
        <v>#REF!</v>
      </c>
      <c r="I107" s="112" t="s">
        <v>11</v>
      </c>
      <c r="J107" s="179" t="e">
        <f>'(변경)집계표'!J40</f>
        <v>#REF!</v>
      </c>
      <c r="K107" s="111" t="e">
        <f>'(변경)집계표'!H70</f>
        <v>#REF!</v>
      </c>
      <c r="L107" s="112" t="s">
        <v>11</v>
      </c>
      <c r="M107" s="179" t="e">
        <f>'(변경)집계표'!J70</f>
        <v>#REF!</v>
      </c>
      <c r="N107" s="111" t="e">
        <f>'(변경)집계표'!H100</f>
        <v>#REF!</v>
      </c>
      <c r="O107" s="112" t="s">
        <v>11</v>
      </c>
      <c r="P107" s="179" t="e">
        <f>'(변경)집계표'!J100</f>
        <v>#REF!</v>
      </c>
      <c r="Q107" s="111" t="e">
        <f>'(변경)집계표'!H130</f>
        <v>#REF!</v>
      </c>
      <c r="R107" s="112" t="s">
        <v>11</v>
      </c>
      <c r="S107" s="140" t="e">
        <f>'(변경)집계표'!J130</f>
        <v>#REF!</v>
      </c>
      <c r="T107" s="111">
        <f>'(변경)집계표'!H160</f>
        <v>0</v>
      </c>
      <c r="U107" s="112" t="s">
        <v>11</v>
      </c>
      <c r="V107" s="140">
        <f>'(변경)집계표'!J160</f>
        <v>0</v>
      </c>
      <c r="W107" s="111">
        <f>'(변경)집계표'!H190</f>
        <v>0</v>
      </c>
      <c r="X107" s="112" t="s">
        <v>11</v>
      </c>
      <c r="Y107" s="140">
        <f>'(변경)집계표'!J190</f>
        <v>0</v>
      </c>
      <c r="Z107" s="111">
        <f>'(변경)집계표'!H220</f>
        <v>0</v>
      </c>
      <c r="AA107" s="112" t="s">
        <v>11</v>
      </c>
      <c r="AB107" s="140">
        <f>'(변경)집계표'!J220</f>
        <v>0</v>
      </c>
      <c r="AC107" s="111">
        <f>'(변경)집계표'!H250</f>
        <v>0</v>
      </c>
      <c r="AD107" s="112" t="s">
        <v>11</v>
      </c>
      <c r="AE107" s="140">
        <f>'(변경)집계표'!J250</f>
        <v>0</v>
      </c>
      <c r="AF107" s="111">
        <f>'(변경)집계표'!H280</f>
        <v>0</v>
      </c>
      <c r="AG107" s="112" t="s">
        <v>11</v>
      </c>
      <c r="AH107" s="140">
        <f>'(변경)집계표'!J280</f>
        <v>0</v>
      </c>
      <c r="AI107" s="128"/>
    </row>
    <row r="108" spans="1:36" s="6" customFormat="1" ht="22.5" customHeight="1">
      <c r="A108" s="127" t="s">
        <v>17</v>
      </c>
      <c r="B108" s="111" t="e">
        <f t="shared" si="6"/>
        <v>#REF!</v>
      </c>
      <c r="C108" s="112" t="s">
        <v>11</v>
      </c>
      <c r="D108" s="179" t="e">
        <f t="shared" si="7"/>
        <v>#REF!</v>
      </c>
      <c r="E108" s="111" t="e">
        <f>'(변경)집계표'!H11</f>
        <v>#REF!</v>
      </c>
      <c r="F108" s="112" t="s">
        <v>11</v>
      </c>
      <c r="G108" s="179" t="e">
        <f>'(변경)집계표'!J11</f>
        <v>#REF!</v>
      </c>
      <c r="H108" s="111" t="e">
        <f>'(변경)집계표'!H41</f>
        <v>#REF!</v>
      </c>
      <c r="I108" s="112" t="s">
        <v>11</v>
      </c>
      <c r="J108" s="179" t="e">
        <f>'(변경)집계표'!J41</f>
        <v>#REF!</v>
      </c>
      <c r="K108" s="111" t="e">
        <f>'(변경)집계표'!H71</f>
        <v>#REF!</v>
      </c>
      <c r="L108" s="112" t="s">
        <v>11</v>
      </c>
      <c r="M108" s="179" t="e">
        <f>'(변경)집계표'!J71</f>
        <v>#REF!</v>
      </c>
      <c r="N108" s="111" t="e">
        <f>'(변경)집계표'!H101</f>
        <v>#REF!</v>
      </c>
      <c r="O108" s="112" t="s">
        <v>11</v>
      </c>
      <c r="P108" s="179" t="e">
        <f>'(변경)집계표'!J101</f>
        <v>#REF!</v>
      </c>
      <c r="Q108" s="111" t="e">
        <f>'(변경)집계표'!H131</f>
        <v>#REF!</v>
      </c>
      <c r="R108" s="112" t="s">
        <v>11</v>
      </c>
      <c r="S108" s="140" t="e">
        <f>'(변경)집계표'!J131</f>
        <v>#REF!</v>
      </c>
      <c r="T108" s="111">
        <f>'(변경)집계표'!H161</f>
        <v>0</v>
      </c>
      <c r="U108" s="112" t="s">
        <v>11</v>
      </c>
      <c r="V108" s="140">
        <f>'(변경)집계표'!J161</f>
        <v>0</v>
      </c>
      <c r="W108" s="111">
        <f>'(변경)집계표'!H191</f>
        <v>0</v>
      </c>
      <c r="X108" s="112" t="s">
        <v>11</v>
      </c>
      <c r="Y108" s="140">
        <f>'(변경)집계표'!J191</f>
        <v>0</v>
      </c>
      <c r="Z108" s="111">
        <f>'(변경)집계표'!H221</f>
        <v>0</v>
      </c>
      <c r="AA108" s="112" t="s">
        <v>11</v>
      </c>
      <c r="AB108" s="140">
        <f>'(변경)집계표'!J221</f>
        <v>0</v>
      </c>
      <c r="AC108" s="111">
        <f>'(변경)집계표'!H251</f>
        <v>0</v>
      </c>
      <c r="AD108" s="112" t="s">
        <v>11</v>
      </c>
      <c r="AE108" s="140">
        <f>'(변경)집계표'!J251</f>
        <v>0</v>
      </c>
      <c r="AF108" s="111">
        <f>'(변경)집계표'!H281</f>
        <v>0</v>
      </c>
      <c r="AG108" s="112" t="s">
        <v>11</v>
      </c>
      <c r="AH108" s="140">
        <f>'(변경)집계표'!J281</f>
        <v>0</v>
      </c>
      <c r="AI108" s="128"/>
    </row>
    <row r="109" spans="1:36" s="6" customFormat="1" ht="22.5" customHeight="1">
      <c r="A109" s="127" t="s">
        <v>18</v>
      </c>
      <c r="B109" s="111" t="e">
        <f t="shared" si="6"/>
        <v>#REF!</v>
      </c>
      <c r="C109" s="112" t="s">
        <v>11</v>
      </c>
      <c r="D109" s="179" t="e">
        <f t="shared" si="7"/>
        <v>#REF!</v>
      </c>
      <c r="E109" s="111" t="e">
        <f>'(변경)집계표'!H12</f>
        <v>#REF!</v>
      </c>
      <c r="F109" s="112" t="s">
        <v>11</v>
      </c>
      <c r="G109" s="179" t="e">
        <f>'(변경)집계표'!J12</f>
        <v>#REF!</v>
      </c>
      <c r="H109" s="111" t="e">
        <f>'(변경)집계표'!H42</f>
        <v>#REF!</v>
      </c>
      <c r="I109" s="112" t="s">
        <v>11</v>
      </c>
      <c r="J109" s="179" t="e">
        <f>'(변경)집계표'!J42</f>
        <v>#REF!</v>
      </c>
      <c r="K109" s="111" t="e">
        <f>'(변경)집계표'!H72</f>
        <v>#REF!</v>
      </c>
      <c r="L109" s="112" t="s">
        <v>11</v>
      </c>
      <c r="M109" s="179" t="e">
        <f>'(변경)집계표'!J72</f>
        <v>#REF!</v>
      </c>
      <c r="N109" s="111" t="e">
        <f>'(변경)집계표'!H102</f>
        <v>#REF!</v>
      </c>
      <c r="O109" s="112" t="s">
        <v>11</v>
      </c>
      <c r="P109" s="179" t="e">
        <f>'(변경)집계표'!J102</f>
        <v>#REF!</v>
      </c>
      <c r="Q109" s="111" t="e">
        <f>'(변경)집계표'!H132</f>
        <v>#REF!</v>
      </c>
      <c r="R109" s="112" t="s">
        <v>11</v>
      </c>
      <c r="S109" s="140" t="e">
        <f>'(변경)집계표'!J132</f>
        <v>#REF!</v>
      </c>
      <c r="T109" s="111">
        <f>'(변경)집계표'!H162</f>
        <v>0</v>
      </c>
      <c r="U109" s="112" t="s">
        <v>11</v>
      </c>
      <c r="V109" s="140">
        <f>'(변경)집계표'!J162</f>
        <v>0</v>
      </c>
      <c r="W109" s="111">
        <f>'(변경)집계표'!H192</f>
        <v>0</v>
      </c>
      <c r="X109" s="112" t="s">
        <v>11</v>
      </c>
      <c r="Y109" s="140">
        <f>'(변경)집계표'!J192</f>
        <v>0</v>
      </c>
      <c r="Z109" s="111">
        <f>'(변경)집계표'!H222</f>
        <v>0</v>
      </c>
      <c r="AA109" s="112" t="s">
        <v>11</v>
      </c>
      <c r="AB109" s="140">
        <f>'(변경)집계표'!J222</f>
        <v>0</v>
      </c>
      <c r="AC109" s="111">
        <f>'(변경)집계표'!H252</f>
        <v>0</v>
      </c>
      <c r="AD109" s="112" t="s">
        <v>11</v>
      </c>
      <c r="AE109" s="140">
        <f>'(변경)집계표'!J252</f>
        <v>0</v>
      </c>
      <c r="AF109" s="111">
        <f>'(변경)집계표'!H282</f>
        <v>0</v>
      </c>
      <c r="AG109" s="112" t="s">
        <v>11</v>
      </c>
      <c r="AH109" s="140">
        <f>'(변경)집계표'!J282</f>
        <v>0</v>
      </c>
      <c r="AI109" s="128"/>
    </row>
    <row r="110" spans="1:36" s="6" customFormat="1" ht="22.5" customHeight="1">
      <c r="A110" s="127" t="s">
        <v>19</v>
      </c>
      <c r="B110" s="111" t="e">
        <f t="shared" si="6"/>
        <v>#REF!</v>
      </c>
      <c r="C110" s="112" t="s">
        <v>11</v>
      </c>
      <c r="D110" s="179" t="e">
        <f t="shared" si="7"/>
        <v>#REF!</v>
      </c>
      <c r="E110" s="111" t="e">
        <f>'(변경)집계표'!H13</f>
        <v>#REF!</v>
      </c>
      <c r="F110" s="112" t="s">
        <v>11</v>
      </c>
      <c r="G110" s="179" t="e">
        <f>'(변경)집계표'!J13</f>
        <v>#REF!</v>
      </c>
      <c r="H110" s="111" t="e">
        <f>'(변경)집계표'!H43</f>
        <v>#REF!</v>
      </c>
      <c r="I110" s="112" t="s">
        <v>11</v>
      </c>
      <c r="J110" s="179" t="e">
        <f>'(변경)집계표'!J43</f>
        <v>#REF!</v>
      </c>
      <c r="K110" s="111" t="e">
        <f>'(변경)집계표'!H73</f>
        <v>#REF!</v>
      </c>
      <c r="L110" s="112" t="s">
        <v>11</v>
      </c>
      <c r="M110" s="179" t="e">
        <f>'(변경)집계표'!J73</f>
        <v>#REF!</v>
      </c>
      <c r="N110" s="111" t="e">
        <f>'(변경)집계표'!H103</f>
        <v>#REF!</v>
      </c>
      <c r="O110" s="112" t="s">
        <v>11</v>
      </c>
      <c r="P110" s="179" t="e">
        <f>'(변경)집계표'!J103</f>
        <v>#REF!</v>
      </c>
      <c r="Q110" s="111" t="e">
        <f>'(변경)집계표'!H133</f>
        <v>#REF!</v>
      </c>
      <c r="R110" s="112" t="s">
        <v>11</v>
      </c>
      <c r="S110" s="140" t="e">
        <f>'(변경)집계표'!J133</f>
        <v>#REF!</v>
      </c>
      <c r="T110" s="111">
        <f>'(변경)집계표'!H163</f>
        <v>0</v>
      </c>
      <c r="U110" s="112" t="s">
        <v>11</v>
      </c>
      <c r="V110" s="140">
        <f>'(변경)집계표'!J163</f>
        <v>0</v>
      </c>
      <c r="W110" s="111">
        <f>'(변경)집계표'!H193</f>
        <v>0</v>
      </c>
      <c r="X110" s="112" t="s">
        <v>11</v>
      </c>
      <c r="Y110" s="140">
        <f>'(변경)집계표'!J193</f>
        <v>0</v>
      </c>
      <c r="Z110" s="111">
        <f>'(변경)집계표'!H223</f>
        <v>0</v>
      </c>
      <c r="AA110" s="112" t="s">
        <v>11</v>
      </c>
      <c r="AB110" s="140">
        <f>'(변경)집계표'!J223</f>
        <v>0</v>
      </c>
      <c r="AC110" s="111">
        <f>'(변경)집계표'!H253</f>
        <v>0</v>
      </c>
      <c r="AD110" s="112" t="s">
        <v>11</v>
      </c>
      <c r="AE110" s="140">
        <f>'(변경)집계표'!J253</f>
        <v>0</v>
      </c>
      <c r="AF110" s="111">
        <f>'(변경)집계표'!H283</f>
        <v>0</v>
      </c>
      <c r="AG110" s="112" t="s">
        <v>11</v>
      </c>
      <c r="AH110" s="140">
        <f>'(변경)집계표'!J283</f>
        <v>0</v>
      </c>
      <c r="AI110" s="128"/>
    </row>
    <row r="111" spans="1:36" s="6" customFormat="1" ht="22.5" customHeight="1">
      <c r="A111" s="127" t="s">
        <v>20</v>
      </c>
      <c r="B111" s="111" t="e">
        <f t="shared" si="6"/>
        <v>#REF!</v>
      </c>
      <c r="C111" s="112" t="s">
        <v>11</v>
      </c>
      <c r="D111" s="179" t="e">
        <f t="shared" si="7"/>
        <v>#REF!</v>
      </c>
      <c r="E111" s="111" t="e">
        <f>'(변경)집계표'!H14</f>
        <v>#REF!</v>
      </c>
      <c r="F111" s="112" t="s">
        <v>11</v>
      </c>
      <c r="G111" s="179" t="e">
        <f>'(변경)집계표'!J14</f>
        <v>#REF!</v>
      </c>
      <c r="H111" s="111" t="e">
        <f>'(변경)집계표'!H44</f>
        <v>#REF!</v>
      </c>
      <c r="I111" s="112" t="s">
        <v>11</v>
      </c>
      <c r="J111" s="179" t="e">
        <f>'(변경)집계표'!J44</f>
        <v>#REF!</v>
      </c>
      <c r="K111" s="111" t="e">
        <f>'(변경)집계표'!H74</f>
        <v>#REF!</v>
      </c>
      <c r="L111" s="112" t="s">
        <v>11</v>
      </c>
      <c r="M111" s="179" t="e">
        <f>'(변경)집계표'!J74</f>
        <v>#REF!</v>
      </c>
      <c r="N111" s="111" t="e">
        <f>'(변경)집계표'!H104</f>
        <v>#REF!</v>
      </c>
      <c r="O111" s="112" t="s">
        <v>11</v>
      </c>
      <c r="P111" s="179" t="e">
        <f>'(변경)집계표'!J104</f>
        <v>#REF!</v>
      </c>
      <c r="Q111" s="111" t="e">
        <f>'(변경)집계표'!H134</f>
        <v>#REF!</v>
      </c>
      <c r="R111" s="112" t="s">
        <v>11</v>
      </c>
      <c r="S111" s="140" t="e">
        <f>'(변경)집계표'!J134</f>
        <v>#REF!</v>
      </c>
      <c r="T111" s="111">
        <f>'(변경)집계표'!H164</f>
        <v>0</v>
      </c>
      <c r="U111" s="112" t="s">
        <v>11</v>
      </c>
      <c r="V111" s="140">
        <f>'(변경)집계표'!J164</f>
        <v>0</v>
      </c>
      <c r="W111" s="111">
        <f>'(변경)집계표'!H194</f>
        <v>0</v>
      </c>
      <c r="X111" s="112" t="s">
        <v>11</v>
      </c>
      <c r="Y111" s="140">
        <f>'(변경)집계표'!J194</f>
        <v>0</v>
      </c>
      <c r="Z111" s="111">
        <f>'(변경)집계표'!H224</f>
        <v>0</v>
      </c>
      <c r="AA111" s="112" t="s">
        <v>11</v>
      </c>
      <c r="AB111" s="140">
        <f>'(변경)집계표'!J224</f>
        <v>0</v>
      </c>
      <c r="AC111" s="111">
        <f>'(변경)집계표'!H254</f>
        <v>0</v>
      </c>
      <c r="AD111" s="112" t="s">
        <v>11</v>
      </c>
      <c r="AE111" s="140">
        <f>'(변경)집계표'!J254</f>
        <v>0</v>
      </c>
      <c r="AF111" s="111">
        <f>'(변경)집계표'!H284</f>
        <v>0</v>
      </c>
      <c r="AG111" s="112" t="s">
        <v>11</v>
      </c>
      <c r="AH111" s="140">
        <f>'(변경)집계표'!J284</f>
        <v>0</v>
      </c>
      <c r="AI111" s="128"/>
    </row>
    <row r="112" spans="1:36" s="6" customFormat="1" ht="22.5" customHeight="1">
      <c r="A112" s="127" t="s">
        <v>21</v>
      </c>
      <c r="B112" s="111" t="e">
        <f t="shared" si="6"/>
        <v>#REF!</v>
      </c>
      <c r="C112" s="112" t="s">
        <v>11</v>
      </c>
      <c r="D112" s="179" t="e">
        <f t="shared" si="7"/>
        <v>#REF!</v>
      </c>
      <c r="E112" s="111" t="e">
        <f>'(변경)집계표'!H15</f>
        <v>#REF!</v>
      </c>
      <c r="F112" s="112" t="s">
        <v>11</v>
      </c>
      <c r="G112" s="179" t="e">
        <f>'(변경)집계표'!J15</f>
        <v>#REF!</v>
      </c>
      <c r="H112" s="111" t="e">
        <f>'(변경)집계표'!H45</f>
        <v>#REF!</v>
      </c>
      <c r="I112" s="112" t="s">
        <v>11</v>
      </c>
      <c r="J112" s="179" t="e">
        <f>'(변경)집계표'!J45</f>
        <v>#REF!</v>
      </c>
      <c r="K112" s="111" t="e">
        <f>'(변경)집계표'!H75</f>
        <v>#REF!</v>
      </c>
      <c r="L112" s="112" t="s">
        <v>11</v>
      </c>
      <c r="M112" s="179" t="e">
        <f>'(변경)집계표'!J75</f>
        <v>#REF!</v>
      </c>
      <c r="N112" s="111" t="e">
        <f>'(변경)집계표'!H105</f>
        <v>#REF!</v>
      </c>
      <c r="O112" s="112" t="s">
        <v>11</v>
      </c>
      <c r="P112" s="179" t="e">
        <f>'(변경)집계표'!J105</f>
        <v>#REF!</v>
      </c>
      <c r="Q112" s="111" t="e">
        <f>'(변경)집계표'!H135</f>
        <v>#REF!</v>
      </c>
      <c r="R112" s="112" t="s">
        <v>11</v>
      </c>
      <c r="S112" s="140" t="e">
        <f>'(변경)집계표'!J135</f>
        <v>#REF!</v>
      </c>
      <c r="T112" s="111">
        <f>'(변경)집계표'!H165</f>
        <v>0</v>
      </c>
      <c r="U112" s="112" t="s">
        <v>11</v>
      </c>
      <c r="V112" s="140">
        <f>'(변경)집계표'!J165</f>
        <v>0</v>
      </c>
      <c r="W112" s="111">
        <f>'(변경)집계표'!H195</f>
        <v>0</v>
      </c>
      <c r="X112" s="112" t="s">
        <v>11</v>
      </c>
      <c r="Y112" s="140">
        <f>'(변경)집계표'!J195</f>
        <v>0</v>
      </c>
      <c r="Z112" s="111">
        <f>'(변경)집계표'!H225</f>
        <v>0</v>
      </c>
      <c r="AA112" s="112" t="s">
        <v>11</v>
      </c>
      <c r="AB112" s="140">
        <f>'(변경)집계표'!J225</f>
        <v>0</v>
      </c>
      <c r="AC112" s="111">
        <f>'(변경)집계표'!H255</f>
        <v>0</v>
      </c>
      <c r="AD112" s="112" t="s">
        <v>11</v>
      </c>
      <c r="AE112" s="140">
        <f>'(변경)집계표'!J255</f>
        <v>0</v>
      </c>
      <c r="AF112" s="111">
        <f>'(변경)집계표'!H285</f>
        <v>0</v>
      </c>
      <c r="AG112" s="112" t="s">
        <v>11</v>
      </c>
      <c r="AH112" s="140">
        <f>'(변경)집계표'!J285</f>
        <v>0</v>
      </c>
      <c r="AI112" s="128"/>
    </row>
    <row r="113" spans="1:36" s="6" customFormat="1" ht="22.5" customHeight="1">
      <c r="A113" s="127" t="s">
        <v>22</v>
      </c>
      <c r="B113" s="111" t="e">
        <f t="shared" si="6"/>
        <v>#REF!</v>
      </c>
      <c r="C113" s="112" t="s">
        <v>11</v>
      </c>
      <c r="D113" s="179" t="e">
        <f t="shared" si="7"/>
        <v>#REF!</v>
      </c>
      <c r="E113" s="111" t="e">
        <f>'(변경)집계표'!H16</f>
        <v>#REF!</v>
      </c>
      <c r="F113" s="112" t="s">
        <v>11</v>
      </c>
      <c r="G113" s="179" t="e">
        <f>'(변경)집계표'!J16</f>
        <v>#REF!</v>
      </c>
      <c r="H113" s="111" t="e">
        <f>'(변경)집계표'!H46</f>
        <v>#REF!</v>
      </c>
      <c r="I113" s="112" t="s">
        <v>11</v>
      </c>
      <c r="J113" s="179" t="e">
        <f>'(변경)집계표'!J46</f>
        <v>#REF!</v>
      </c>
      <c r="K113" s="111" t="e">
        <f>'(변경)집계표'!H76</f>
        <v>#REF!</v>
      </c>
      <c r="L113" s="112" t="s">
        <v>11</v>
      </c>
      <c r="M113" s="179" t="e">
        <f>'(변경)집계표'!J76</f>
        <v>#REF!</v>
      </c>
      <c r="N113" s="111" t="e">
        <f>'(변경)집계표'!H106</f>
        <v>#REF!</v>
      </c>
      <c r="O113" s="112" t="s">
        <v>11</v>
      </c>
      <c r="P113" s="179" t="e">
        <f>'(변경)집계표'!J106</f>
        <v>#REF!</v>
      </c>
      <c r="Q113" s="111" t="e">
        <f>'(변경)집계표'!H136</f>
        <v>#REF!</v>
      </c>
      <c r="R113" s="112" t="s">
        <v>11</v>
      </c>
      <c r="S113" s="140" t="e">
        <f>'(변경)집계표'!J136</f>
        <v>#REF!</v>
      </c>
      <c r="T113" s="111">
        <f>'(변경)집계표'!H166</f>
        <v>0</v>
      </c>
      <c r="U113" s="112" t="s">
        <v>11</v>
      </c>
      <c r="V113" s="140">
        <f>'(변경)집계표'!J166</f>
        <v>0</v>
      </c>
      <c r="W113" s="111">
        <f>'(변경)집계표'!H196</f>
        <v>0</v>
      </c>
      <c r="X113" s="112" t="s">
        <v>11</v>
      </c>
      <c r="Y113" s="140">
        <f>'(변경)집계표'!J196</f>
        <v>0</v>
      </c>
      <c r="Z113" s="111">
        <f>'(변경)집계표'!H226</f>
        <v>0</v>
      </c>
      <c r="AA113" s="112" t="s">
        <v>11</v>
      </c>
      <c r="AB113" s="140">
        <f>'(변경)집계표'!J226</f>
        <v>0</v>
      </c>
      <c r="AC113" s="111">
        <f>'(변경)집계표'!H256</f>
        <v>0</v>
      </c>
      <c r="AD113" s="112" t="s">
        <v>11</v>
      </c>
      <c r="AE113" s="140">
        <f>'(변경)집계표'!J256</f>
        <v>0</v>
      </c>
      <c r="AF113" s="111">
        <f>'(변경)집계표'!H286</f>
        <v>0</v>
      </c>
      <c r="AG113" s="112" t="s">
        <v>11</v>
      </c>
      <c r="AH113" s="140">
        <f>'(변경)집계표'!J286</f>
        <v>0</v>
      </c>
      <c r="AI113" s="128"/>
    </row>
    <row r="114" spans="1:36" s="6" customFormat="1" ht="22.5" customHeight="1">
      <c r="A114" s="127" t="s">
        <v>23</v>
      </c>
      <c r="B114" s="111" t="e">
        <f t="shared" si="6"/>
        <v>#REF!</v>
      </c>
      <c r="C114" s="112" t="s">
        <v>11</v>
      </c>
      <c r="D114" s="179" t="e">
        <f t="shared" si="7"/>
        <v>#REF!</v>
      </c>
      <c r="E114" s="111" t="e">
        <f>'(변경)집계표'!H17</f>
        <v>#REF!</v>
      </c>
      <c r="F114" s="112" t="s">
        <v>11</v>
      </c>
      <c r="G114" s="179" t="e">
        <f>'(변경)집계표'!J17</f>
        <v>#REF!</v>
      </c>
      <c r="H114" s="111" t="e">
        <f>'(변경)집계표'!H47</f>
        <v>#REF!</v>
      </c>
      <c r="I114" s="112" t="s">
        <v>11</v>
      </c>
      <c r="J114" s="179" t="e">
        <f>'(변경)집계표'!J47</f>
        <v>#REF!</v>
      </c>
      <c r="K114" s="111" t="e">
        <f>'(변경)집계표'!H77</f>
        <v>#REF!</v>
      </c>
      <c r="L114" s="112" t="s">
        <v>11</v>
      </c>
      <c r="M114" s="179" t="e">
        <f>'(변경)집계표'!J77</f>
        <v>#REF!</v>
      </c>
      <c r="N114" s="111" t="e">
        <f>'(변경)집계표'!H107</f>
        <v>#REF!</v>
      </c>
      <c r="O114" s="112" t="s">
        <v>11</v>
      </c>
      <c r="P114" s="179" t="e">
        <f>'(변경)집계표'!J107</f>
        <v>#REF!</v>
      </c>
      <c r="Q114" s="111" t="e">
        <f>'(변경)집계표'!H137</f>
        <v>#REF!</v>
      </c>
      <c r="R114" s="112" t="s">
        <v>11</v>
      </c>
      <c r="S114" s="140" t="e">
        <f>'(변경)집계표'!J137</f>
        <v>#REF!</v>
      </c>
      <c r="T114" s="111">
        <f>'(변경)집계표'!H167</f>
        <v>0</v>
      </c>
      <c r="U114" s="112" t="s">
        <v>11</v>
      </c>
      <c r="V114" s="140">
        <f>'(변경)집계표'!J167</f>
        <v>0</v>
      </c>
      <c r="W114" s="111">
        <f>'(변경)집계표'!H197</f>
        <v>0</v>
      </c>
      <c r="X114" s="112" t="s">
        <v>11</v>
      </c>
      <c r="Y114" s="140">
        <f>'(변경)집계표'!J197</f>
        <v>0</v>
      </c>
      <c r="Z114" s="111">
        <f>'(변경)집계표'!H227</f>
        <v>0</v>
      </c>
      <c r="AA114" s="112" t="s">
        <v>11</v>
      </c>
      <c r="AB114" s="140">
        <f>'(변경)집계표'!J227</f>
        <v>0</v>
      </c>
      <c r="AC114" s="111">
        <f>'(변경)집계표'!H257</f>
        <v>0</v>
      </c>
      <c r="AD114" s="112" t="s">
        <v>11</v>
      </c>
      <c r="AE114" s="140">
        <f>'(변경)집계표'!J257</f>
        <v>0</v>
      </c>
      <c r="AF114" s="111">
        <f>'(변경)집계표'!H287</f>
        <v>0</v>
      </c>
      <c r="AG114" s="112" t="s">
        <v>11</v>
      </c>
      <c r="AH114" s="140">
        <f>'(변경)집계표'!J287</f>
        <v>0</v>
      </c>
      <c r="AI114" s="128"/>
    </row>
    <row r="115" spans="1:36" s="7" customFormat="1" ht="22.5" customHeight="1">
      <c r="A115" s="127" t="s">
        <v>24</v>
      </c>
      <c r="B115" s="111" t="e">
        <f t="shared" si="6"/>
        <v>#REF!</v>
      </c>
      <c r="C115" s="112" t="s">
        <v>11</v>
      </c>
      <c r="D115" s="179" t="e">
        <f t="shared" si="7"/>
        <v>#REF!</v>
      </c>
      <c r="E115" s="111" t="e">
        <f>'(변경)집계표'!H18</f>
        <v>#REF!</v>
      </c>
      <c r="F115" s="112" t="s">
        <v>11</v>
      </c>
      <c r="G115" s="179" t="e">
        <f>'(변경)집계표'!J18</f>
        <v>#REF!</v>
      </c>
      <c r="H115" s="111" t="e">
        <f>'(변경)집계표'!H48</f>
        <v>#REF!</v>
      </c>
      <c r="I115" s="112" t="s">
        <v>11</v>
      </c>
      <c r="J115" s="179" t="e">
        <f>'(변경)집계표'!J48</f>
        <v>#REF!</v>
      </c>
      <c r="K115" s="111" t="e">
        <f>'(변경)집계표'!H78</f>
        <v>#REF!</v>
      </c>
      <c r="L115" s="112" t="s">
        <v>11</v>
      </c>
      <c r="M115" s="179" t="e">
        <f>'(변경)집계표'!J78</f>
        <v>#REF!</v>
      </c>
      <c r="N115" s="111" t="e">
        <f>'(변경)집계표'!H108</f>
        <v>#REF!</v>
      </c>
      <c r="O115" s="112" t="s">
        <v>11</v>
      </c>
      <c r="P115" s="179" t="e">
        <f>'(변경)집계표'!J108</f>
        <v>#REF!</v>
      </c>
      <c r="Q115" s="111" t="e">
        <f>'(변경)집계표'!H138</f>
        <v>#REF!</v>
      </c>
      <c r="R115" s="112" t="s">
        <v>11</v>
      </c>
      <c r="S115" s="140" t="e">
        <f>'(변경)집계표'!J138</f>
        <v>#REF!</v>
      </c>
      <c r="T115" s="111">
        <f>'(변경)집계표'!H168</f>
        <v>0</v>
      </c>
      <c r="U115" s="112" t="s">
        <v>11</v>
      </c>
      <c r="V115" s="140">
        <f>'(변경)집계표'!J168</f>
        <v>0</v>
      </c>
      <c r="W115" s="111">
        <f>'(변경)집계표'!H198</f>
        <v>0</v>
      </c>
      <c r="X115" s="112" t="s">
        <v>11</v>
      </c>
      <c r="Y115" s="140">
        <f>'(변경)집계표'!J198</f>
        <v>0</v>
      </c>
      <c r="Z115" s="111">
        <f>'(변경)집계표'!H228</f>
        <v>0</v>
      </c>
      <c r="AA115" s="112" t="s">
        <v>11</v>
      </c>
      <c r="AB115" s="140">
        <f>'(변경)집계표'!J228</f>
        <v>0</v>
      </c>
      <c r="AC115" s="111">
        <f>'(변경)집계표'!H258</f>
        <v>0</v>
      </c>
      <c r="AD115" s="112" t="s">
        <v>11</v>
      </c>
      <c r="AE115" s="140">
        <f>'(변경)집계표'!J258</f>
        <v>0</v>
      </c>
      <c r="AF115" s="111">
        <f>'(변경)집계표'!H288</f>
        <v>0</v>
      </c>
      <c r="AG115" s="112" t="s">
        <v>11</v>
      </c>
      <c r="AH115" s="140">
        <f>'(변경)집계표'!J288</f>
        <v>0</v>
      </c>
      <c r="AI115" s="128"/>
      <c r="AJ115" s="6"/>
    </row>
    <row r="116" spans="1:36" s="7" customFormat="1" ht="22.5" customHeight="1">
      <c r="A116" s="127" t="s">
        <v>25</v>
      </c>
      <c r="B116" s="111" t="e">
        <f t="shared" si="6"/>
        <v>#REF!</v>
      </c>
      <c r="C116" s="112" t="s">
        <v>11</v>
      </c>
      <c r="D116" s="179" t="e">
        <f t="shared" si="7"/>
        <v>#REF!</v>
      </c>
      <c r="E116" s="111" t="e">
        <f>'(변경)집계표'!H19</f>
        <v>#REF!</v>
      </c>
      <c r="F116" s="112" t="s">
        <v>11</v>
      </c>
      <c r="G116" s="179" t="e">
        <f>'(변경)집계표'!J19</f>
        <v>#REF!</v>
      </c>
      <c r="H116" s="111" t="e">
        <f>'(변경)집계표'!H49</f>
        <v>#REF!</v>
      </c>
      <c r="I116" s="112" t="s">
        <v>11</v>
      </c>
      <c r="J116" s="179" t="e">
        <f>'(변경)집계표'!J49</f>
        <v>#REF!</v>
      </c>
      <c r="K116" s="111" t="e">
        <f>'(변경)집계표'!H79</f>
        <v>#REF!</v>
      </c>
      <c r="L116" s="112" t="s">
        <v>11</v>
      </c>
      <c r="M116" s="179" t="e">
        <f>'(변경)집계표'!J79</f>
        <v>#REF!</v>
      </c>
      <c r="N116" s="111" t="e">
        <f>'(변경)집계표'!H109</f>
        <v>#REF!</v>
      </c>
      <c r="O116" s="112" t="s">
        <v>11</v>
      </c>
      <c r="P116" s="179" t="e">
        <f>'(변경)집계표'!J109</f>
        <v>#REF!</v>
      </c>
      <c r="Q116" s="111" t="e">
        <f>'(변경)집계표'!H139</f>
        <v>#REF!</v>
      </c>
      <c r="R116" s="112" t="s">
        <v>11</v>
      </c>
      <c r="S116" s="140" t="e">
        <f>'(변경)집계표'!J139</f>
        <v>#REF!</v>
      </c>
      <c r="T116" s="111">
        <f>'(변경)집계표'!H169</f>
        <v>0</v>
      </c>
      <c r="U116" s="112" t="s">
        <v>11</v>
      </c>
      <c r="V116" s="140">
        <f>'(변경)집계표'!J169</f>
        <v>0</v>
      </c>
      <c r="W116" s="111">
        <f>'(변경)집계표'!H199</f>
        <v>0</v>
      </c>
      <c r="X116" s="112" t="s">
        <v>11</v>
      </c>
      <c r="Y116" s="140">
        <f>'(변경)집계표'!J199</f>
        <v>0</v>
      </c>
      <c r="Z116" s="111">
        <f>'(변경)집계표'!H229</f>
        <v>0</v>
      </c>
      <c r="AA116" s="112" t="s">
        <v>11</v>
      </c>
      <c r="AB116" s="140">
        <f>'(변경)집계표'!J229</f>
        <v>0</v>
      </c>
      <c r="AC116" s="111">
        <f>'(변경)집계표'!H259</f>
        <v>0</v>
      </c>
      <c r="AD116" s="112" t="s">
        <v>11</v>
      </c>
      <c r="AE116" s="140">
        <f>'(변경)집계표'!J259</f>
        <v>0</v>
      </c>
      <c r="AF116" s="111">
        <f>'(변경)집계표'!H289</f>
        <v>0</v>
      </c>
      <c r="AG116" s="112" t="s">
        <v>11</v>
      </c>
      <c r="AH116" s="140">
        <f>'(변경)집계표'!J289</f>
        <v>0</v>
      </c>
      <c r="AI116" s="128"/>
      <c r="AJ116" s="6"/>
    </row>
    <row r="117" spans="1:36" s="7" customFormat="1" ht="22.5" customHeight="1">
      <c r="A117" s="127" t="s">
        <v>26</v>
      </c>
      <c r="B117" s="111" t="e">
        <f t="shared" si="6"/>
        <v>#REF!</v>
      </c>
      <c r="C117" s="112" t="s">
        <v>11</v>
      </c>
      <c r="D117" s="179" t="e">
        <f t="shared" si="7"/>
        <v>#REF!</v>
      </c>
      <c r="E117" s="111" t="e">
        <f>'(변경)집계표'!H20</f>
        <v>#REF!</v>
      </c>
      <c r="F117" s="112" t="s">
        <v>11</v>
      </c>
      <c r="G117" s="179" t="e">
        <f>'(변경)집계표'!J20</f>
        <v>#REF!</v>
      </c>
      <c r="H117" s="111" t="e">
        <f>'(변경)집계표'!H50</f>
        <v>#REF!</v>
      </c>
      <c r="I117" s="112" t="s">
        <v>11</v>
      </c>
      <c r="J117" s="179" t="e">
        <f>'(변경)집계표'!J50</f>
        <v>#REF!</v>
      </c>
      <c r="K117" s="111" t="e">
        <f>'(변경)집계표'!H80</f>
        <v>#REF!</v>
      </c>
      <c r="L117" s="112" t="s">
        <v>11</v>
      </c>
      <c r="M117" s="179" t="e">
        <f>'(변경)집계표'!J80</f>
        <v>#REF!</v>
      </c>
      <c r="N117" s="111" t="e">
        <f>'(변경)집계표'!H110</f>
        <v>#REF!</v>
      </c>
      <c r="O117" s="112" t="s">
        <v>11</v>
      </c>
      <c r="P117" s="179" t="e">
        <f>'(변경)집계표'!J110</f>
        <v>#REF!</v>
      </c>
      <c r="Q117" s="111" t="e">
        <f>'(변경)집계표'!H140</f>
        <v>#REF!</v>
      </c>
      <c r="R117" s="112" t="s">
        <v>11</v>
      </c>
      <c r="S117" s="140" t="e">
        <f>'(변경)집계표'!J140</f>
        <v>#REF!</v>
      </c>
      <c r="T117" s="111">
        <f>'(변경)집계표'!H170</f>
        <v>0</v>
      </c>
      <c r="U117" s="112" t="s">
        <v>11</v>
      </c>
      <c r="V117" s="140">
        <f>'(변경)집계표'!J170</f>
        <v>0</v>
      </c>
      <c r="W117" s="111">
        <f>'(변경)집계표'!H200</f>
        <v>0</v>
      </c>
      <c r="X117" s="112" t="s">
        <v>11</v>
      </c>
      <c r="Y117" s="140">
        <f>'(변경)집계표'!J200</f>
        <v>0</v>
      </c>
      <c r="Z117" s="111">
        <f>'(변경)집계표'!H230</f>
        <v>0</v>
      </c>
      <c r="AA117" s="112" t="s">
        <v>11</v>
      </c>
      <c r="AB117" s="140">
        <f>'(변경)집계표'!J230</f>
        <v>0</v>
      </c>
      <c r="AC117" s="111">
        <f>'(변경)집계표'!H260</f>
        <v>0</v>
      </c>
      <c r="AD117" s="112" t="s">
        <v>11</v>
      </c>
      <c r="AE117" s="140">
        <f>'(변경)집계표'!J260</f>
        <v>0</v>
      </c>
      <c r="AF117" s="111">
        <f>'(변경)집계표'!H290</f>
        <v>0</v>
      </c>
      <c r="AG117" s="112" t="s">
        <v>11</v>
      </c>
      <c r="AH117" s="140">
        <f>'(변경)집계표'!J290</f>
        <v>0</v>
      </c>
      <c r="AI117" s="128"/>
      <c r="AJ117" s="6"/>
    </row>
    <row r="118" spans="1:36" s="7" customFormat="1" ht="22.5" customHeight="1">
      <c r="A118" s="127" t="s">
        <v>27</v>
      </c>
      <c r="B118" s="111" t="e">
        <f t="shared" si="6"/>
        <v>#REF!</v>
      </c>
      <c r="C118" s="112" t="s">
        <v>11</v>
      </c>
      <c r="D118" s="179" t="e">
        <f t="shared" si="7"/>
        <v>#REF!</v>
      </c>
      <c r="E118" s="111" t="e">
        <f>'(변경)집계표'!H21</f>
        <v>#REF!</v>
      </c>
      <c r="F118" s="112" t="s">
        <v>11</v>
      </c>
      <c r="G118" s="179" t="e">
        <f>'(변경)집계표'!J21</f>
        <v>#REF!</v>
      </c>
      <c r="H118" s="111" t="e">
        <f>'(변경)집계표'!H51</f>
        <v>#REF!</v>
      </c>
      <c r="I118" s="112" t="s">
        <v>11</v>
      </c>
      <c r="J118" s="179" t="e">
        <f>'(변경)집계표'!J51</f>
        <v>#REF!</v>
      </c>
      <c r="K118" s="111" t="e">
        <f>'(변경)집계표'!H81</f>
        <v>#REF!</v>
      </c>
      <c r="L118" s="112" t="s">
        <v>11</v>
      </c>
      <c r="M118" s="179" t="e">
        <f>'(변경)집계표'!J81</f>
        <v>#REF!</v>
      </c>
      <c r="N118" s="111" t="e">
        <f>'(변경)집계표'!H111</f>
        <v>#REF!</v>
      </c>
      <c r="O118" s="112" t="s">
        <v>11</v>
      </c>
      <c r="P118" s="179" t="e">
        <f>'(변경)집계표'!J111</f>
        <v>#REF!</v>
      </c>
      <c r="Q118" s="111" t="e">
        <f>'(변경)집계표'!H141</f>
        <v>#REF!</v>
      </c>
      <c r="R118" s="112" t="s">
        <v>11</v>
      </c>
      <c r="S118" s="140" t="e">
        <f>'(변경)집계표'!J141</f>
        <v>#REF!</v>
      </c>
      <c r="T118" s="111">
        <f>'(변경)집계표'!H171</f>
        <v>0</v>
      </c>
      <c r="U118" s="112" t="s">
        <v>11</v>
      </c>
      <c r="V118" s="140">
        <f>'(변경)집계표'!J171</f>
        <v>0</v>
      </c>
      <c r="W118" s="111">
        <f>'(변경)집계표'!H201</f>
        <v>0</v>
      </c>
      <c r="X118" s="112" t="s">
        <v>11</v>
      </c>
      <c r="Y118" s="140">
        <f>'(변경)집계표'!J201</f>
        <v>0</v>
      </c>
      <c r="Z118" s="111">
        <f>'(변경)집계표'!H231</f>
        <v>0</v>
      </c>
      <c r="AA118" s="112" t="s">
        <v>11</v>
      </c>
      <c r="AB118" s="140">
        <f>'(변경)집계표'!J231</f>
        <v>0</v>
      </c>
      <c r="AC118" s="111">
        <f>'(변경)집계표'!H261</f>
        <v>0</v>
      </c>
      <c r="AD118" s="112" t="s">
        <v>11</v>
      </c>
      <c r="AE118" s="140">
        <f>'(변경)집계표'!J261</f>
        <v>0</v>
      </c>
      <c r="AF118" s="111">
        <f>'(변경)집계표'!H291</f>
        <v>0</v>
      </c>
      <c r="AG118" s="112" t="s">
        <v>11</v>
      </c>
      <c r="AH118" s="140">
        <f>'(변경)집계표'!J291</f>
        <v>0</v>
      </c>
      <c r="AI118" s="128"/>
      <c r="AJ118" s="6"/>
    </row>
    <row r="119" spans="1:36" s="7" customFormat="1" ht="22.5" customHeight="1">
      <c r="A119" s="127" t="s">
        <v>28</v>
      </c>
      <c r="B119" s="111" t="e">
        <f t="shared" si="6"/>
        <v>#REF!</v>
      </c>
      <c r="C119" s="112" t="s">
        <v>11</v>
      </c>
      <c r="D119" s="179" t="e">
        <f t="shared" si="7"/>
        <v>#REF!</v>
      </c>
      <c r="E119" s="111" t="e">
        <f>'(변경)집계표'!H22</f>
        <v>#REF!</v>
      </c>
      <c r="F119" s="112" t="s">
        <v>11</v>
      </c>
      <c r="G119" s="179" t="e">
        <f>'(변경)집계표'!J22</f>
        <v>#REF!</v>
      </c>
      <c r="H119" s="111" t="e">
        <f>'(변경)집계표'!H52</f>
        <v>#REF!</v>
      </c>
      <c r="I119" s="112" t="s">
        <v>11</v>
      </c>
      <c r="J119" s="179" t="e">
        <f>'(변경)집계표'!J52</f>
        <v>#REF!</v>
      </c>
      <c r="K119" s="111" t="e">
        <f>'(변경)집계표'!H82</f>
        <v>#REF!</v>
      </c>
      <c r="L119" s="112" t="s">
        <v>11</v>
      </c>
      <c r="M119" s="179" t="e">
        <f>'(변경)집계표'!J82</f>
        <v>#REF!</v>
      </c>
      <c r="N119" s="111" t="e">
        <f>'(변경)집계표'!H112</f>
        <v>#REF!</v>
      </c>
      <c r="O119" s="112" t="s">
        <v>11</v>
      </c>
      <c r="P119" s="179" t="e">
        <f>'(변경)집계표'!J112</f>
        <v>#REF!</v>
      </c>
      <c r="Q119" s="111" t="e">
        <f>'(변경)집계표'!H142</f>
        <v>#REF!</v>
      </c>
      <c r="R119" s="112" t="s">
        <v>11</v>
      </c>
      <c r="S119" s="140" t="e">
        <f>'(변경)집계표'!J142</f>
        <v>#REF!</v>
      </c>
      <c r="T119" s="111">
        <f>'(변경)집계표'!H172</f>
        <v>0</v>
      </c>
      <c r="U119" s="112" t="s">
        <v>11</v>
      </c>
      <c r="V119" s="140">
        <f>'(변경)집계표'!J172</f>
        <v>0</v>
      </c>
      <c r="W119" s="111">
        <f>'(변경)집계표'!H202</f>
        <v>0</v>
      </c>
      <c r="X119" s="112" t="s">
        <v>11</v>
      </c>
      <c r="Y119" s="140">
        <f>'(변경)집계표'!J202</f>
        <v>0</v>
      </c>
      <c r="Z119" s="111">
        <f>'(변경)집계표'!H232</f>
        <v>0</v>
      </c>
      <c r="AA119" s="112" t="s">
        <v>11</v>
      </c>
      <c r="AB119" s="140">
        <f>'(변경)집계표'!J232</f>
        <v>0</v>
      </c>
      <c r="AC119" s="111">
        <f>'(변경)집계표'!H262</f>
        <v>0</v>
      </c>
      <c r="AD119" s="112" t="s">
        <v>11</v>
      </c>
      <c r="AE119" s="140">
        <f>'(변경)집계표'!J262</f>
        <v>0</v>
      </c>
      <c r="AF119" s="111">
        <f>'(변경)집계표'!H292</f>
        <v>0</v>
      </c>
      <c r="AG119" s="112" t="s">
        <v>11</v>
      </c>
      <c r="AH119" s="140">
        <f>'(변경)집계표'!J292</f>
        <v>0</v>
      </c>
      <c r="AI119" s="128"/>
      <c r="AJ119" s="6"/>
    </row>
    <row r="120" spans="1:36" s="7" customFormat="1" ht="22.5" customHeight="1">
      <c r="A120" s="127" t="s">
        <v>29</v>
      </c>
      <c r="B120" s="111" t="e">
        <f t="shared" si="6"/>
        <v>#REF!</v>
      </c>
      <c r="C120" s="112" t="s">
        <v>11</v>
      </c>
      <c r="D120" s="179" t="e">
        <f t="shared" si="7"/>
        <v>#REF!</v>
      </c>
      <c r="E120" s="111" t="e">
        <f>'(변경)집계표'!H23</f>
        <v>#REF!</v>
      </c>
      <c r="F120" s="112" t="s">
        <v>11</v>
      </c>
      <c r="G120" s="179" t="e">
        <f>'(변경)집계표'!J23</f>
        <v>#REF!</v>
      </c>
      <c r="H120" s="111" t="e">
        <f>'(변경)집계표'!H53</f>
        <v>#REF!</v>
      </c>
      <c r="I120" s="112" t="s">
        <v>11</v>
      </c>
      <c r="J120" s="179" t="e">
        <f>'(변경)집계표'!J53</f>
        <v>#REF!</v>
      </c>
      <c r="K120" s="111" t="e">
        <f>'(변경)집계표'!H83</f>
        <v>#REF!</v>
      </c>
      <c r="L120" s="112" t="s">
        <v>11</v>
      </c>
      <c r="M120" s="179" t="e">
        <f>'(변경)집계표'!J83</f>
        <v>#REF!</v>
      </c>
      <c r="N120" s="111" t="e">
        <f>'(변경)집계표'!H113</f>
        <v>#REF!</v>
      </c>
      <c r="O120" s="112" t="s">
        <v>11</v>
      </c>
      <c r="P120" s="179" t="e">
        <f>'(변경)집계표'!J113</f>
        <v>#REF!</v>
      </c>
      <c r="Q120" s="111" t="e">
        <f>'(변경)집계표'!H143</f>
        <v>#REF!</v>
      </c>
      <c r="R120" s="112" t="s">
        <v>11</v>
      </c>
      <c r="S120" s="140" t="e">
        <f>'(변경)집계표'!J143</f>
        <v>#REF!</v>
      </c>
      <c r="T120" s="111">
        <f>'(변경)집계표'!H173</f>
        <v>0</v>
      </c>
      <c r="U120" s="112" t="s">
        <v>11</v>
      </c>
      <c r="V120" s="140">
        <f>'(변경)집계표'!J173</f>
        <v>0</v>
      </c>
      <c r="W120" s="111">
        <f>'(변경)집계표'!H203</f>
        <v>0</v>
      </c>
      <c r="X120" s="112" t="s">
        <v>11</v>
      </c>
      <c r="Y120" s="140">
        <f>'(변경)집계표'!J203</f>
        <v>0</v>
      </c>
      <c r="Z120" s="111">
        <f>'(변경)집계표'!H233</f>
        <v>0</v>
      </c>
      <c r="AA120" s="112" t="s">
        <v>11</v>
      </c>
      <c r="AB120" s="140">
        <f>'(변경)집계표'!J233</f>
        <v>0</v>
      </c>
      <c r="AC120" s="111">
        <f>'(변경)집계표'!H263</f>
        <v>0</v>
      </c>
      <c r="AD120" s="112" t="s">
        <v>11</v>
      </c>
      <c r="AE120" s="140">
        <f>'(변경)집계표'!J263</f>
        <v>0</v>
      </c>
      <c r="AF120" s="111">
        <f>'(변경)집계표'!H293</f>
        <v>0</v>
      </c>
      <c r="AG120" s="112" t="s">
        <v>11</v>
      </c>
      <c r="AH120" s="140">
        <f>'(변경)집계표'!J293</f>
        <v>0</v>
      </c>
      <c r="AI120" s="128"/>
      <c r="AJ120" s="6"/>
    </row>
    <row r="121" spans="1:36" s="7" customFormat="1" ht="22.5" customHeight="1">
      <c r="A121" s="129" t="s">
        <v>30</v>
      </c>
      <c r="B121" s="111" t="e">
        <f t="shared" si="6"/>
        <v>#REF!</v>
      </c>
      <c r="C121" s="112" t="s">
        <v>11</v>
      </c>
      <c r="D121" s="179" t="e">
        <f t="shared" si="7"/>
        <v>#REF!</v>
      </c>
      <c r="E121" s="111" t="e">
        <f>'(변경)집계표'!H24</f>
        <v>#REF!</v>
      </c>
      <c r="F121" s="112" t="s">
        <v>11</v>
      </c>
      <c r="G121" s="179" t="e">
        <f>'(변경)집계표'!J24</f>
        <v>#REF!</v>
      </c>
      <c r="H121" s="111" t="e">
        <f>'(변경)집계표'!H54</f>
        <v>#REF!</v>
      </c>
      <c r="I121" s="112" t="s">
        <v>11</v>
      </c>
      <c r="J121" s="179" t="e">
        <f>'(변경)집계표'!J54</f>
        <v>#REF!</v>
      </c>
      <c r="K121" s="111" t="e">
        <f>'(변경)집계표'!H84</f>
        <v>#REF!</v>
      </c>
      <c r="L121" s="112" t="s">
        <v>11</v>
      </c>
      <c r="M121" s="179" t="e">
        <f>'(변경)집계표'!J84</f>
        <v>#REF!</v>
      </c>
      <c r="N121" s="111" t="e">
        <f>'(변경)집계표'!H114</f>
        <v>#REF!</v>
      </c>
      <c r="O121" s="112" t="s">
        <v>11</v>
      </c>
      <c r="P121" s="179" t="e">
        <f>'(변경)집계표'!J114</f>
        <v>#REF!</v>
      </c>
      <c r="Q121" s="111" t="e">
        <f>'(변경)집계표'!H144</f>
        <v>#REF!</v>
      </c>
      <c r="R121" s="112" t="s">
        <v>11</v>
      </c>
      <c r="S121" s="140" t="e">
        <f>'(변경)집계표'!J144</f>
        <v>#REF!</v>
      </c>
      <c r="T121" s="111">
        <f>'(변경)집계표'!H174</f>
        <v>0</v>
      </c>
      <c r="U121" s="112" t="s">
        <v>11</v>
      </c>
      <c r="V121" s="140">
        <f>'(변경)집계표'!J174</f>
        <v>0</v>
      </c>
      <c r="W121" s="111">
        <f>'(변경)집계표'!H204</f>
        <v>0</v>
      </c>
      <c r="X121" s="112" t="s">
        <v>11</v>
      </c>
      <c r="Y121" s="140">
        <f>'(변경)집계표'!J204</f>
        <v>0</v>
      </c>
      <c r="Z121" s="111">
        <f>'(변경)집계표'!H234</f>
        <v>0</v>
      </c>
      <c r="AA121" s="112" t="s">
        <v>11</v>
      </c>
      <c r="AB121" s="140">
        <f>'(변경)집계표'!J234</f>
        <v>0</v>
      </c>
      <c r="AC121" s="111">
        <f>'(변경)집계표'!H264</f>
        <v>0</v>
      </c>
      <c r="AD121" s="112" t="s">
        <v>11</v>
      </c>
      <c r="AE121" s="140">
        <f>'(변경)집계표'!J264</f>
        <v>0</v>
      </c>
      <c r="AF121" s="111">
        <f>'(변경)집계표'!H294</f>
        <v>0</v>
      </c>
      <c r="AG121" s="112" t="s">
        <v>11</v>
      </c>
      <c r="AH121" s="140">
        <f>'(변경)집계표'!J294</f>
        <v>0</v>
      </c>
      <c r="AI121" s="128"/>
      <c r="AJ121" s="6"/>
    </row>
    <row r="122" spans="1:36" s="7" customFormat="1" ht="22.5" customHeight="1">
      <c r="A122" s="129" t="s">
        <v>31</v>
      </c>
      <c r="B122" s="111" t="e">
        <f t="shared" si="6"/>
        <v>#REF!</v>
      </c>
      <c r="C122" s="112" t="s">
        <v>11</v>
      </c>
      <c r="D122" s="179" t="e">
        <f t="shared" si="7"/>
        <v>#REF!</v>
      </c>
      <c r="E122" s="111" t="e">
        <f>'(변경)집계표'!H25</f>
        <v>#REF!</v>
      </c>
      <c r="F122" s="112" t="s">
        <v>11</v>
      </c>
      <c r="G122" s="179" t="e">
        <f>'(변경)집계표'!J25</f>
        <v>#REF!</v>
      </c>
      <c r="H122" s="111" t="e">
        <f>'(변경)집계표'!H55</f>
        <v>#REF!</v>
      </c>
      <c r="I122" s="112" t="s">
        <v>11</v>
      </c>
      <c r="J122" s="179" t="e">
        <f>'(변경)집계표'!J55</f>
        <v>#REF!</v>
      </c>
      <c r="K122" s="111" t="e">
        <f>'(변경)집계표'!H85</f>
        <v>#REF!</v>
      </c>
      <c r="L122" s="112" t="s">
        <v>11</v>
      </c>
      <c r="M122" s="179" t="e">
        <f>'(변경)집계표'!J85</f>
        <v>#REF!</v>
      </c>
      <c r="N122" s="111" t="e">
        <f>'(변경)집계표'!H115</f>
        <v>#REF!</v>
      </c>
      <c r="O122" s="112" t="s">
        <v>11</v>
      </c>
      <c r="P122" s="179" t="e">
        <f>'(변경)집계표'!J115</f>
        <v>#REF!</v>
      </c>
      <c r="Q122" s="111" t="e">
        <f>'(변경)집계표'!H145</f>
        <v>#REF!</v>
      </c>
      <c r="R122" s="112" t="s">
        <v>11</v>
      </c>
      <c r="S122" s="140" t="e">
        <f>'(변경)집계표'!J145</f>
        <v>#REF!</v>
      </c>
      <c r="T122" s="111">
        <f>'(변경)집계표'!H175</f>
        <v>0</v>
      </c>
      <c r="U122" s="112" t="s">
        <v>11</v>
      </c>
      <c r="V122" s="140">
        <f>'(변경)집계표'!J175</f>
        <v>0</v>
      </c>
      <c r="W122" s="111">
        <f>'(변경)집계표'!H205</f>
        <v>0</v>
      </c>
      <c r="X122" s="112" t="s">
        <v>11</v>
      </c>
      <c r="Y122" s="140">
        <f>'(변경)집계표'!J205</f>
        <v>0</v>
      </c>
      <c r="Z122" s="111">
        <f>'(변경)집계표'!H235</f>
        <v>0</v>
      </c>
      <c r="AA122" s="112" t="s">
        <v>11</v>
      </c>
      <c r="AB122" s="140">
        <f>'(변경)집계표'!J235</f>
        <v>0</v>
      </c>
      <c r="AC122" s="111">
        <f>'(변경)집계표'!H265</f>
        <v>0</v>
      </c>
      <c r="AD122" s="112" t="s">
        <v>11</v>
      </c>
      <c r="AE122" s="140">
        <f>'(변경)집계표'!J265</f>
        <v>0</v>
      </c>
      <c r="AF122" s="111">
        <f>'(변경)집계표'!H295</f>
        <v>0</v>
      </c>
      <c r="AG122" s="112" t="s">
        <v>11</v>
      </c>
      <c r="AH122" s="140">
        <f>'(변경)집계표'!J295</f>
        <v>0</v>
      </c>
      <c r="AI122" s="128"/>
      <c r="AJ122" s="6"/>
    </row>
    <row r="123" spans="1:36" s="7" customFormat="1" ht="22.5" customHeight="1">
      <c r="A123" s="129" t="s">
        <v>32</v>
      </c>
      <c r="B123" s="111" t="e">
        <f t="shared" si="6"/>
        <v>#REF!</v>
      </c>
      <c r="C123" s="112" t="s">
        <v>11</v>
      </c>
      <c r="D123" s="179" t="e">
        <f t="shared" si="7"/>
        <v>#REF!</v>
      </c>
      <c r="E123" s="111" t="e">
        <f>'(변경)집계표'!H26</f>
        <v>#REF!</v>
      </c>
      <c r="F123" s="112" t="s">
        <v>11</v>
      </c>
      <c r="G123" s="179" t="e">
        <f>'(변경)집계표'!J26</f>
        <v>#REF!</v>
      </c>
      <c r="H123" s="111" t="e">
        <f>'(변경)집계표'!H56</f>
        <v>#REF!</v>
      </c>
      <c r="I123" s="112" t="s">
        <v>11</v>
      </c>
      <c r="J123" s="179" t="e">
        <f>'(변경)집계표'!J56</f>
        <v>#REF!</v>
      </c>
      <c r="K123" s="111" t="e">
        <f>'(변경)집계표'!H86</f>
        <v>#REF!</v>
      </c>
      <c r="L123" s="112" t="s">
        <v>11</v>
      </c>
      <c r="M123" s="179" t="e">
        <f>'(변경)집계표'!J86</f>
        <v>#REF!</v>
      </c>
      <c r="N123" s="111" t="e">
        <f>'(변경)집계표'!H116</f>
        <v>#REF!</v>
      </c>
      <c r="O123" s="112" t="s">
        <v>11</v>
      </c>
      <c r="P123" s="179" t="e">
        <f>'(변경)집계표'!J116</f>
        <v>#REF!</v>
      </c>
      <c r="Q123" s="111" t="e">
        <f>'(변경)집계표'!H146</f>
        <v>#REF!</v>
      </c>
      <c r="R123" s="112" t="s">
        <v>11</v>
      </c>
      <c r="S123" s="140" t="e">
        <f>'(변경)집계표'!J146</f>
        <v>#REF!</v>
      </c>
      <c r="T123" s="111">
        <f>'(변경)집계표'!H176</f>
        <v>0</v>
      </c>
      <c r="U123" s="112" t="s">
        <v>11</v>
      </c>
      <c r="V123" s="140">
        <f>'(변경)집계표'!J176</f>
        <v>0</v>
      </c>
      <c r="W123" s="111">
        <f>'(변경)집계표'!H206</f>
        <v>0</v>
      </c>
      <c r="X123" s="112" t="s">
        <v>11</v>
      </c>
      <c r="Y123" s="140">
        <f>'(변경)집계표'!J206</f>
        <v>0</v>
      </c>
      <c r="Z123" s="111">
        <f>'(변경)집계표'!H236</f>
        <v>0</v>
      </c>
      <c r="AA123" s="112" t="s">
        <v>11</v>
      </c>
      <c r="AB123" s="140">
        <f>'(변경)집계표'!J236</f>
        <v>0</v>
      </c>
      <c r="AC123" s="111">
        <f>'(변경)집계표'!H266</f>
        <v>0</v>
      </c>
      <c r="AD123" s="112" t="s">
        <v>11</v>
      </c>
      <c r="AE123" s="140">
        <f>'(변경)집계표'!J266</f>
        <v>0</v>
      </c>
      <c r="AF123" s="111">
        <f>'(변경)집계표'!H296</f>
        <v>0</v>
      </c>
      <c r="AG123" s="112" t="s">
        <v>11</v>
      </c>
      <c r="AH123" s="140">
        <f>'(변경)집계표'!J296</f>
        <v>0</v>
      </c>
      <c r="AI123" s="128"/>
      <c r="AJ123" s="6"/>
    </row>
    <row r="124" spans="1:36" s="7" customFormat="1" ht="22.5" customHeight="1">
      <c r="A124" s="129" t="s">
        <v>33</v>
      </c>
      <c r="B124" s="111" t="e">
        <f t="shared" si="6"/>
        <v>#REF!</v>
      </c>
      <c r="C124" s="112" t="s">
        <v>11</v>
      </c>
      <c r="D124" s="179" t="e">
        <f t="shared" si="7"/>
        <v>#REF!</v>
      </c>
      <c r="E124" s="111" t="e">
        <f>'(변경)집계표'!H27</f>
        <v>#REF!</v>
      </c>
      <c r="F124" s="112" t="s">
        <v>11</v>
      </c>
      <c r="G124" s="179" t="e">
        <f>'(변경)집계표'!J27</f>
        <v>#REF!</v>
      </c>
      <c r="H124" s="111" t="e">
        <f>'(변경)집계표'!H57</f>
        <v>#REF!</v>
      </c>
      <c r="I124" s="112" t="s">
        <v>11</v>
      </c>
      <c r="J124" s="179" t="e">
        <f>'(변경)집계표'!J57</f>
        <v>#REF!</v>
      </c>
      <c r="K124" s="111" t="e">
        <f>'(변경)집계표'!H87</f>
        <v>#REF!</v>
      </c>
      <c r="L124" s="112" t="s">
        <v>11</v>
      </c>
      <c r="M124" s="179" t="e">
        <f>'(변경)집계표'!J87</f>
        <v>#REF!</v>
      </c>
      <c r="N124" s="111" t="e">
        <f>'(변경)집계표'!H117</f>
        <v>#REF!</v>
      </c>
      <c r="O124" s="112" t="s">
        <v>11</v>
      </c>
      <c r="P124" s="179" t="e">
        <f>'(변경)집계표'!J117</f>
        <v>#REF!</v>
      </c>
      <c r="Q124" s="111" t="e">
        <f>'(변경)집계표'!H147</f>
        <v>#REF!</v>
      </c>
      <c r="R124" s="112" t="s">
        <v>11</v>
      </c>
      <c r="S124" s="140" t="e">
        <f>'(변경)집계표'!J147</f>
        <v>#REF!</v>
      </c>
      <c r="T124" s="111">
        <f>'(변경)집계표'!H177</f>
        <v>0</v>
      </c>
      <c r="U124" s="112" t="s">
        <v>11</v>
      </c>
      <c r="V124" s="140">
        <f>'(변경)집계표'!J177</f>
        <v>0</v>
      </c>
      <c r="W124" s="111">
        <f>'(변경)집계표'!H207</f>
        <v>0</v>
      </c>
      <c r="X124" s="112" t="s">
        <v>11</v>
      </c>
      <c r="Y124" s="140">
        <f>'(변경)집계표'!J207</f>
        <v>0</v>
      </c>
      <c r="Z124" s="111">
        <f>'(변경)집계표'!H237</f>
        <v>0</v>
      </c>
      <c r="AA124" s="112" t="s">
        <v>11</v>
      </c>
      <c r="AB124" s="140">
        <f>'(변경)집계표'!J237</f>
        <v>0</v>
      </c>
      <c r="AC124" s="111">
        <f>'(변경)집계표'!H267</f>
        <v>0</v>
      </c>
      <c r="AD124" s="112" t="s">
        <v>11</v>
      </c>
      <c r="AE124" s="140">
        <f>'(변경)집계표'!J267</f>
        <v>0</v>
      </c>
      <c r="AF124" s="111">
        <f>'(변경)집계표'!H297</f>
        <v>0</v>
      </c>
      <c r="AG124" s="112" t="s">
        <v>11</v>
      </c>
      <c r="AH124" s="140">
        <f>'(변경)집계표'!J297</f>
        <v>0</v>
      </c>
      <c r="AI124" s="128"/>
      <c r="AJ124" s="6"/>
    </row>
    <row r="125" spans="1:36" s="7" customFormat="1" ht="22.5" customHeight="1">
      <c r="A125" s="129" t="s">
        <v>34</v>
      </c>
      <c r="B125" s="111" t="e">
        <f t="shared" si="6"/>
        <v>#REF!</v>
      </c>
      <c r="C125" s="112" t="s">
        <v>11</v>
      </c>
      <c r="D125" s="179" t="e">
        <f t="shared" si="7"/>
        <v>#REF!</v>
      </c>
      <c r="E125" s="111" t="e">
        <f>'(변경)집계표'!H28</f>
        <v>#REF!</v>
      </c>
      <c r="F125" s="112" t="s">
        <v>11</v>
      </c>
      <c r="G125" s="179" t="e">
        <f>'(변경)집계표'!J28</f>
        <v>#REF!</v>
      </c>
      <c r="H125" s="111" t="e">
        <f>'(변경)집계표'!H58</f>
        <v>#REF!</v>
      </c>
      <c r="I125" s="112" t="s">
        <v>11</v>
      </c>
      <c r="J125" s="179" t="e">
        <f>'(변경)집계표'!J58</f>
        <v>#REF!</v>
      </c>
      <c r="K125" s="111" t="e">
        <f>'(변경)집계표'!H88</f>
        <v>#REF!</v>
      </c>
      <c r="L125" s="112" t="s">
        <v>11</v>
      </c>
      <c r="M125" s="179" t="e">
        <f>'(변경)집계표'!J88</f>
        <v>#REF!</v>
      </c>
      <c r="N125" s="111" t="e">
        <f>'(변경)집계표'!H118</f>
        <v>#REF!</v>
      </c>
      <c r="O125" s="112" t="s">
        <v>11</v>
      </c>
      <c r="P125" s="179" t="e">
        <f>'(변경)집계표'!J118</f>
        <v>#REF!</v>
      </c>
      <c r="Q125" s="111" t="e">
        <f>'(변경)집계표'!H148</f>
        <v>#REF!</v>
      </c>
      <c r="R125" s="112" t="s">
        <v>11</v>
      </c>
      <c r="S125" s="140" t="e">
        <f>'(변경)집계표'!J148</f>
        <v>#REF!</v>
      </c>
      <c r="T125" s="111">
        <f>'(변경)집계표'!H178</f>
        <v>0</v>
      </c>
      <c r="U125" s="112" t="s">
        <v>11</v>
      </c>
      <c r="V125" s="140">
        <f>'(변경)집계표'!J178</f>
        <v>0</v>
      </c>
      <c r="W125" s="111">
        <f>'(변경)집계표'!H208</f>
        <v>0</v>
      </c>
      <c r="X125" s="112" t="s">
        <v>11</v>
      </c>
      <c r="Y125" s="140">
        <f>'(변경)집계표'!J208</f>
        <v>0</v>
      </c>
      <c r="Z125" s="111">
        <f>'(변경)집계표'!H238</f>
        <v>0</v>
      </c>
      <c r="AA125" s="112" t="s">
        <v>11</v>
      </c>
      <c r="AB125" s="140">
        <f>'(변경)집계표'!J238</f>
        <v>0</v>
      </c>
      <c r="AC125" s="111">
        <f>'(변경)집계표'!H268</f>
        <v>0</v>
      </c>
      <c r="AD125" s="112" t="s">
        <v>11</v>
      </c>
      <c r="AE125" s="140">
        <f>'(변경)집계표'!J268</f>
        <v>0</v>
      </c>
      <c r="AF125" s="111">
        <f>'(변경)집계표'!H298</f>
        <v>0</v>
      </c>
      <c r="AG125" s="112" t="s">
        <v>11</v>
      </c>
      <c r="AH125" s="140">
        <f>'(변경)집계표'!J298</f>
        <v>0</v>
      </c>
      <c r="AI125" s="128"/>
      <c r="AJ125" s="6"/>
    </row>
    <row r="126" spans="1:36" s="7" customFormat="1" ht="22.5" customHeight="1">
      <c r="A126" s="129" t="s">
        <v>66</v>
      </c>
      <c r="B126" s="111" t="e">
        <f t="shared" si="6"/>
        <v>#REF!</v>
      </c>
      <c r="C126" s="112" t="s">
        <v>11</v>
      </c>
      <c r="D126" s="179" t="e">
        <f t="shared" si="7"/>
        <v>#REF!</v>
      </c>
      <c r="E126" s="111" t="e">
        <f>'(변경)집계표'!H29</f>
        <v>#REF!</v>
      </c>
      <c r="F126" s="112" t="s">
        <v>11</v>
      </c>
      <c r="G126" s="179" t="e">
        <f>'(변경)집계표'!J29</f>
        <v>#REF!</v>
      </c>
      <c r="H126" s="111" t="e">
        <f>'(변경)집계표'!H59</f>
        <v>#REF!</v>
      </c>
      <c r="I126" s="112" t="s">
        <v>11</v>
      </c>
      <c r="J126" s="179" t="e">
        <f>'(변경)집계표'!J59</f>
        <v>#REF!</v>
      </c>
      <c r="K126" s="111" t="e">
        <f>'(변경)집계표'!H89</f>
        <v>#REF!</v>
      </c>
      <c r="L126" s="112" t="s">
        <v>11</v>
      </c>
      <c r="M126" s="179" t="e">
        <f>'(변경)집계표'!J89</f>
        <v>#REF!</v>
      </c>
      <c r="N126" s="111" t="e">
        <f>'(변경)집계표'!H119</f>
        <v>#REF!</v>
      </c>
      <c r="O126" s="112" t="s">
        <v>11</v>
      </c>
      <c r="P126" s="179" t="e">
        <f>'(변경)집계표'!J119</f>
        <v>#REF!</v>
      </c>
      <c r="Q126" s="111" t="e">
        <f>'(변경)집계표'!H149</f>
        <v>#REF!</v>
      </c>
      <c r="R126" s="112" t="s">
        <v>11</v>
      </c>
      <c r="S126" s="140" t="e">
        <f>'(변경)집계표'!J149</f>
        <v>#REF!</v>
      </c>
      <c r="T126" s="111">
        <f>'(변경)집계표'!H179</f>
        <v>0</v>
      </c>
      <c r="U126" s="112" t="s">
        <v>11</v>
      </c>
      <c r="V126" s="140">
        <f>'(변경)집계표'!J179</f>
        <v>0</v>
      </c>
      <c r="W126" s="111">
        <f>'(변경)집계표'!H209</f>
        <v>0</v>
      </c>
      <c r="X126" s="112" t="s">
        <v>11</v>
      </c>
      <c r="Y126" s="140">
        <f>'(변경)집계표'!J209</f>
        <v>0</v>
      </c>
      <c r="Z126" s="111">
        <f>'(변경)집계표'!H239</f>
        <v>0</v>
      </c>
      <c r="AA126" s="112" t="s">
        <v>11</v>
      </c>
      <c r="AB126" s="140">
        <f>'(변경)집계표'!J239</f>
        <v>0</v>
      </c>
      <c r="AC126" s="111">
        <f>'(변경)집계표'!H269</f>
        <v>0</v>
      </c>
      <c r="AD126" s="112" t="s">
        <v>11</v>
      </c>
      <c r="AE126" s="140">
        <f>'(변경)집계표'!J269</f>
        <v>0</v>
      </c>
      <c r="AF126" s="111">
        <f>'(변경)집계표'!H299</f>
        <v>0</v>
      </c>
      <c r="AG126" s="112" t="s">
        <v>11</v>
      </c>
      <c r="AH126" s="140">
        <f>'(변경)집계표'!J299</f>
        <v>0</v>
      </c>
      <c r="AI126" s="128"/>
      <c r="AJ126" s="6"/>
    </row>
    <row r="127" spans="1:36" s="7" customFormat="1" ht="22.5" customHeight="1">
      <c r="A127" s="129" t="s">
        <v>75</v>
      </c>
      <c r="B127" s="111" t="e">
        <f t="shared" si="6"/>
        <v>#REF!</v>
      </c>
      <c r="C127" s="112" t="s">
        <v>11</v>
      </c>
      <c r="D127" s="179" t="e">
        <f t="shared" si="7"/>
        <v>#REF!</v>
      </c>
      <c r="E127" s="111" t="e">
        <f>'(변경)집계표'!H30</f>
        <v>#REF!</v>
      </c>
      <c r="F127" s="112" t="s">
        <v>11</v>
      </c>
      <c r="G127" s="179" t="e">
        <f>'(변경)집계표'!J30</f>
        <v>#REF!</v>
      </c>
      <c r="H127" s="111" t="e">
        <f>'(변경)집계표'!H60</f>
        <v>#REF!</v>
      </c>
      <c r="I127" s="112" t="s">
        <v>11</v>
      </c>
      <c r="J127" s="179" t="e">
        <f>'(변경)집계표'!J60</f>
        <v>#REF!</v>
      </c>
      <c r="K127" s="111" t="e">
        <f>'(변경)집계표'!H90</f>
        <v>#REF!</v>
      </c>
      <c r="L127" s="112" t="s">
        <v>11</v>
      </c>
      <c r="M127" s="179" t="e">
        <f>'(변경)집계표'!J90</f>
        <v>#REF!</v>
      </c>
      <c r="N127" s="111" t="e">
        <f>'(변경)집계표'!H120</f>
        <v>#REF!</v>
      </c>
      <c r="O127" s="112" t="s">
        <v>11</v>
      </c>
      <c r="P127" s="179" t="e">
        <f>'(변경)집계표'!J120</f>
        <v>#REF!</v>
      </c>
      <c r="Q127" s="111" t="e">
        <f>'(변경)집계표'!H150</f>
        <v>#REF!</v>
      </c>
      <c r="R127" s="112" t="s">
        <v>11</v>
      </c>
      <c r="S127" s="140" t="e">
        <f>'(변경)집계표'!J150</f>
        <v>#REF!</v>
      </c>
      <c r="T127" s="111">
        <f>'(변경)집계표'!H180</f>
        <v>0</v>
      </c>
      <c r="U127" s="112" t="s">
        <v>11</v>
      </c>
      <c r="V127" s="140">
        <f>'(변경)집계표'!J180</f>
        <v>0</v>
      </c>
      <c r="W127" s="111">
        <f>'(변경)집계표'!H210</f>
        <v>0</v>
      </c>
      <c r="X127" s="112" t="s">
        <v>11</v>
      </c>
      <c r="Y127" s="140">
        <f>'(변경)집계표'!J210</f>
        <v>0</v>
      </c>
      <c r="Z127" s="111">
        <f>'(변경)집계표'!H240</f>
        <v>0</v>
      </c>
      <c r="AA127" s="112" t="s">
        <v>11</v>
      </c>
      <c r="AB127" s="140">
        <f>'(변경)집계표'!J240</f>
        <v>0</v>
      </c>
      <c r="AC127" s="111">
        <f>'(변경)집계표'!H270</f>
        <v>0</v>
      </c>
      <c r="AD127" s="112" t="s">
        <v>11</v>
      </c>
      <c r="AE127" s="140">
        <f>'(변경)집계표'!J270</f>
        <v>0</v>
      </c>
      <c r="AF127" s="111">
        <f>'(변경)집계표'!H300</f>
        <v>0</v>
      </c>
      <c r="AG127" s="112" t="s">
        <v>11</v>
      </c>
      <c r="AH127" s="140">
        <f>'(변경)집계표'!J300</f>
        <v>0</v>
      </c>
      <c r="AI127" s="128"/>
      <c r="AJ127" s="6"/>
    </row>
    <row r="128" spans="1:36" s="7" customFormat="1" ht="22.5" customHeight="1" thickBot="1">
      <c r="A128" s="130" t="s">
        <v>68</v>
      </c>
      <c r="B128" s="131" t="e">
        <f t="shared" si="6"/>
        <v>#REF!</v>
      </c>
      <c r="C128" s="132" t="s">
        <v>11</v>
      </c>
      <c r="D128" s="180" t="e">
        <f t="shared" si="7"/>
        <v>#REF!</v>
      </c>
      <c r="E128" s="131" t="e">
        <f>'(변경)집계표'!H31</f>
        <v>#REF!</v>
      </c>
      <c r="F128" s="132" t="s">
        <v>11</v>
      </c>
      <c r="G128" s="180" t="e">
        <f>'(변경)집계표'!J31</f>
        <v>#REF!</v>
      </c>
      <c r="H128" s="131" t="e">
        <f>'(변경)집계표'!H61</f>
        <v>#REF!</v>
      </c>
      <c r="I128" s="132" t="s">
        <v>11</v>
      </c>
      <c r="J128" s="180" t="e">
        <f>'(변경)집계표'!J61</f>
        <v>#REF!</v>
      </c>
      <c r="K128" s="131" t="e">
        <f>'(변경)집계표'!H91</f>
        <v>#REF!</v>
      </c>
      <c r="L128" s="132" t="s">
        <v>11</v>
      </c>
      <c r="M128" s="180" t="e">
        <f>'(변경)집계표'!J91</f>
        <v>#REF!</v>
      </c>
      <c r="N128" s="131" t="e">
        <f>'(변경)집계표'!H121</f>
        <v>#REF!</v>
      </c>
      <c r="O128" s="132" t="s">
        <v>11</v>
      </c>
      <c r="P128" s="180" t="e">
        <f>'(변경)집계표'!J121</f>
        <v>#REF!</v>
      </c>
      <c r="Q128" s="131" t="e">
        <f>'(변경)집계표'!H151</f>
        <v>#REF!</v>
      </c>
      <c r="R128" s="132" t="s">
        <v>11</v>
      </c>
      <c r="S128" s="141" t="e">
        <f>'(변경)집계표'!J151</f>
        <v>#REF!</v>
      </c>
      <c r="T128" s="131">
        <f>'(변경)집계표'!H181</f>
        <v>0</v>
      </c>
      <c r="U128" s="132" t="s">
        <v>11</v>
      </c>
      <c r="V128" s="141">
        <f>'(변경)집계표'!J181</f>
        <v>0</v>
      </c>
      <c r="W128" s="131">
        <f>'(변경)집계표'!H211</f>
        <v>0</v>
      </c>
      <c r="X128" s="132" t="s">
        <v>11</v>
      </c>
      <c r="Y128" s="141">
        <f>'(변경)집계표'!J211</f>
        <v>0</v>
      </c>
      <c r="Z128" s="131">
        <f>'(변경)집계표'!H241</f>
        <v>0</v>
      </c>
      <c r="AA128" s="132" t="s">
        <v>11</v>
      </c>
      <c r="AB128" s="141">
        <f>'(변경)집계표'!J241</f>
        <v>0</v>
      </c>
      <c r="AC128" s="131">
        <f>'(변경)집계표'!H271</f>
        <v>0</v>
      </c>
      <c r="AD128" s="132" t="s">
        <v>11</v>
      </c>
      <c r="AE128" s="141">
        <f>'(변경)집계표'!J271</f>
        <v>0</v>
      </c>
      <c r="AF128" s="131">
        <f>'(변경)집계표'!H301</f>
        <v>0</v>
      </c>
      <c r="AG128" s="132" t="s">
        <v>11</v>
      </c>
      <c r="AH128" s="141">
        <f>'(변경)집계표'!J301</f>
        <v>0</v>
      </c>
      <c r="AI128" s="133"/>
      <c r="AJ128" s="6"/>
    </row>
    <row r="129" spans="35:36" ht="18" customHeight="1">
      <c r="AI129" s="5"/>
      <c r="AJ129" s="5"/>
    </row>
    <row r="130" spans="35:36" ht="18" customHeight="1">
      <c r="AI130" s="5"/>
      <c r="AJ130" s="5"/>
    </row>
    <row r="131" spans="35:36" ht="18" customHeight="1">
      <c r="AI131" s="5"/>
      <c r="AJ131" s="5"/>
    </row>
    <row r="132" spans="35:36" ht="18" customHeight="1">
      <c r="AI132" s="5"/>
      <c r="AJ132" s="5"/>
    </row>
    <row r="133" spans="35:36" ht="18" customHeight="1">
      <c r="AI133" s="5"/>
      <c r="AJ133" s="5"/>
    </row>
    <row r="134" spans="35:36" ht="18" customHeight="1">
      <c r="AI134" s="5"/>
      <c r="AJ134" s="5"/>
    </row>
    <row r="135" spans="35:36" ht="18" customHeight="1">
      <c r="AI135" s="5"/>
      <c r="AJ135" s="5"/>
    </row>
    <row r="136" spans="35:36" ht="18" customHeight="1">
      <c r="AI136" s="5"/>
      <c r="AJ136" s="5"/>
    </row>
    <row r="137" spans="35:36" ht="18" customHeight="1">
      <c r="AI137" s="5"/>
      <c r="AJ137" s="5"/>
    </row>
    <row r="138" spans="35:36" ht="18" customHeight="1">
      <c r="AI138" s="5"/>
      <c r="AJ138" s="5"/>
    </row>
    <row r="139" spans="35:36" ht="18" customHeight="1">
      <c r="AI139" s="5"/>
      <c r="AJ139" s="5"/>
    </row>
    <row r="140" spans="35:36" ht="18" customHeight="1">
      <c r="AI140" s="5"/>
      <c r="AJ140" s="5"/>
    </row>
    <row r="141" spans="35:36" ht="18" customHeight="1">
      <c r="AI141" s="5"/>
      <c r="AJ141" s="5"/>
    </row>
    <row r="142" spans="35:36" ht="18" customHeight="1">
      <c r="AI142" s="5"/>
      <c r="AJ142" s="5"/>
    </row>
    <row r="143" spans="35:36" ht="18" customHeight="1">
      <c r="AI143" s="5"/>
      <c r="AJ143" s="5"/>
    </row>
    <row r="144" spans="35:36" ht="18" customHeight="1">
      <c r="AI144" s="5"/>
      <c r="AJ144" s="5"/>
    </row>
    <row r="145" spans="35:36" ht="18" customHeight="1">
      <c r="AI145" s="5"/>
      <c r="AJ145" s="5"/>
    </row>
    <row r="146" spans="35:36" ht="18" customHeight="1">
      <c r="AI146" s="5"/>
      <c r="AJ146" s="5"/>
    </row>
    <row r="147" spans="35:36" ht="18" customHeight="1">
      <c r="AI147" s="5"/>
      <c r="AJ147" s="5"/>
    </row>
    <row r="148" spans="35:36" ht="18" customHeight="1">
      <c r="AI148" s="5"/>
      <c r="AJ148" s="5"/>
    </row>
    <row r="149" spans="35:36" ht="18" customHeight="1">
      <c r="AI149" s="5"/>
      <c r="AJ149" s="5"/>
    </row>
    <row r="150" spans="35:36" ht="18" customHeight="1">
      <c r="AI150" s="5"/>
      <c r="AJ150" s="5"/>
    </row>
    <row r="151" spans="35:36" ht="18" customHeight="1">
      <c r="AI151" s="5"/>
      <c r="AJ151" s="5"/>
    </row>
    <row r="152" spans="35:36" ht="18" customHeight="1">
      <c r="AI152" s="5"/>
      <c r="AJ152" s="5"/>
    </row>
    <row r="153" spans="35:36" ht="18" customHeight="1">
      <c r="AI153" s="5"/>
      <c r="AJ153" s="5"/>
    </row>
    <row r="154" spans="35:36" ht="18" customHeight="1">
      <c r="AI154" s="5"/>
      <c r="AJ154" s="5"/>
    </row>
    <row r="155" spans="35:36" ht="18" customHeight="1">
      <c r="AI155" s="5"/>
      <c r="AJ155" s="5"/>
    </row>
    <row r="156" spans="35:36" ht="18" customHeight="1">
      <c r="AI156" s="5"/>
      <c r="AJ156" s="5"/>
    </row>
    <row r="157" spans="35:36" ht="18" customHeight="1">
      <c r="AI157" s="5"/>
      <c r="AJ157" s="5"/>
    </row>
  </sheetData>
  <mergeCells count="8">
    <mergeCell ref="B3:D5"/>
    <mergeCell ref="B35:D37"/>
    <mergeCell ref="AI3:AI6"/>
    <mergeCell ref="B67:D69"/>
    <mergeCell ref="B99:D101"/>
    <mergeCell ref="AI35:AI38"/>
    <mergeCell ref="AI67:AI70"/>
    <mergeCell ref="AI99:AI102"/>
  </mergeCells>
  <phoneticPr fontId="5" type="noConversion"/>
  <printOptions horizontalCentered="1" verticalCentered="1"/>
  <pageMargins left="0.19685039370078741" right="0.19685039370078741" top="0.55118110236220474" bottom="0.27559055118110237" header="0.27559055118110237" footer="0.19685039370078741"/>
  <pageSetup paperSize="9" scale="85" orientation="portrait" r:id="rId1"/>
  <headerFooter alignWithMargins="0"/>
  <rowBreaks count="3" manualBreakCount="3">
    <brk id="32" max="16383" man="1"/>
    <brk id="64" max="16383" man="1"/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W369"/>
  <sheetViews>
    <sheetView showGridLines="0" showZeros="0" view="pageBreakPreview" zoomScale="115" zoomScaleNormal="100" zoomScaleSheetLayoutView="115" workbookViewId="0">
      <selection activeCell="E9" sqref="E9"/>
    </sheetView>
  </sheetViews>
  <sheetFormatPr defaultRowHeight="13.5"/>
  <cols>
    <col min="1" max="1" width="11" style="11" customWidth="1"/>
    <col min="2" max="2" width="5.109375" style="12" customWidth="1"/>
    <col min="3" max="3" width="1.33203125" style="12" customWidth="1"/>
    <col min="4" max="4" width="9.77734375" style="12" customWidth="1"/>
    <col min="5" max="5" width="5.109375" style="12" customWidth="1"/>
    <col min="6" max="6" width="1.33203125" style="12" customWidth="1"/>
    <col min="7" max="7" width="9.77734375" style="12" customWidth="1"/>
    <col min="8" max="8" width="5.109375" style="12" customWidth="1"/>
    <col min="9" max="9" width="1.33203125" style="12" customWidth="1"/>
    <col min="10" max="10" width="9.77734375" style="12" customWidth="1"/>
    <col min="11" max="11" width="5.109375" style="12" customWidth="1"/>
    <col min="12" max="12" width="1.33203125" style="12" customWidth="1"/>
    <col min="13" max="13" width="9.77734375" style="12" customWidth="1"/>
    <col min="14" max="14" width="6.77734375" style="12" customWidth="1"/>
    <col min="15" max="20" width="12.21875" style="44" hidden="1" customWidth="1"/>
    <col min="21" max="22" width="8.33203125" style="44" customWidth="1"/>
    <col min="23" max="16384" width="8.88671875" style="44"/>
  </cols>
  <sheetData>
    <row r="1" spans="1:23" s="10" customFormat="1" ht="60" customHeight="1">
      <c r="A1" s="228" t="s">
        <v>1186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3" s="17" customFormat="1" ht="20.100000000000001" customHeight="1">
      <c r="A2" s="11">
        <f ca="1">IF(EXACT(O6,O7),,"검산확인요!!!")</f>
        <v>0</v>
      </c>
      <c r="B2" s="12"/>
      <c r="C2" s="12"/>
      <c r="D2" s="12"/>
      <c r="E2" s="12"/>
      <c r="F2" s="12"/>
      <c r="G2" s="12"/>
      <c r="H2" s="12"/>
      <c r="I2" s="12"/>
      <c r="J2" s="12"/>
      <c r="K2" s="13">
        <f>IF(ISBLANK(토지세목조서!N2),,토지세목조서!N2)</f>
        <v>0</v>
      </c>
      <c r="L2" s="187"/>
      <c r="M2" s="16"/>
      <c r="N2" s="16"/>
    </row>
    <row r="3" spans="1:23" s="17" customFormat="1" ht="9.9499999999999993" customHeight="1">
      <c r="A3" s="229"/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</row>
    <row r="4" spans="1:23" s="24" customFormat="1" ht="27.95" customHeight="1">
      <c r="A4" s="199" t="s">
        <v>9</v>
      </c>
      <c r="B4" s="361" t="s">
        <v>8</v>
      </c>
      <c r="C4" s="362"/>
      <c r="D4" s="362"/>
      <c r="E4" s="215" t="s">
        <v>35</v>
      </c>
      <c r="F4" s="216"/>
      <c r="G4" s="217"/>
      <c r="H4" s="215" t="s">
        <v>63</v>
      </c>
      <c r="I4" s="216"/>
      <c r="J4" s="217"/>
      <c r="K4" s="215" t="s">
        <v>36</v>
      </c>
      <c r="L4" s="216"/>
      <c r="M4" s="217"/>
      <c r="N4" s="22" t="s">
        <v>37</v>
      </c>
      <c r="O4" s="23"/>
      <c r="S4" s="23"/>
      <c r="T4" s="23"/>
      <c r="U4" s="23"/>
      <c r="V4" s="23"/>
    </row>
    <row r="5" spans="1:23" s="24" customFormat="1" ht="27.95" customHeight="1">
      <c r="A5" s="25"/>
      <c r="B5" s="26" t="s">
        <v>10</v>
      </c>
      <c r="C5" s="27" t="s">
        <v>11</v>
      </c>
      <c r="D5" s="28" t="s">
        <v>38</v>
      </c>
      <c r="E5" s="185" t="s">
        <v>10</v>
      </c>
      <c r="F5" s="186" t="s">
        <v>11</v>
      </c>
      <c r="G5" s="184" t="s">
        <v>38</v>
      </c>
      <c r="H5" s="185" t="s">
        <v>10</v>
      </c>
      <c r="I5" s="186" t="s">
        <v>11</v>
      </c>
      <c r="J5" s="184" t="s">
        <v>38</v>
      </c>
      <c r="K5" s="185" t="s">
        <v>10</v>
      </c>
      <c r="L5" s="186" t="s">
        <v>11</v>
      </c>
      <c r="M5" s="184" t="s">
        <v>38</v>
      </c>
      <c r="N5" s="29"/>
      <c r="P5" s="23"/>
      <c r="Q5" s="30" t="s">
        <v>39</v>
      </c>
      <c r="R5" s="30" t="s">
        <v>40</v>
      </c>
      <c r="S5" s="30" t="s">
        <v>41</v>
      </c>
      <c r="T5" s="30" t="s">
        <v>42</v>
      </c>
      <c r="U5" s="23"/>
      <c r="V5" s="23"/>
    </row>
    <row r="6" spans="1:23" s="24" customFormat="1" ht="23.1" customHeight="1">
      <c r="A6" s="103" t="s">
        <v>8</v>
      </c>
      <c r="B6" s="31">
        <f>SUM(B7:B31)</f>
        <v>95</v>
      </c>
      <c r="C6" s="32" t="s">
        <v>11</v>
      </c>
      <c r="D6" s="212">
        <f ca="1">SUM(D7:D31)</f>
        <v>29928.600000000002</v>
      </c>
      <c r="E6" s="31">
        <f>SUM(E7:E31)</f>
        <v>24</v>
      </c>
      <c r="F6" s="32" t="s">
        <v>11</v>
      </c>
      <c r="G6" s="212">
        <f>SUM(G7:G31)</f>
        <v>4574.7</v>
      </c>
      <c r="H6" s="31">
        <f>SUM(H7:H31)</f>
        <v>43</v>
      </c>
      <c r="I6" s="32" t="s">
        <v>11</v>
      </c>
      <c r="J6" s="212">
        <f>SUM(J7:J31)</f>
        <v>12974</v>
      </c>
      <c r="K6" s="31">
        <f>SUM(K7:K31)</f>
        <v>28</v>
      </c>
      <c r="L6" s="32" t="s">
        <v>11</v>
      </c>
      <c r="M6" s="212">
        <f ca="1">SUM(M7:M31)</f>
        <v>12379.900000000001</v>
      </c>
      <c r="N6" s="34"/>
      <c r="O6" s="23" t="str">
        <f>IF(EXACT(Q6,T6),"맞음","틀림")</f>
        <v>틀림</v>
      </c>
      <c r="P6" s="23" t="s">
        <v>10</v>
      </c>
      <c r="Q6" s="35">
        <f>SUM(B7:B31)</f>
        <v>95</v>
      </c>
      <c r="R6" s="35">
        <f>SUM(E7:E31)</f>
        <v>24</v>
      </c>
      <c r="S6" s="35">
        <f>SUM(K7:K31)</f>
        <v>28</v>
      </c>
      <c r="T6" s="35">
        <f>K6+E6</f>
        <v>52</v>
      </c>
      <c r="U6" s="23"/>
      <c r="V6" s="23"/>
    </row>
    <row r="7" spans="1:23" s="24" customFormat="1" ht="23.1" customHeight="1">
      <c r="A7" s="104" t="s">
        <v>13</v>
      </c>
      <c r="B7" s="36">
        <f>COUNTIF('(당초)대두리'!$D$6:$D$102,'(당초)집계표'!U7)</f>
        <v>6</v>
      </c>
      <c r="C7" s="37" t="s">
        <v>11</v>
      </c>
      <c r="D7" s="213">
        <f ca="1">SUMIF('(당초)대두리'!$D$6:$D$156,'(당초)집계표'!U7,'(당초)대두리'!$F$6:$F$100)</f>
        <v>3537</v>
      </c>
      <c r="E7" s="36">
        <f>COUNTIF('(당초)대두리'!$M$6:$M$100,'(당초)집계표'!V7)</f>
        <v>0</v>
      </c>
      <c r="F7" s="37" t="s">
        <v>11</v>
      </c>
      <c r="G7" s="213">
        <f>SUMIF('(당초)대두리'!$M$6:$M$100,'(당초)집계표'!V7,'(당초)대두리'!$F$6:$F$100)</f>
        <v>0</v>
      </c>
      <c r="H7" s="36">
        <f>COUNTIF('(당초)대두리'!$M$6:$M$100,'(당초)집계표'!W7)</f>
        <v>4</v>
      </c>
      <c r="I7" s="37" t="s">
        <v>11</v>
      </c>
      <c r="J7" s="213">
        <f>SUMIF('(당초)대두리'!$M$6:$M$100,'(당초)집계표'!W7,'(당초)대두리'!$F$6:$F$100)</f>
        <v>3245</v>
      </c>
      <c r="K7" s="36">
        <f t="shared" ref="K7:K31" si="0">SUM(B7-E7-H7)</f>
        <v>2</v>
      </c>
      <c r="L7" s="37" t="s">
        <v>11</v>
      </c>
      <c r="M7" s="213">
        <f t="shared" ref="M7:M31" ca="1" si="1">SUM(D7-G7-J7)</f>
        <v>292</v>
      </c>
      <c r="N7" s="39"/>
      <c r="O7" s="23" t="str">
        <f ca="1">IF(EXACT(Q7,T7),"맞음","틀림")</f>
        <v>틀림</v>
      </c>
      <c r="P7" s="23" t="s">
        <v>43</v>
      </c>
      <c r="Q7" s="35">
        <f ca="1">SUM(D7:D31)</f>
        <v>29928.600000000002</v>
      </c>
      <c r="R7" s="35">
        <f>SUM(G7:G31)</f>
        <v>4574.7</v>
      </c>
      <c r="S7" s="35">
        <f ca="1">SUM(M7:M31)</f>
        <v>12379.900000000001</v>
      </c>
      <c r="T7" s="35">
        <f ca="1">G6+M6</f>
        <v>16954.600000000002</v>
      </c>
      <c r="U7" s="24" t="s">
        <v>13</v>
      </c>
      <c r="V7" s="23" t="s">
        <v>1118</v>
      </c>
      <c r="W7" s="332" t="s">
        <v>1157</v>
      </c>
    </row>
    <row r="8" spans="1:23" s="24" customFormat="1" ht="23.1" customHeight="1">
      <c r="A8" s="104" t="s">
        <v>14</v>
      </c>
      <c r="B8" s="36">
        <f>COUNTIF('(당초)대두리'!$D$6:$D$102,'(당초)집계표'!U8)</f>
        <v>29</v>
      </c>
      <c r="C8" s="37" t="s">
        <v>11</v>
      </c>
      <c r="D8" s="213">
        <f ca="1">SUMIF('(당초)대두리'!$D$6:$D$156,'(당초)집계표'!U8,'(당초)대두리'!$F$6:$F$100)</f>
        <v>13294.900000000001</v>
      </c>
      <c r="E8" s="36">
        <f>COUNTIF('(당초)대두리'!$M$6:$M$100,'(당초)집계표'!V8)</f>
        <v>0</v>
      </c>
      <c r="F8" s="37" t="s">
        <v>11</v>
      </c>
      <c r="G8" s="213">
        <f>SUMIF('(당초)대두리'!$M$6:$M$100,'(당초)집계표'!V8,'(당초)대두리'!$F$6:$F$100)</f>
        <v>0</v>
      </c>
      <c r="H8" s="36">
        <f>COUNTIF('(당초)대두리'!$M$6:$M$100,'(당초)집계표'!W8)</f>
        <v>12</v>
      </c>
      <c r="I8" s="37" t="s">
        <v>11</v>
      </c>
      <c r="J8" s="213">
        <f>SUMIF('(당초)대두리'!$M$6:$M$100,'(당초)집계표'!W8,'(당초)대두리'!$F$6:$F$100)</f>
        <v>3342</v>
      </c>
      <c r="K8" s="36">
        <f t="shared" si="0"/>
        <v>17</v>
      </c>
      <c r="L8" s="37" t="s">
        <v>11</v>
      </c>
      <c r="M8" s="213">
        <f t="shared" ca="1" si="1"/>
        <v>9952.9000000000015</v>
      </c>
      <c r="N8" s="39"/>
      <c r="Q8" s="23"/>
      <c r="S8" s="23"/>
      <c r="U8" s="24" t="s">
        <v>14</v>
      </c>
      <c r="V8" s="23" t="s">
        <v>1119</v>
      </c>
      <c r="W8" s="332" t="s">
        <v>1158</v>
      </c>
    </row>
    <row r="9" spans="1:23" s="24" customFormat="1" ht="23.1" customHeight="1">
      <c r="A9" s="104" t="s">
        <v>15</v>
      </c>
      <c r="B9" s="36">
        <f>COUNTIF('(당초)대두리'!$D$6:$D$102,'(당초)집계표'!U9)</f>
        <v>4</v>
      </c>
      <c r="C9" s="37" t="s">
        <v>11</v>
      </c>
      <c r="D9" s="213">
        <f ca="1">SUMIF('(당초)대두리'!$D$6:$D$156,'(당초)집계표'!U9,'(당초)대두리'!$F$6:$F$100)</f>
        <v>2642</v>
      </c>
      <c r="E9" s="36">
        <f>COUNTIF('(당초)대두리'!$M$6:$M$100,'(당초)집계표'!V9)</f>
        <v>0</v>
      </c>
      <c r="F9" s="37" t="s">
        <v>11</v>
      </c>
      <c r="G9" s="213">
        <f>SUMIF('(당초)대두리'!$M$6:$M$100,'(당초)집계표'!V9,'(당초)대두리'!$F$6:$F$100)</f>
        <v>0</v>
      </c>
      <c r="H9" s="36">
        <f>COUNTIF('(당초)대두리'!$M$6:$M$100,'(당초)집계표'!W9)</f>
        <v>2</v>
      </c>
      <c r="I9" s="37" t="s">
        <v>11</v>
      </c>
      <c r="J9" s="213">
        <f>SUMIF('(당초)대두리'!$M$6:$M$100,'(당초)집계표'!W9,'(당초)대두리'!$F$6:$F$100)</f>
        <v>1744</v>
      </c>
      <c r="K9" s="36">
        <f t="shared" si="0"/>
        <v>2</v>
      </c>
      <c r="L9" s="37" t="s">
        <v>11</v>
      </c>
      <c r="M9" s="213">
        <f t="shared" ca="1" si="1"/>
        <v>898</v>
      </c>
      <c r="N9" s="39"/>
      <c r="Q9" s="23"/>
      <c r="S9" s="23"/>
      <c r="U9" s="24" t="s">
        <v>146</v>
      </c>
      <c r="V9" s="23" t="s">
        <v>1120</v>
      </c>
      <c r="W9" s="332" t="s">
        <v>1159</v>
      </c>
    </row>
    <row r="10" spans="1:23" s="24" customFormat="1" ht="23.1" customHeight="1">
      <c r="A10" s="104" t="s">
        <v>16</v>
      </c>
      <c r="B10" s="36">
        <f>COUNTIF('(당초)대두리'!$D$6:$D$102,'(당초)집계표'!U10)</f>
        <v>2</v>
      </c>
      <c r="C10" s="37" t="s">
        <v>11</v>
      </c>
      <c r="D10" s="213">
        <f ca="1">SUMIF('(당초)대두리'!$D$6:$D$156,'(당초)집계표'!U10,'(당초)대두리'!$F$6:$F$100)</f>
        <v>267</v>
      </c>
      <c r="E10" s="36">
        <f>COUNTIF('(당초)대두리'!$M$6:$M$100,'(당초)집계표'!V10)</f>
        <v>0</v>
      </c>
      <c r="F10" s="37" t="s">
        <v>11</v>
      </c>
      <c r="G10" s="213">
        <f>SUMIF('(당초)대두리'!$M$6:$M$100,'(당초)집계표'!V10,'(당초)대두리'!$F$6:$F$100)</f>
        <v>0</v>
      </c>
      <c r="H10" s="36">
        <f>COUNTIF('(당초)대두리'!$M$6:$M$100,'(당초)집계표'!W10)</f>
        <v>0</v>
      </c>
      <c r="I10" s="37" t="s">
        <v>11</v>
      </c>
      <c r="J10" s="213">
        <f>SUMIF('(당초)대두리'!$M$6:$M$100,'(당초)집계표'!W10,'(당초)대두리'!$F$6:$F$100)</f>
        <v>0</v>
      </c>
      <c r="K10" s="36">
        <f t="shared" si="0"/>
        <v>2</v>
      </c>
      <c r="L10" s="37" t="s">
        <v>11</v>
      </c>
      <c r="M10" s="213">
        <f t="shared" ca="1" si="1"/>
        <v>267</v>
      </c>
      <c r="N10" s="39"/>
      <c r="O10" s="23"/>
      <c r="P10" s="23"/>
      <c r="Q10" s="23"/>
      <c r="R10" s="23"/>
      <c r="S10" s="23"/>
      <c r="T10" s="23"/>
      <c r="U10" s="24" t="s">
        <v>1002</v>
      </c>
      <c r="V10" s="23" t="s">
        <v>1121</v>
      </c>
      <c r="W10" s="332" t="s">
        <v>1160</v>
      </c>
    </row>
    <row r="11" spans="1:23" s="24" customFormat="1" ht="23.1" customHeight="1">
      <c r="A11" s="104" t="s">
        <v>17</v>
      </c>
      <c r="B11" s="36">
        <f>COUNTIF('(당초)대두리'!$D$6:$D$102,'(당초)집계표'!U11)</f>
        <v>43</v>
      </c>
      <c r="C11" s="37" t="s">
        <v>11</v>
      </c>
      <c r="D11" s="213">
        <f ca="1">SUMIF('(당초)대두리'!$D$6:$D$156,'(당초)집계표'!U11,'(당초)대두리'!$F$6:$F$100)</f>
        <v>7211.2</v>
      </c>
      <c r="E11" s="36">
        <f>COUNTIF('(당초)대두리'!$M$6:$M$100,'(당초)집계표'!V11)</f>
        <v>17</v>
      </c>
      <c r="F11" s="37" t="s">
        <v>11</v>
      </c>
      <c r="G11" s="213">
        <f>SUMIF('(당초)대두리'!$M$6:$M$100,'(당초)집계표'!V11,'(당초)대두리'!$F$6:$F$100)</f>
        <v>3392.2</v>
      </c>
      <c r="H11" s="36">
        <f>COUNTIF('(당초)대두리'!$M$6:$M$100,'(당초)집계표'!W11)</f>
        <v>23</v>
      </c>
      <c r="I11" s="37" t="s">
        <v>11</v>
      </c>
      <c r="J11" s="213">
        <f>SUMIF('(당초)대두리'!$M$6:$M$100,'(당초)집계표'!W11,'(당초)대두리'!$F$6:$F$100)</f>
        <v>3042</v>
      </c>
      <c r="K11" s="36">
        <f t="shared" si="0"/>
        <v>3</v>
      </c>
      <c r="L11" s="37" t="s">
        <v>11</v>
      </c>
      <c r="M11" s="213">
        <f t="shared" ca="1" si="1"/>
        <v>777</v>
      </c>
      <c r="N11" s="39"/>
      <c r="O11" s="23"/>
      <c r="P11" s="23"/>
      <c r="Q11" s="23"/>
      <c r="R11" s="23"/>
      <c r="S11" s="23"/>
      <c r="T11" s="23"/>
      <c r="U11" s="24" t="s">
        <v>998</v>
      </c>
      <c r="V11" s="23" t="s">
        <v>1122</v>
      </c>
      <c r="W11" s="332" t="s">
        <v>1161</v>
      </c>
    </row>
    <row r="12" spans="1:23" s="24" customFormat="1" ht="23.1" customHeight="1">
      <c r="A12" s="104" t="s">
        <v>18</v>
      </c>
      <c r="B12" s="36">
        <f>COUNTIF('(당초)대두리'!$D$6:$D$102,'(당초)집계표'!U12)</f>
        <v>7</v>
      </c>
      <c r="C12" s="37" t="s">
        <v>11</v>
      </c>
      <c r="D12" s="213">
        <f ca="1">SUMIF('(당초)대두리'!$D$6:$D$156,'(당초)집계표'!U12,'(당초)대두리'!$F$6:$F$100)</f>
        <v>1182.5</v>
      </c>
      <c r="E12" s="36">
        <f>COUNTIF('(당초)대두리'!$M$6:$M$100,'(당초)집계표'!V12)</f>
        <v>7</v>
      </c>
      <c r="F12" s="37" t="s">
        <v>11</v>
      </c>
      <c r="G12" s="213">
        <f>SUMIF('(당초)대두리'!$M$6:$M$100,'(당초)집계표'!V12,'(당초)대두리'!$F$6:$F$100)</f>
        <v>1182.5</v>
      </c>
      <c r="H12" s="36">
        <f>COUNTIF('(당초)대두리'!$M$6:$M$100,'(당초)집계표'!W12)</f>
        <v>0</v>
      </c>
      <c r="I12" s="37" t="s">
        <v>11</v>
      </c>
      <c r="J12" s="213">
        <f>SUMIF('(당초)대두리'!$M$6:$M$100,'(당초)집계표'!W12,'(당초)대두리'!$F$6:$F$100)</f>
        <v>0</v>
      </c>
      <c r="K12" s="36">
        <f t="shared" si="0"/>
        <v>0</v>
      </c>
      <c r="L12" s="37" t="s">
        <v>11</v>
      </c>
      <c r="M12" s="213">
        <f t="shared" ca="1" si="1"/>
        <v>0</v>
      </c>
      <c r="N12" s="39"/>
      <c r="O12" s="23"/>
      <c r="P12" s="23"/>
      <c r="Q12" s="23"/>
      <c r="R12" s="23"/>
      <c r="S12" s="23"/>
      <c r="T12" s="23"/>
      <c r="U12" s="24" t="s">
        <v>1005</v>
      </c>
      <c r="V12" s="23" t="s">
        <v>1123</v>
      </c>
      <c r="W12" s="332" t="s">
        <v>1162</v>
      </c>
    </row>
    <row r="13" spans="1:23" s="24" customFormat="1" ht="23.1" customHeight="1">
      <c r="A13" s="104" t="s">
        <v>19</v>
      </c>
      <c r="B13" s="36">
        <f>COUNTIF('(당초)대두리'!$D$6:$D$102,'(당초)집계표'!U13)</f>
        <v>0</v>
      </c>
      <c r="C13" s="37" t="s">
        <v>11</v>
      </c>
      <c r="D13" s="213">
        <f ca="1">SUMIF('(당초)대두리'!$D$6:$D$156,'(당초)집계표'!U13,'(당초)대두리'!$F$6:$F$100)</f>
        <v>0</v>
      </c>
      <c r="E13" s="36">
        <f>COUNTIF('(당초)대두리'!$M$6:$M$100,'(당초)집계표'!V13)</f>
        <v>0</v>
      </c>
      <c r="F13" s="37" t="s">
        <v>11</v>
      </c>
      <c r="G13" s="213">
        <f>SUMIF('(당초)대두리'!$M$6:$M$100,'(당초)집계표'!V13,'(당초)대두리'!$F$6:$F$100)</f>
        <v>0</v>
      </c>
      <c r="H13" s="36">
        <f>COUNTIF('(당초)대두리'!$M$6:$M$100,'(당초)집계표'!W13)</f>
        <v>0</v>
      </c>
      <c r="I13" s="37" t="s">
        <v>11</v>
      </c>
      <c r="J13" s="213">
        <f>SUMIF('(당초)대두리'!$M$6:$M$100,'(당초)집계표'!W13,'(당초)대두리'!$F$6:$F$100)</f>
        <v>0</v>
      </c>
      <c r="K13" s="36">
        <f t="shared" si="0"/>
        <v>0</v>
      </c>
      <c r="L13" s="37" t="s">
        <v>11</v>
      </c>
      <c r="M13" s="213">
        <f t="shared" ca="1" si="1"/>
        <v>0</v>
      </c>
      <c r="N13" s="39"/>
      <c r="O13" s="23"/>
      <c r="P13" s="23"/>
      <c r="Q13" s="23"/>
      <c r="R13" s="23"/>
      <c r="S13" s="23"/>
      <c r="T13" s="23"/>
      <c r="U13" s="24" t="s">
        <v>1142</v>
      </c>
      <c r="V13" s="23" t="s">
        <v>1124</v>
      </c>
      <c r="W13" s="332" t="s">
        <v>1163</v>
      </c>
    </row>
    <row r="14" spans="1:23" s="24" customFormat="1" ht="23.1" customHeight="1">
      <c r="A14" s="104" t="s">
        <v>20</v>
      </c>
      <c r="B14" s="36">
        <f>COUNTIF('(당초)대두리'!$D$6:$D$102,'(당초)집계표'!U14)</f>
        <v>4</v>
      </c>
      <c r="C14" s="37" t="s">
        <v>11</v>
      </c>
      <c r="D14" s="213">
        <f ca="1">SUMIF('(당초)대두리'!$D$6:$D$156,'(당초)집계표'!U14,'(당초)대두리'!$F$6:$F$100)</f>
        <v>1794</v>
      </c>
      <c r="E14" s="36">
        <f>COUNTIF('(당초)대두리'!$M$6:$M$100,'(당초)집계표'!V14)</f>
        <v>0</v>
      </c>
      <c r="F14" s="37" t="s">
        <v>11</v>
      </c>
      <c r="G14" s="213">
        <f>SUMIF('(당초)대두리'!$M$6:$M$100,'(당초)집계표'!V14,'(당초)대두리'!$F$6:$F$100)</f>
        <v>0</v>
      </c>
      <c r="H14" s="36">
        <f>COUNTIF('(당초)대두리'!$M$6:$M$100,'(당초)집계표'!W14)</f>
        <v>2</v>
      </c>
      <c r="I14" s="37" t="s">
        <v>11</v>
      </c>
      <c r="J14" s="213">
        <f>SUMIF('(당초)대두리'!$M$6:$M$100,'(당초)집계표'!W14,'(당초)대두리'!$F$6:$F$100)</f>
        <v>1601</v>
      </c>
      <c r="K14" s="36">
        <f t="shared" si="0"/>
        <v>2</v>
      </c>
      <c r="L14" s="37" t="s">
        <v>11</v>
      </c>
      <c r="M14" s="213">
        <f t="shared" ca="1" si="1"/>
        <v>193</v>
      </c>
      <c r="N14" s="39"/>
      <c r="O14" s="23"/>
      <c r="P14" s="23"/>
      <c r="Q14" s="23"/>
      <c r="R14" s="23"/>
      <c r="S14" s="23"/>
      <c r="T14" s="23"/>
      <c r="U14" s="24" t="s">
        <v>1027</v>
      </c>
      <c r="V14" s="23" t="s">
        <v>1125</v>
      </c>
      <c r="W14" s="332" t="s">
        <v>1164</v>
      </c>
    </row>
    <row r="15" spans="1:23" s="24" customFormat="1" ht="23.1" customHeight="1">
      <c r="A15" s="104" t="s">
        <v>21</v>
      </c>
      <c r="B15" s="36">
        <f>COUNTIF('(당초)대두리'!$D$6:$D$102,'(당초)집계표'!U15)</f>
        <v>0</v>
      </c>
      <c r="C15" s="37" t="s">
        <v>11</v>
      </c>
      <c r="D15" s="213">
        <f ca="1">SUMIF('(당초)대두리'!$D$6:$D$156,'(당초)집계표'!U15,'(당초)대두리'!$F$6:$F$100)</f>
        <v>0</v>
      </c>
      <c r="E15" s="36">
        <f>COUNTIF('(당초)대두리'!$M$6:$M$100,'(당초)집계표'!V15)</f>
        <v>0</v>
      </c>
      <c r="F15" s="37" t="s">
        <v>11</v>
      </c>
      <c r="G15" s="213">
        <f>SUMIF('(당초)대두리'!$M$6:$M$100,'(당초)집계표'!V15,'(당초)대두리'!$F$6:$F$100)</f>
        <v>0</v>
      </c>
      <c r="H15" s="36">
        <f>COUNTIF('(당초)대두리'!$M$6:$M$100,'(당초)집계표'!W15)</f>
        <v>0</v>
      </c>
      <c r="I15" s="37" t="s">
        <v>11</v>
      </c>
      <c r="J15" s="213">
        <f>SUMIF('(당초)대두리'!$M$6:$M$100,'(당초)집계표'!W15,'(당초)대두리'!$F$6:$F$100)</f>
        <v>0</v>
      </c>
      <c r="K15" s="36">
        <f t="shared" si="0"/>
        <v>0</v>
      </c>
      <c r="L15" s="37" t="s">
        <v>11</v>
      </c>
      <c r="M15" s="213">
        <f t="shared" ca="1" si="1"/>
        <v>0</v>
      </c>
      <c r="N15" s="39"/>
      <c r="O15" s="23"/>
      <c r="P15" s="23"/>
      <c r="Q15" s="23"/>
      <c r="R15" s="23"/>
      <c r="S15" s="23"/>
      <c r="T15" s="23"/>
      <c r="U15" s="24" t="s">
        <v>1143</v>
      </c>
      <c r="V15" s="23" t="s">
        <v>1126</v>
      </c>
      <c r="W15" s="332" t="s">
        <v>1165</v>
      </c>
    </row>
    <row r="16" spans="1:23" s="24" customFormat="1" ht="23.1" customHeight="1">
      <c r="A16" s="104" t="s">
        <v>22</v>
      </c>
      <c r="B16" s="36">
        <f>COUNTIF('(당초)대두리'!$D$6:$D$102,'(당초)집계표'!U16)</f>
        <v>0</v>
      </c>
      <c r="C16" s="37" t="s">
        <v>11</v>
      </c>
      <c r="D16" s="213">
        <f ca="1">SUMIF('(당초)대두리'!$D$6:$D$156,'(당초)집계표'!U16,'(당초)대두리'!$F$6:$F$100)</f>
        <v>0</v>
      </c>
      <c r="E16" s="36">
        <f>COUNTIF('(당초)대두리'!$M$6:$M$100,'(당초)집계표'!V16)</f>
        <v>0</v>
      </c>
      <c r="F16" s="37" t="s">
        <v>11</v>
      </c>
      <c r="G16" s="213">
        <f>SUMIF('(당초)대두리'!$M$6:$M$100,'(당초)집계표'!V16,'(당초)대두리'!$F$6:$F$100)</f>
        <v>0</v>
      </c>
      <c r="H16" s="36">
        <f>COUNTIF('(당초)대두리'!$M$6:$M$100,'(당초)집계표'!W16)</f>
        <v>0</v>
      </c>
      <c r="I16" s="37" t="s">
        <v>11</v>
      </c>
      <c r="J16" s="213">
        <f>SUMIF('(당초)대두리'!$M$6:$M$100,'(당초)집계표'!W16,'(당초)대두리'!$F$6:$F$100)</f>
        <v>0</v>
      </c>
      <c r="K16" s="36">
        <f t="shared" si="0"/>
        <v>0</v>
      </c>
      <c r="L16" s="37" t="s">
        <v>11</v>
      </c>
      <c r="M16" s="213">
        <f t="shared" ca="1" si="1"/>
        <v>0</v>
      </c>
      <c r="N16" s="39"/>
      <c r="O16" s="23"/>
      <c r="P16" s="23"/>
      <c r="Q16" s="23"/>
      <c r="R16" s="23"/>
      <c r="S16" s="23"/>
      <c r="T16" s="23"/>
      <c r="U16" s="24" t="s">
        <v>1144</v>
      </c>
      <c r="V16" s="23" t="s">
        <v>1127</v>
      </c>
      <c r="W16" s="332" t="s">
        <v>1166</v>
      </c>
    </row>
    <row r="17" spans="1:23" s="24" customFormat="1" ht="23.1" customHeight="1">
      <c r="A17" s="104" t="s">
        <v>23</v>
      </c>
      <c r="B17" s="36">
        <f>COUNTIF('(당초)대두리'!$D$6:$D$102,'(당초)집계표'!U17)</f>
        <v>0</v>
      </c>
      <c r="C17" s="37" t="s">
        <v>11</v>
      </c>
      <c r="D17" s="213">
        <f ca="1">SUMIF('(당초)대두리'!$D$6:$D$156,'(당초)집계표'!U17,'(당초)대두리'!$F$6:$F$100)</f>
        <v>0</v>
      </c>
      <c r="E17" s="36">
        <f>COUNTIF('(당초)대두리'!$M$6:$M$100,'(당초)집계표'!V17)</f>
        <v>0</v>
      </c>
      <c r="F17" s="37" t="s">
        <v>11</v>
      </c>
      <c r="G17" s="213">
        <f>SUMIF('(당초)대두리'!$M$6:$M$100,'(당초)집계표'!V17,'(당초)대두리'!$F$6:$F$100)</f>
        <v>0</v>
      </c>
      <c r="H17" s="36">
        <f>COUNTIF('(당초)대두리'!$M$6:$M$100,'(당초)집계표'!W17)</f>
        <v>0</v>
      </c>
      <c r="I17" s="37" t="s">
        <v>11</v>
      </c>
      <c r="J17" s="213">
        <f>SUMIF('(당초)대두리'!$M$6:$M$100,'(당초)집계표'!W17,'(당초)대두리'!$F$6:$F$100)</f>
        <v>0</v>
      </c>
      <c r="K17" s="36">
        <f t="shared" si="0"/>
        <v>0</v>
      </c>
      <c r="L17" s="37" t="s">
        <v>11</v>
      </c>
      <c r="M17" s="213">
        <f t="shared" ca="1" si="1"/>
        <v>0</v>
      </c>
      <c r="N17" s="39"/>
      <c r="O17" s="23"/>
      <c r="P17" s="23"/>
      <c r="Q17" s="23"/>
      <c r="R17" s="23"/>
      <c r="S17" s="23"/>
      <c r="T17" s="23"/>
      <c r="U17" s="24" t="s">
        <v>994</v>
      </c>
      <c r="V17" s="23" t="s">
        <v>1128</v>
      </c>
      <c r="W17" s="332" t="s">
        <v>1167</v>
      </c>
    </row>
    <row r="18" spans="1:23" s="24" customFormat="1" ht="23.1" customHeight="1">
      <c r="A18" s="104" t="s">
        <v>24</v>
      </c>
      <c r="B18" s="36">
        <f>COUNTIF('(당초)대두리'!$D$6:$D$102,'(당초)집계표'!U18)</f>
        <v>0</v>
      </c>
      <c r="C18" s="37" t="s">
        <v>11</v>
      </c>
      <c r="D18" s="213">
        <f ca="1">SUMIF('(당초)대두리'!$D$6:$D$156,'(당초)집계표'!U18,'(당초)대두리'!$F$6:$F$100)</f>
        <v>0</v>
      </c>
      <c r="E18" s="36">
        <f>COUNTIF('(당초)대두리'!$M$6:$M$100,'(당초)집계표'!V18)</f>
        <v>0</v>
      </c>
      <c r="F18" s="37" t="s">
        <v>11</v>
      </c>
      <c r="G18" s="213">
        <f>SUMIF('(당초)대두리'!$M$6:$M$100,'(당초)집계표'!V18,'(당초)대두리'!$F$6:$F$100)</f>
        <v>0</v>
      </c>
      <c r="H18" s="36">
        <f>COUNTIF('(당초)대두리'!$M$6:$M$100,'(당초)집계표'!W18)</f>
        <v>0</v>
      </c>
      <c r="I18" s="37" t="s">
        <v>11</v>
      </c>
      <c r="J18" s="213">
        <f>SUMIF('(당초)대두리'!$M$6:$M$100,'(당초)집계표'!W18,'(당초)대두리'!$F$6:$F$100)</f>
        <v>0</v>
      </c>
      <c r="K18" s="36">
        <f t="shared" si="0"/>
        <v>0</v>
      </c>
      <c r="L18" s="37" t="s">
        <v>11</v>
      </c>
      <c r="M18" s="213">
        <f t="shared" ca="1" si="1"/>
        <v>0</v>
      </c>
      <c r="N18" s="39"/>
      <c r="O18" s="23"/>
      <c r="P18" s="23"/>
      <c r="Q18" s="23"/>
      <c r="R18" s="23"/>
      <c r="S18" s="23"/>
      <c r="T18" s="23"/>
      <c r="U18" s="24" t="s">
        <v>1145</v>
      </c>
      <c r="V18" s="23" t="s">
        <v>1129</v>
      </c>
      <c r="W18" s="332" t="s">
        <v>1168</v>
      </c>
    </row>
    <row r="19" spans="1:23" s="24" customFormat="1" ht="23.1" customHeight="1">
      <c r="A19" s="104" t="s">
        <v>25</v>
      </c>
      <c r="B19" s="36">
        <f>COUNTIF('(당초)대두리'!$D$6:$D$102,'(당초)집계표'!U19)</f>
        <v>0</v>
      </c>
      <c r="C19" s="37" t="s">
        <v>11</v>
      </c>
      <c r="D19" s="213">
        <f ca="1">SUMIF('(당초)대두리'!$D$6:$D$156,'(당초)집계표'!U19,'(당초)대두리'!$F$6:$F$100)</f>
        <v>0</v>
      </c>
      <c r="E19" s="36">
        <f>COUNTIF('(당초)대두리'!$M$6:$M$100,'(당초)집계표'!V19)</f>
        <v>0</v>
      </c>
      <c r="F19" s="37" t="s">
        <v>11</v>
      </c>
      <c r="G19" s="213">
        <f>SUMIF('(당초)대두리'!$M$6:$M$100,'(당초)집계표'!V19,'(당초)대두리'!$F$6:$F$100)</f>
        <v>0</v>
      </c>
      <c r="H19" s="36">
        <f>COUNTIF('(당초)대두리'!$M$6:$M$100,'(당초)집계표'!W19)</f>
        <v>0</v>
      </c>
      <c r="I19" s="37" t="s">
        <v>11</v>
      </c>
      <c r="J19" s="213">
        <f>SUMIF('(당초)대두리'!$M$6:$M$100,'(당초)집계표'!W19,'(당초)대두리'!$F$6:$F$100)</f>
        <v>0</v>
      </c>
      <c r="K19" s="36">
        <f t="shared" si="0"/>
        <v>0</v>
      </c>
      <c r="L19" s="37" t="s">
        <v>11</v>
      </c>
      <c r="M19" s="213">
        <f t="shared" ca="1" si="1"/>
        <v>0</v>
      </c>
      <c r="N19" s="39"/>
      <c r="O19" s="23"/>
      <c r="P19" s="23"/>
      <c r="Q19" s="23"/>
      <c r="R19" s="23"/>
      <c r="S19" s="23"/>
      <c r="T19" s="23"/>
      <c r="U19" s="24" t="s">
        <v>1146</v>
      </c>
      <c r="V19" s="23" t="s">
        <v>1130</v>
      </c>
      <c r="W19" s="332" t="s">
        <v>1169</v>
      </c>
    </row>
    <row r="20" spans="1:23" s="24" customFormat="1" ht="23.1" customHeight="1">
      <c r="A20" s="104" t="s">
        <v>26</v>
      </c>
      <c r="B20" s="36">
        <f>COUNTIF('(당초)대두리'!$D$6:$D$102,'(당초)집계표'!U20)</f>
        <v>0</v>
      </c>
      <c r="C20" s="37" t="s">
        <v>11</v>
      </c>
      <c r="D20" s="213">
        <f ca="1">SUMIF('(당초)대두리'!$D$6:$D$156,'(당초)집계표'!U20,'(당초)대두리'!$F$6:$F$100)</f>
        <v>0</v>
      </c>
      <c r="E20" s="36">
        <f>COUNTIF('(당초)대두리'!$M$6:$M$100,'(당초)집계표'!V20)</f>
        <v>0</v>
      </c>
      <c r="F20" s="37" t="s">
        <v>11</v>
      </c>
      <c r="G20" s="213">
        <f>SUMIF('(당초)대두리'!$M$6:$M$100,'(당초)집계표'!V20,'(당초)대두리'!$F$6:$F$100)</f>
        <v>0</v>
      </c>
      <c r="H20" s="36">
        <f>COUNTIF('(당초)대두리'!$M$6:$M$100,'(당초)집계표'!W20)</f>
        <v>0</v>
      </c>
      <c r="I20" s="37" t="s">
        <v>11</v>
      </c>
      <c r="J20" s="213">
        <f>SUMIF('(당초)대두리'!$M$6:$M$100,'(당초)집계표'!W20,'(당초)대두리'!$F$6:$F$100)</f>
        <v>0</v>
      </c>
      <c r="K20" s="36">
        <f t="shared" si="0"/>
        <v>0</v>
      </c>
      <c r="L20" s="37" t="s">
        <v>11</v>
      </c>
      <c r="M20" s="213">
        <f t="shared" ca="1" si="1"/>
        <v>0</v>
      </c>
      <c r="N20" s="39"/>
      <c r="O20" s="23"/>
      <c r="P20" s="23"/>
      <c r="Q20" s="23"/>
      <c r="R20" s="23"/>
      <c r="S20" s="23"/>
      <c r="T20" s="23"/>
      <c r="U20" s="24" t="s">
        <v>1147</v>
      </c>
      <c r="V20" s="23" t="s">
        <v>1131</v>
      </c>
      <c r="W20" s="332" t="s">
        <v>1170</v>
      </c>
    </row>
    <row r="21" spans="1:23" s="24" customFormat="1" ht="23.1" customHeight="1">
      <c r="A21" s="104" t="s">
        <v>27</v>
      </c>
      <c r="B21" s="36">
        <f>COUNTIF('(당초)대두리'!$D$6:$D$102,'(당초)집계표'!U21)</f>
        <v>0</v>
      </c>
      <c r="C21" s="37" t="s">
        <v>11</v>
      </c>
      <c r="D21" s="213">
        <f ca="1">SUMIF('(당초)대두리'!$D$6:$D$156,'(당초)집계표'!U21,'(당초)대두리'!$F$6:$F$100)</f>
        <v>0</v>
      </c>
      <c r="E21" s="36">
        <f>COUNTIF('(당초)대두리'!$M$6:$M$100,'(당초)집계표'!V21)</f>
        <v>0</v>
      </c>
      <c r="F21" s="37" t="s">
        <v>11</v>
      </c>
      <c r="G21" s="213">
        <f>SUMIF('(당초)대두리'!$M$6:$M$100,'(당초)집계표'!V21,'(당초)대두리'!$F$6:$F$100)</f>
        <v>0</v>
      </c>
      <c r="H21" s="36">
        <f>COUNTIF('(당초)대두리'!$M$6:$M$100,'(당초)집계표'!W21)</f>
        <v>0</v>
      </c>
      <c r="I21" s="37" t="s">
        <v>11</v>
      </c>
      <c r="J21" s="213">
        <f>SUMIF('(당초)대두리'!$M$6:$M$100,'(당초)집계표'!W21,'(당초)대두리'!$F$6:$F$100)</f>
        <v>0</v>
      </c>
      <c r="K21" s="36">
        <f t="shared" si="0"/>
        <v>0</v>
      </c>
      <c r="L21" s="37" t="s">
        <v>11</v>
      </c>
      <c r="M21" s="213">
        <f t="shared" ca="1" si="1"/>
        <v>0</v>
      </c>
      <c r="N21" s="39"/>
      <c r="O21" s="23"/>
      <c r="P21" s="23"/>
      <c r="Q21" s="23"/>
      <c r="R21" s="23"/>
      <c r="S21" s="23"/>
      <c r="T21" s="23"/>
      <c r="U21" s="24" t="s">
        <v>1148</v>
      </c>
      <c r="V21" s="23" t="s">
        <v>1132</v>
      </c>
      <c r="W21" s="332" t="s">
        <v>1171</v>
      </c>
    </row>
    <row r="22" spans="1:23" s="24" customFormat="1" ht="23.1" customHeight="1">
      <c r="A22" s="104" t="s">
        <v>28</v>
      </c>
      <c r="B22" s="36">
        <f>COUNTIF('(당초)대두리'!$D$6:$D$102,'(당초)집계표'!U22)</f>
        <v>0</v>
      </c>
      <c r="C22" s="37" t="s">
        <v>11</v>
      </c>
      <c r="D22" s="213">
        <f ca="1">SUMIF('(당초)대두리'!$D$6:$D$156,'(당초)집계표'!U22,'(당초)대두리'!$F$6:$F$100)</f>
        <v>0</v>
      </c>
      <c r="E22" s="36">
        <f>COUNTIF('(당초)대두리'!$M$6:$M$100,'(당초)집계표'!V22)</f>
        <v>0</v>
      </c>
      <c r="F22" s="37" t="s">
        <v>11</v>
      </c>
      <c r="G22" s="213">
        <f>SUMIF('(당초)대두리'!$M$6:$M$100,'(당초)집계표'!V22,'(당초)대두리'!$F$6:$F$100)</f>
        <v>0</v>
      </c>
      <c r="H22" s="36">
        <f>COUNTIF('(당초)대두리'!$M$6:$M$100,'(당초)집계표'!W22)</f>
        <v>0</v>
      </c>
      <c r="I22" s="37" t="s">
        <v>11</v>
      </c>
      <c r="J22" s="213">
        <f>SUMIF('(당초)대두리'!$M$6:$M$100,'(당초)집계표'!W22,'(당초)대두리'!$F$6:$F$100)</f>
        <v>0</v>
      </c>
      <c r="K22" s="36">
        <f t="shared" si="0"/>
        <v>0</v>
      </c>
      <c r="L22" s="37" t="s">
        <v>11</v>
      </c>
      <c r="M22" s="213">
        <f t="shared" ca="1" si="1"/>
        <v>0</v>
      </c>
      <c r="N22" s="39"/>
      <c r="O22" s="23"/>
      <c r="P22" s="23"/>
      <c r="Q22" s="23"/>
      <c r="R22" s="23"/>
      <c r="S22" s="23"/>
      <c r="T22" s="23"/>
      <c r="U22" s="24" t="s">
        <v>1149</v>
      </c>
      <c r="V22" s="23" t="s">
        <v>1133</v>
      </c>
      <c r="W22" s="332" t="s">
        <v>1172</v>
      </c>
    </row>
    <row r="23" spans="1:23" s="24" customFormat="1" ht="23.1" customHeight="1">
      <c r="A23" s="104" t="s">
        <v>29</v>
      </c>
      <c r="B23" s="36">
        <f>COUNTIF('(당초)대두리'!$D$6:$D$102,'(당초)집계표'!U23)</f>
        <v>0</v>
      </c>
      <c r="C23" s="37" t="s">
        <v>11</v>
      </c>
      <c r="D23" s="213">
        <f ca="1">SUMIF('(당초)대두리'!$D$6:$D$156,'(당초)집계표'!U23,'(당초)대두리'!$F$6:$F$100)</f>
        <v>0</v>
      </c>
      <c r="E23" s="36">
        <f>COUNTIF('(당초)대두리'!$M$6:$M$100,'(당초)집계표'!V23)</f>
        <v>0</v>
      </c>
      <c r="F23" s="37" t="s">
        <v>11</v>
      </c>
      <c r="G23" s="213">
        <f>SUMIF('(당초)대두리'!$M$6:$M$100,'(당초)집계표'!V23,'(당초)대두리'!$F$6:$F$100)</f>
        <v>0</v>
      </c>
      <c r="H23" s="36">
        <f>COUNTIF('(당초)대두리'!$M$6:$M$100,'(당초)집계표'!W23)</f>
        <v>0</v>
      </c>
      <c r="I23" s="37" t="s">
        <v>11</v>
      </c>
      <c r="J23" s="213">
        <f>SUMIF('(당초)대두리'!$M$6:$M$100,'(당초)집계표'!W23,'(당초)대두리'!$F$6:$F$100)</f>
        <v>0</v>
      </c>
      <c r="K23" s="36">
        <f t="shared" si="0"/>
        <v>0</v>
      </c>
      <c r="L23" s="37" t="s">
        <v>11</v>
      </c>
      <c r="M23" s="213">
        <f t="shared" ca="1" si="1"/>
        <v>0</v>
      </c>
      <c r="N23" s="39"/>
      <c r="O23" s="23"/>
      <c r="P23" s="23"/>
      <c r="Q23" s="23"/>
      <c r="R23" s="23"/>
      <c r="S23" s="23"/>
      <c r="T23" s="23"/>
      <c r="U23" s="24" t="s">
        <v>1150</v>
      </c>
      <c r="V23" s="23" t="s">
        <v>1134</v>
      </c>
      <c r="W23" s="332" t="s">
        <v>1173</v>
      </c>
    </row>
    <row r="24" spans="1:23" s="24" customFormat="1" ht="23.1" customHeight="1">
      <c r="A24" s="105" t="s">
        <v>30</v>
      </c>
      <c r="B24" s="36">
        <f>COUNTIF('(당초)대두리'!$D$6:$D$102,'(당초)집계표'!U24)</f>
        <v>0</v>
      </c>
      <c r="C24" s="37" t="s">
        <v>11</v>
      </c>
      <c r="D24" s="213">
        <f ca="1">SUMIF('(당초)대두리'!$D$6:$D$156,'(당초)집계표'!U24,'(당초)대두리'!$F$6:$F$100)</f>
        <v>0</v>
      </c>
      <c r="E24" s="36">
        <f>COUNTIF('(당초)대두리'!$M$6:$M$100,'(당초)집계표'!V24)</f>
        <v>0</v>
      </c>
      <c r="F24" s="37" t="s">
        <v>11</v>
      </c>
      <c r="G24" s="213">
        <f>SUMIF('(당초)대두리'!$M$6:$M$100,'(당초)집계표'!V24,'(당초)대두리'!$F$6:$F$100)</f>
        <v>0</v>
      </c>
      <c r="H24" s="36">
        <f>COUNTIF('(당초)대두리'!$M$6:$M$100,'(당초)집계표'!W24)</f>
        <v>0</v>
      </c>
      <c r="I24" s="37" t="s">
        <v>11</v>
      </c>
      <c r="J24" s="213">
        <f>SUMIF('(당초)대두리'!$M$6:$M$100,'(당초)집계표'!W24,'(당초)대두리'!$F$6:$F$100)</f>
        <v>0</v>
      </c>
      <c r="K24" s="36">
        <f t="shared" si="0"/>
        <v>0</v>
      </c>
      <c r="L24" s="37" t="s">
        <v>11</v>
      </c>
      <c r="M24" s="213">
        <f t="shared" ca="1" si="1"/>
        <v>0</v>
      </c>
      <c r="N24" s="39"/>
      <c r="O24" s="23"/>
      <c r="P24" s="23"/>
      <c r="Q24" s="23"/>
      <c r="R24" s="23"/>
      <c r="S24" s="23"/>
      <c r="T24" s="23"/>
      <c r="U24" s="24" t="s">
        <v>1151</v>
      </c>
      <c r="V24" s="23" t="s">
        <v>1135</v>
      </c>
      <c r="W24" s="332" t="s">
        <v>1174</v>
      </c>
    </row>
    <row r="25" spans="1:23" s="24" customFormat="1" ht="23.1" customHeight="1">
      <c r="A25" s="105" t="s">
        <v>31</v>
      </c>
      <c r="B25" s="36">
        <f>COUNTIF('(당초)대두리'!$D$6:$D$102,'(당초)집계표'!U25)</f>
        <v>0</v>
      </c>
      <c r="C25" s="37" t="s">
        <v>11</v>
      </c>
      <c r="D25" s="213">
        <f ca="1">SUMIF('(당초)대두리'!$D$6:$D$156,'(당초)집계표'!U25,'(당초)대두리'!$F$6:$F$100)</f>
        <v>0</v>
      </c>
      <c r="E25" s="36">
        <f>COUNTIF('(당초)대두리'!$M$6:$M$100,'(당초)집계표'!V25)</f>
        <v>0</v>
      </c>
      <c r="F25" s="37" t="s">
        <v>11</v>
      </c>
      <c r="G25" s="213">
        <f>SUMIF('(당초)대두리'!$M$6:$M$100,'(당초)집계표'!V25,'(당초)대두리'!$F$6:$F$100)</f>
        <v>0</v>
      </c>
      <c r="H25" s="36">
        <f>COUNTIF('(당초)대두리'!$M$6:$M$100,'(당초)집계표'!W25)</f>
        <v>0</v>
      </c>
      <c r="I25" s="37" t="s">
        <v>11</v>
      </c>
      <c r="J25" s="213">
        <f>SUMIF('(당초)대두리'!$M$6:$M$100,'(당초)집계표'!W25,'(당초)대두리'!$F$6:$F$100)</f>
        <v>0</v>
      </c>
      <c r="K25" s="36">
        <f t="shared" si="0"/>
        <v>0</v>
      </c>
      <c r="L25" s="37" t="s">
        <v>11</v>
      </c>
      <c r="M25" s="213">
        <f t="shared" ca="1" si="1"/>
        <v>0</v>
      </c>
      <c r="N25" s="39"/>
      <c r="O25" s="23"/>
      <c r="P25" s="23"/>
      <c r="Q25" s="23"/>
      <c r="R25" s="23"/>
      <c r="S25" s="23"/>
      <c r="T25" s="23"/>
      <c r="U25" s="24" t="s">
        <v>1152</v>
      </c>
      <c r="V25" s="23" t="s">
        <v>1136</v>
      </c>
      <c r="W25" s="332" t="s">
        <v>1175</v>
      </c>
    </row>
    <row r="26" spans="1:23" s="24" customFormat="1" ht="23.1" customHeight="1">
      <c r="A26" s="105" t="s">
        <v>32</v>
      </c>
      <c r="B26" s="36">
        <f>COUNTIF('(당초)대두리'!$D$6:$D$102,'(당초)집계표'!U26)</f>
        <v>0</v>
      </c>
      <c r="C26" s="37" t="s">
        <v>11</v>
      </c>
      <c r="D26" s="213">
        <f ca="1">SUMIF('(당초)대두리'!$D$6:$D$156,'(당초)집계표'!U26,'(당초)대두리'!$F$6:$F$100)</f>
        <v>0</v>
      </c>
      <c r="E26" s="36">
        <f>COUNTIF('(당초)대두리'!$M$6:$M$100,'(당초)집계표'!V26)</f>
        <v>0</v>
      </c>
      <c r="F26" s="37" t="s">
        <v>11</v>
      </c>
      <c r="G26" s="213">
        <f>SUMIF('(당초)대두리'!$M$6:$M$100,'(당초)집계표'!V26,'(당초)대두리'!$F$6:$F$100)</f>
        <v>0</v>
      </c>
      <c r="H26" s="36">
        <f>COUNTIF('(당초)대두리'!$M$6:$M$100,'(당초)집계표'!W26)</f>
        <v>0</v>
      </c>
      <c r="I26" s="37" t="s">
        <v>11</v>
      </c>
      <c r="J26" s="213">
        <f>SUMIF('(당초)대두리'!$M$6:$M$100,'(당초)집계표'!W26,'(당초)대두리'!$F$6:$F$100)</f>
        <v>0</v>
      </c>
      <c r="K26" s="36">
        <f t="shared" si="0"/>
        <v>0</v>
      </c>
      <c r="L26" s="37" t="s">
        <v>11</v>
      </c>
      <c r="M26" s="213">
        <f t="shared" ca="1" si="1"/>
        <v>0</v>
      </c>
      <c r="N26" s="39"/>
      <c r="O26" s="23"/>
      <c r="P26" s="23"/>
      <c r="Q26" s="23"/>
      <c r="R26" s="23"/>
      <c r="S26" s="23"/>
      <c r="T26" s="23"/>
      <c r="U26" s="24" t="s">
        <v>994</v>
      </c>
      <c r="V26" s="23" t="s">
        <v>1128</v>
      </c>
      <c r="W26" s="332" t="s">
        <v>1167</v>
      </c>
    </row>
    <row r="27" spans="1:23" s="24" customFormat="1" ht="23.1" customHeight="1">
      <c r="A27" s="105" t="s">
        <v>33</v>
      </c>
      <c r="B27" s="36">
        <f>COUNTIF('(당초)대두리'!$D$6:$D$102,'(당초)집계표'!U27)</f>
        <v>0</v>
      </c>
      <c r="C27" s="37" t="s">
        <v>11</v>
      </c>
      <c r="D27" s="213">
        <f ca="1">SUMIF('(당초)대두리'!$D$6:$D$156,'(당초)집계표'!U27,'(당초)대두리'!$F$6:$F$100)</f>
        <v>0</v>
      </c>
      <c r="E27" s="36">
        <f>COUNTIF('(당초)대두리'!$M$6:$M$100,'(당초)집계표'!V27)</f>
        <v>0</v>
      </c>
      <c r="F27" s="37" t="s">
        <v>11</v>
      </c>
      <c r="G27" s="213">
        <f>SUMIF('(당초)대두리'!$M$6:$M$100,'(당초)집계표'!V27,'(당초)대두리'!$F$6:$F$100)</f>
        <v>0</v>
      </c>
      <c r="H27" s="36">
        <f>COUNTIF('(당초)대두리'!$M$6:$M$100,'(당초)집계표'!W27)</f>
        <v>0</v>
      </c>
      <c r="I27" s="37" t="s">
        <v>11</v>
      </c>
      <c r="J27" s="213">
        <f>SUMIF('(당초)대두리'!$M$6:$M$100,'(당초)집계표'!W27,'(당초)대두리'!$F$6:$F$100)</f>
        <v>0</v>
      </c>
      <c r="K27" s="36">
        <f t="shared" si="0"/>
        <v>0</v>
      </c>
      <c r="L27" s="37" t="s">
        <v>11</v>
      </c>
      <c r="M27" s="213">
        <f t="shared" ca="1" si="1"/>
        <v>0</v>
      </c>
      <c r="N27" s="39"/>
      <c r="O27" s="23"/>
      <c r="P27" s="23"/>
      <c r="Q27" s="23"/>
      <c r="R27" s="23"/>
      <c r="S27" s="23"/>
      <c r="T27" s="23"/>
      <c r="U27" s="24" t="s">
        <v>1153</v>
      </c>
      <c r="V27" s="23" t="s">
        <v>1137</v>
      </c>
      <c r="W27" s="332" t="s">
        <v>1176</v>
      </c>
    </row>
    <row r="28" spans="1:23" s="24" customFormat="1" ht="23.1" customHeight="1">
      <c r="A28" s="105" t="s">
        <v>34</v>
      </c>
      <c r="B28" s="36">
        <f>COUNTIF('(당초)대두리'!$D$6:$D$102,'(당초)집계표'!U28)</f>
        <v>0</v>
      </c>
      <c r="C28" s="37" t="s">
        <v>11</v>
      </c>
      <c r="D28" s="213">
        <f ca="1">SUMIF('(당초)대두리'!$D$6:$D$156,'(당초)집계표'!U28,'(당초)대두리'!$F$6:$F$100)</f>
        <v>0</v>
      </c>
      <c r="E28" s="36">
        <f>COUNTIF('(당초)대두리'!$M$6:$M$100,'(당초)집계표'!V28)</f>
        <v>0</v>
      </c>
      <c r="F28" s="37" t="s">
        <v>11</v>
      </c>
      <c r="G28" s="213">
        <f>SUMIF('(당초)대두리'!$M$6:$M$100,'(당초)집계표'!V28,'(당초)대두리'!$F$6:$F$100)</f>
        <v>0</v>
      </c>
      <c r="H28" s="36">
        <f>COUNTIF('(당초)대두리'!$M$6:$M$100,'(당초)집계표'!W28)</f>
        <v>0</v>
      </c>
      <c r="I28" s="37" t="s">
        <v>11</v>
      </c>
      <c r="J28" s="213">
        <f>SUMIF('(당초)대두리'!$M$6:$M$100,'(당초)집계표'!W28,'(당초)대두리'!$F$6:$F$100)</f>
        <v>0</v>
      </c>
      <c r="K28" s="36">
        <f t="shared" si="0"/>
        <v>0</v>
      </c>
      <c r="L28" s="37" t="s">
        <v>11</v>
      </c>
      <c r="M28" s="213">
        <f t="shared" ca="1" si="1"/>
        <v>0</v>
      </c>
      <c r="N28" s="39"/>
      <c r="O28" s="23"/>
      <c r="P28" s="23"/>
      <c r="Q28" s="23"/>
      <c r="R28" s="23"/>
      <c r="S28" s="23"/>
      <c r="T28" s="23"/>
      <c r="U28" s="24" t="s">
        <v>1154</v>
      </c>
      <c r="V28" s="23" t="s">
        <v>1138</v>
      </c>
      <c r="W28" s="332" t="s">
        <v>1177</v>
      </c>
    </row>
    <row r="29" spans="1:23" s="24" customFormat="1" ht="23.1" customHeight="1">
      <c r="A29" s="105" t="s">
        <v>66</v>
      </c>
      <c r="B29" s="36">
        <f>COUNTIF('(당초)대두리'!$D$6:$D$102,'(당초)집계표'!U29)</f>
        <v>0</v>
      </c>
      <c r="C29" s="37" t="s">
        <v>11</v>
      </c>
      <c r="D29" s="213">
        <f ca="1">SUMIF('(당초)대두리'!$D$6:$D$156,'(당초)집계표'!U29,'(당초)대두리'!$F$6:$F$100)</f>
        <v>0</v>
      </c>
      <c r="E29" s="36">
        <f>COUNTIF('(당초)대두리'!$M$6:$M$100,'(당초)집계표'!V29)</f>
        <v>0</v>
      </c>
      <c r="F29" s="37" t="s">
        <v>11</v>
      </c>
      <c r="G29" s="213">
        <f>SUMIF('(당초)대두리'!$M$6:$M$100,'(당초)집계표'!V29,'(당초)대두리'!$F$6:$F$100)</f>
        <v>0</v>
      </c>
      <c r="H29" s="36">
        <f>COUNTIF('(당초)대두리'!$M$6:$M$100,'(당초)집계표'!W29)</f>
        <v>0</v>
      </c>
      <c r="I29" s="37" t="s">
        <v>11</v>
      </c>
      <c r="J29" s="213">
        <f>SUMIF('(당초)대두리'!$M$6:$M$100,'(당초)집계표'!W29,'(당초)대두리'!$F$6:$F$100)</f>
        <v>0</v>
      </c>
      <c r="K29" s="36">
        <f t="shared" si="0"/>
        <v>0</v>
      </c>
      <c r="L29" s="37" t="s">
        <v>11</v>
      </c>
      <c r="M29" s="213">
        <f t="shared" ca="1" si="1"/>
        <v>0</v>
      </c>
      <c r="N29" s="39"/>
      <c r="O29" s="23"/>
      <c r="P29" s="23"/>
      <c r="Q29" s="23"/>
      <c r="R29" s="23"/>
      <c r="S29" s="23"/>
      <c r="T29" s="23"/>
      <c r="U29" s="24" t="s">
        <v>1155</v>
      </c>
      <c r="V29" s="23" t="s">
        <v>1139</v>
      </c>
      <c r="W29" s="332" t="s">
        <v>1178</v>
      </c>
    </row>
    <row r="30" spans="1:23" s="24" customFormat="1" ht="23.1" customHeight="1">
      <c r="A30" s="105" t="s">
        <v>75</v>
      </c>
      <c r="B30" s="36">
        <f>COUNTIF('(당초)대두리'!$D$6:$D$102,'(당초)집계표'!U30)</f>
        <v>0</v>
      </c>
      <c r="C30" s="37" t="s">
        <v>11</v>
      </c>
      <c r="D30" s="213">
        <f ca="1">SUMIF('(당초)대두리'!$D$6:$D$156,'(당초)집계표'!U30,'(당초)대두리'!$F$6:$F$100)</f>
        <v>0</v>
      </c>
      <c r="E30" s="36">
        <f>COUNTIF('(당초)대두리'!$M$6:$M$100,'(당초)집계표'!V30)</f>
        <v>0</v>
      </c>
      <c r="F30" s="37" t="s">
        <v>11</v>
      </c>
      <c r="G30" s="213">
        <f>SUMIF('(당초)대두리'!$M$6:$M$100,'(당초)집계표'!V30,'(당초)대두리'!$F$6:$F$100)</f>
        <v>0</v>
      </c>
      <c r="H30" s="36">
        <f>COUNTIF('(당초)대두리'!$M$6:$M$100,'(당초)집계표'!W30)</f>
        <v>0</v>
      </c>
      <c r="I30" s="37" t="s">
        <v>11</v>
      </c>
      <c r="J30" s="213">
        <f>SUMIF('(당초)대두리'!$M$6:$M$100,'(당초)집계표'!W30,'(당초)대두리'!$F$6:$F$100)</f>
        <v>0</v>
      </c>
      <c r="K30" s="36">
        <f t="shared" si="0"/>
        <v>0</v>
      </c>
      <c r="L30" s="37" t="s">
        <v>11</v>
      </c>
      <c r="M30" s="213">
        <f t="shared" ca="1" si="1"/>
        <v>0</v>
      </c>
      <c r="N30" s="39"/>
      <c r="O30" s="23"/>
      <c r="P30" s="23"/>
      <c r="Q30" s="23"/>
      <c r="R30" s="23"/>
      <c r="S30" s="23"/>
      <c r="T30" s="23"/>
      <c r="U30" s="24" t="s">
        <v>1187</v>
      </c>
      <c r="V30" s="23" t="s">
        <v>1188</v>
      </c>
      <c r="W30" s="332" t="s">
        <v>1189</v>
      </c>
    </row>
    <row r="31" spans="1:23" s="24" customFormat="1" ht="23.1" customHeight="1">
      <c r="A31" s="106" t="s">
        <v>68</v>
      </c>
      <c r="B31" s="36">
        <f>COUNTIF('(당초)대두리'!$D$6:$D$102,'(당초)집계표'!U31)</f>
        <v>0</v>
      </c>
      <c r="C31" s="41" t="s">
        <v>11</v>
      </c>
      <c r="D31" s="213">
        <f ca="1">SUMIF('(당초)대두리'!$D$6:$D$156,'(당초)집계표'!U31,'(당초)대두리'!$F$6:$F$100)</f>
        <v>0</v>
      </c>
      <c r="E31" s="36">
        <f>COUNTIF('(당초)대두리'!$M$6:$M$100,'(당초)집계표'!V31)</f>
        <v>0</v>
      </c>
      <c r="F31" s="41" t="s">
        <v>11</v>
      </c>
      <c r="G31" s="213">
        <f>SUMIF('(당초)대두리'!$M$6:$M$100,'(당초)집계표'!V31,'(당초)대두리'!$F$6:$F$100)</f>
        <v>0</v>
      </c>
      <c r="H31" s="36">
        <f>COUNTIF('(당초)대두리'!$M$6:$M$100,'(당초)집계표'!W31)</f>
        <v>0</v>
      </c>
      <c r="I31" s="41" t="s">
        <v>11</v>
      </c>
      <c r="J31" s="213">
        <f>SUMIF('(당초)대두리'!$M$6:$M$100,'(당초)집계표'!W31,'(당초)대두리'!$F$6:$F$100)</f>
        <v>0</v>
      </c>
      <c r="K31" s="40">
        <f t="shared" si="0"/>
        <v>0</v>
      </c>
      <c r="L31" s="41" t="s">
        <v>11</v>
      </c>
      <c r="M31" s="214">
        <f t="shared" ca="1" si="1"/>
        <v>0</v>
      </c>
      <c r="N31" s="43"/>
      <c r="O31" s="23"/>
      <c r="P31" s="23"/>
      <c r="Q31" s="23"/>
      <c r="R31" s="23"/>
      <c r="S31" s="23"/>
      <c r="T31" s="23"/>
      <c r="U31" s="24" t="s">
        <v>1182</v>
      </c>
      <c r="V31" s="23" t="s">
        <v>1184</v>
      </c>
      <c r="W31" s="332" t="s">
        <v>1185</v>
      </c>
    </row>
    <row r="32" spans="1:23" s="17" customFormat="1" ht="20.100000000000001" customHeight="1">
      <c r="A32" s="11">
        <f>IF(EXACT(O36,O37),,"검산확인요!!!")</f>
        <v>0</v>
      </c>
      <c r="B32" s="12"/>
      <c r="C32" s="12"/>
      <c r="D32" s="12"/>
      <c r="E32" s="12"/>
      <c r="F32" s="12"/>
      <c r="G32" s="12"/>
      <c r="H32" s="12"/>
      <c r="I32" s="12"/>
      <c r="J32" s="12"/>
      <c r="K32" s="13" t="e">
        <f>IF(ISBLANK(#REF!),,#REF!)</f>
        <v>#REF!</v>
      </c>
      <c r="L32" s="187"/>
      <c r="M32" s="16"/>
      <c r="N32" s="16"/>
    </row>
    <row r="33" spans="1:23" s="17" customFormat="1" ht="9.9499999999999993" customHeight="1">
      <c r="A33" s="229"/>
      <c r="B33" s="230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230"/>
    </row>
    <row r="34" spans="1:23" s="24" customFormat="1" ht="27.95" customHeight="1">
      <c r="A34" s="199" t="s">
        <v>9</v>
      </c>
      <c r="B34" s="361" t="s">
        <v>8</v>
      </c>
      <c r="C34" s="362"/>
      <c r="D34" s="362"/>
      <c r="E34" s="215" t="s">
        <v>35</v>
      </c>
      <c r="F34" s="216"/>
      <c r="G34" s="217"/>
      <c r="H34" s="215" t="s">
        <v>63</v>
      </c>
      <c r="I34" s="216"/>
      <c r="J34" s="217"/>
      <c r="K34" s="215" t="s">
        <v>36</v>
      </c>
      <c r="L34" s="216"/>
      <c r="M34" s="217"/>
      <c r="N34" s="22" t="s">
        <v>37</v>
      </c>
      <c r="O34" s="23"/>
      <c r="S34" s="23"/>
      <c r="T34" s="23"/>
      <c r="U34" s="23"/>
      <c r="V34" s="23"/>
    </row>
    <row r="35" spans="1:23" s="24" customFormat="1" ht="27.95" customHeight="1">
      <c r="A35" s="25"/>
      <c r="B35" s="26" t="s">
        <v>10</v>
      </c>
      <c r="C35" s="27" t="s">
        <v>11</v>
      </c>
      <c r="D35" s="28" t="s">
        <v>38</v>
      </c>
      <c r="E35" s="185" t="s">
        <v>10</v>
      </c>
      <c r="F35" s="186" t="s">
        <v>11</v>
      </c>
      <c r="G35" s="184" t="s">
        <v>38</v>
      </c>
      <c r="H35" s="185" t="s">
        <v>10</v>
      </c>
      <c r="I35" s="186" t="s">
        <v>11</v>
      </c>
      <c r="J35" s="184" t="s">
        <v>38</v>
      </c>
      <c r="K35" s="185" t="s">
        <v>10</v>
      </c>
      <c r="L35" s="186" t="s">
        <v>11</v>
      </c>
      <c r="M35" s="184" t="s">
        <v>38</v>
      </c>
      <c r="N35" s="29"/>
      <c r="P35" s="23"/>
      <c r="Q35" s="30" t="s">
        <v>39</v>
      </c>
      <c r="R35" s="30" t="s">
        <v>40</v>
      </c>
      <c r="S35" s="30" t="s">
        <v>41</v>
      </c>
      <c r="T35" s="30" t="s">
        <v>42</v>
      </c>
      <c r="U35" s="23"/>
      <c r="V35" s="23"/>
    </row>
    <row r="36" spans="1:23" s="24" customFormat="1" ht="23.1" customHeight="1">
      <c r="A36" s="103" t="s">
        <v>8</v>
      </c>
      <c r="B36" s="31">
        <f>SUM(B37:B61)</f>
        <v>150</v>
      </c>
      <c r="C36" s="32" t="s">
        <v>11</v>
      </c>
      <c r="D36" s="212">
        <f>SUM(D37:D61)</f>
        <v>57542.399999999994</v>
      </c>
      <c r="E36" s="31">
        <f>SUM(E37:E61)</f>
        <v>34</v>
      </c>
      <c r="F36" s="32" t="s">
        <v>11</v>
      </c>
      <c r="G36" s="212">
        <f>SUM(G37:G61)</f>
        <v>9205.5</v>
      </c>
      <c r="H36" s="31">
        <f>SUM(H37:H61)</f>
        <v>101</v>
      </c>
      <c r="I36" s="32" t="s">
        <v>11</v>
      </c>
      <c r="J36" s="212">
        <f>SUM(J37:J61)</f>
        <v>43698</v>
      </c>
      <c r="K36" s="31">
        <f>SUM(K37:K61)</f>
        <v>15</v>
      </c>
      <c r="L36" s="32" t="s">
        <v>11</v>
      </c>
      <c r="M36" s="212">
        <f>SUM(M37:M61)</f>
        <v>4638.8999999999987</v>
      </c>
      <c r="N36" s="34"/>
      <c r="O36" s="23" t="str">
        <f>IF(EXACT(Q36,T36),"맞음","틀림")</f>
        <v>틀림</v>
      </c>
      <c r="P36" s="23" t="s">
        <v>10</v>
      </c>
      <c r="Q36" s="35">
        <f>SUM(B37:B61)</f>
        <v>150</v>
      </c>
      <c r="R36" s="35">
        <f>SUM(E37:E61)</f>
        <v>34</v>
      </c>
      <c r="S36" s="35">
        <f>SUM(K37:K61)</f>
        <v>15</v>
      </c>
      <c r="T36" s="35">
        <f>K36+E36</f>
        <v>49</v>
      </c>
      <c r="U36" s="23"/>
      <c r="V36" s="23"/>
    </row>
    <row r="37" spans="1:23" s="24" customFormat="1" ht="23.1" customHeight="1">
      <c r="A37" s="104" t="s">
        <v>13</v>
      </c>
      <c r="B37" s="36">
        <f>COUNTIF('(당초)봉락리'!$D$6:$D$155,'(당초)집계표'!U37)</f>
        <v>30</v>
      </c>
      <c r="C37" s="37" t="s">
        <v>11</v>
      </c>
      <c r="D37" s="213">
        <f>SUMIF('(당초)봉락리'!$D$6:$D$155,'(당초)집계표'!U37,'(당초)봉락리'!$F$6:$F$155)</f>
        <v>10337</v>
      </c>
      <c r="E37" s="36">
        <f>COUNTIF('(당초)봉락리'!$J$6:$J$155,'(당초)집계표'!V37)</f>
        <v>0</v>
      </c>
      <c r="F37" s="37" t="s">
        <v>11</v>
      </c>
      <c r="G37" s="213">
        <f>SUMIF('(당초)봉락리'!$J$6:$J$155,'(당초)집계표'!V37,'(당초)봉락리'!$F$6:$F$155)</f>
        <v>0</v>
      </c>
      <c r="H37" s="36">
        <f>COUNTIF('(당초)봉락리'!$J$6:$J$155,'(당초)집계표'!W37)</f>
        <v>27</v>
      </c>
      <c r="I37" s="37" t="s">
        <v>11</v>
      </c>
      <c r="J37" s="213">
        <f>SUMIF('(당초)봉락리'!$J$6:$J$155,'(당초)집계표'!W37,'(당초)봉락리'!$F$6:$F$155)</f>
        <v>10150</v>
      </c>
      <c r="K37" s="36">
        <f t="shared" ref="K37:K61" si="2">SUM(B37-E37-H37)</f>
        <v>3</v>
      </c>
      <c r="L37" s="37" t="s">
        <v>11</v>
      </c>
      <c r="M37" s="213">
        <f t="shared" ref="M37:M61" si="3">SUM(D37-G37-J37)</f>
        <v>187</v>
      </c>
      <c r="N37" s="39"/>
      <c r="O37" s="23" t="str">
        <f>IF(EXACT(Q37,T37),"맞음","틀림")</f>
        <v>틀림</v>
      </c>
      <c r="P37" s="23" t="s">
        <v>43</v>
      </c>
      <c r="Q37" s="35">
        <f>SUM(D37:D61)</f>
        <v>57542.399999999994</v>
      </c>
      <c r="R37" s="35">
        <f>SUM(G37:G61)</f>
        <v>9205.5</v>
      </c>
      <c r="S37" s="35">
        <f>SUM(M37:M61)</f>
        <v>4638.8999999999987</v>
      </c>
      <c r="T37" s="35">
        <f>G36+M36</f>
        <v>13844.399999999998</v>
      </c>
      <c r="U37" s="24" t="s">
        <v>13</v>
      </c>
      <c r="V37" s="23" t="s">
        <v>1118</v>
      </c>
      <c r="W37" s="332" t="s">
        <v>1157</v>
      </c>
    </row>
    <row r="38" spans="1:23" s="24" customFormat="1" ht="23.1" customHeight="1">
      <c r="A38" s="104" t="s">
        <v>14</v>
      </c>
      <c r="B38" s="36">
        <f>COUNTIF('(당초)봉락리'!$D$6:$D$155,'(당초)집계표'!U38)</f>
        <v>17</v>
      </c>
      <c r="C38" s="37" t="s">
        <v>11</v>
      </c>
      <c r="D38" s="213">
        <f>SUMIF('(당초)봉락리'!$D$6:$D$155,'(당초)집계표'!U38,'(당초)봉락리'!$F$6:$F$155)</f>
        <v>16153.899999999998</v>
      </c>
      <c r="E38" s="36">
        <f>COUNTIF('(당초)봉락리'!$J$6:$J$155,'(당초)집계표'!V38)</f>
        <v>0</v>
      </c>
      <c r="F38" s="37" t="s">
        <v>11</v>
      </c>
      <c r="G38" s="213">
        <f>SUMIF('(당초)봉락리'!$J$6:$J$155,'(당초)집계표'!V38,'(당초)봉락리'!$F$6:$F$155)</f>
        <v>0</v>
      </c>
      <c r="H38" s="36">
        <f>COUNTIF('(당초)봉락리'!$J$6:$J$155,'(당초)집계표'!W38)</f>
        <v>16</v>
      </c>
      <c r="I38" s="37" t="s">
        <v>11</v>
      </c>
      <c r="J38" s="213">
        <f>SUMIF('(당초)봉락리'!$J$6:$J$155,'(당초)집계표'!W38,'(당초)봉락리'!$F$6:$F$155)</f>
        <v>14044</v>
      </c>
      <c r="K38" s="36">
        <f t="shared" si="2"/>
        <v>1</v>
      </c>
      <c r="L38" s="37" t="s">
        <v>11</v>
      </c>
      <c r="M38" s="213">
        <f t="shared" si="3"/>
        <v>2109.8999999999978</v>
      </c>
      <c r="N38" s="39"/>
      <c r="Q38" s="23"/>
      <c r="S38" s="23"/>
      <c r="U38" s="24" t="s">
        <v>14</v>
      </c>
      <c r="V38" s="23" t="s">
        <v>1119</v>
      </c>
      <c r="W38" s="332" t="s">
        <v>1158</v>
      </c>
    </row>
    <row r="39" spans="1:23" s="24" customFormat="1" ht="23.1" customHeight="1">
      <c r="A39" s="104" t="s">
        <v>15</v>
      </c>
      <c r="B39" s="36">
        <f>COUNTIF('(당초)봉락리'!$D$6:$D$155,'(당초)집계표'!U39)</f>
        <v>17</v>
      </c>
      <c r="C39" s="37" t="s">
        <v>11</v>
      </c>
      <c r="D39" s="213">
        <f>SUMIF('(당초)봉락리'!$D$6:$D$155,'(당초)집계표'!U39,'(당초)봉락리'!$F$6:$F$155)</f>
        <v>13367</v>
      </c>
      <c r="E39" s="36">
        <f>COUNTIF('(당초)봉락리'!$J$6:$J$155,'(당초)집계표'!V39)</f>
        <v>0</v>
      </c>
      <c r="F39" s="37" t="s">
        <v>11</v>
      </c>
      <c r="G39" s="213">
        <f>SUMIF('(당초)봉락리'!$J$6:$J$155,'(당초)집계표'!V39,'(당초)봉락리'!$F$6:$F$155)</f>
        <v>0</v>
      </c>
      <c r="H39" s="36">
        <f>COUNTIF('(당초)봉락리'!$J$6:$J$155,'(당초)집계표'!W39)</f>
        <v>16</v>
      </c>
      <c r="I39" s="37" t="s">
        <v>11</v>
      </c>
      <c r="J39" s="213">
        <f>SUMIF('(당초)봉락리'!$J$6:$J$155,'(당초)집계표'!W39,'(당초)봉락리'!$F$6:$F$155)</f>
        <v>12383</v>
      </c>
      <c r="K39" s="36">
        <f t="shared" si="2"/>
        <v>1</v>
      </c>
      <c r="L39" s="37" t="s">
        <v>11</v>
      </c>
      <c r="M39" s="213">
        <f t="shared" si="3"/>
        <v>984</v>
      </c>
      <c r="N39" s="39"/>
      <c r="Q39" s="23"/>
      <c r="S39" s="23"/>
      <c r="U39" s="24" t="s">
        <v>146</v>
      </c>
      <c r="V39" s="23" t="s">
        <v>1120</v>
      </c>
      <c r="W39" s="332" t="s">
        <v>1159</v>
      </c>
    </row>
    <row r="40" spans="1:23" s="24" customFormat="1" ht="23.1" customHeight="1">
      <c r="A40" s="104" t="s">
        <v>16</v>
      </c>
      <c r="B40" s="36">
        <f>COUNTIF('(당초)봉락리'!$D$6:$D$155,'(당초)집계표'!U40)</f>
        <v>8</v>
      </c>
      <c r="C40" s="37" t="s">
        <v>11</v>
      </c>
      <c r="D40" s="213">
        <f>SUMIF('(당초)봉락리'!$D$6:$D$155,'(당초)집계표'!U40,'(당초)봉락리'!$F$6:$F$155)</f>
        <v>664</v>
      </c>
      <c r="E40" s="36">
        <f>COUNTIF('(당초)봉락리'!$J$6:$J$155,'(당초)집계표'!V40)</f>
        <v>1</v>
      </c>
      <c r="F40" s="37" t="s">
        <v>11</v>
      </c>
      <c r="G40" s="213">
        <f>SUMIF('(당초)봉락리'!$J$6:$J$155,'(당초)집계표'!V40,'(당초)봉락리'!$F$6:$F$155)</f>
        <v>95</v>
      </c>
      <c r="H40" s="36">
        <f>COUNTIF('(당초)봉락리'!$J$6:$J$155,'(당초)집계표'!W40)</f>
        <v>7</v>
      </c>
      <c r="I40" s="37" t="s">
        <v>11</v>
      </c>
      <c r="J40" s="213">
        <f>SUMIF('(당초)봉락리'!$J$6:$J$155,'(당초)집계표'!W40,'(당초)봉락리'!$F$6:$F$155)</f>
        <v>569</v>
      </c>
      <c r="K40" s="36">
        <f t="shared" si="2"/>
        <v>0</v>
      </c>
      <c r="L40" s="37" t="s">
        <v>11</v>
      </c>
      <c r="M40" s="213">
        <f t="shared" si="3"/>
        <v>0</v>
      </c>
      <c r="N40" s="39"/>
      <c r="O40" s="23"/>
      <c r="P40" s="23"/>
      <c r="Q40" s="23"/>
      <c r="R40" s="23"/>
      <c r="S40" s="23"/>
      <c r="T40" s="23"/>
      <c r="U40" s="24" t="s">
        <v>1002</v>
      </c>
      <c r="V40" s="23" t="s">
        <v>1121</v>
      </c>
      <c r="W40" s="332" t="s">
        <v>1160</v>
      </c>
    </row>
    <row r="41" spans="1:23" s="24" customFormat="1" ht="23.1" customHeight="1">
      <c r="A41" s="104" t="s">
        <v>17</v>
      </c>
      <c r="B41" s="36">
        <f>COUNTIF('(당초)봉락리'!$D$6:$D$155,'(당초)집계표'!U41)</f>
        <v>58</v>
      </c>
      <c r="C41" s="37" t="s">
        <v>11</v>
      </c>
      <c r="D41" s="213">
        <f>SUMIF('(당초)봉락리'!$D$6:$D$155,'(당초)집계표'!U41,'(당초)봉락리'!$F$6:$F$155)</f>
        <v>12290.7</v>
      </c>
      <c r="E41" s="36">
        <f>COUNTIF('(당초)봉락리'!$J$6:$J$155,'(당초)집계표'!V41)</f>
        <v>17</v>
      </c>
      <c r="F41" s="37" t="s">
        <v>11</v>
      </c>
      <c r="G41" s="213">
        <f>SUMIF('(당초)봉락리'!$J$6:$J$155,'(당초)집계표'!V41,'(당초)봉락리'!$F$6:$F$155)</f>
        <v>5299.7</v>
      </c>
      <c r="H41" s="36">
        <f>COUNTIF('(당초)봉락리'!$J$6:$J$155,'(당초)집계표'!W41)</f>
        <v>31</v>
      </c>
      <c r="I41" s="37" t="s">
        <v>11</v>
      </c>
      <c r="J41" s="213">
        <f>SUMIF('(당초)봉락리'!$J$6:$J$155,'(당초)집계표'!W41,'(당초)봉락리'!$F$6:$F$155)</f>
        <v>5633</v>
      </c>
      <c r="K41" s="36">
        <f t="shared" si="2"/>
        <v>10</v>
      </c>
      <c r="L41" s="37" t="s">
        <v>11</v>
      </c>
      <c r="M41" s="213">
        <f t="shared" si="3"/>
        <v>1358.0000000000009</v>
      </c>
      <c r="N41" s="39"/>
      <c r="O41" s="23"/>
      <c r="P41" s="23"/>
      <c r="Q41" s="23"/>
      <c r="R41" s="23"/>
      <c r="S41" s="23"/>
      <c r="T41" s="23"/>
      <c r="U41" s="24" t="s">
        <v>998</v>
      </c>
      <c r="V41" s="23" t="s">
        <v>1122</v>
      </c>
      <c r="W41" s="332" t="s">
        <v>1161</v>
      </c>
    </row>
    <row r="42" spans="1:23" s="24" customFormat="1" ht="23.1" customHeight="1">
      <c r="A42" s="104" t="s">
        <v>18</v>
      </c>
      <c r="B42" s="36">
        <f>COUNTIF('(당초)봉락리'!$D$6:$D$155,'(당초)집계표'!U42)</f>
        <v>13</v>
      </c>
      <c r="C42" s="37" t="s">
        <v>11</v>
      </c>
      <c r="D42" s="213">
        <f>SUMIF('(당초)봉락리'!$D$6:$D$155,'(당초)집계표'!U42,'(당초)봉락리'!$F$6:$F$155)</f>
        <v>2402.7999999999997</v>
      </c>
      <c r="E42" s="36">
        <f>COUNTIF('(당초)봉락리'!$J$6:$J$155,'(당초)집계표'!V42)</f>
        <v>13</v>
      </c>
      <c r="F42" s="37" t="s">
        <v>11</v>
      </c>
      <c r="G42" s="213">
        <f>SUMIF('(당초)봉락리'!$J$6:$J$155,'(당초)집계표'!V42,'(당초)봉락리'!$F$6:$F$155)</f>
        <v>2402.7999999999997</v>
      </c>
      <c r="H42" s="36">
        <f>COUNTIF('(당초)봉락리'!$J$6:$J$155,'(당초)집계표'!W42)</f>
        <v>0</v>
      </c>
      <c r="I42" s="37" t="s">
        <v>11</v>
      </c>
      <c r="J42" s="213">
        <f>SUMIF('(당초)봉락리'!$J$6:$J$155,'(당초)집계표'!W42,'(당초)봉락리'!$F$6:$F$155)</f>
        <v>0</v>
      </c>
      <c r="K42" s="36">
        <f t="shared" si="2"/>
        <v>0</v>
      </c>
      <c r="L42" s="37" t="s">
        <v>11</v>
      </c>
      <c r="M42" s="213">
        <f t="shared" si="3"/>
        <v>0</v>
      </c>
      <c r="N42" s="39"/>
      <c r="O42" s="23"/>
      <c r="P42" s="23"/>
      <c r="Q42" s="23"/>
      <c r="R42" s="23"/>
      <c r="S42" s="23"/>
      <c r="T42" s="23"/>
      <c r="U42" s="24" t="s">
        <v>1005</v>
      </c>
      <c r="V42" s="23" t="s">
        <v>1123</v>
      </c>
      <c r="W42" s="332" t="s">
        <v>1162</v>
      </c>
    </row>
    <row r="43" spans="1:23" s="24" customFormat="1" ht="23.1" customHeight="1">
      <c r="A43" s="104" t="s">
        <v>19</v>
      </c>
      <c r="B43" s="36">
        <f>COUNTIF('(당초)봉락리'!$D$6:$D$155,'(당초)집계표'!U43)</f>
        <v>0</v>
      </c>
      <c r="C43" s="37" t="s">
        <v>11</v>
      </c>
      <c r="D43" s="213">
        <f>SUMIF('(당초)봉락리'!$D$6:$D$155,'(당초)집계표'!U43,'(당초)봉락리'!$F$6:$F$155)</f>
        <v>0</v>
      </c>
      <c r="E43" s="36">
        <f>COUNTIF('(당초)봉락리'!$J$6:$J$155,'(당초)집계표'!V43)</f>
        <v>0</v>
      </c>
      <c r="F43" s="37" t="s">
        <v>11</v>
      </c>
      <c r="G43" s="213">
        <f>SUMIF('(당초)봉락리'!$J$6:$J$155,'(당초)집계표'!V43,'(당초)봉락리'!$F$6:$F$155)</f>
        <v>0</v>
      </c>
      <c r="H43" s="36">
        <f>COUNTIF('(당초)봉락리'!$J$6:$J$155,'(당초)집계표'!W43)</f>
        <v>0</v>
      </c>
      <c r="I43" s="37" t="s">
        <v>11</v>
      </c>
      <c r="J43" s="213">
        <f>SUMIF('(당초)봉락리'!$J$6:$J$155,'(당초)집계표'!W43,'(당초)봉락리'!$F$6:$F$155)</f>
        <v>0</v>
      </c>
      <c r="K43" s="36">
        <f t="shared" si="2"/>
        <v>0</v>
      </c>
      <c r="L43" s="37" t="s">
        <v>11</v>
      </c>
      <c r="M43" s="213">
        <f t="shared" si="3"/>
        <v>0</v>
      </c>
      <c r="N43" s="39"/>
      <c r="O43" s="23"/>
      <c r="P43" s="23"/>
      <c r="Q43" s="23"/>
      <c r="R43" s="23"/>
      <c r="S43" s="23"/>
      <c r="T43" s="23"/>
      <c r="U43" s="24" t="s">
        <v>1142</v>
      </c>
      <c r="V43" s="23" t="s">
        <v>1124</v>
      </c>
      <c r="W43" s="332" t="s">
        <v>1163</v>
      </c>
    </row>
    <row r="44" spans="1:23" s="24" customFormat="1" ht="23.1" customHeight="1">
      <c r="A44" s="104" t="s">
        <v>20</v>
      </c>
      <c r="B44" s="36">
        <f>COUNTIF('(당초)봉락리'!$D$6:$D$155,'(당초)집계표'!U44)</f>
        <v>0</v>
      </c>
      <c r="C44" s="37" t="s">
        <v>11</v>
      </c>
      <c r="D44" s="213">
        <f>SUMIF('(당초)봉락리'!$D$6:$D$155,'(당초)집계표'!U44,'(당초)봉락리'!$F$6:$F$155)</f>
        <v>0</v>
      </c>
      <c r="E44" s="36">
        <f>COUNTIF('(당초)봉락리'!$J$6:$J$155,'(당초)집계표'!V44)</f>
        <v>0</v>
      </c>
      <c r="F44" s="37" t="s">
        <v>11</v>
      </c>
      <c r="G44" s="213">
        <f>SUMIF('(당초)봉락리'!$J$6:$J$155,'(당초)집계표'!V44,'(당초)봉락리'!$F$6:$F$155)</f>
        <v>0</v>
      </c>
      <c r="H44" s="36">
        <f>COUNTIF('(당초)봉락리'!$J$6:$J$155,'(당초)집계표'!W44)</f>
        <v>0</v>
      </c>
      <c r="I44" s="37" t="s">
        <v>11</v>
      </c>
      <c r="J44" s="213">
        <f>SUMIF('(당초)봉락리'!$J$6:$J$155,'(당초)집계표'!W44,'(당초)봉락리'!$F$6:$F$155)</f>
        <v>0</v>
      </c>
      <c r="K44" s="36">
        <f t="shared" si="2"/>
        <v>0</v>
      </c>
      <c r="L44" s="37" t="s">
        <v>11</v>
      </c>
      <c r="M44" s="213">
        <f t="shared" si="3"/>
        <v>0</v>
      </c>
      <c r="N44" s="39"/>
      <c r="O44" s="23"/>
      <c r="P44" s="23"/>
      <c r="Q44" s="23"/>
      <c r="R44" s="23"/>
      <c r="S44" s="23"/>
      <c r="T44" s="23"/>
      <c r="U44" s="24" t="s">
        <v>1027</v>
      </c>
      <c r="V44" s="23" t="s">
        <v>1125</v>
      </c>
      <c r="W44" s="332" t="s">
        <v>1164</v>
      </c>
    </row>
    <row r="45" spans="1:23" s="24" customFormat="1" ht="23.1" customHeight="1">
      <c r="A45" s="104" t="s">
        <v>21</v>
      </c>
      <c r="B45" s="36">
        <f>COUNTIF('(당초)봉락리'!$D$6:$D$155,'(당초)집계표'!U45)</f>
        <v>0</v>
      </c>
      <c r="C45" s="37" t="s">
        <v>11</v>
      </c>
      <c r="D45" s="213">
        <f>SUMIF('(당초)봉락리'!$D$6:$D$155,'(당초)집계표'!U45,'(당초)봉락리'!$F$6:$F$155)</f>
        <v>0</v>
      </c>
      <c r="E45" s="36">
        <f>COUNTIF('(당초)봉락리'!$J$6:$J$155,'(당초)집계표'!V45)</f>
        <v>0</v>
      </c>
      <c r="F45" s="37" t="s">
        <v>11</v>
      </c>
      <c r="G45" s="213">
        <f>SUMIF('(당초)봉락리'!$J$6:$J$155,'(당초)집계표'!V45,'(당초)봉락리'!$F$6:$F$155)</f>
        <v>0</v>
      </c>
      <c r="H45" s="36">
        <f>COUNTIF('(당초)봉락리'!$J$6:$J$155,'(당초)집계표'!W45)</f>
        <v>0</v>
      </c>
      <c r="I45" s="37" t="s">
        <v>11</v>
      </c>
      <c r="J45" s="213">
        <f>SUMIF('(당초)봉락리'!$J$6:$J$155,'(당초)집계표'!W45,'(당초)봉락리'!$F$6:$F$155)</f>
        <v>0</v>
      </c>
      <c r="K45" s="36">
        <f t="shared" si="2"/>
        <v>0</v>
      </c>
      <c r="L45" s="37" t="s">
        <v>11</v>
      </c>
      <c r="M45" s="213">
        <f t="shared" si="3"/>
        <v>0</v>
      </c>
      <c r="N45" s="39"/>
      <c r="O45" s="23"/>
      <c r="P45" s="23"/>
      <c r="Q45" s="23"/>
      <c r="R45" s="23"/>
      <c r="S45" s="23"/>
      <c r="T45" s="23"/>
      <c r="U45" s="24" t="s">
        <v>1143</v>
      </c>
      <c r="V45" s="23" t="s">
        <v>1126</v>
      </c>
      <c r="W45" s="332" t="s">
        <v>1165</v>
      </c>
    </row>
    <row r="46" spans="1:23" s="24" customFormat="1" ht="23.1" customHeight="1">
      <c r="A46" s="104" t="s">
        <v>22</v>
      </c>
      <c r="B46" s="36">
        <f>COUNTIF('(당초)봉락리'!$D$6:$D$155,'(당초)집계표'!U46)</f>
        <v>0</v>
      </c>
      <c r="C46" s="37" t="s">
        <v>11</v>
      </c>
      <c r="D46" s="213">
        <f>SUMIF('(당초)봉락리'!$D$6:$D$155,'(당초)집계표'!U46,'(당초)봉락리'!$F$6:$F$155)</f>
        <v>0</v>
      </c>
      <c r="E46" s="36">
        <f>COUNTIF('(당초)봉락리'!$J$6:$J$155,'(당초)집계표'!V46)</f>
        <v>0</v>
      </c>
      <c r="F46" s="37" t="s">
        <v>11</v>
      </c>
      <c r="G46" s="213">
        <f>SUMIF('(당초)봉락리'!$J$6:$J$155,'(당초)집계표'!V46,'(당초)봉락리'!$F$6:$F$155)</f>
        <v>0</v>
      </c>
      <c r="H46" s="36">
        <f>COUNTIF('(당초)봉락리'!$J$6:$J$155,'(당초)집계표'!W46)</f>
        <v>0</v>
      </c>
      <c r="I46" s="37" t="s">
        <v>11</v>
      </c>
      <c r="J46" s="213">
        <f>SUMIF('(당초)봉락리'!$J$6:$J$155,'(당초)집계표'!W46,'(당초)봉락리'!$F$6:$F$155)</f>
        <v>0</v>
      </c>
      <c r="K46" s="36">
        <f t="shared" si="2"/>
        <v>0</v>
      </c>
      <c r="L46" s="37" t="s">
        <v>11</v>
      </c>
      <c r="M46" s="213">
        <f t="shared" si="3"/>
        <v>0</v>
      </c>
      <c r="N46" s="39"/>
      <c r="O46" s="23"/>
      <c r="P46" s="23"/>
      <c r="Q46" s="23"/>
      <c r="R46" s="23"/>
      <c r="S46" s="23"/>
      <c r="T46" s="23"/>
      <c r="U46" s="24" t="s">
        <v>1144</v>
      </c>
      <c r="V46" s="23" t="s">
        <v>1127</v>
      </c>
      <c r="W46" s="332" t="s">
        <v>1166</v>
      </c>
    </row>
    <row r="47" spans="1:23" s="24" customFormat="1" ht="23.1" customHeight="1">
      <c r="A47" s="104" t="s">
        <v>23</v>
      </c>
      <c r="B47" s="36">
        <f>COUNTIF('(당초)봉락리'!$D$6:$D$155,'(당초)집계표'!U47)</f>
        <v>0</v>
      </c>
      <c r="C47" s="37" t="s">
        <v>11</v>
      </c>
      <c r="D47" s="213">
        <f>SUMIF('(당초)봉락리'!$D$6:$D$155,'(당초)집계표'!U47,'(당초)봉락리'!$F$6:$F$155)</f>
        <v>0</v>
      </c>
      <c r="E47" s="36">
        <f>COUNTIF('(당초)봉락리'!$J$6:$J$155,'(당초)집계표'!V47)</f>
        <v>0</v>
      </c>
      <c r="F47" s="37" t="s">
        <v>11</v>
      </c>
      <c r="G47" s="213">
        <f>SUMIF('(당초)봉락리'!$J$6:$J$155,'(당초)집계표'!V47,'(당초)봉락리'!$F$6:$F$155)</f>
        <v>0</v>
      </c>
      <c r="H47" s="36">
        <f>COUNTIF('(당초)봉락리'!$J$6:$J$155,'(당초)집계표'!W47)</f>
        <v>0</v>
      </c>
      <c r="I47" s="37" t="s">
        <v>11</v>
      </c>
      <c r="J47" s="213">
        <f>SUMIF('(당초)봉락리'!$J$6:$J$155,'(당초)집계표'!W47,'(당초)봉락리'!$F$6:$F$155)</f>
        <v>0</v>
      </c>
      <c r="K47" s="36">
        <f t="shared" si="2"/>
        <v>0</v>
      </c>
      <c r="L47" s="37" t="s">
        <v>11</v>
      </c>
      <c r="M47" s="213">
        <f t="shared" si="3"/>
        <v>0</v>
      </c>
      <c r="N47" s="39"/>
      <c r="O47" s="23"/>
      <c r="P47" s="23"/>
      <c r="Q47" s="23"/>
      <c r="R47" s="23"/>
      <c r="S47" s="23"/>
      <c r="T47" s="23"/>
      <c r="U47" s="24" t="s">
        <v>994</v>
      </c>
      <c r="V47" s="23" t="s">
        <v>1128</v>
      </c>
      <c r="W47" s="332" t="s">
        <v>1167</v>
      </c>
    </row>
    <row r="48" spans="1:23" s="24" customFormat="1" ht="23.1" customHeight="1">
      <c r="A48" s="104" t="s">
        <v>24</v>
      </c>
      <c r="B48" s="36">
        <f>COUNTIF('(당초)봉락리'!$D$6:$D$155,'(당초)집계표'!U48)</f>
        <v>0</v>
      </c>
      <c r="C48" s="37" t="s">
        <v>11</v>
      </c>
      <c r="D48" s="213">
        <f>SUMIF('(당초)봉락리'!$D$6:$D$155,'(당초)집계표'!U48,'(당초)봉락리'!$F$6:$F$155)</f>
        <v>0</v>
      </c>
      <c r="E48" s="36">
        <f>COUNTIF('(당초)봉락리'!$J$6:$J$155,'(당초)집계표'!V48)</f>
        <v>0</v>
      </c>
      <c r="F48" s="37" t="s">
        <v>11</v>
      </c>
      <c r="G48" s="213">
        <f>SUMIF('(당초)봉락리'!$J$6:$J$155,'(당초)집계표'!V48,'(당초)봉락리'!$F$6:$F$155)</f>
        <v>0</v>
      </c>
      <c r="H48" s="36">
        <f>COUNTIF('(당초)봉락리'!$J$6:$J$155,'(당초)집계표'!W48)</f>
        <v>0</v>
      </c>
      <c r="I48" s="37" t="s">
        <v>11</v>
      </c>
      <c r="J48" s="213">
        <f>SUMIF('(당초)봉락리'!$J$6:$J$155,'(당초)집계표'!W48,'(당초)봉락리'!$F$6:$F$155)</f>
        <v>0</v>
      </c>
      <c r="K48" s="36">
        <f t="shared" si="2"/>
        <v>0</v>
      </c>
      <c r="L48" s="37" t="s">
        <v>11</v>
      </c>
      <c r="M48" s="213">
        <f t="shared" si="3"/>
        <v>0</v>
      </c>
      <c r="N48" s="39"/>
      <c r="O48" s="23"/>
      <c r="P48" s="23"/>
      <c r="Q48" s="23"/>
      <c r="R48" s="23"/>
      <c r="S48" s="23"/>
      <c r="T48" s="23"/>
      <c r="U48" s="24" t="s">
        <v>1145</v>
      </c>
      <c r="V48" s="23" t="s">
        <v>1129</v>
      </c>
      <c r="W48" s="332" t="s">
        <v>1168</v>
      </c>
    </row>
    <row r="49" spans="1:23" s="24" customFormat="1" ht="23.1" customHeight="1">
      <c r="A49" s="104" t="s">
        <v>25</v>
      </c>
      <c r="B49" s="36">
        <f>COUNTIF('(당초)봉락리'!$D$6:$D$155,'(당초)집계표'!U49)</f>
        <v>0</v>
      </c>
      <c r="C49" s="37" t="s">
        <v>11</v>
      </c>
      <c r="D49" s="213">
        <f>SUMIF('(당초)봉락리'!$D$6:$D$155,'(당초)집계표'!U49,'(당초)봉락리'!$F$6:$F$155)</f>
        <v>0</v>
      </c>
      <c r="E49" s="36">
        <f>COUNTIF('(당초)봉락리'!$J$6:$J$155,'(당초)집계표'!V49)</f>
        <v>0</v>
      </c>
      <c r="F49" s="37" t="s">
        <v>11</v>
      </c>
      <c r="G49" s="213">
        <f>SUMIF('(당초)봉락리'!$J$6:$J$155,'(당초)집계표'!V49,'(당초)봉락리'!$F$6:$F$155)</f>
        <v>0</v>
      </c>
      <c r="H49" s="36">
        <f>COUNTIF('(당초)봉락리'!$J$6:$J$155,'(당초)집계표'!W49)</f>
        <v>0</v>
      </c>
      <c r="I49" s="37" t="s">
        <v>11</v>
      </c>
      <c r="J49" s="213">
        <f>SUMIF('(당초)봉락리'!$J$6:$J$155,'(당초)집계표'!W49,'(당초)봉락리'!$F$6:$F$155)</f>
        <v>0</v>
      </c>
      <c r="K49" s="36">
        <f t="shared" si="2"/>
        <v>0</v>
      </c>
      <c r="L49" s="37" t="s">
        <v>11</v>
      </c>
      <c r="M49" s="213">
        <f t="shared" si="3"/>
        <v>0</v>
      </c>
      <c r="N49" s="39"/>
      <c r="O49" s="23"/>
      <c r="P49" s="23"/>
      <c r="Q49" s="23"/>
      <c r="R49" s="23"/>
      <c r="S49" s="23"/>
      <c r="T49" s="23"/>
      <c r="U49" s="24" t="s">
        <v>1146</v>
      </c>
      <c r="V49" s="23" t="s">
        <v>1130</v>
      </c>
      <c r="W49" s="332" t="s">
        <v>1169</v>
      </c>
    </row>
    <row r="50" spans="1:23" s="24" customFormat="1" ht="23.1" customHeight="1">
      <c r="A50" s="104" t="s">
        <v>26</v>
      </c>
      <c r="B50" s="36">
        <f>COUNTIF('(당초)봉락리'!$D$6:$D$155,'(당초)집계표'!U50)</f>
        <v>0</v>
      </c>
      <c r="C50" s="37" t="s">
        <v>11</v>
      </c>
      <c r="D50" s="213">
        <f>SUMIF('(당초)봉락리'!$D$6:$D$155,'(당초)집계표'!U50,'(당초)봉락리'!$F$6:$F$155)</f>
        <v>0</v>
      </c>
      <c r="E50" s="36">
        <f>COUNTIF('(당초)봉락리'!$J$6:$J$155,'(당초)집계표'!V50)</f>
        <v>0</v>
      </c>
      <c r="F50" s="37" t="s">
        <v>11</v>
      </c>
      <c r="G50" s="213">
        <f>SUMIF('(당초)봉락리'!$J$6:$J$155,'(당초)집계표'!V50,'(당초)봉락리'!$F$6:$F$155)</f>
        <v>0</v>
      </c>
      <c r="H50" s="36">
        <f>COUNTIF('(당초)봉락리'!$J$6:$J$155,'(당초)집계표'!W50)</f>
        <v>0</v>
      </c>
      <c r="I50" s="37" t="s">
        <v>11</v>
      </c>
      <c r="J50" s="213">
        <f>SUMIF('(당초)봉락리'!$J$6:$J$155,'(당초)집계표'!W50,'(당초)봉락리'!$F$6:$F$155)</f>
        <v>0</v>
      </c>
      <c r="K50" s="36">
        <f t="shared" si="2"/>
        <v>0</v>
      </c>
      <c r="L50" s="37" t="s">
        <v>11</v>
      </c>
      <c r="M50" s="213">
        <f t="shared" si="3"/>
        <v>0</v>
      </c>
      <c r="N50" s="39"/>
      <c r="O50" s="23"/>
      <c r="P50" s="23"/>
      <c r="Q50" s="23"/>
      <c r="R50" s="23"/>
      <c r="S50" s="23"/>
      <c r="T50" s="23"/>
      <c r="U50" s="24" t="s">
        <v>1147</v>
      </c>
      <c r="V50" s="23" t="s">
        <v>1131</v>
      </c>
      <c r="W50" s="332" t="s">
        <v>1170</v>
      </c>
    </row>
    <row r="51" spans="1:23" s="24" customFormat="1" ht="23.1" customHeight="1">
      <c r="A51" s="104" t="s">
        <v>27</v>
      </c>
      <c r="B51" s="36">
        <f>COUNTIF('(당초)봉락리'!$D$6:$D$155,'(당초)집계표'!U51)</f>
        <v>0</v>
      </c>
      <c r="C51" s="37" t="s">
        <v>11</v>
      </c>
      <c r="D51" s="213">
        <f>SUMIF('(당초)봉락리'!$D$6:$D$155,'(당초)집계표'!U51,'(당초)봉락리'!$F$6:$F$155)</f>
        <v>0</v>
      </c>
      <c r="E51" s="36">
        <f>COUNTIF('(당초)봉락리'!$J$6:$J$155,'(당초)집계표'!V51)</f>
        <v>0</v>
      </c>
      <c r="F51" s="37" t="s">
        <v>11</v>
      </c>
      <c r="G51" s="213">
        <f>SUMIF('(당초)봉락리'!$J$6:$J$155,'(당초)집계표'!V51,'(당초)봉락리'!$F$6:$F$155)</f>
        <v>0</v>
      </c>
      <c r="H51" s="36">
        <f>COUNTIF('(당초)봉락리'!$J$6:$J$155,'(당초)집계표'!W51)</f>
        <v>0</v>
      </c>
      <c r="I51" s="37" t="s">
        <v>11</v>
      </c>
      <c r="J51" s="213">
        <f>SUMIF('(당초)봉락리'!$J$6:$J$155,'(당초)집계표'!W51,'(당초)봉락리'!$F$6:$F$155)</f>
        <v>0</v>
      </c>
      <c r="K51" s="36">
        <f t="shared" si="2"/>
        <v>0</v>
      </c>
      <c r="L51" s="37" t="s">
        <v>11</v>
      </c>
      <c r="M51" s="213">
        <f t="shared" si="3"/>
        <v>0</v>
      </c>
      <c r="N51" s="39"/>
      <c r="O51" s="23"/>
      <c r="P51" s="23"/>
      <c r="Q51" s="23"/>
      <c r="R51" s="23"/>
      <c r="S51" s="23"/>
      <c r="T51" s="23"/>
      <c r="U51" s="24" t="s">
        <v>1148</v>
      </c>
      <c r="V51" s="23" t="s">
        <v>1132</v>
      </c>
      <c r="W51" s="332" t="s">
        <v>1171</v>
      </c>
    </row>
    <row r="52" spans="1:23" s="24" customFormat="1" ht="23.1" customHeight="1">
      <c r="A52" s="104" t="s">
        <v>28</v>
      </c>
      <c r="B52" s="36">
        <f>COUNTIF('(당초)봉락리'!$D$6:$D$155,'(당초)집계표'!U52)</f>
        <v>0</v>
      </c>
      <c r="C52" s="37" t="s">
        <v>11</v>
      </c>
      <c r="D52" s="213">
        <f>SUMIF('(당초)봉락리'!$D$6:$D$155,'(당초)집계표'!U52,'(당초)봉락리'!$F$6:$F$155)</f>
        <v>0</v>
      </c>
      <c r="E52" s="36">
        <f>COUNTIF('(당초)봉락리'!$J$6:$J$155,'(당초)집계표'!V52)</f>
        <v>0</v>
      </c>
      <c r="F52" s="37" t="s">
        <v>11</v>
      </c>
      <c r="G52" s="213">
        <f>SUMIF('(당초)봉락리'!$J$6:$J$155,'(당초)집계표'!V52,'(당초)봉락리'!$F$6:$F$155)</f>
        <v>0</v>
      </c>
      <c r="H52" s="36">
        <f>COUNTIF('(당초)봉락리'!$J$6:$J$155,'(당초)집계표'!W52)</f>
        <v>0</v>
      </c>
      <c r="I52" s="37" t="s">
        <v>11</v>
      </c>
      <c r="J52" s="213">
        <f>SUMIF('(당초)봉락리'!$J$6:$J$155,'(당초)집계표'!W52,'(당초)봉락리'!$F$6:$F$155)</f>
        <v>0</v>
      </c>
      <c r="K52" s="36">
        <f t="shared" si="2"/>
        <v>0</v>
      </c>
      <c r="L52" s="37" t="s">
        <v>11</v>
      </c>
      <c r="M52" s="213">
        <f t="shared" si="3"/>
        <v>0</v>
      </c>
      <c r="N52" s="39"/>
      <c r="O52" s="23"/>
      <c r="P52" s="23"/>
      <c r="Q52" s="23"/>
      <c r="R52" s="23"/>
      <c r="S52" s="23"/>
      <c r="T52" s="23"/>
      <c r="U52" s="24" t="s">
        <v>1149</v>
      </c>
      <c r="V52" s="23" t="s">
        <v>1133</v>
      </c>
      <c r="W52" s="332" t="s">
        <v>1172</v>
      </c>
    </row>
    <row r="53" spans="1:23" s="24" customFormat="1" ht="23.1" customHeight="1">
      <c r="A53" s="104" t="s">
        <v>29</v>
      </c>
      <c r="B53" s="36">
        <f>COUNTIF('(당초)봉락리'!$D$6:$D$155,'(당초)집계표'!U53)</f>
        <v>3</v>
      </c>
      <c r="C53" s="37" t="s">
        <v>11</v>
      </c>
      <c r="D53" s="213">
        <f>SUMIF('(당초)봉락리'!$D$6:$D$155,'(당초)집계표'!U53,'(당초)봉락리'!$F$6:$F$155)</f>
        <v>483</v>
      </c>
      <c r="E53" s="36">
        <f>COUNTIF('(당초)봉락리'!$J$6:$J$155,'(당초)집계표'!V53)</f>
        <v>0</v>
      </c>
      <c r="F53" s="37" t="s">
        <v>11</v>
      </c>
      <c r="G53" s="213">
        <f>SUMIF('(당초)봉락리'!$J$6:$J$155,'(당초)집계표'!V53,'(당초)봉락리'!$F$6:$F$155)</f>
        <v>0</v>
      </c>
      <c r="H53" s="36">
        <f>COUNTIF('(당초)봉락리'!$J$6:$J$155,'(당초)집계표'!W53)</f>
        <v>3</v>
      </c>
      <c r="I53" s="37" t="s">
        <v>11</v>
      </c>
      <c r="J53" s="213">
        <f>SUMIF('(당초)봉락리'!$J$6:$J$155,'(당초)집계표'!W53,'(당초)봉락리'!$F$6:$F$155)</f>
        <v>483</v>
      </c>
      <c r="K53" s="36">
        <f t="shared" si="2"/>
        <v>0</v>
      </c>
      <c r="L53" s="37" t="s">
        <v>11</v>
      </c>
      <c r="M53" s="213">
        <f t="shared" si="3"/>
        <v>0</v>
      </c>
      <c r="N53" s="39"/>
      <c r="O53" s="23"/>
      <c r="P53" s="23"/>
      <c r="Q53" s="23"/>
      <c r="R53" s="23"/>
      <c r="S53" s="23"/>
      <c r="T53" s="23"/>
      <c r="U53" s="24" t="s">
        <v>1150</v>
      </c>
      <c r="V53" s="23" t="s">
        <v>1134</v>
      </c>
      <c r="W53" s="332" t="s">
        <v>1173</v>
      </c>
    </row>
    <row r="54" spans="1:23" s="24" customFormat="1" ht="23.1" customHeight="1">
      <c r="A54" s="105" t="s">
        <v>30</v>
      </c>
      <c r="B54" s="36">
        <f>COUNTIF('(당초)봉락리'!$D$6:$D$155,'(당초)집계표'!U54)</f>
        <v>0</v>
      </c>
      <c r="C54" s="37" t="s">
        <v>11</v>
      </c>
      <c r="D54" s="213">
        <f>SUMIF('(당초)봉락리'!$D$6:$D$155,'(당초)집계표'!U54,'(당초)봉락리'!$F$6:$F$155)</f>
        <v>0</v>
      </c>
      <c r="E54" s="36">
        <f>COUNTIF('(당초)봉락리'!$J$6:$J$155,'(당초)집계표'!V54)</f>
        <v>0</v>
      </c>
      <c r="F54" s="37" t="s">
        <v>11</v>
      </c>
      <c r="G54" s="213">
        <f>SUMIF('(당초)봉락리'!$J$6:$J$155,'(당초)집계표'!V54,'(당초)봉락리'!$F$6:$F$155)</f>
        <v>0</v>
      </c>
      <c r="H54" s="36">
        <f>COUNTIF('(당초)봉락리'!$J$6:$J$155,'(당초)집계표'!W54)</f>
        <v>0</v>
      </c>
      <c r="I54" s="37" t="s">
        <v>11</v>
      </c>
      <c r="J54" s="213">
        <f>SUMIF('(당초)봉락리'!$J$6:$J$155,'(당초)집계표'!W54,'(당초)봉락리'!$F$6:$F$155)</f>
        <v>0</v>
      </c>
      <c r="K54" s="36">
        <f t="shared" si="2"/>
        <v>0</v>
      </c>
      <c r="L54" s="37" t="s">
        <v>11</v>
      </c>
      <c r="M54" s="213">
        <f t="shared" si="3"/>
        <v>0</v>
      </c>
      <c r="N54" s="39"/>
      <c r="O54" s="23"/>
      <c r="P54" s="23"/>
      <c r="Q54" s="23"/>
      <c r="R54" s="23"/>
      <c r="S54" s="23"/>
      <c r="T54" s="23"/>
      <c r="U54" s="24" t="s">
        <v>1151</v>
      </c>
      <c r="V54" s="23" t="s">
        <v>1135</v>
      </c>
      <c r="W54" s="332" t="s">
        <v>1174</v>
      </c>
    </row>
    <row r="55" spans="1:23" s="24" customFormat="1" ht="23.1" customHeight="1">
      <c r="A55" s="105" t="s">
        <v>31</v>
      </c>
      <c r="B55" s="36">
        <f>COUNTIF('(당초)봉락리'!$D$6:$D$155,'(당초)집계표'!U55)</f>
        <v>0</v>
      </c>
      <c r="C55" s="37" t="s">
        <v>11</v>
      </c>
      <c r="D55" s="213">
        <f>SUMIF('(당초)봉락리'!$D$6:$D$155,'(당초)집계표'!U55,'(당초)봉락리'!$F$6:$F$155)</f>
        <v>0</v>
      </c>
      <c r="E55" s="36">
        <f>COUNTIF('(당초)봉락리'!$J$6:$J$155,'(당초)집계표'!V55)</f>
        <v>0</v>
      </c>
      <c r="F55" s="37" t="s">
        <v>11</v>
      </c>
      <c r="G55" s="213">
        <f>SUMIF('(당초)봉락리'!$J$6:$J$155,'(당초)집계표'!V55,'(당초)봉락리'!$F$6:$F$155)</f>
        <v>0</v>
      </c>
      <c r="H55" s="36">
        <f>COUNTIF('(당초)봉락리'!$J$6:$J$155,'(당초)집계표'!W55)</f>
        <v>0</v>
      </c>
      <c r="I55" s="37" t="s">
        <v>11</v>
      </c>
      <c r="J55" s="213">
        <f>SUMIF('(당초)봉락리'!$J$6:$J$155,'(당초)집계표'!W55,'(당초)봉락리'!$F$6:$F$155)</f>
        <v>0</v>
      </c>
      <c r="K55" s="36">
        <f t="shared" si="2"/>
        <v>0</v>
      </c>
      <c r="L55" s="37" t="s">
        <v>11</v>
      </c>
      <c r="M55" s="213">
        <f t="shared" si="3"/>
        <v>0</v>
      </c>
      <c r="N55" s="39"/>
      <c r="O55" s="23"/>
      <c r="P55" s="23"/>
      <c r="Q55" s="23"/>
      <c r="R55" s="23"/>
      <c r="S55" s="23"/>
      <c r="T55" s="23"/>
      <c r="U55" s="24" t="s">
        <v>1152</v>
      </c>
      <c r="V55" s="23" t="s">
        <v>1136</v>
      </c>
      <c r="W55" s="332" t="s">
        <v>1175</v>
      </c>
    </row>
    <row r="56" spans="1:23" s="24" customFormat="1" ht="23.1" customHeight="1">
      <c r="A56" s="105" t="s">
        <v>32</v>
      </c>
      <c r="B56" s="36">
        <f>COUNTIF('(당초)봉락리'!$D$6:$D$155,'(당초)집계표'!U56)</f>
        <v>0</v>
      </c>
      <c r="C56" s="37" t="s">
        <v>11</v>
      </c>
      <c r="D56" s="213">
        <f>SUMIF('(당초)봉락리'!$D$6:$D$155,'(당초)집계표'!U56,'(당초)봉락리'!$F$6:$F$155)</f>
        <v>0</v>
      </c>
      <c r="E56" s="36">
        <f>COUNTIF('(당초)봉락리'!$J$6:$J$155,'(당초)집계표'!V56)</f>
        <v>0</v>
      </c>
      <c r="F56" s="37" t="s">
        <v>11</v>
      </c>
      <c r="G56" s="213">
        <f>SUMIF('(당초)봉락리'!$J$6:$J$155,'(당초)집계표'!V56,'(당초)봉락리'!$F$6:$F$155)</f>
        <v>0</v>
      </c>
      <c r="H56" s="36">
        <f>COUNTIF('(당초)봉락리'!$J$6:$J$155,'(당초)집계표'!W56)</f>
        <v>0</v>
      </c>
      <c r="I56" s="37" t="s">
        <v>11</v>
      </c>
      <c r="J56" s="213">
        <f>SUMIF('(당초)봉락리'!$J$6:$J$155,'(당초)집계표'!W56,'(당초)봉락리'!$F$6:$F$155)</f>
        <v>0</v>
      </c>
      <c r="K56" s="36">
        <f t="shared" si="2"/>
        <v>0</v>
      </c>
      <c r="L56" s="37" t="s">
        <v>11</v>
      </c>
      <c r="M56" s="213">
        <f t="shared" si="3"/>
        <v>0</v>
      </c>
      <c r="N56" s="39"/>
      <c r="O56" s="23"/>
      <c r="P56" s="23"/>
      <c r="Q56" s="23"/>
      <c r="R56" s="23"/>
      <c r="S56" s="23"/>
      <c r="T56" s="23"/>
      <c r="U56" s="24" t="s">
        <v>994</v>
      </c>
      <c r="V56" s="23" t="s">
        <v>1128</v>
      </c>
      <c r="W56" s="332" t="s">
        <v>1167</v>
      </c>
    </row>
    <row r="57" spans="1:23" s="24" customFormat="1" ht="23.1" customHeight="1">
      <c r="A57" s="105" t="s">
        <v>33</v>
      </c>
      <c r="B57" s="36">
        <f>COUNTIF('(당초)봉락리'!$D$6:$D$155,'(당초)집계표'!U57)</f>
        <v>0</v>
      </c>
      <c r="C57" s="37" t="s">
        <v>11</v>
      </c>
      <c r="D57" s="213">
        <f>SUMIF('(당초)봉락리'!$D$6:$D$155,'(당초)집계표'!U57,'(당초)봉락리'!$F$6:$F$155)</f>
        <v>0</v>
      </c>
      <c r="E57" s="36">
        <f>COUNTIF('(당초)봉락리'!$J$6:$J$155,'(당초)집계표'!V57)</f>
        <v>0</v>
      </c>
      <c r="F57" s="37" t="s">
        <v>11</v>
      </c>
      <c r="G57" s="213">
        <f>SUMIF('(당초)봉락리'!$J$6:$J$155,'(당초)집계표'!V57,'(당초)봉락리'!$F$6:$F$155)</f>
        <v>0</v>
      </c>
      <c r="H57" s="36">
        <f>COUNTIF('(당초)봉락리'!$J$6:$J$155,'(당초)집계표'!W57)</f>
        <v>0</v>
      </c>
      <c r="I57" s="37" t="s">
        <v>11</v>
      </c>
      <c r="J57" s="213">
        <f>SUMIF('(당초)봉락리'!$J$6:$J$155,'(당초)집계표'!W57,'(당초)봉락리'!$F$6:$F$155)</f>
        <v>0</v>
      </c>
      <c r="K57" s="36">
        <f t="shared" si="2"/>
        <v>0</v>
      </c>
      <c r="L57" s="37" t="s">
        <v>11</v>
      </c>
      <c r="M57" s="213">
        <f t="shared" si="3"/>
        <v>0</v>
      </c>
      <c r="N57" s="39"/>
      <c r="O57" s="23"/>
      <c r="P57" s="23"/>
      <c r="Q57" s="23"/>
      <c r="R57" s="23"/>
      <c r="S57" s="23"/>
      <c r="T57" s="23"/>
      <c r="U57" s="24" t="s">
        <v>1153</v>
      </c>
      <c r="V57" s="23" t="s">
        <v>1137</v>
      </c>
      <c r="W57" s="332" t="s">
        <v>1176</v>
      </c>
    </row>
    <row r="58" spans="1:23" s="24" customFormat="1" ht="23.1" customHeight="1">
      <c r="A58" s="105" t="s">
        <v>34</v>
      </c>
      <c r="B58" s="36">
        <f>COUNTIF('(당초)봉락리'!$D$6:$D$155,'(당초)집계표'!U58)</f>
        <v>0</v>
      </c>
      <c r="C58" s="37" t="s">
        <v>11</v>
      </c>
      <c r="D58" s="213">
        <f>SUMIF('(당초)봉락리'!$D$6:$D$155,'(당초)집계표'!U58,'(당초)봉락리'!$F$6:$F$155)</f>
        <v>0</v>
      </c>
      <c r="E58" s="36">
        <f>COUNTIF('(당초)봉락리'!$J$6:$J$155,'(당초)집계표'!V58)</f>
        <v>0</v>
      </c>
      <c r="F58" s="37" t="s">
        <v>11</v>
      </c>
      <c r="G58" s="213">
        <f>SUMIF('(당초)봉락리'!$J$6:$J$155,'(당초)집계표'!V58,'(당초)봉락리'!$F$6:$F$155)</f>
        <v>0</v>
      </c>
      <c r="H58" s="36">
        <f>COUNTIF('(당초)봉락리'!$J$6:$J$155,'(당초)집계표'!W58)</f>
        <v>0</v>
      </c>
      <c r="I58" s="37" t="s">
        <v>11</v>
      </c>
      <c r="J58" s="213">
        <f>SUMIF('(당초)봉락리'!$J$6:$J$155,'(당초)집계표'!W58,'(당초)봉락리'!$F$6:$F$155)</f>
        <v>0</v>
      </c>
      <c r="K58" s="36">
        <f t="shared" si="2"/>
        <v>0</v>
      </c>
      <c r="L58" s="37" t="s">
        <v>11</v>
      </c>
      <c r="M58" s="213">
        <f t="shared" si="3"/>
        <v>0</v>
      </c>
      <c r="N58" s="39"/>
      <c r="O58" s="23"/>
      <c r="P58" s="23"/>
      <c r="Q58" s="23"/>
      <c r="R58" s="23"/>
      <c r="S58" s="23"/>
      <c r="T58" s="23"/>
      <c r="U58" s="24" t="s">
        <v>1154</v>
      </c>
      <c r="V58" s="23" t="s">
        <v>1138</v>
      </c>
      <c r="W58" s="332" t="s">
        <v>1177</v>
      </c>
    </row>
    <row r="59" spans="1:23" s="24" customFormat="1" ht="23.1" customHeight="1">
      <c r="A59" s="105" t="s">
        <v>66</v>
      </c>
      <c r="B59" s="36">
        <f>COUNTIF('(당초)봉락리'!$D$6:$D$155,'(당초)집계표'!U59)</f>
        <v>0</v>
      </c>
      <c r="C59" s="37" t="s">
        <v>11</v>
      </c>
      <c r="D59" s="213">
        <f>SUMIF('(당초)봉락리'!$D$6:$D$155,'(당초)집계표'!U59,'(당초)봉락리'!$F$6:$F$155)</f>
        <v>0</v>
      </c>
      <c r="E59" s="36">
        <f>COUNTIF('(당초)봉락리'!$J$6:$J$155,'(당초)집계표'!V59)</f>
        <v>0</v>
      </c>
      <c r="F59" s="37" t="s">
        <v>11</v>
      </c>
      <c r="G59" s="213">
        <f>SUMIF('(당초)봉락리'!$J$6:$J$155,'(당초)집계표'!V59,'(당초)봉락리'!$F$6:$F$155)</f>
        <v>0</v>
      </c>
      <c r="H59" s="36">
        <f>COUNTIF('(당초)봉락리'!$J$6:$J$155,'(당초)집계표'!W59)</f>
        <v>0</v>
      </c>
      <c r="I59" s="37" t="s">
        <v>11</v>
      </c>
      <c r="J59" s="213">
        <f>SUMIF('(당초)봉락리'!$J$6:$J$155,'(당초)집계표'!W59,'(당초)봉락리'!$F$6:$F$155)</f>
        <v>0</v>
      </c>
      <c r="K59" s="36">
        <f t="shared" si="2"/>
        <v>0</v>
      </c>
      <c r="L59" s="37" t="s">
        <v>11</v>
      </c>
      <c r="M59" s="213">
        <f t="shared" si="3"/>
        <v>0</v>
      </c>
      <c r="N59" s="39"/>
      <c r="O59" s="23"/>
      <c r="P59" s="23"/>
      <c r="Q59" s="23"/>
      <c r="R59" s="23"/>
      <c r="S59" s="23"/>
      <c r="T59" s="23"/>
      <c r="U59" s="24" t="s">
        <v>1155</v>
      </c>
      <c r="V59" s="23" t="s">
        <v>1139</v>
      </c>
      <c r="W59" s="332" t="s">
        <v>1178</v>
      </c>
    </row>
    <row r="60" spans="1:23" s="24" customFormat="1" ht="23.1" customHeight="1">
      <c r="A60" s="105" t="s">
        <v>75</v>
      </c>
      <c r="B60" s="36">
        <f>COUNTIF('(당초)봉락리'!$D$6:$D$155,'(당초)집계표'!U60)</f>
        <v>1</v>
      </c>
      <c r="C60" s="37" t="s">
        <v>11</v>
      </c>
      <c r="D60" s="213">
        <f>SUMIF('(당초)봉락리'!$D$6:$D$155,'(당초)집계표'!U60,'(당초)봉락리'!$F$6:$F$155)</f>
        <v>436</v>
      </c>
      <c r="E60" s="36">
        <f>COUNTIF('(당초)봉락리'!$J$6:$J$155,'(당초)집계표'!V60)</f>
        <v>0</v>
      </c>
      <c r="F60" s="37" t="s">
        <v>11</v>
      </c>
      <c r="G60" s="213">
        <f>SUMIF('(당초)봉락리'!$J$6:$J$155,'(당초)집계표'!V60,'(당초)봉락리'!$F$6:$F$155)</f>
        <v>0</v>
      </c>
      <c r="H60" s="36">
        <f>COUNTIF('(당초)봉락리'!$J$6:$J$155,'(당초)집계표'!W60)</f>
        <v>1</v>
      </c>
      <c r="I60" s="37" t="s">
        <v>11</v>
      </c>
      <c r="J60" s="213">
        <f>SUMIF('(당초)봉락리'!$J$6:$J$155,'(당초)집계표'!W60,'(당초)봉락리'!$F$6:$F$155)</f>
        <v>436</v>
      </c>
      <c r="K60" s="36">
        <f t="shared" si="2"/>
        <v>0</v>
      </c>
      <c r="L60" s="37" t="s">
        <v>11</v>
      </c>
      <c r="M60" s="213">
        <f t="shared" si="3"/>
        <v>0</v>
      </c>
      <c r="N60" s="39"/>
      <c r="O60" s="23"/>
      <c r="P60" s="23"/>
      <c r="Q60" s="23"/>
      <c r="R60" s="23"/>
      <c r="S60" s="23"/>
      <c r="T60" s="23"/>
      <c r="U60" s="24" t="s">
        <v>1187</v>
      </c>
      <c r="V60" s="23" t="s">
        <v>1188</v>
      </c>
      <c r="W60" s="332" t="s">
        <v>1189</v>
      </c>
    </row>
    <row r="61" spans="1:23" s="24" customFormat="1" ht="23.1" customHeight="1">
      <c r="A61" s="106" t="s">
        <v>68</v>
      </c>
      <c r="B61" s="36">
        <f>COUNTIF('(당초)봉락리'!$D$6:$D$155,'(당초)집계표'!U61)</f>
        <v>3</v>
      </c>
      <c r="C61" s="41" t="s">
        <v>11</v>
      </c>
      <c r="D61" s="213">
        <f>SUMIF('(당초)봉락리'!$D$6:$D$155,'(당초)집계표'!U61,'(당초)봉락리'!$F$6:$F$155)</f>
        <v>1408</v>
      </c>
      <c r="E61" s="36">
        <f>COUNTIF('(당초)봉락리'!$J$6:$J$155,'(당초)집계표'!V61)</f>
        <v>3</v>
      </c>
      <c r="F61" s="41" t="s">
        <v>11</v>
      </c>
      <c r="G61" s="213">
        <f>SUMIF('(당초)봉락리'!$J$6:$J$155,'(당초)집계표'!V61,'(당초)봉락리'!$F$6:$F$155)</f>
        <v>1408</v>
      </c>
      <c r="H61" s="36">
        <f>COUNTIF('(당초)봉락리'!$J$6:$J$155,'(당초)집계표'!W61)</f>
        <v>0</v>
      </c>
      <c r="I61" s="41" t="s">
        <v>11</v>
      </c>
      <c r="J61" s="213">
        <f>SUMIF('(당초)봉락리'!$J$6:$J$155,'(당초)집계표'!W61,'(당초)봉락리'!$F$6:$F$155)</f>
        <v>0</v>
      </c>
      <c r="K61" s="40">
        <f t="shared" si="2"/>
        <v>0</v>
      </c>
      <c r="L61" s="41" t="s">
        <v>11</v>
      </c>
      <c r="M61" s="214">
        <f t="shared" si="3"/>
        <v>0</v>
      </c>
      <c r="N61" s="43"/>
      <c r="O61" s="23"/>
      <c r="P61" s="23"/>
      <c r="Q61" s="23"/>
      <c r="R61" s="23"/>
      <c r="S61" s="23"/>
      <c r="T61" s="23"/>
      <c r="U61" s="24" t="s">
        <v>1182</v>
      </c>
      <c r="V61" s="23" t="s">
        <v>1184</v>
      </c>
      <c r="W61" s="332" t="s">
        <v>1185</v>
      </c>
    </row>
    <row r="62" spans="1:23" s="17" customFormat="1" ht="20.100000000000001" customHeight="1">
      <c r="A62" s="11">
        <f>IF(EXACT(O66,O67),,"검산확인요!!!")</f>
        <v>0</v>
      </c>
      <c r="B62" s="12"/>
      <c r="C62" s="12"/>
      <c r="D62" s="12"/>
      <c r="E62" s="12"/>
      <c r="F62" s="12"/>
      <c r="G62" s="12"/>
      <c r="H62" s="12"/>
      <c r="I62" s="12"/>
      <c r="J62" s="12"/>
      <c r="K62" s="13" t="e">
        <f>IF(ISBLANK(#REF!),,#REF!)</f>
        <v>#REF!</v>
      </c>
      <c r="L62" s="14"/>
      <c r="M62" s="15"/>
      <c r="N62" s="16"/>
    </row>
    <row r="63" spans="1:23" s="17" customFormat="1" ht="9.9499999999999993" customHeight="1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23" s="24" customFormat="1" ht="27.95" customHeight="1">
      <c r="A64" s="199" t="s">
        <v>9</v>
      </c>
      <c r="B64" s="361" t="s">
        <v>8</v>
      </c>
      <c r="C64" s="362"/>
      <c r="D64" s="362"/>
      <c r="E64" s="215" t="s">
        <v>35</v>
      </c>
      <c r="F64" s="216"/>
      <c r="G64" s="217"/>
      <c r="H64" s="215" t="s">
        <v>63</v>
      </c>
      <c r="I64" s="216"/>
      <c r="J64" s="217"/>
      <c r="K64" s="215" t="s">
        <v>36</v>
      </c>
      <c r="L64" s="216"/>
      <c r="M64" s="217"/>
      <c r="N64" s="22" t="s">
        <v>37</v>
      </c>
      <c r="O64" s="23"/>
      <c r="S64" s="23"/>
      <c r="T64" s="23"/>
      <c r="U64" s="23"/>
      <c r="V64" s="23"/>
    </row>
    <row r="65" spans="1:23" s="24" customFormat="1" ht="27.95" customHeight="1">
      <c r="A65" s="25"/>
      <c r="B65" s="26" t="s">
        <v>10</v>
      </c>
      <c r="C65" s="27" t="s">
        <v>11</v>
      </c>
      <c r="D65" s="28" t="s">
        <v>38</v>
      </c>
      <c r="E65" s="185" t="s">
        <v>10</v>
      </c>
      <c r="F65" s="186" t="s">
        <v>11</v>
      </c>
      <c r="G65" s="184" t="s">
        <v>38</v>
      </c>
      <c r="H65" s="185" t="s">
        <v>10</v>
      </c>
      <c r="I65" s="186" t="s">
        <v>11</v>
      </c>
      <c r="J65" s="184" t="s">
        <v>38</v>
      </c>
      <c r="K65" s="185" t="s">
        <v>10</v>
      </c>
      <c r="L65" s="186" t="s">
        <v>11</v>
      </c>
      <c r="M65" s="184" t="s">
        <v>38</v>
      </c>
      <c r="N65" s="29"/>
      <c r="P65" s="23"/>
      <c r="Q65" s="30" t="s">
        <v>39</v>
      </c>
      <c r="R65" s="30" t="s">
        <v>40</v>
      </c>
      <c r="S65" s="30" t="s">
        <v>41</v>
      </c>
      <c r="T65" s="30" t="s">
        <v>42</v>
      </c>
      <c r="U65" s="23"/>
      <c r="V65" s="23"/>
    </row>
    <row r="66" spans="1:23" s="24" customFormat="1" ht="23.1" customHeight="1">
      <c r="A66" s="103" t="s">
        <v>8</v>
      </c>
      <c r="B66" s="31">
        <f>SUM(B67:B91)</f>
        <v>227</v>
      </c>
      <c r="C66" s="32" t="s">
        <v>11</v>
      </c>
      <c r="D66" s="212">
        <f>SUM(D67:D91)</f>
        <v>90907.499999999985</v>
      </c>
      <c r="E66" s="31">
        <f>SUM(E67:E91)</f>
        <v>43</v>
      </c>
      <c r="F66" s="32" t="s">
        <v>11</v>
      </c>
      <c r="G66" s="212">
        <f>SUM(G67:G91)</f>
        <v>13662.099999999999</v>
      </c>
      <c r="H66" s="31">
        <f>SUM(H67:H91)</f>
        <v>165</v>
      </c>
      <c r="I66" s="32" t="s">
        <v>11</v>
      </c>
      <c r="J66" s="212">
        <f>SUM(J67:J91)</f>
        <v>70278.399999999994</v>
      </c>
      <c r="K66" s="31">
        <f>SUM(K67:K91)</f>
        <v>19</v>
      </c>
      <c r="L66" s="32" t="s">
        <v>11</v>
      </c>
      <c r="M66" s="212">
        <f>SUM(M67:M91)</f>
        <v>6967.0000000000018</v>
      </c>
      <c r="N66" s="34"/>
      <c r="O66" s="23" t="str">
        <f>IF(EXACT(Q66,T66),"맞음","틀림")</f>
        <v>틀림</v>
      </c>
      <c r="P66" s="23" t="s">
        <v>10</v>
      </c>
      <c r="Q66" s="35">
        <f>SUM(B67:B91)</f>
        <v>227</v>
      </c>
      <c r="R66" s="35">
        <f>SUM(E67:E91)</f>
        <v>43</v>
      </c>
      <c r="S66" s="35">
        <f>SUM(K67:K91)</f>
        <v>19</v>
      </c>
      <c r="T66" s="35">
        <f>K66+E66</f>
        <v>62</v>
      </c>
      <c r="U66" s="23"/>
      <c r="V66" s="23"/>
    </row>
    <row r="67" spans="1:23" s="24" customFormat="1" ht="23.1" customHeight="1">
      <c r="A67" s="104" t="s">
        <v>13</v>
      </c>
      <c r="B67" s="36">
        <f>COUNTIF('(당초)칠전리'!$D$6:$D$232,'(당초)집계표'!U67)</f>
        <v>43</v>
      </c>
      <c r="C67" s="37" t="s">
        <v>11</v>
      </c>
      <c r="D67" s="213">
        <f>SUMIF('(당초)칠전리'!$D$6:$D$232,'(당초)집계표'!U67,'(당초)칠전리'!$F$6:$F$232)</f>
        <v>13676</v>
      </c>
      <c r="E67" s="36">
        <f>COUNTIF('(당초)칠전리'!$J$6:$J$232,'(당초)집계표'!V67)</f>
        <v>0</v>
      </c>
      <c r="F67" s="37" t="s">
        <v>11</v>
      </c>
      <c r="G67" s="213">
        <f>SUMIF('(당초)칠전리'!$J$6:$J$232,'(당초)집계표'!V67,'(당초)칠전리'!$F$6:$F$232)</f>
        <v>0</v>
      </c>
      <c r="H67" s="36">
        <f>COUNTIF('(당초)칠전리'!$J$6:$J$232,'(당초)집계표'!W67)</f>
        <v>42</v>
      </c>
      <c r="I67" s="37" t="s">
        <v>11</v>
      </c>
      <c r="J67" s="213">
        <f>SUMIF('(당초)칠전리'!$J$6:$J$232,'(당초)집계표'!W67,'(당초)칠전리'!$F$6:$F$232)</f>
        <v>12202</v>
      </c>
      <c r="K67" s="36">
        <f t="shared" ref="K67:K91" si="4">SUM(B67-E67-H67)</f>
        <v>1</v>
      </c>
      <c r="L67" s="37" t="s">
        <v>11</v>
      </c>
      <c r="M67" s="213">
        <f t="shared" ref="M67:M91" si="5">SUM(D67-G67-J67)</f>
        <v>1474</v>
      </c>
      <c r="N67" s="39"/>
      <c r="O67" s="23" t="str">
        <f>IF(EXACT(Q67,T67),"맞음","틀림")</f>
        <v>틀림</v>
      </c>
      <c r="P67" s="23" t="s">
        <v>43</v>
      </c>
      <c r="Q67" s="35">
        <f>SUM(D67:D91)</f>
        <v>90907.499999999985</v>
      </c>
      <c r="R67" s="35">
        <f>SUM(G67:G91)</f>
        <v>13662.099999999999</v>
      </c>
      <c r="S67" s="35">
        <f>SUM(M67:M91)</f>
        <v>6967.0000000000018</v>
      </c>
      <c r="T67" s="35">
        <f>G66+M66</f>
        <v>20629.099999999999</v>
      </c>
      <c r="U67" s="24" t="s">
        <v>13</v>
      </c>
      <c r="V67" s="23" t="s">
        <v>1118</v>
      </c>
      <c r="W67" s="332" t="s">
        <v>1157</v>
      </c>
    </row>
    <row r="68" spans="1:23" s="24" customFormat="1" ht="23.1" customHeight="1">
      <c r="A68" s="104" t="s">
        <v>14</v>
      </c>
      <c r="B68" s="36">
        <f>COUNTIF('(당초)칠전리'!$D$6:$D$232,'(당초)집계표'!U68)</f>
        <v>32</v>
      </c>
      <c r="C68" s="37" t="s">
        <v>11</v>
      </c>
      <c r="D68" s="213">
        <f>SUMIF('(당초)칠전리'!$D$6:$D$232,'(당초)집계표'!U68,'(당초)칠전리'!$F$6:$F$232)</f>
        <v>18410.399999999998</v>
      </c>
      <c r="E68" s="36">
        <f>COUNTIF('(당초)칠전리'!$J$6:$J$232,'(당초)집계표'!V68)</f>
        <v>0</v>
      </c>
      <c r="F68" s="37" t="s">
        <v>11</v>
      </c>
      <c r="G68" s="213">
        <f>SUMIF('(당초)칠전리'!$J$6:$J$232,'(당초)집계표'!V68,'(당초)칠전리'!$F$6:$F$232)</f>
        <v>0</v>
      </c>
      <c r="H68" s="36">
        <f>COUNTIF('(당초)칠전리'!$J$6:$J$232,'(당초)집계표'!W68)</f>
        <v>30</v>
      </c>
      <c r="I68" s="37" t="s">
        <v>11</v>
      </c>
      <c r="J68" s="213">
        <f>SUMIF('(당초)칠전리'!$J$6:$J$232,'(당초)집계표'!W68,'(당초)칠전리'!$F$6:$F$232)</f>
        <v>18390.399999999998</v>
      </c>
      <c r="K68" s="36">
        <f t="shared" si="4"/>
        <v>2</v>
      </c>
      <c r="L68" s="37" t="s">
        <v>11</v>
      </c>
      <c r="M68" s="213">
        <f t="shared" si="5"/>
        <v>20</v>
      </c>
      <c r="N68" s="39"/>
      <c r="Q68" s="23"/>
      <c r="S68" s="23"/>
      <c r="U68" s="24" t="s">
        <v>14</v>
      </c>
      <c r="V68" s="23" t="s">
        <v>1119</v>
      </c>
      <c r="W68" s="332" t="s">
        <v>1158</v>
      </c>
    </row>
    <row r="69" spans="1:23" s="24" customFormat="1" ht="23.1" customHeight="1">
      <c r="A69" s="104" t="s">
        <v>15</v>
      </c>
      <c r="B69" s="36">
        <f>COUNTIF('(당초)칠전리'!$D$6:$D$232,'(당초)집계표'!U69)</f>
        <v>46</v>
      </c>
      <c r="C69" s="37" t="s">
        <v>11</v>
      </c>
      <c r="D69" s="213">
        <f>SUMIF('(당초)칠전리'!$D$6:$D$232,'(당초)집계표'!U69,'(당초)칠전리'!$F$6:$F$232)</f>
        <v>30473</v>
      </c>
      <c r="E69" s="36">
        <f>COUNTIF('(당초)칠전리'!$J$6:$J$232,'(당초)집계표'!V69)</f>
        <v>0</v>
      </c>
      <c r="F69" s="37" t="s">
        <v>11</v>
      </c>
      <c r="G69" s="213">
        <f>SUMIF('(당초)칠전리'!$J$6:$J$232,'(당초)집계표'!V69,'(당초)칠전리'!$F$6:$F$232)</f>
        <v>0</v>
      </c>
      <c r="H69" s="36">
        <f>COUNTIF('(당초)칠전리'!$J$6:$J$232,'(당초)집계표'!W69)</f>
        <v>38</v>
      </c>
      <c r="I69" s="37" t="s">
        <v>11</v>
      </c>
      <c r="J69" s="213">
        <f>SUMIF('(당초)칠전리'!$J$6:$J$232,'(당초)집계표'!W69,'(당초)칠전리'!$F$6:$F$232)</f>
        <v>26140</v>
      </c>
      <c r="K69" s="36">
        <f t="shared" si="4"/>
        <v>8</v>
      </c>
      <c r="L69" s="37" t="s">
        <v>11</v>
      </c>
      <c r="M69" s="213">
        <f t="shared" si="5"/>
        <v>4333</v>
      </c>
      <c r="N69" s="39"/>
      <c r="Q69" s="23"/>
      <c r="S69" s="23"/>
      <c r="U69" s="24" t="s">
        <v>146</v>
      </c>
      <c r="V69" s="23" t="s">
        <v>1120</v>
      </c>
      <c r="W69" s="332" t="s">
        <v>1159</v>
      </c>
    </row>
    <row r="70" spans="1:23" s="24" customFormat="1" ht="23.1" customHeight="1">
      <c r="A70" s="104" t="s">
        <v>16</v>
      </c>
      <c r="B70" s="36">
        <f>COUNTIF('(당초)칠전리'!$D$6:$D$232,'(당초)집계표'!U70)</f>
        <v>9</v>
      </c>
      <c r="C70" s="37" t="s">
        <v>11</v>
      </c>
      <c r="D70" s="213">
        <f>SUMIF('(당초)칠전리'!$D$6:$D$232,'(당초)집계표'!U70,'(당초)칠전리'!$F$6:$F$232)</f>
        <v>1449</v>
      </c>
      <c r="E70" s="36">
        <f>COUNTIF('(당초)칠전리'!$J$6:$J$232,'(당초)집계표'!V70)</f>
        <v>0</v>
      </c>
      <c r="F70" s="37" t="s">
        <v>11</v>
      </c>
      <c r="G70" s="213">
        <f>SUMIF('(당초)칠전리'!$J$6:$J$232,'(당초)집계표'!V70,'(당초)칠전리'!$F$6:$F$232)</f>
        <v>0</v>
      </c>
      <c r="H70" s="36">
        <f>COUNTIF('(당초)칠전리'!$J$6:$J$232,'(당초)집계표'!W70)</f>
        <v>9</v>
      </c>
      <c r="I70" s="37" t="s">
        <v>11</v>
      </c>
      <c r="J70" s="213">
        <f>SUMIF('(당초)칠전리'!$J$6:$J$232,'(당초)집계표'!W70,'(당초)칠전리'!$F$6:$F$232)</f>
        <v>1449</v>
      </c>
      <c r="K70" s="36">
        <f t="shared" si="4"/>
        <v>0</v>
      </c>
      <c r="L70" s="37" t="s">
        <v>11</v>
      </c>
      <c r="M70" s="213">
        <f t="shared" si="5"/>
        <v>0</v>
      </c>
      <c r="N70" s="39"/>
      <c r="O70" s="23"/>
      <c r="P70" s="23"/>
      <c r="Q70" s="23"/>
      <c r="R70" s="23"/>
      <c r="S70" s="23"/>
      <c r="T70" s="23"/>
      <c r="U70" s="24" t="s">
        <v>1002</v>
      </c>
      <c r="V70" s="23" t="s">
        <v>1121</v>
      </c>
      <c r="W70" s="332" t="s">
        <v>1160</v>
      </c>
    </row>
    <row r="71" spans="1:23" s="24" customFormat="1" ht="23.1" customHeight="1">
      <c r="A71" s="104" t="s">
        <v>17</v>
      </c>
      <c r="B71" s="36">
        <f>COUNTIF('(당초)칠전리'!$D$6:$D$232,'(당초)집계표'!U71)</f>
        <v>80</v>
      </c>
      <c r="C71" s="37" t="s">
        <v>11</v>
      </c>
      <c r="D71" s="213">
        <f>SUMIF('(당초)칠전리'!$D$6:$D$232,'(당초)집계표'!U71,'(당초)칠전리'!$F$6:$F$232)</f>
        <v>21920.9</v>
      </c>
      <c r="E71" s="36">
        <f>COUNTIF('(당초)칠전리'!$J$6:$J$232,'(당초)집계표'!V71)</f>
        <v>28</v>
      </c>
      <c r="F71" s="37" t="s">
        <v>11</v>
      </c>
      <c r="G71" s="213">
        <f>SUMIF('(당초)칠전리'!$J$6:$J$232,'(당초)집계표'!V71,'(당초)칠전리'!$F$6:$F$232)</f>
        <v>8739.9</v>
      </c>
      <c r="H71" s="36">
        <f>COUNTIF('(당초)칠전리'!$J$6:$J$232,'(당초)집계표'!W71)</f>
        <v>45</v>
      </c>
      <c r="I71" s="37" t="s">
        <v>11</v>
      </c>
      <c r="J71" s="213">
        <f>SUMIF('(당초)칠전리'!$J$6:$J$232,'(당초)집계표'!W71,'(당초)칠전리'!$F$6:$F$232)</f>
        <v>12081</v>
      </c>
      <c r="K71" s="36">
        <f t="shared" si="4"/>
        <v>7</v>
      </c>
      <c r="L71" s="37" t="s">
        <v>11</v>
      </c>
      <c r="M71" s="213">
        <f t="shared" si="5"/>
        <v>1100.0000000000018</v>
      </c>
      <c r="N71" s="39"/>
      <c r="O71" s="23"/>
      <c r="P71" s="23"/>
      <c r="Q71" s="23"/>
      <c r="R71" s="23"/>
      <c r="S71" s="23"/>
      <c r="T71" s="23"/>
      <c r="U71" s="24" t="s">
        <v>998</v>
      </c>
      <c r="V71" s="23" t="s">
        <v>1122</v>
      </c>
      <c r="W71" s="332" t="s">
        <v>1161</v>
      </c>
    </row>
    <row r="72" spans="1:23" s="24" customFormat="1" ht="23.1" customHeight="1">
      <c r="A72" s="104" t="s">
        <v>18</v>
      </c>
      <c r="B72" s="36">
        <f>COUNTIF('(당초)칠전리'!$D$6:$D$232,'(당초)집계표'!U72)</f>
        <v>12</v>
      </c>
      <c r="C72" s="37" t="s">
        <v>11</v>
      </c>
      <c r="D72" s="213">
        <f>SUMIF('(당초)칠전리'!$D$6:$D$232,'(당초)집계표'!U72,'(당초)칠전리'!$F$6:$F$232)</f>
        <v>4652.2</v>
      </c>
      <c r="E72" s="36">
        <f>COUNTIF('(당초)칠전리'!$J$6:$J$232,'(당초)집계표'!V72)</f>
        <v>12</v>
      </c>
      <c r="F72" s="37" t="s">
        <v>11</v>
      </c>
      <c r="G72" s="213">
        <f>SUMIF('(당초)칠전리'!$J$6:$J$232,'(당초)집계표'!V72,'(당초)칠전리'!$F$6:$F$232)</f>
        <v>4652.2</v>
      </c>
      <c r="H72" s="36">
        <f>COUNTIF('(당초)칠전리'!$J$6:$J$232,'(당초)집계표'!W72)</f>
        <v>0</v>
      </c>
      <c r="I72" s="37" t="s">
        <v>11</v>
      </c>
      <c r="J72" s="213">
        <f>SUMIF('(당초)칠전리'!$J$6:$J$232,'(당초)집계표'!W72,'(당초)칠전리'!$F$6:$F$232)</f>
        <v>0</v>
      </c>
      <c r="K72" s="36">
        <f t="shared" si="4"/>
        <v>0</v>
      </c>
      <c r="L72" s="37" t="s">
        <v>11</v>
      </c>
      <c r="M72" s="213">
        <f t="shared" si="5"/>
        <v>0</v>
      </c>
      <c r="N72" s="39"/>
      <c r="O72" s="23"/>
      <c r="P72" s="23"/>
      <c r="Q72" s="23"/>
      <c r="R72" s="23"/>
      <c r="S72" s="23"/>
      <c r="T72" s="23"/>
      <c r="U72" s="24" t="s">
        <v>1005</v>
      </c>
      <c r="V72" s="23" t="s">
        <v>1123</v>
      </c>
      <c r="W72" s="332" t="s">
        <v>1162</v>
      </c>
    </row>
    <row r="73" spans="1:23" s="24" customFormat="1" ht="23.1" customHeight="1">
      <c r="A73" s="104" t="s">
        <v>19</v>
      </c>
      <c r="B73" s="36">
        <f>COUNTIF('(당초)칠전리'!$D$6:$D$232,'(당초)집계표'!U73)</f>
        <v>0</v>
      </c>
      <c r="C73" s="37" t="s">
        <v>11</v>
      </c>
      <c r="D73" s="213">
        <f>SUMIF('(당초)칠전리'!$D$6:$D$232,'(당초)집계표'!U73,'(당초)칠전리'!$F$6:$F$232)</f>
        <v>0</v>
      </c>
      <c r="E73" s="36">
        <f>COUNTIF('(당초)칠전리'!$J$6:$J$232,'(당초)집계표'!V73)</f>
        <v>0</v>
      </c>
      <c r="F73" s="37" t="s">
        <v>11</v>
      </c>
      <c r="G73" s="213">
        <f>SUMIF('(당초)칠전리'!$J$6:$J$232,'(당초)집계표'!V73,'(당초)칠전리'!$F$6:$F$232)</f>
        <v>0</v>
      </c>
      <c r="H73" s="36">
        <f>COUNTIF('(당초)칠전리'!$J$6:$J$232,'(당초)집계표'!W73)</f>
        <v>0</v>
      </c>
      <c r="I73" s="37" t="s">
        <v>11</v>
      </c>
      <c r="J73" s="213">
        <f>SUMIF('(당초)칠전리'!$J$6:$J$232,'(당초)집계표'!W73,'(당초)칠전리'!$F$6:$F$232)</f>
        <v>0</v>
      </c>
      <c r="K73" s="36">
        <f t="shared" si="4"/>
        <v>0</v>
      </c>
      <c r="L73" s="37" t="s">
        <v>11</v>
      </c>
      <c r="M73" s="213">
        <f t="shared" si="5"/>
        <v>0</v>
      </c>
      <c r="N73" s="39"/>
      <c r="O73" s="23"/>
      <c r="P73" s="23"/>
      <c r="Q73" s="23"/>
      <c r="R73" s="23"/>
      <c r="S73" s="23"/>
      <c r="T73" s="23"/>
      <c r="U73" s="24" t="s">
        <v>1142</v>
      </c>
      <c r="V73" s="23" t="s">
        <v>1124</v>
      </c>
      <c r="W73" s="332" t="s">
        <v>1163</v>
      </c>
    </row>
    <row r="74" spans="1:23" s="24" customFormat="1" ht="23.1" customHeight="1">
      <c r="A74" s="104" t="s">
        <v>20</v>
      </c>
      <c r="B74" s="36">
        <f>COUNTIF('(당초)칠전리'!$D$6:$D$232,'(당초)집계표'!U74)</f>
        <v>2</v>
      </c>
      <c r="C74" s="37" t="s">
        <v>11</v>
      </c>
      <c r="D74" s="213">
        <f>SUMIF('(당초)칠전리'!$D$6:$D$232,'(당초)집계표'!U74,'(당초)칠전리'!$F$6:$F$232)</f>
        <v>252</v>
      </c>
      <c r="E74" s="36">
        <f>COUNTIF('(당초)칠전리'!$J$6:$J$232,'(당초)집계표'!V74)</f>
        <v>2</v>
      </c>
      <c r="F74" s="37" t="s">
        <v>11</v>
      </c>
      <c r="G74" s="213">
        <f>SUMIF('(당초)칠전리'!$J$6:$J$232,'(당초)집계표'!V74,'(당초)칠전리'!$F$6:$F$232)</f>
        <v>252</v>
      </c>
      <c r="H74" s="36">
        <f>COUNTIF('(당초)칠전리'!$J$6:$J$232,'(당초)집계표'!W74)</f>
        <v>0</v>
      </c>
      <c r="I74" s="37" t="s">
        <v>11</v>
      </c>
      <c r="J74" s="213">
        <f>SUMIF('(당초)칠전리'!$J$6:$J$232,'(당초)집계표'!W74,'(당초)칠전리'!$F$6:$F$232)</f>
        <v>0</v>
      </c>
      <c r="K74" s="36">
        <f t="shared" si="4"/>
        <v>0</v>
      </c>
      <c r="L74" s="37" t="s">
        <v>11</v>
      </c>
      <c r="M74" s="213">
        <f t="shared" si="5"/>
        <v>0</v>
      </c>
      <c r="N74" s="39"/>
      <c r="O74" s="23"/>
      <c r="P74" s="23"/>
      <c r="Q74" s="23"/>
      <c r="R74" s="23"/>
      <c r="S74" s="23"/>
      <c r="T74" s="23"/>
      <c r="U74" s="24" t="s">
        <v>1027</v>
      </c>
      <c r="V74" s="23" t="s">
        <v>1125</v>
      </c>
      <c r="W74" s="332" t="s">
        <v>1164</v>
      </c>
    </row>
    <row r="75" spans="1:23" s="24" customFormat="1" ht="23.1" customHeight="1">
      <c r="A75" s="104" t="s">
        <v>21</v>
      </c>
      <c r="B75" s="36">
        <f>COUNTIF('(당초)칠전리'!$D$6:$D$232,'(당초)집계표'!U75)</f>
        <v>2</v>
      </c>
      <c r="C75" s="37" t="s">
        <v>11</v>
      </c>
      <c r="D75" s="213">
        <f>SUMIF('(당초)칠전리'!$D$6:$D$232,'(당초)집계표'!U75,'(당초)칠전리'!$F$6:$F$232)</f>
        <v>58</v>
      </c>
      <c r="E75" s="36">
        <f>COUNTIF('(당초)칠전리'!$J$6:$J$232,'(당초)집계표'!V75)</f>
        <v>1</v>
      </c>
      <c r="F75" s="37" t="s">
        <v>11</v>
      </c>
      <c r="G75" s="213">
        <f>SUMIF('(당초)칠전리'!$J$6:$J$232,'(당초)집계표'!V75,'(당초)칠전리'!$F$6:$F$232)</f>
        <v>18</v>
      </c>
      <c r="H75" s="36">
        <f>COUNTIF('(당초)칠전리'!$J$6:$J$232,'(당초)집계표'!W75)</f>
        <v>0</v>
      </c>
      <c r="I75" s="37" t="s">
        <v>11</v>
      </c>
      <c r="J75" s="213">
        <f>SUMIF('(당초)칠전리'!$J$6:$J$232,'(당초)집계표'!W75,'(당초)칠전리'!$F$6:$F$232)</f>
        <v>0</v>
      </c>
      <c r="K75" s="36">
        <f t="shared" si="4"/>
        <v>1</v>
      </c>
      <c r="L75" s="37" t="s">
        <v>11</v>
      </c>
      <c r="M75" s="213">
        <f t="shared" si="5"/>
        <v>40</v>
      </c>
      <c r="N75" s="39"/>
      <c r="O75" s="23"/>
      <c r="P75" s="23"/>
      <c r="Q75" s="23"/>
      <c r="R75" s="23"/>
      <c r="S75" s="23"/>
      <c r="T75" s="23"/>
      <c r="U75" s="24" t="s">
        <v>1143</v>
      </c>
      <c r="V75" s="23" t="s">
        <v>1126</v>
      </c>
      <c r="W75" s="332" t="s">
        <v>1165</v>
      </c>
    </row>
    <row r="76" spans="1:23" s="24" customFormat="1" ht="23.1" customHeight="1">
      <c r="A76" s="104" t="s">
        <v>22</v>
      </c>
      <c r="B76" s="36">
        <f>COUNTIF('(당초)칠전리'!$D$6:$D$232,'(당초)집계표'!U76)</f>
        <v>0</v>
      </c>
      <c r="C76" s="37" t="s">
        <v>11</v>
      </c>
      <c r="D76" s="213">
        <f>SUMIF('(당초)칠전리'!$D$6:$D$232,'(당초)집계표'!U76,'(당초)칠전리'!$F$6:$F$232)</f>
        <v>0</v>
      </c>
      <c r="E76" s="36">
        <f>COUNTIF('(당초)칠전리'!$J$6:$J$232,'(당초)집계표'!V76)</f>
        <v>0</v>
      </c>
      <c r="F76" s="37" t="s">
        <v>11</v>
      </c>
      <c r="G76" s="213">
        <f>SUMIF('(당초)칠전리'!$J$6:$J$232,'(당초)집계표'!V76,'(당초)칠전리'!$F$6:$F$232)</f>
        <v>0</v>
      </c>
      <c r="H76" s="36">
        <f>COUNTIF('(당초)칠전리'!$J$6:$J$232,'(당초)집계표'!W76)</f>
        <v>0</v>
      </c>
      <c r="I76" s="37" t="s">
        <v>11</v>
      </c>
      <c r="J76" s="213">
        <f>SUMIF('(당초)칠전리'!$J$6:$J$232,'(당초)집계표'!W76,'(당초)칠전리'!$F$6:$F$232)</f>
        <v>0</v>
      </c>
      <c r="K76" s="36">
        <f t="shared" si="4"/>
        <v>0</v>
      </c>
      <c r="L76" s="37" t="s">
        <v>11</v>
      </c>
      <c r="M76" s="213">
        <f t="shared" si="5"/>
        <v>0</v>
      </c>
      <c r="N76" s="39"/>
      <c r="O76" s="23"/>
      <c r="P76" s="23"/>
      <c r="Q76" s="23"/>
      <c r="R76" s="23"/>
      <c r="S76" s="23"/>
      <c r="T76" s="23"/>
      <c r="U76" s="24" t="s">
        <v>1144</v>
      </c>
      <c r="V76" s="23" t="s">
        <v>1127</v>
      </c>
      <c r="W76" s="332" t="s">
        <v>1166</v>
      </c>
    </row>
    <row r="77" spans="1:23" s="24" customFormat="1" ht="23.1" customHeight="1">
      <c r="A77" s="104" t="s">
        <v>23</v>
      </c>
      <c r="B77" s="36">
        <f>COUNTIF('(당초)칠전리'!$D$6:$D$232,'(당초)집계표'!U77)</f>
        <v>0</v>
      </c>
      <c r="C77" s="37" t="s">
        <v>11</v>
      </c>
      <c r="D77" s="213">
        <f>SUMIF('(당초)칠전리'!$D$6:$D$232,'(당초)집계표'!U77,'(당초)칠전리'!$F$6:$F$232)</f>
        <v>0</v>
      </c>
      <c r="E77" s="36">
        <f>COUNTIF('(당초)칠전리'!$J$6:$J$232,'(당초)집계표'!V77)</f>
        <v>0</v>
      </c>
      <c r="F77" s="37" t="s">
        <v>11</v>
      </c>
      <c r="G77" s="213">
        <f>SUMIF('(당초)칠전리'!$J$6:$J$232,'(당초)집계표'!V77,'(당초)칠전리'!$F$6:$F$232)</f>
        <v>0</v>
      </c>
      <c r="H77" s="36">
        <f>COUNTIF('(당초)칠전리'!$J$6:$J$232,'(당초)집계표'!W77)</f>
        <v>0</v>
      </c>
      <c r="I77" s="37" t="s">
        <v>11</v>
      </c>
      <c r="J77" s="213">
        <f>SUMIF('(당초)칠전리'!$J$6:$J$232,'(당초)집계표'!W77,'(당초)칠전리'!$F$6:$F$232)</f>
        <v>0</v>
      </c>
      <c r="K77" s="36">
        <f t="shared" si="4"/>
        <v>0</v>
      </c>
      <c r="L77" s="37" t="s">
        <v>11</v>
      </c>
      <c r="M77" s="213">
        <f t="shared" si="5"/>
        <v>0</v>
      </c>
      <c r="N77" s="39"/>
      <c r="O77" s="23"/>
      <c r="P77" s="23"/>
      <c r="Q77" s="23"/>
      <c r="R77" s="23"/>
      <c r="S77" s="23"/>
      <c r="T77" s="23"/>
      <c r="U77" s="24" t="s">
        <v>994</v>
      </c>
      <c r="V77" s="23" t="s">
        <v>1128</v>
      </c>
      <c r="W77" s="332" t="s">
        <v>1167</v>
      </c>
    </row>
    <row r="78" spans="1:23" s="24" customFormat="1" ht="23.1" customHeight="1">
      <c r="A78" s="104" t="s">
        <v>24</v>
      </c>
      <c r="B78" s="36">
        <f>COUNTIF('(당초)칠전리'!$D$6:$D$232,'(당초)집계표'!U78)</f>
        <v>0</v>
      </c>
      <c r="C78" s="37" t="s">
        <v>11</v>
      </c>
      <c r="D78" s="213">
        <f>SUMIF('(당초)칠전리'!$D$6:$D$232,'(당초)집계표'!U78,'(당초)칠전리'!$F$6:$F$232)</f>
        <v>0</v>
      </c>
      <c r="E78" s="36">
        <f>COUNTIF('(당초)칠전리'!$J$6:$J$232,'(당초)집계표'!V78)</f>
        <v>0</v>
      </c>
      <c r="F78" s="37" t="s">
        <v>11</v>
      </c>
      <c r="G78" s="213">
        <f>SUMIF('(당초)칠전리'!$J$6:$J$232,'(당초)집계표'!V78,'(당초)칠전리'!$F$6:$F$232)</f>
        <v>0</v>
      </c>
      <c r="H78" s="36">
        <f>COUNTIF('(당초)칠전리'!$J$6:$J$232,'(당초)집계표'!W78)</f>
        <v>0</v>
      </c>
      <c r="I78" s="37" t="s">
        <v>11</v>
      </c>
      <c r="J78" s="213">
        <f>SUMIF('(당초)칠전리'!$J$6:$J$232,'(당초)집계표'!W78,'(당초)칠전리'!$F$6:$F$232)</f>
        <v>0</v>
      </c>
      <c r="K78" s="36">
        <f t="shared" si="4"/>
        <v>0</v>
      </c>
      <c r="L78" s="37" t="s">
        <v>11</v>
      </c>
      <c r="M78" s="213">
        <f t="shared" si="5"/>
        <v>0</v>
      </c>
      <c r="N78" s="39"/>
      <c r="O78" s="23"/>
      <c r="P78" s="23"/>
      <c r="Q78" s="23"/>
      <c r="R78" s="23"/>
      <c r="S78" s="23"/>
      <c r="T78" s="23"/>
      <c r="U78" s="24" t="s">
        <v>1145</v>
      </c>
      <c r="V78" s="23" t="s">
        <v>1129</v>
      </c>
      <c r="W78" s="332" t="s">
        <v>1168</v>
      </c>
    </row>
    <row r="79" spans="1:23" s="24" customFormat="1" ht="23.1" customHeight="1">
      <c r="A79" s="104" t="s">
        <v>25</v>
      </c>
      <c r="B79" s="36">
        <f>COUNTIF('(당초)칠전리'!$D$6:$D$232,'(당초)집계표'!U79)</f>
        <v>0</v>
      </c>
      <c r="C79" s="37" t="s">
        <v>11</v>
      </c>
      <c r="D79" s="213">
        <f>SUMIF('(당초)칠전리'!$D$6:$D$232,'(당초)집계표'!U79,'(당초)칠전리'!$F$6:$F$232)</f>
        <v>0</v>
      </c>
      <c r="E79" s="36">
        <f>COUNTIF('(당초)칠전리'!$J$6:$J$232,'(당초)집계표'!V79)</f>
        <v>0</v>
      </c>
      <c r="F79" s="37" t="s">
        <v>11</v>
      </c>
      <c r="G79" s="213">
        <f>SUMIF('(당초)칠전리'!$J$6:$J$232,'(당초)집계표'!V79,'(당초)칠전리'!$F$6:$F$232)</f>
        <v>0</v>
      </c>
      <c r="H79" s="36">
        <f>COUNTIF('(당초)칠전리'!$J$6:$J$232,'(당초)집계표'!W79)</f>
        <v>0</v>
      </c>
      <c r="I79" s="37" t="s">
        <v>11</v>
      </c>
      <c r="J79" s="213">
        <f>SUMIF('(당초)칠전리'!$J$6:$J$232,'(당초)집계표'!W79,'(당초)칠전리'!$F$6:$F$232)</f>
        <v>0</v>
      </c>
      <c r="K79" s="36">
        <f t="shared" si="4"/>
        <v>0</v>
      </c>
      <c r="L79" s="37" t="s">
        <v>11</v>
      </c>
      <c r="M79" s="213">
        <f t="shared" si="5"/>
        <v>0</v>
      </c>
      <c r="N79" s="39"/>
      <c r="O79" s="23"/>
      <c r="P79" s="23"/>
      <c r="Q79" s="23"/>
      <c r="R79" s="23"/>
      <c r="S79" s="23"/>
      <c r="T79" s="23"/>
      <c r="U79" s="24" t="s">
        <v>1146</v>
      </c>
      <c r="V79" s="23" t="s">
        <v>1130</v>
      </c>
      <c r="W79" s="332" t="s">
        <v>1169</v>
      </c>
    </row>
    <row r="80" spans="1:23" s="24" customFormat="1" ht="23.1" customHeight="1">
      <c r="A80" s="104" t="s">
        <v>26</v>
      </c>
      <c r="B80" s="36">
        <f>COUNTIF('(당초)칠전리'!$D$6:$D$232,'(당초)집계표'!U80)</f>
        <v>0</v>
      </c>
      <c r="C80" s="37" t="s">
        <v>11</v>
      </c>
      <c r="D80" s="213">
        <f>SUMIF('(당초)칠전리'!$D$6:$D$232,'(당초)집계표'!U80,'(당초)칠전리'!$F$6:$F$232)</f>
        <v>0</v>
      </c>
      <c r="E80" s="36">
        <f>COUNTIF('(당초)칠전리'!$J$6:$J$232,'(당초)집계표'!V80)</f>
        <v>0</v>
      </c>
      <c r="F80" s="37" t="s">
        <v>11</v>
      </c>
      <c r="G80" s="213">
        <f>SUMIF('(당초)칠전리'!$J$6:$J$232,'(당초)집계표'!V80,'(당초)칠전리'!$F$6:$F$232)</f>
        <v>0</v>
      </c>
      <c r="H80" s="36">
        <f>COUNTIF('(당초)칠전리'!$J$6:$J$232,'(당초)집계표'!W80)</f>
        <v>0</v>
      </c>
      <c r="I80" s="37" t="s">
        <v>11</v>
      </c>
      <c r="J80" s="213">
        <f>SUMIF('(당초)칠전리'!$J$6:$J$232,'(당초)집계표'!W80,'(당초)칠전리'!$F$6:$F$232)</f>
        <v>0</v>
      </c>
      <c r="K80" s="36">
        <f t="shared" si="4"/>
        <v>0</v>
      </c>
      <c r="L80" s="37" t="s">
        <v>11</v>
      </c>
      <c r="M80" s="213">
        <f t="shared" si="5"/>
        <v>0</v>
      </c>
      <c r="N80" s="39"/>
      <c r="O80" s="23"/>
      <c r="P80" s="23"/>
      <c r="Q80" s="23"/>
      <c r="R80" s="23"/>
      <c r="S80" s="23"/>
      <c r="T80" s="23"/>
      <c r="U80" s="24" t="s">
        <v>1147</v>
      </c>
      <c r="V80" s="23" t="s">
        <v>1131</v>
      </c>
      <c r="W80" s="332" t="s">
        <v>1170</v>
      </c>
    </row>
    <row r="81" spans="1:23" s="24" customFormat="1" ht="23.1" customHeight="1">
      <c r="A81" s="104" t="s">
        <v>27</v>
      </c>
      <c r="B81" s="36">
        <f>COUNTIF('(당초)칠전리'!$D$6:$D$232,'(당초)집계표'!U81)</f>
        <v>0</v>
      </c>
      <c r="C81" s="37" t="s">
        <v>11</v>
      </c>
      <c r="D81" s="213">
        <f>SUMIF('(당초)칠전리'!$D$6:$D$232,'(당초)집계표'!U81,'(당초)칠전리'!$F$6:$F$232)</f>
        <v>0</v>
      </c>
      <c r="E81" s="36">
        <f>COUNTIF('(당초)칠전리'!$J$6:$J$232,'(당초)집계표'!V81)</f>
        <v>0</v>
      </c>
      <c r="F81" s="37" t="s">
        <v>11</v>
      </c>
      <c r="G81" s="213">
        <f>SUMIF('(당초)칠전리'!$J$6:$J$232,'(당초)집계표'!V81,'(당초)칠전리'!$F$6:$F$232)</f>
        <v>0</v>
      </c>
      <c r="H81" s="36">
        <f>COUNTIF('(당초)칠전리'!$J$6:$J$232,'(당초)집계표'!W81)</f>
        <v>0</v>
      </c>
      <c r="I81" s="37" t="s">
        <v>11</v>
      </c>
      <c r="J81" s="213">
        <f>SUMIF('(당초)칠전리'!$J$6:$J$232,'(당초)집계표'!W81,'(당초)칠전리'!$F$6:$F$232)</f>
        <v>0</v>
      </c>
      <c r="K81" s="36">
        <f t="shared" si="4"/>
        <v>0</v>
      </c>
      <c r="L81" s="37" t="s">
        <v>11</v>
      </c>
      <c r="M81" s="213">
        <f t="shared" si="5"/>
        <v>0</v>
      </c>
      <c r="N81" s="39"/>
      <c r="O81" s="23"/>
      <c r="P81" s="23"/>
      <c r="Q81" s="23"/>
      <c r="R81" s="23"/>
      <c r="S81" s="23"/>
      <c r="T81" s="23"/>
      <c r="U81" s="24" t="s">
        <v>1148</v>
      </c>
      <c r="V81" s="23" t="s">
        <v>1132</v>
      </c>
      <c r="W81" s="332" t="s">
        <v>1171</v>
      </c>
    </row>
    <row r="82" spans="1:23" s="24" customFormat="1" ht="23.1" customHeight="1">
      <c r="A82" s="104" t="s">
        <v>28</v>
      </c>
      <c r="B82" s="36">
        <f>COUNTIF('(당초)칠전리'!$D$6:$D$232,'(당초)집계표'!U82)</f>
        <v>0</v>
      </c>
      <c r="C82" s="37" t="s">
        <v>11</v>
      </c>
      <c r="D82" s="213">
        <f>SUMIF('(당초)칠전리'!$D$6:$D$232,'(당초)집계표'!U82,'(당초)칠전리'!$F$6:$F$232)</f>
        <v>0</v>
      </c>
      <c r="E82" s="36">
        <f>COUNTIF('(당초)칠전리'!$J$6:$J$232,'(당초)집계표'!V82)</f>
        <v>0</v>
      </c>
      <c r="F82" s="37" t="s">
        <v>11</v>
      </c>
      <c r="G82" s="213">
        <f>SUMIF('(당초)칠전리'!$J$6:$J$232,'(당초)집계표'!V82,'(당초)칠전리'!$F$6:$F$232)</f>
        <v>0</v>
      </c>
      <c r="H82" s="36">
        <f>COUNTIF('(당초)칠전리'!$J$6:$J$232,'(당초)집계표'!W82)</f>
        <v>0</v>
      </c>
      <c r="I82" s="37" t="s">
        <v>11</v>
      </c>
      <c r="J82" s="213">
        <f>SUMIF('(당초)칠전리'!$J$6:$J$232,'(당초)집계표'!W82,'(당초)칠전리'!$F$6:$F$232)</f>
        <v>0</v>
      </c>
      <c r="K82" s="36">
        <f t="shared" si="4"/>
        <v>0</v>
      </c>
      <c r="L82" s="37" t="s">
        <v>11</v>
      </c>
      <c r="M82" s="213">
        <f t="shared" si="5"/>
        <v>0</v>
      </c>
      <c r="N82" s="39"/>
      <c r="O82" s="23"/>
      <c r="P82" s="23"/>
      <c r="Q82" s="23"/>
      <c r="R82" s="23"/>
      <c r="S82" s="23"/>
      <c r="T82" s="23"/>
      <c r="U82" s="24" t="s">
        <v>1149</v>
      </c>
      <c r="V82" s="23" t="s">
        <v>1133</v>
      </c>
      <c r="W82" s="332" t="s">
        <v>1172</v>
      </c>
    </row>
    <row r="83" spans="1:23" s="24" customFormat="1" ht="23.1" customHeight="1">
      <c r="A83" s="104" t="s">
        <v>29</v>
      </c>
      <c r="B83" s="36">
        <f>COUNTIF('(당초)칠전리'!$D$6:$D$232,'(당초)집계표'!U83)</f>
        <v>0</v>
      </c>
      <c r="C83" s="37" t="s">
        <v>11</v>
      </c>
      <c r="D83" s="213">
        <f>SUMIF('(당초)칠전리'!$D$6:$D$232,'(당초)집계표'!U83,'(당초)칠전리'!$F$6:$F$232)</f>
        <v>0</v>
      </c>
      <c r="E83" s="36">
        <f>COUNTIF('(당초)칠전리'!$J$6:$J$232,'(당초)집계표'!V83)</f>
        <v>0</v>
      </c>
      <c r="F83" s="37" t="s">
        <v>11</v>
      </c>
      <c r="G83" s="213">
        <f>SUMIF('(당초)칠전리'!$J$6:$J$232,'(당초)집계표'!V83,'(당초)칠전리'!$F$6:$F$232)</f>
        <v>0</v>
      </c>
      <c r="H83" s="36">
        <f>COUNTIF('(당초)칠전리'!$J$6:$J$232,'(당초)집계표'!W83)</f>
        <v>0</v>
      </c>
      <c r="I83" s="37" t="s">
        <v>11</v>
      </c>
      <c r="J83" s="213">
        <f>SUMIF('(당초)칠전리'!$J$6:$J$232,'(당초)집계표'!W83,'(당초)칠전리'!$F$6:$F$232)</f>
        <v>0</v>
      </c>
      <c r="K83" s="36">
        <f t="shared" si="4"/>
        <v>0</v>
      </c>
      <c r="L83" s="37" t="s">
        <v>11</v>
      </c>
      <c r="M83" s="213">
        <f t="shared" si="5"/>
        <v>0</v>
      </c>
      <c r="N83" s="39"/>
      <c r="O83" s="23"/>
      <c r="P83" s="23"/>
      <c r="Q83" s="23"/>
      <c r="R83" s="23"/>
      <c r="S83" s="23"/>
      <c r="T83" s="23"/>
      <c r="U83" s="24" t="s">
        <v>1150</v>
      </c>
      <c r="V83" s="23" t="s">
        <v>1134</v>
      </c>
      <c r="W83" s="332" t="s">
        <v>1173</v>
      </c>
    </row>
    <row r="84" spans="1:23" s="24" customFormat="1" ht="23.1" customHeight="1">
      <c r="A84" s="105" t="s">
        <v>30</v>
      </c>
      <c r="B84" s="36">
        <f>COUNTIF('(당초)칠전리'!$D$6:$D$232,'(당초)집계표'!U84)</f>
        <v>0</v>
      </c>
      <c r="C84" s="37" t="s">
        <v>11</v>
      </c>
      <c r="D84" s="213">
        <f>SUMIF('(당초)칠전리'!$D$6:$D$232,'(당초)집계표'!U84,'(당초)칠전리'!$F$6:$F$232)</f>
        <v>0</v>
      </c>
      <c r="E84" s="36">
        <f>COUNTIF('(당초)칠전리'!$J$6:$J$232,'(당초)집계표'!V84)</f>
        <v>0</v>
      </c>
      <c r="F84" s="37" t="s">
        <v>11</v>
      </c>
      <c r="G84" s="213">
        <f>SUMIF('(당초)칠전리'!$J$6:$J$232,'(당초)집계표'!V84,'(당초)칠전리'!$F$6:$F$232)</f>
        <v>0</v>
      </c>
      <c r="H84" s="36">
        <f>COUNTIF('(당초)칠전리'!$J$6:$J$232,'(당초)집계표'!W84)</f>
        <v>0</v>
      </c>
      <c r="I84" s="37" t="s">
        <v>11</v>
      </c>
      <c r="J84" s="213">
        <f>SUMIF('(당초)칠전리'!$J$6:$J$232,'(당초)집계표'!W84,'(당초)칠전리'!$F$6:$F$232)</f>
        <v>0</v>
      </c>
      <c r="K84" s="36">
        <f t="shared" si="4"/>
        <v>0</v>
      </c>
      <c r="L84" s="37" t="s">
        <v>11</v>
      </c>
      <c r="M84" s="213">
        <f t="shared" si="5"/>
        <v>0</v>
      </c>
      <c r="N84" s="39"/>
      <c r="O84" s="23"/>
      <c r="P84" s="23"/>
      <c r="Q84" s="23"/>
      <c r="R84" s="23"/>
      <c r="S84" s="23"/>
      <c r="T84" s="23"/>
      <c r="U84" s="24" t="s">
        <v>1151</v>
      </c>
      <c r="V84" s="23" t="s">
        <v>1135</v>
      </c>
      <c r="W84" s="332" t="s">
        <v>1174</v>
      </c>
    </row>
    <row r="85" spans="1:23" s="24" customFormat="1" ht="23.1" customHeight="1">
      <c r="A85" s="105" t="s">
        <v>1193</v>
      </c>
      <c r="B85" s="36">
        <f>COUNTIF('(당초)칠전리'!$D$6:$D$232,'(당초)집계표'!U85)</f>
        <v>0</v>
      </c>
      <c r="C85" s="37" t="s">
        <v>11</v>
      </c>
      <c r="D85" s="213">
        <f>SUMIF('(당초)칠전리'!$D$6:$D$232,'(당초)집계표'!U85,'(당초)칠전리'!$F$6:$F$232)</f>
        <v>0</v>
      </c>
      <c r="E85" s="36">
        <f>COUNTIF('(당초)칠전리'!$J$6:$J$232,'(당초)집계표'!V85)</f>
        <v>0</v>
      </c>
      <c r="F85" s="37" t="s">
        <v>11</v>
      </c>
      <c r="G85" s="213">
        <f>SUMIF('(당초)칠전리'!$J$6:$J$232,'(당초)집계표'!V85,'(당초)칠전리'!$F$6:$F$232)</f>
        <v>0</v>
      </c>
      <c r="H85" s="36">
        <f>COUNTIF('(당초)칠전리'!$J$6:$J$232,'(당초)집계표'!W85)</f>
        <v>0</v>
      </c>
      <c r="I85" s="37" t="s">
        <v>11</v>
      </c>
      <c r="J85" s="213">
        <f>SUMIF('(당초)칠전리'!$J$6:$J$232,'(당초)집계표'!W85,'(당초)칠전리'!$F$6:$F$232)</f>
        <v>0</v>
      </c>
      <c r="K85" s="36">
        <f t="shared" si="4"/>
        <v>0</v>
      </c>
      <c r="L85" s="37" t="s">
        <v>11</v>
      </c>
      <c r="M85" s="213">
        <f t="shared" si="5"/>
        <v>0</v>
      </c>
      <c r="N85" s="39"/>
      <c r="O85" s="23"/>
      <c r="P85" s="23"/>
      <c r="Q85" s="23"/>
      <c r="R85" s="23"/>
      <c r="S85" s="23"/>
      <c r="T85" s="23"/>
      <c r="U85" s="24" t="s">
        <v>1194</v>
      </c>
      <c r="V85" s="23" t="s">
        <v>1136</v>
      </c>
      <c r="W85" s="332" t="s">
        <v>1175</v>
      </c>
    </row>
    <row r="86" spans="1:23" s="24" customFormat="1" ht="23.1" customHeight="1">
      <c r="A86" s="105" t="s">
        <v>32</v>
      </c>
      <c r="B86" s="36">
        <f>COUNTIF('(당초)칠전리'!$D$6:$D$232,'(당초)집계표'!U86)</f>
        <v>0</v>
      </c>
      <c r="C86" s="37" t="s">
        <v>11</v>
      </c>
      <c r="D86" s="213">
        <f>SUMIF('(당초)칠전리'!$D$6:$D$232,'(당초)집계표'!U86,'(당초)칠전리'!$F$6:$F$232)</f>
        <v>0</v>
      </c>
      <c r="E86" s="36">
        <f>COUNTIF('(당초)칠전리'!$J$6:$J$232,'(당초)집계표'!V86)</f>
        <v>0</v>
      </c>
      <c r="F86" s="37" t="s">
        <v>11</v>
      </c>
      <c r="G86" s="213">
        <f>SUMIF('(당초)칠전리'!$J$6:$J$232,'(당초)집계표'!V86,'(당초)칠전리'!$F$6:$F$232)</f>
        <v>0</v>
      </c>
      <c r="H86" s="36">
        <f>COUNTIF('(당초)칠전리'!$J$6:$J$232,'(당초)집계표'!W86)</f>
        <v>0</v>
      </c>
      <c r="I86" s="37" t="s">
        <v>11</v>
      </c>
      <c r="J86" s="213">
        <f>SUMIF('(당초)칠전리'!$J$6:$J$232,'(당초)집계표'!W86,'(당초)칠전리'!$F$6:$F$232)</f>
        <v>0</v>
      </c>
      <c r="K86" s="36">
        <f t="shared" si="4"/>
        <v>0</v>
      </c>
      <c r="L86" s="37" t="s">
        <v>11</v>
      </c>
      <c r="M86" s="213">
        <f t="shared" si="5"/>
        <v>0</v>
      </c>
      <c r="N86" s="39"/>
      <c r="O86" s="23"/>
      <c r="P86" s="23"/>
      <c r="Q86" s="23"/>
      <c r="R86" s="23"/>
      <c r="S86" s="23"/>
      <c r="T86" s="23"/>
      <c r="U86" s="24" t="s">
        <v>994</v>
      </c>
      <c r="V86" s="23" t="s">
        <v>1128</v>
      </c>
      <c r="W86" s="332" t="s">
        <v>1167</v>
      </c>
    </row>
    <row r="87" spans="1:23" s="24" customFormat="1" ht="23.1" customHeight="1">
      <c r="A87" s="105" t="s">
        <v>33</v>
      </c>
      <c r="B87" s="36">
        <f>COUNTIF('(당초)칠전리'!$D$6:$D$232,'(당초)집계표'!U87)</f>
        <v>0</v>
      </c>
      <c r="C87" s="37" t="s">
        <v>11</v>
      </c>
      <c r="D87" s="213">
        <f>SUMIF('(당초)칠전리'!$D$6:$D$232,'(당초)집계표'!U87,'(당초)칠전리'!$F$6:$F$232)</f>
        <v>0</v>
      </c>
      <c r="E87" s="36">
        <f>COUNTIF('(당초)칠전리'!$J$6:$J$232,'(당초)집계표'!V87)</f>
        <v>0</v>
      </c>
      <c r="F87" s="37" t="s">
        <v>11</v>
      </c>
      <c r="G87" s="213">
        <f>SUMIF('(당초)칠전리'!$J$6:$J$232,'(당초)집계표'!V87,'(당초)칠전리'!$F$6:$F$232)</f>
        <v>0</v>
      </c>
      <c r="H87" s="36">
        <f>COUNTIF('(당초)칠전리'!$J$6:$J$232,'(당초)집계표'!W87)</f>
        <v>0</v>
      </c>
      <c r="I87" s="37" t="s">
        <v>11</v>
      </c>
      <c r="J87" s="213">
        <f>SUMIF('(당초)칠전리'!$J$6:$J$232,'(당초)집계표'!W87,'(당초)칠전리'!$F$6:$F$232)</f>
        <v>0</v>
      </c>
      <c r="K87" s="36">
        <f t="shared" si="4"/>
        <v>0</v>
      </c>
      <c r="L87" s="37" t="s">
        <v>11</v>
      </c>
      <c r="M87" s="213">
        <f t="shared" si="5"/>
        <v>0</v>
      </c>
      <c r="N87" s="39"/>
      <c r="O87" s="23"/>
      <c r="P87" s="23"/>
      <c r="Q87" s="23"/>
      <c r="R87" s="23"/>
      <c r="S87" s="23"/>
      <c r="T87" s="23"/>
      <c r="U87" s="24" t="s">
        <v>1153</v>
      </c>
      <c r="V87" s="23" t="s">
        <v>1137</v>
      </c>
      <c r="W87" s="332" t="s">
        <v>1176</v>
      </c>
    </row>
    <row r="88" spans="1:23" s="24" customFormat="1" ht="23.1" customHeight="1">
      <c r="A88" s="105" t="s">
        <v>34</v>
      </c>
      <c r="B88" s="36">
        <f>COUNTIF('(당초)칠전리'!$D$6:$D$232,'(당초)집계표'!U88)</f>
        <v>0</v>
      </c>
      <c r="C88" s="37" t="s">
        <v>11</v>
      </c>
      <c r="D88" s="213">
        <f>SUMIF('(당초)칠전리'!$D$6:$D$232,'(당초)집계표'!U88,'(당초)칠전리'!$F$6:$F$232)</f>
        <v>0</v>
      </c>
      <c r="E88" s="36">
        <f>COUNTIF('(당초)칠전리'!$J$6:$J$232,'(당초)집계표'!V88)</f>
        <v>0</v>
      </c>
      <c r="F88" s="37" t="s">
        <v>11</v>
      </c>
      <c r="G88" s="213">
        <f>SUMIF('(당초)칠전리'!$J$6:$J$232,'(당초)집계표'!V88,'(당초)칠전리'!$F$6:$F$232)</f>
        <v>0</v>
      </c>
      <c r="H88" s="36">
        <f>COUNTIF('(당초)칠전리'!$J$6:$J$232,'(당초)집계표'!W88)</f>
        <v>0</v>
      </c>
      <c r="I88" s="37" t="s">
        <v>11</v>
      </c>
      <c r="J88" s="213">
        <f>SUMIF('(당초)칠전리'!$J$6:$J$232,'(당초)집계표'!W88,'(당초)칠전리'!$F$6:$F$232)</f>
        <v>0</v>
      </c>
      <c r="K88" s="36">
        <f t="shared" si="4"/>
        <v>0</v>
      </c>
      <c r="L88" s="37" t="s">
        <v>11</v>
      </c>
      <c r="M88" s="213">
        <f t="shared" si="5"/>
        <v>0</v>
      </c>
      <c r="N88" s="39"/>
      <c r="O88" s="23"/>
      <c r="P88" s="23"/>
      <c r="Q88" s="23"/>
      <c r="R88" s="23"/>
      <c r="S88" s="23"/>
      <c r="T88" s="23"/>
      <c r="U88" s="24" t="s">
        <v>1154</v>
      </c>
      <c r="V88" s="23" t="s">
        <v>1138</v>
      </c>
      <c r="W88" s="332" t="s">
        <v>1177</v>
      </c>
    </row>
    <row r="89" spans="1:23" s="24" customFormat="1" ht="23.1" customHeight="1">
      <c r="A89" s="105" t="s">
        <v>71</v>
      </c>
      <c r="B89" s="36">
        <f>COUNTIF('(당초)칠전리'!$D$6:$D$232,'(당초)집계표'!U89)</f>
        <v>0</v>
      </c>
      <c r="C89" s="37" t="s">
        <v>11</v>
      </c>
      <c r="D89" s="213">
        <f>SUMIF('(당초)칠전리'!$D$6:$D$232,'(당초)집계표'!U89,'(당초)칠전리'!$F$6:$F$232)</f>
        <v>0</v>
      </c>
      <c r="E89" s="36">
        <f>COUNTIF('(당초)칠전리'!$J$6:$J$232,'(당초)집계표'!V89)</f>
        <v>0</v>
      </c>
      <c r="F89" s="37" t="s">
        <v>11</v>
      </c>
      <c r="G89" s="213">
        <f>SUMIF('(당초)칠전리'!$J$6:$J$232,'(당초)집계표'!V89,'(당초)칠전리'!$F$6:$F$232)</f>
        <v>0</v>
      </c>
      <c r="H89" s="36">
        <f>COUNTIF('(당초)칠전리'!$J$6:$J$232,'(당초)집계표'!W89)</f>
        <v>0</v>
      </c>
      <c r="I89" s="37" t="s">
        <v>11</v>
      </c>
      <c r="J89" s="213">
        <f>SUMIF('(당초)칠전리'!$J$6:$J$232,'(당초)집계표'!W89,'(당초)칠전리'!$F$6:$F$232)</f>
        <v>0</v>
      </c>
      <c r="K89" s="36">
        <f t="shared" si="4"/>
        <v>0</v>
      </c>
      <c r="L89" s="37" t="s">
        <v>11</v>
      </c>
      <c r="M89" s="213">
        <f t="shared" si="5"/>
        <v>0</v>
      </c>
      <c r="N89" s="39"/>
      <c r="O89" s="23"/>
      <c r="P89" s="23"/>
      <c r="Q89" s="23"/>
      <c r="R89" s="23"/>
      <c r="S89" s="23"/>
      <c r="T89" s="23"/>
      <c r="U89" s="24" t="s">
        <v>1155</v>
      </c>
      <c r="V89" s="23" t="s">
        <v>1139</v>
      </c>
      <c r="W89" s="332" t="s">
        <v>1178</v>
      </c>
    </row>
    <row r="90" spans="1:23" s="24" customFormat="1" ht="23.1" customHeight="1">
      <c r="A90" s="105" t="s">
        <v>75</v>
      </c>
      <c r="B90" s="36">
        <f>COUNTIF('(당초)칠전리'!$D$6:$D$232,'(당초)집계표'!U90)</f>
        <v>1</v>
      </c>
      <c r="C90" s="37" t="s">
        <v>11</v>
      </c>
      <c r="D90" s="213">
        <f>SUMIF('(당초)칠전리'!$D$6:$D$232,'(당초)집계표'!U90,'(당초)칠전리'!$F$6:$F$232)</f>
        <v>16</v>
      </c>
      <c r="E90" s="36">
        <f>COUNTIF('(당초)칠전리'!$J$6:$J$232,'(당초)집계표'!V90)</f>
        <v>0</v>
      </c>
      <c r="F90" s="37" t="s">
        <v>11</v>
      </c>
      <c r="G90" s="213">
        <f>SUMIF('(당초)칠전리'!$J$6:$J$232,'(당초)집계표'!V90,'(당초)칠전리'!$F$6:$F$232)</f>
        <v>0</v>
      </c>
      <c r="H90" s="36">
        <f>COUNTIF('(당초)칠전리'!$J$6:$J$232,'(당초)집계표'!W90)</f>
        <v>1</v>
      </c>
      <c r="I90" s="37" t="s">
        <v>11</v>
      </c>
      <c r="J90" s="213">
        <f>SUMIF('(당초)칠전리'!$J$6:$J$232,'(당초)집계표'!W90,'(당초)칠전리'!$F$6:$F$232)</f>
        <v>16</v>
      </c>
      <c r="K90" s="36">
        <f t="shared" si="4"/>
        <v>0</v>
      </c>
      <c r="L90" s="37" t="s">
        <v>11</v>
      </c>
      <c r="M90" s="213">
        <f t="shared" si="5"/>
        <v>0</v>
      </c>
      <c r="N90" s="39"/>
      <c r="O90" s="23"/>
      <c r="P90" s="23"/>
      <c r="Q90" s="23"/>
      <c r="R90" s="23"/>
      <c r="S90" s="23"/>
      <c r="T90" s="23"/>
      <c r="U90" s="24" t="s">
        <v>1187</v>
      </c>
      <c r="V90" s="23" t="s">
        <v>1188</v>
      </c>
      <c r="W90" s="332" t="s">
        <v>1189</v>
      </c>
    </row>
    <row r="91" spans="1:23" s="24" customFormat="1" ht="23.1" customHeight="1">
      <c r="A91" s="106" t="s">
        <v>68</v>
      </c>
      <c r="B91" s="36">
        <f>COUNTIF('(당초)칠전리'!$D$6:$D$232,'(당초)집계표'!U91)</f>
        <v>0</v>
      </c>
      <c r="C91" s="41" t="s">
        <v>11</v>
      </c>
      <c r="D91" s="213">
        <f>SUMIF('(당초)칠전리'!$D$6:$D$232,'(당초)집계표'!U91,'(당초)칠전리'!$F$6:$F$232)</f>
        <v>0</v>
      </c>
      <c r="E91" s="36">
        <f>COUNTIF('(당초)칠전리'!$J$6:$J$232,'(당초)집계표'!V91)</f>
        <v>0</v>
      </c>
      <c r="F91" s="41" t="s">
        <v>11</v>
      </c>
      <c r="G91" s="213">
        <f>SUMIF('(당초)칠전리'!$J$6:$J$232,'(당초)집계표'!V91,'(당초)칠전리'!$F$6:$F$232)</f>
        <v>0</v>
      </c>
      <c r="H91" s="36">
        <f>COUNTIF('(당초)칠전리'!$J$6:$J$232,'(당초)집계표'!W91)</f>
        <v>0</v>
      </c>
      <c r="I91" s="37" t="s">
        <v>11</v>
      </c>
      <c r="J91" s="213">
        <f>SUMIF('(당초)칠전리'!$J$6:$J$232,'(당초)집계표'!W91,'(당초)칠전리'!$F$6:$F$232)</f>
        <v>0</v>
      </c>
      <c r="K91" s="40">
        <f t="shared" si="4"/>
        <v>0</v>
      </c>
      <c r="L91" s="41" t="s">
        <v>11</v>
      </c>
      <c r="M91" s="214">
        <f t="shared" si="5"/>
        <v>0</v>
      </c>
      <c r="N91" s="43"/>
      <c r="O91" s="23"/>
      <c r="P91" s="23"/>
      <c r="Q91" s="23"/>
      <c r="R91" s="23"/>
      <c r="S91" s="23"/>
      <c r="T91" s="23"/>
      <c r="U91" s="24" t="s">
        <v>1182</v>
      </c>
      <c r="V91" s="23" t="s">
        <v>1184</v>
      </c>
      <c r="W91" s="332" t="s">
        <v>1185</v>
      </c>
    </row>
    <row r="92" spans="1:23" s="17" customFormat="1" ht="20.100000000000001" customHeight="1">
      <c r="A92" s="11">
        <f>IF(EXACT(O96,O97),,"검산확인요!!!")</f>
        <v>0</v>
      </c>
      <c r="B92" s="12"/>
      <c r="C92" s="12"/>
      <c r="D92" s="12"/>
      <c r="E92" s="12"/>
      <c r="F92" s="12"/>
      <c r="G92" s="12"/>
      <c r="H92" s="12"/>
      <c r="I92" s="12"/>
      <c r="J92" s="12"/>
      <c r="K92" s="13" t="e">
        <f>IF(ISBLANK(#REF!),,#REF!)</f>
        <v>#REF!</v>
      </c>
      <c r="L92" s="14"/>
      <c r="M92" s="15"/>
      <c r="N92" s="16"/>
    </row>
    <row r="93" spans="1:23" s="17" customFormat="1" ht="9.75" customHeight="1">
      <c r="A93" s="11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spans="1:23" s="24" customFormat="1" ht="27.95" customHeight="1">
      <c r="A94" s="199" t="s">
        <v>9</v>
      </c>
      <c r="B94" s="361" t="s">
        <v>8</v>
      </c>
      <c r="C94" s="362"/>
      <c r="D94" s="362"/>
      <c r="E94" s="215" t="s">
        <v>35</v>
      </c>
      <c r="F94" s="216"/>
      <c r="G94" s="217"/>
      <c r="H94" s="215" t="s">
        <v>63</v>
      </c>
      <c r="I94" s="216"/>
      <c r="J94" s="217"/>
      <c r="K94" s="215" t="s">
        <v>36</v>
      </c>
      <c r="L94" s="216"/>
      <c r="M94" s="217"/>
      <c r="N94" s="22" t="s">
        <v>37</v>
      </c>
      <c r="O94" s="23"/>
      <c r="S94" s="23"/>
      <c r="T94" s="23"/>
      <c r="U94" s="23"/>
      <c r="V94" s="23"/>
    </row>
    <row r="95" spans="1:23" s="24" customFormat="1" ht="27.95" customHeight="1">
      <c r="A95" s="25"/>
      <c r="B95" s="26" t="s">
        <v>10</v>
      </c>
      <c r="C95" s="27" t="s">
        <v>11</v>
      </c>
      <c r="D95" s="28" t="s">
        <v>38</v>
      </c>
      <c r="E95" s="185" t="s">
        <v>10</v>
      </c>
      <c r="F95" s="186" t="s">
        <v>11</v>
      </c>
      <c r="G95" s="184" t="s">
        <v>38</v>
      </c>
      <c r="H95" s="185" t="s">
        <v>10</v>
      </c>
      <c r="I95" s="186" t="s">
        <v>11</v>
      </c>
      <c r="J95" s="184" t="s">
        <v>38</v>
      </c>
      <c r="K95" s="185" t="s">
        <v>10</v>
      </c>
      <c r="L95" s="186" t="s">
        <v>11</v>
      </c>
      <c r="M95" s="184" t="s">
        <v>38</v>
      </c>
      <c r="N95" s="29"/>
      <c r="P95" s="23"/>
      <c r="Q95" s="30" t="s">
        <v>39</v>
      </c>
      <c r="R95" s="30" t="s">
        <v>40</v>
      </c>
      <c r="S95" s="30" t="s">
        <v>41</v>
      </c>
      <c r="T95" s="30" t="s">
        <v>42</v>
      </c>
      <c r="U95" s="23"/>
      <c r="V95" s="23"/>
    </row>
    <row r="96" spans="1:23" s="24" customFormat="1" ht="23.1" customHeight="1">
      <c r="A96" s="103" t="s">
        <v>8</v>
      </c>
      <c r="B96" s="31">
        <f>SUM(B97:B121)</f>
        <v>122</v>
      </c>
      <c r="C96" s="32" t="s">
        <v>11</v>
      </c>
      <c r="D96" s="212">
        <f>SUM(D97:D121)</f>
        <v>124461.39999999997</v>
      </c>
      <c r="E96" s="31">
        <f>SUM(E97:E121)</f>
        <v>15</v>
      </c>
      <c r="F96" s="32" t="s">
        <v>11</v>
      </c>
      <c r="G96" s="212">
        <f>SUM(G97:G121)</f>
        <v>9891.7999999999993</v>
      </c>
      <c r="H96" s="31">
        <f>SUM(H97:H121)</f>
        <v>102</v>
      </c>
      <c r="I96" s="32" t="s">
        <v>11</v>
      </c>
      <c r="J96" s="212">
        <f>SUM(J97:J121)</f>
        <v>113971.59999999998</v>
      </c>
      <c r="K96" s="31">
        <f>SUM(K97:K121)</f>
        <v>5</v>
      </c>
      <c r="L96" s="32" t="s">
        <v>11</v>
      </c>
      <c r="M96" s="212">
        <f>SUM(M97:M121)</f>
        <v>598.00000000000182</v>
      </c>
      <c r="N96" s="34"/>
      <c r="O96" s="23" t="str">
        <f>IF(EXACT(Q96,T96),"맞음","틀림")</f>
        <v>틀림</v>
      </c>
      <c r="P96" s="23" t="s">
        <v>10</v>
      </c>
      <c r="Q96" s="35">
        <f>SUM(B97:B121)</f>
        <v>122</v>
      </c>
      <c r="R96" s="35">
        <f>SUM(E97:E121)</f>
        <v>15</v>
      </c>
      <c r="S96" s="35">
        <f>SUM(K97:K121)</f>
        <v>5</v>
      </c>
      <c r="T96" s="35">
        <f>K96+E96</f>
        <v>20</v>
      </c>
      <c r="U96" s="23"/>
      <c r="V96" s="23"/>
    </row>
    <row r="97" spans="1:23" s="24" customFormat="1" ht="23.1" customHeight="1">
      <c r="A97" s="104" t="s">
        <v>13</v>
      </c>
      <c r="B97" s="36">
        <f>COUNTIF('(당초)마룡리'!$D$6:$D$127,'(당초)집계표'!U97)</f>
        <v>7</v>
      </c>
      <c r="C97" s="37" t="s">
        <v>11</v>
      </c>
      <c r="D97" s="213">
        <f>SUMIF('(당초)마룡리'!$D$6:$D$127,'(당초)집계표'!U97,'(당초)마룡리'!$F$6:$F$127)</f>
        <v>3505</v>
      </c>
      <c r="E97" s="36">
        <f>COUNTIF('(당초)마룡리'!$J$6:$J$127,'(당초)집계표'!V97)</f>
        <v>0</v>
      </c>
      <c r="F97" s="37" t="s">
        <v>11</v>
      </c>
      <c r="G97" s="213">
        <f>SUMIF('(당초)마룡리'!$J$6:$J$127,'(당초)집계표'!V97,'(당초)마룡리'!$F$6:$F$127)</f>
        <v>0</v>
      </c>
      <c r="H97" s="36">
        <f>COUNTIF('(당초)마룡리'!$J$6:$J$127,'(당초)집계표'!W97)</f>
        <v>6</v>
      </c>
      <c r="I97" s="37" t="s">
        <v>11</v>
      </c>
      <c r="J97" s="213">
        <f>SUMIF('(당초)마룡리'!$J$6:$J$127,'(당초)집계표'!W97,'(당초)마룡리'!$F$6:$F$127)</f>
        <v>3462</v>
      </c>
      <c r="K97" s="36">
        <f t="shared" ref="K97:K121" si="6">SUM(B97-E97-H97)</f>
        <v>1</v>
      </c>
      <c r="L97" s="37" t="s">
        <v>11</v>
      </c>
      <c r="M97" s="213">
        <f t="shared" ref="M97:M121" si="7">SUM(D97-G97-J97)</f>
        <v>43</v>
      </c>
      <c r="N97" s="39"/>
      <c r="O97" s="23" t="str">
        <f>IF(EXACT(Q97,T97),"맞음","틀림")</f>
        <v>틀림</v>
      </c>
      <c r="P97" s="23" t="s">
        <v>43</v>
      </c>
      <c r="Q97" s="35">
        <f>SUM(D97:D121)</f>
        <v>124461.39999999997</v>
      </c>
      <c r="R97" s="35">
        <f>SUM(G97:G121)</f>
        <v>9891.7999999999993</v>
      </c>
      <c r="S97" s="35">
        <f>SUM(M97:M121)</f>
        <v>598.00000000000182</v>
      </c>
      <c r="T97" s="35">
        <f>G96+M96</f>
        <v>10489.800000000001</v>
      </c>
      <c r="U97" s="24" t="s">
        <v>13</v>
      </c>
      <c r="V97" s="23" t="s">
        <v>1118</v>
      </c>
      <c r="W97" s="332" t="s">
        <v>1157</v>
      </c>
    </row>
    <row r="98" spans="1:23" s="24" customFormat="1" ht="23.1" customHeight="1">
      <c r="A98" s="104" t="s">
        <v>14</v>
      </c>
      <c r="B98" s="36">
        <f>COUNTIF('(당초)마룡리'!$D$6:$D$127,'(당초)집계표'!U98)</f>
        <v>44</v>
      </c>
      <c r="C98" s="37" t="s">
        <v>11</v>
      </c>
      <c r="D98" s="213">
        <f>SUMIF('(당초)마룡리'!$D$6:$D$127,'(당초)집계표'!U98,'(당초)마룡리'!$F$6:$F$127)</f>
        <v>46694.599999999984</v>
      </c>
      <c r="E98" s="36">
        <f>COUNTIF('(당초)마룡리'!$J$6:$J$127,'(당초)집계표'!V98)</f>
        <v>0</v>
      </c>
      <c r="F98" s="37" t="s">
        <v>11</v>
      </c>
      <c r="G98" s="213">
        <f>SUMIF('(당초)마룡리'!$J$6:$J$127,'(당초)집계표'!V98,'(당초)마룡리'!$F$6:$F$127)</f>
        <v>0</v>
      </c>
      <c r="H98" s="36">
        <f>COUNTIF('(당초)마룡리'!$J$6:$J$127,'(당초)집계표'!W98)</f>
        <v>44</v>
      </c>
      <c r="I98" s="37" t="s">
        <v>11</v>
      </c>
      <c r="J98" s="213">
        <f>SUMIF('(당초)마룡리'!$J$6:$J$127,'(당초)집계표'!W98,'(당초)마룡리'!$F$6:$F$127)</f>
        <v>46694.599999999984</v>
      </c>
      <c r="K98" s="36">
        <f t="shared" si="6"/>
        <v>0</v>
      </c>
      <c r="L98" s="37" t="s">
        <v>11</v>
      </c>
      <c r="M98" s="213">
        <f t="shared" si="7"/>
        <v>0</v>
      </c>
      <c r="N98" s="39"/>
      <c r="Q98" s="23"/>
      <c r="S98" s="23"/>
      <c r="U98" s="24" t="s">
        <v>14</v>
      </c>
      <c r="V98" s="23" t="s">
        <v>1119</v>
      </c>
      <c r="W98" s="332" t="s">
        <v>1158</v>
      </c>
    </row>
    <row r="99" spans="1:23" s="24" customFormat="1" ht="23.1" customHeight="1">
      <c r="A99" s="104" t="s">
        <v>15</v>
      </c>
      <c r="B99" s="36">
        <f>COUNTIF('(당초)마룡리'!$D$6:$D$127,'(당초)집계표'!U99)</f>
        <v>41</v>
      </c>
      <c r="C99" s="37" t="s">
        <v>11</v>
      </c>
      <c r="D99" s="213">
        <f>SUMIF('(당초)마룡리'!$D$6:$D$127,'(당초)집계표'!U99,'(당초)마룡리'!$F$6:$F$127)</f>
        <v>49066</v>
      </c>
      <c r="E99" s="36">
        <f>COUNTIF('(당초)마룡리'!$J$6:$J$127,'(당초)집계표'!V99)</f>
        <v>0</v>
      </c>
      <c r="F99" s="37" t="s">
        <v>11</v>
      </c>
      <c r="G99" s="213">
        <f>SUMIF('(당초)마룡리'!$J$6:$J$127,'(당초)집계표'!V99,'(당초)마룡리'!$F$6:$F$127)</f>
        <v>0</v>
      </c>
      <c r="H99" s="36">
        <f>COUNTIF('(당초)마룡리'!$J$6:$J$127,'(당초)집계표'!W99)</f>
        <v>38</v>
      </c>
      <c r="I99" s="37" t="s">
        <v>11</v>
      </c>
      <c r="J99" s="213">
        <f>SUMIF('(당초)마룡리'!$J$6:$J$127,'(당초)집계표'!W99,'(당초)마룡리'!$F$6:$F$127)</f>
        <v>48534</v>
      </c>
      <c r="K99" s="36">
        <f t="shared" si="6"/>
        <v>3</v>
      </c>
      <c r="L99" s="37" t="s">
        <v>11</v>
      </c>
      <c r="M99" s="213">
        <f t="shared" si="7"/>
        <v>532</v>
      </c>
      <c r="N99" s="39"/>
      <c r="Q99" s="23"/>
      <c r="S99" s="23"/>
      <c r="U99" s="24" t="s">
        <v>146</v>
      </c>
      <c r="V99" s="23" t="s">
        <v>1120</v>
      </c>
      <c r="W99" s="332" t="s">
        <v>1159</v>
      </c>
    </row>
    <row r="100" spans="1:23" s="24" customFormat="1" ht="23.1" customHeight="1">
      <c r="A100" s="104" t="s">
        <v>16</v>
      </c>
      <c r="B100" s="36">
        <f>COUNTIF('(당초)마룡리'!$D$6:$D$127,'(당초)집계표'!U100)</f>
        <v>0</v>
      </c>
      <c r="C100" s="37" t="s">
        <v>11</v>
      </c>
      <c r="D100" s="213">
        <f>SUMIF('(당초)마룡리'!$D$6:$D$127,'(당초)집계표'!U100,'(당초)마룡리'!$F$6:$F$127)</f>
        <v>0</v>
      </c>
      <c r="E100" s="36">
        <f>COUNTIF('(당초)마룡리'!$J$6:$J$127,'(당초)집계표'!V100)</f>
        <v>0</v>
      </c>
      <c r="F100" s="37" t="s">
        <v>11</v>
      </c>
      <c r="G100" s="213">
        <f>SUMIF('(당초)마룡리'!$J$6:$J$127,'(당초)집계표'!V100,'(당초)마룡리'!$F$6:$F$127)</f>
        <v>0</v>
      </c>
      <c r="H100" s="36">
        <f>COUNTIF('(당초)마룡리'!$J$6:$J$127,'(당초)집계표'!W100)</f>
        <v>0</v>
      </c>
      <c r="I100" s="37" t="s">
        <v>11</v>
      </c>
      <c r="J100" s="213">
        <f>SUMIF('(당초)마룡리'!$J$6:$J$127,'(당초)집계표'!W100,'(당초)마룡리'!$F$6:$F$127)</f>
        <v>0</v>
      </c>
      <c r="K100" s="36">
        <f t="shared" si="6"/>
        <v>0</v>
      </c>
      <c r="L100" s="37" t="s">
        <v>11</v>
      </c>
      <c r="M100" s="213">
        <f t="shared" si="7"/>
        <v>0</v>
      </c>
      <c r="N100" s="39"/>
      <c r="O100" s="23"/>
      <c r="P100" s="23"/>
      <c r="Q100" s="23"/>
      <c r="R100" s="23"/>
      <c r="S100" s="23"/>
      <c r="T100" s="23"/>
      <c r="U100" s="24" t="s">
        <v>1002</v>
      </c>
      <c r="V100" s="23" t="s">
        <v>1121</v>
      </c>
      <c r="W100" s="332" t="s">
        <v>1160</v>
      </c>
    </row>
    <row r="101" spans="1:23" s="24" customFormat="1" ht="23.1" customHeight="1">
      <c r="A101" s="104" t="s">
        <v>17</v>
      </c>
      <c r="B101" s="36">
        <f>COUNTIF('(당초)마룡리'!$D$6:$D$127,'(당초)집계표'!U101)</f>
        <v>20</v>
      </c>
      <c r="C101" s="37" t="s">
        <v>11</v>
      </c>
      <c r="D101" s="213">
        <f>SUMIF('(당초)마룡리'!$D$6:$D$127,'(당초)집계표'!U101,'(당초)마룡리'!$F$6:$F$127)</f>
        <v>21816.9</v>
      </c>
      <c r="E101" s="36">
        <f>COUNTIF('(당초)마룡리'!$J$6:$J$127,'(당초)집계표'!V101)</f>
        <v>6</v>
      </c>
      <c r="F101" s="37" t="s">
        <v>11</v>
      </c>
      <c r="G101" s="213">
        <f>SUMIF('(당초)마룡리'!$J$6:$J$127,'(당초)집계표'!V101,'(당초)마룡리'!$F$6:$F$127)</f>
        <v>6683.9</v>
      </c>
      <c r="H101" s="36">
        <f>COUNTIF('(당초)마룡리'!$J$6:$J$127,'(당초)집계표'!W101)</f>
        <v>13</v>
      </c>
      <c r="I101" s="37" t="s">
        <v>11</v>
      </c>
      <c r="J101" s="213">
        <f>SUMIF('(당초)마룡리'!$J$6:$J$127,'(당초)집계표'!W101,'(당초)마룡리'!$F$6:$F$127)</f>
        <v>15110</v>
      </c>
      <c r="K101" s="36">
        <f t="shared" si="6"/>
        <v>1</v>
      </c>
      <c r="L101" s="37" t="s">
        <v>11</v>
      </c>
      <c r="M101" s="213">
        <f t="shared" si="7"/>
        <v>23.000000000001819</v>
      </c>
      <c r="N101" s="39"/>
      <c r="O101" s="23"/>
      <c r="P101" s="23"/>
      <c r="Q101" s="23"/>
      <c r="R101" s="23"/>
      <c r="S101" s="23"/>
      <c r="T101" s="23"/>
      <c r="U101" s="24" t="s">
        <v>998</v>
      </c>
      <c r="V101" s="23" t="s">
        <v>1122</v>
      </c>
      <c r="W101" s="332" t="s">
        <v>1161</v>
      </c>
    </row>
    <row r="102" spans="1:23" s="24" customFormat="1" ht="23.1" customHeight="1">
      <c r="A102" s="104" t="s">
        <v>18</v>
      </c>
      <c r="B102" s="36">
        <f>COUNTIF('(당초)마룡리'!$D$6:$D$127,'(당초)집계표'!U102)</f>
        <v>7</v>
      </c>
      <c r="C102" s="37" t="s">
        <v>11</v>
      </c>
      <c r="D102" s="213">
        <f>SUMIF('(당초)마룡리'!$D$6:$D$127,'(당초)집계표'!U102,'(당초)마룡리'!$F$6:$F$127)</f>
        <v>2679</v>
      </c>
      <c r="E102" s="36">
        <f>COUNTIF('(당초)마룡리'!$J$6:$J$127,'(당초)집계표'!V102)</f>
        <v>6</v>
      </c>
      <c r="F102" s="37" t="s">
        <v>11</v>
      </c>
      <c r="G102" s="213">
        <f>SUMIF('(당초)마룡리'!$J$6:$J$127,'(당초)집계표'!V102,'(당초)마룡리'!$F$6:$F$127)</f>
        <v>2508</v>
      </c>
      <c r="H102" s="36">
        <f>COUNTIF('(당초)마룡리'!$J$6:$J$127,'(당초)집계표'!W102)</f>
        <v>1</v>
      </c>
      <c r="I102" s="37" t="s">
        <v>11</v>
      </c>
      <c r="J102" s="213">
        <f>SUMIF('(당초)마룡리'!$J$6:$J$127,'(당초)집계표'!W102,'(당초)마룡리'!$F$6:$F$127)</f>
        <v>171</v>
      </c>
      <c r="K102" s="36">
        <f t="shared" si="6"/>
        <v>0</v>
      </c>
      <c r="L102" s="37" t="s">
        <v>11</v>
      </c>
      <c r="M102" s="213">
        <f t="shared" si="7"/>
        <v>0</v>
      </c>
      <c r="N102" s="39"/>
      <c r="O102" s="23"/>
      <c r="P102" s="23"/>
      <c r="Q102" s="23"/>
      <c r="R102" s="23"/>
      <c r="S102" s="23"/>
      <c r="T102" s="23"/>
      <c r="U102" s="24" t="s">
        <v>1005</v>
      </c>
      <c r="V102" s="23" t="s">
        <v>1123</v>
      </c>
      <c r="W102" s="332" t="s">
        <v>1162</v>
      </c>
    </row>
    <row r="103" spans="1:23" s="24" customFormat="1" ht="23.1" customHeight="1">
      <c r="A103" s="104" t="s">
        <v>19</v>
      </c>
      <c r="B103" s="36">
        <f>COUNTIF('(당초)마룡리'!$D$6:$D$127,'(당초)집계표'!U103)</f>
        <v>1</v>
      </c>
      <c r="C103" s="37" t="s">
        <v>11</v>
      </c>
      <c r="D103" s="213">
        <f>SUMIF('(당초)마룡리'!$D$6:$D$127,'(당초)집계표'!U103,'(당초)마룡리'!$F$6:$F$127)</f>
        <v>597.9</v>
      </c>
      <c r="E103" s="36">
        <f>COUNTIF('(당초)마룡리'!$J$6:$J$127,'(당초)집계표'!V103)</f>
        <v>1</v>
      </c>
      <c r="F103" s="37" t="s">
        <v>11</v>
      </c>
      <c r="G103" s="213">
        <f>SUMIF('(당초)마룡리'!$J$6:$J$127,'(당초)집계표'!V103,'(당초)마룡리'!$F$6:$F$127)</f>
        <v>597.9</v>
      </c>
      <c r="H103" s="36">
        <f>COUNTIF('(당초)마룡리'!$J$6:$J$127,'(당초)집계표'!W103)</f>
        <v>0</v>
      </c>
      <c r="I103" s="37" t="s">
        <v>11</v>
      </c>
      <c r="J103" s="213">
        <f>SUMIF('(당초)마룡리'!$J$6:$J$127,'(당초)집계표'!W103,'(당초)마룡리'!$F$6:$F$127)</f>
        <v>0</v>
      </c>
      <c r="K103" s="36">
        <f t="shared" si="6"/>
        <v>0</v>
      </c>
      <c r="L103" s="37" t="s">
        <v>11</v>
      </c>
      <c r="M103" s="213">
        <f t="shared" si="7"/>
        <v>0</v>
      </c>
      <c r="N103" s="39"/>
      <c r="O103" s="23"/>
      <c r="P103" s="23"/>
      <c r="Q103" s="23"/>
      <c r="R103" s="23"/>
      <c r="S103" s="23"/>
      <c r="T103" s="23"/>
      <c r="U103" s="24" t="s">
        <v>1190</v>
      </c>
      <c r="V103" s="23" t="s">
        <v>1191</v>
      </c>
      <c r="W103" s="332" t="s">
        <v>1192</v>
      </c>
    </row>
    <row r="104" spans="1:23" s="24" customFormat="1" ht="23.1" customHeight="1">
      <c r="A104" s="104" t="s">
        <v>20</v>
      </c>
      <c r="B104" s="36">
        <f>COUNTIF('(당초)마룡리'!$D$6:$D$127,'(당초)집계표'!U104)</f>
        <v>0</v>
      </c>
      <c r="C104" s="37" t="s">
        <v>11</v>
      </c>
      <c r="D104" s="213">
        <f>SUMIF('(당초)마룡리'!$D$6:$D$127,'(당초)집계표'!U104,'(당초)마룡리'!$F$6:$F$127)</f>
        <v>0</v>
      </c>
      <c r="E104" s="36">
        <f>COUNTIF('(당초)마룡리'!$J$6:$J$127,'(당초)집계표'!V104)</f>
        <v>0</v>
      </c>
      <c r="F104" s="37" t="s">
        <v>11</v>
      </c>
      <c r="G104" s="213">
        <f>SUMIF('(당초)마룡리'!$J$6:$J$127,'(당초)집계표'!V104,'(당초)마룡리'!$F$6:$F$127)</f>
        <v>0</v>
      </c>
      <c r="H104" s="36">
        <f>COUNTIF('(당초)마룡리'!$J$6:$J$127,'(당초)집계표'!W104)</f>
        <v>0</v>
      </c>
      <c r="I104" s="37" t="s">
        <v>11</v>
      </c>
      <c r="J104" s="213">
        <f>SUMIF('(당초)마룡리'!$J$6:$J$127,'(당초)집계표'!W104,'(당초)마룡리'!$F$6:$F$127)</f>
        <v>0</v>
      </c>
      <c r="K104" s="36">
        <f t="shared" si="6"/>
        <v>0</v>
      </c>
      <c r="L104" s="37" t="s">
        <v>11</v>
      </c>
      <c r="M104" s="213">
        <f t="shared" si="7"/>
        <v>0</v>
      </c>
      <c r="N104" s="39"/>
      <c r="O104" s="23"/>
      <c r="P104" s="23"/>
      <c r="Q104" s="23"/>
      <c r="R104" s="23"/>
      <c r="S104" s="23"/>
      <c r="T104" s="23"/>
      <c r="U104" s="24" t="s">
        <v>1027</v>
      </c>
      <c r="V104" s="23" t="s">
        <v>1125</v>
      </c>
      <c r="W104" s="332" t="s">
        <v>1164</v>
      </c>
    </row>
    <row r="105" spans="1:23" s="24" customFormat="1" ht="23.1" customHeight="1">
      <c r="A105" s="104" t="s">
        <v>21</v>
      </c>
      <c r="B105" s="36">
        <f>COUNTIF('(당초)마룡리'!$D$6:$D$127,'(당초)집계표'!U105)</f>
        <v>0</v>
      </c>
      <c r="C105" s="37" t="s">
        <v>11</v>
      </c>
      <c r="D105" s="213">
        <f>SUMIF('(당초)마룡리'!$D$6:$D$127,'(당초)집계표'!U105,'(당초)마룡리'!$F$6:$F$127)</f>
        <v>0</v>
      </c>
      <c r="E105" s="36">
        <f>COUNTIF('(당초)마룡리'!$J$6:$J$127,'(당초)집계표'!V105)</f>
        <v>0</v>
      </c>
      <c r="F105" s="37" t="s">
        <v>11</v>
      </c>
      <c r="G105" s="213">
        <f>SUMIF('(당초)마룡리'!$J$6:$J$127,'(당초)집계표'!V105,'(당초)마룡리'!$F$6:$F$127)</f>
        <v>0</v>
      </c>
      <c r="H105" s="36">
        <f>COUNTIF('(당초)마룡리'!$J$6:$J$127,'(당초)집계표'!W105)</f>
        <v>0</v>
      </c>
      <c r="I105" s="37" t="s">
        <v>11</v>
      </c>
      <c r="J105" s="213">
        <f>SUMIF('(당초)마룡리'!$J$6:$J$127,'(당초)집계표'!W105,'(당초)마룡리'!$F$6:$F$127)</f>
        <v>0</v>
      </c>
      <c r="K105" s="36">
        <f t="shared" si="6"/>
        <v>0</v>
      </c>
      <c r="L105" s="37" t="s">
        <v>11</v>
      </c>
      <c r="M105" s="213">
        <f t="shared" si="7"/>
        <v>0</v>
      </c>
      <c r="N105" s="39"/>
      <c r="O105" s="23"/>
      <c r="P105" s="23"/>
      <c r="Q105" s="23"/>
      <c r="R105" s="23"/>
      <c r="S105" s="23"/>
      <c r="T105" s="23"/>
      <c r="U105" s="24" t="s">
        <v>1143</v>
      </c>
      <c r="V105" s="23" t="s">
        <v>1126</v>
      </c>
      <c r="W105" s="332" t="s">
        <v>1165</v>
      </c>
    </row>
    <row r="106" spans="1:23" s="24" customFormat="1" ht="23.1" customHeight="1">
      <c r="A106" s="104" t="s">
        <v>22</v>
      </c>
      <c r="B106" s="36">
        <f>COUNTIF('(당초)마룡리'!$D$6:$D$127,'(당초)집계표'!U106)</f>
        <v>0</v>
      </c>
      <c r="C106" s="37" t="s">
        <v>11</v>
      </c>
      <c r="D106" s="213">
        <f>SUMIF('(당초)마룡리'!$D$6:$D$127,'(당초)집계표'!U106,'(당초)마룡리'!$F$6:$F$127)</f>
        <v>0</v>
      </c>
      <c r="E106" s="36">
        <f>COUNTIF('(당초)마룡리'!$J$6:$J$127,'(당초)집계표'!V106)</f>
        <v>0</v>
      </c>
      <c r="F106" s="37" t="s">
        <v>11</v>
      </c>
      <c r="G106" s="213">
        <f>SUMIF('(당초)마룡리'!$J$6:$J$127,'(당초)집계표'!V106,'(당초)마룡리'!$F$6:$F$127)</f>
        <v>0</v>
      </c>
      <c r="H106" s="36">
        <f>COUNTIF('(당초)마룡리'!$J$6:$J$127,'(당초)집계표'!W106)</f>
        <v>0</v>
      </c>
      <c r="I106" s="37" t="s">
        <v>11</v>
      </c>
      <c r="J106" s="213">
        <f>SUMIF('(당초)마룡리'!$J$6:$J$127,'(당초)집계표'!W106,'(당초)마룡리'!$F$6:$F$127)</f>
        <v>0</v>
      </c>
      <c r="K106" s="36">
        <f t="shared" si="6"/>
        <v>0</v>
      </c>
      <c r="L106" s="37" t="s">
        <v>11</v>
      </c>
      <c r="M106" s="213">
        <f t="shared" si="7"/>
        <v>0</v>
      </c>
      <c r="N106" s="39"/>
      <c r="O106" s="23"/>
      <c r="P106" s="23"/>
      <c r="Q106" s="23"/>
      <c r="R106" s="23"/>
      <c r="S106" s="23"/>
      <c r="T106" s="23"/>
      <c r="U106" s="24" t="s">
        <v>1144</v>
      </c>
      <c r="V106" s="23" t="s">
        <v>1127</v>
      </c>
      <c r="W106" s="332" t="s">
        <v>1166</v>
      </c>
    </row>
    <row r="107" spans="1:23" s="24" customFormat="1" ht="23.1" customHeight="1">
      <c r="A107" s="104" t="s">
        <v>23</v>
      </c>
      <c r="B107" s="36">
        <f>COUNTIF('(당초)마룡리'!$D$6:$D$127,'(당초)집계표'!U107)</f>
        <v>0</v>
      </c>
      <c r="C107" s="37" t="s">
        <v>11</v>
      </c>
      <c r="D107" s="213">
        <f>SUMIF('(당초)마룡리'!$D$6:$D$127,'(당초)집계표'!U107,'(당초)마룡리'!$F$6:$F$127)</f>
        <v>0</v>
      </c>
      <c r="E107" s="36">
        <f>COUNTIF('(당초)마룡리'!$J$6:$J$127,'(당초)집계표'!V107)</f>
        <v>0</v>
      </c>
      <c r="F107" s="37" t="s">
        <v>11</v>
      </c>
      <c r="G107" s="213">
        <f>SUMIF('(당초)마룡리'!$J$6:$J$127,'(당초)집계표'!V107,'(당초)마룡리'!$F$6:$F$127)</f>
        <v>0</v>
      </c>
      <c r="H107" s="36">
        <f>COUNTIF('(당초)마룡리'!$J$6:$J$127,'(당초)집계표'!W107)</f>
        <v>0</v>
      </c>
      <c r="I107" s="37" t="s">
        <v>11</v>
      </c>
      <c r="J107" s="213">
        <f>SUMIF('(당초)마룡리'!$J$6:$J$127,'(당초)집계표'!W107,'(당초)마룡리'!$F$6:$F$127)</f>
        <v>0</v>
      </c>
      <c r="K107" s="36">
        <f t="shared" si="6"/>
        <v>0</v>
      </c>
      <c r="L107" s="37" t="s">
        <v>11</v>
      </c>
      <c r="M107" s="213">
        <f t="shared" si="7"/>
        <v>0</v>
      </c>
      <c r="N107" s="39"/>
      <c r="O107" s="23"/>
      <c r="P107" s="23"/>
      <c r="Q107" s="23"/>
      <c r="R107" s="23"/>
      <c r="S107" s="23"/>
      <c r="T107" s="23"/>
      <c r="U107" s="24" t="s">
        <v>994</v>
      </c>
      <c r="V107" s="23" t="s">
        <v>1128</v>
      </c>
      <c r="W107" s="332" t="s">
        <v>1167</v>
      </c>
    </row>
    <row r="108" spans="1:23" s="24" customFormat="1" ht="23.1" customHeight="1">
      <c r="A108" s="104" t="s">
        <v>24</v>
      </c>
      <c r="B108" s="36">
        <f>COUNTIF('(당초)마룡리'!$D$6:$D$127,'(당초)집계표'!U108)</f>
        <v>0</v>
      </c>
      <c r="C108" s="37" t="s">
        <v>11</v>
      </c>
      <c r="D108" s="213">
        <f>SUMIF('(당초)마룡리'!$D$6:$D$127,'(당초)집계표'!U108,'(당초)마룡리'!$F$6:$F$127)</f>
        <v>0</v>
      </c>
      <c r="E108" s="36">
        <f>COUNTIF('(당초)마룡리'!$J$6:$J$127,'(당초)집계표'!V108)</f>
        <v>0</v>
      </c>
      <c r="F108" s="37" t="s">
        <v>11</v>
      </c>
      <c r="G108" s="213">
        <f>SUMIF('(당초)마룡리'!$J$6:$J$127,'(당초)집계표'!V108,'(당초)마룡리'!$F$6:$F$127)</f>
        <v>0</v>
      </c>
      <c r="H108" s="36">
        <f>COUNTIF('(당초)마룡리'!$J$6:$J$127,'(당초)집계표'!W108)</f>
        <v>0</v>
      </c>
      <c r="I108" s="37" t="s">
        <v>11</v>
      </c>
      <c r="J108" s="213">
        <f>SUMIF('(당초)마룡리'!$J$6:$J$127,'(당초)집계표'!W108,'(당초)마룡리'!$F$6:$F$127)</f>
        <v>0</v>
      </c>
      <c r="K108" s="36">
        <f t="shared" si="6"/>
        <v>0</v>
      </c>
      <c r="L108" s="37" t="s">
        <v>11</v>
      </c>
      <c r="M108" s="213">
        <f t="shared" si="7"/>
        <v>0</v>
      </c>
      <c r="N108" s="39"/>
      <c r="O108" s="23"/>
      <c r="P108" s="23"/>
      <c r="Q108" s="23"/>
      <c r="R108" s="23"/>
      <c r="S108" s="23"/>
      <c r="T108" s="23"/>
      <c r="U108" s="24" t="s">
        <v>1145</v>
      </c>
      <c r="V108" s="23" t="s">
        <v>1129</v>
      </c>
      <c r="W108" s="332" t="s">
        <v>1168</v>
      </c>
    </row>
    <row r="109" spans="1:23" s="24" customFormat="1" ht="23.1" customHeight="1">
      <c r="A109" s="104" t="s">
        <v>25</v>
      </c>
      <c r="B109" s="36">
        <f>COUNTIF('(당초)마룡리'!$D$6:$D$127,'(당초)집계표'!U109)</f>
        <v>0</v>
      </c>
      <c r="C109" s="37" t="s">
        <v>11</v>
      </c>
      <c r="D109" s="213">
        <f>SUMIF('(당초)마룡리'!$D$6:$D$127,'(당초)집계표'!U109,'(당초)마룡리'!$F$6:$F$127)</f>
        <v>0</v>
      </c>
      <c r="E109" s="36">
        <f>COUNTIF('(당초)마룡리'!$J$6:$J$127,'(당초)집계표'!V109)</f>
        <v>0</v>
      </c>
      <c r="F109" s="37" t="s">
        <v>11</v>
      </c>
      <c r="G109" s="213">
        <f>SUMIF('(당초)마룡리'!$J$6:$J$127,'(당초)집계표'!V109,'(당초)마룡리'!$F$6:$F$127)</f>
        <v>0</v>
      </c>
      <c r="H109" s="36">
        <f>COUNTIF('(당초)마룡리'!$J$6:$J$127,'(당초)집계표'!W109)</f>
        <v>0</v>
      </c>
      <c r="I109" s="37" t="s">
        <v>11</v>
      </c>
      <c r="J109" s="213">
        <f>SUMIF('(당초)마룡리'!$J$6:$J$127,'(당초)집계표'!W109,'(당초)마룡리'!$F$6:$F$127)</f>
        <v>0</v>
      </c>
      <c r="K109" s="36">
        <f t="shared" si="6"/>
        <v>0</v>
      </c>
      <c r="L109" s="37" t="s">
        <v>11</v>
      </c>
      <c r="M109" s="213">
        <f t="shared" si="7"/>
        <v>0</v>
      </c>
      <c r="N109" s="39"/>
      <c r="O109" s="23"/>
      <c r="P109" s="23"/>
      <c r="Q109" s="23"/>
      <c r="R109" s="23"/>
      <c r="S109" s="23"/>
      <c r="T109" s="23"/>
      <c r="U109" s="24" t="s">
        <v>1146</v>
      </c>
      <c r="V109" s="23" t="s">
        <v>1130</v>
      </c>
      <c r="W109" s="332" t="s">
        <v>1169</v>
      </c>
    </row>
    <row r="110" spans="1:23" s="24" customFormat="1" ht="23.1" customHeight="1">
      <c r="A110" s="104" t="s">
        <v>26</v>
      </c>
      <c r="B110" s="36">
        <f>COUNTIF('(당초)마룡리'!$D$6:$D$127,'(당초)집계표'!U110)</f>
        <v>0</v>
      </c>
      <c r="C110" s="37" t="s">
        <v>11</v>
      </c>
      <c r="D110" s="213">
        <f>SUMIF('(당초)마룡리'!$D$6:$D$127,'(당초)집계표'!U110,'(당초)마룡리'!$F$6:$F$127)</f>
        <v>0</v>
      </c>
      <c r="E110" s="36">
        <f>COUNTIF('(당초)마룡리'!$J$6:$J$127,'(당초)집계표'!V110)</f>
        <v>0</v>
      </c>
      <c r="F110" s="37" t="s">
        <v>11</v>
      </c>
      <c r="G110" s="213">
        <f>SUMIF('(당초)마룡리'!$J$6:$J$127,'(당초)집계표'!V110,'(당초)마룡리'!$F$6:$F$127)</f>
        <v>0</v>
      </c>
      <c r="H110" s="36">
        <f>COUNTIF('(당초)마룡리'!$J$6:$J$127,'(당초)집계표'!W110)</f>
        <v>0</v>
      </c>
      <c r="I110" s="37" t="s">
        <v>11</v>
      </c>
      <c r="J110" s="213">
        <f>SUMIF('(당초)마룡리'!$J$6:$J$127,'(당초)집계표'!W110,'(당초)마룡리'!$F$6:$F$127)</f>
        <v>0</v>
      </c>
      <c r="K110" s="36">
        <f t="shared" si="6"/>
        <v>0</v>
      </c>
      <c r="L110" s="37" t="s">
        <v>11</v>
      </c>
      <c r="M110" s="213">
        <f t="shared" si="7"/>
        <v>0</v>
      </c>
      <c r="N110" s="39"/>
      <c r="O110" s="23"/>
      <c r="P110" s="23"/>
      <c r="Q110" s="23"/>
      <c r="R110" s="23"/>
      <c r="S110" s="23"/>
      <c r="T110" s="23"/>
      <c r="U110" s="24" t="s">
        <v>1147</v>
      </c>
      <c r="V110" s="23" t="s">
        <v>1131</v>
      </c>
      <c r="W110" s="332" t="s">
        <v>1170</v>
      </c>
    </row>
    <row r="111" spans="1:23" s="24" customFormat="1" ht="23.1" customHeight="1">
      <c r="A111" s="104" t="s">
        <v>27</v>
      </c>
      <c r="B111" s="36">
        <f>COUNTIF('(당초)마룡리'!$D$6:$D$127,'(당초)집계표'!U111)</f>
        <v>0</v>
      </c>
      <c r="C111" s="37" t="s">
        <v>11</v>
      </c>
      <c r="D111" s="213">
        <f>SUMIF('(당초)마룡리'!$D$6:$D$127,'(당초)집계표'!U111,'(당초)마룡리'!$F$6:$F$127)</f>
        <v>0</v>
      </c>
      <c r="E111" s="36">
        <f>COUNTIF('(당초)마룡리'!$J$6:$J$127,'(당초)집계표'!V111)</f>
        <v>0</v>
      </c>
      <c r="F111" s="37" t="s">
        <v>11</v>
      </c>
      <c r="G111" s="213">
        <f>SUMIF('(당초)마룡리'!$J$6:$J$127,'(당초)집계표'!V111,'(당초)마룡리'!$F$6:$F$127)</f>
        <v>0</v>
      </c>
      <c r="H111" s="36">
        <f>COUNTIF('(당초)마룡리'!$J$6:$J$127,'(당초)집계표'!W111)</f>
        <v>0</v>
      </c>
      <c r="I111" s="37" t="s">
        <v>11</v>
      </c>
      <c r="J111" s="213">
        <f>SUMIF('(당초)마룡리'!$J$6:$J$127,'(당초)집계표'!W111,'(당초)마룡리'!$F$6:$F$127)</f>
        <v>0</v>
      </c>
      <c r="K111" s="36">
        <f t="shared" si="6"/>
        <v>0</v>
      </c>
      <c r="L111" s="37" t="s">
        <v>11</v>
      </c>
      <c r="M111" s="213">
        <f t="shared" si="7"/>
        <v>0</v>
      </c>
      <c r="N111" s="39"/>
      <c r="O111" s="23"/>
      <c r="P111" s="23"/>
      <c r="Q111" s="23"/>
      <c r="R111" s="23"/>
      <c r="S111" s="23"/>
      <c r="T111" s="23"/>
      <c r="U111" s="24" t="s">
        <v>1148</v>
      </c>
      <c r="V111" s="23" t="s">
        <v>1132</v>
      </c>
      <c r="W111" s="332" t="s">
        <v>1171</v>
      </c>
    </row>
    <row r="112" spans="1:23" s="24" customFormat="1" ht="23.1" customHeight="1">
      <c r="A112" s="104" t="s">
        <v>28</v>
      </c>
      <c r="B112" s="36">
        <f>COUNTIF('(당초)마룡리'!$D$6:$D$127,'(당초)집계표'!U112)</f>
        <v>0</v>
      </c>
      <c r="C112" s="37" t="s">
        <v>11</v>
      </c>
      <c r="D112" s="213">
        <f>SUMIF('(당초)마룡리'!$D$6:$D$127,'(당초)집계표'!U112,'(당초)마룡리'!$F$6:$F$127)</f>
        <v>0</v>
      </c>
      <c r="E112" s="36">
        <f>COUNTIF('(당초)마룡리'!$J$6:$J$127,'(당초)집계표'!V112)</f>
        <v>0</v>
      </c>
      <c r="F112" s="37" t="s">
        <v>11</v>
      </c>
      <c r="G112" s="213">
        <f>SUMIF('(당초)마룡리'!$J$6:$J$127,'(당초)집계표'!V112,'(당초)마룡리'!$F$6:$F$127)</f>
        <v>0</v>
      </c>
      <c r="H112" s="36">
        <f>COUNTIF('(당초)마룡리'!$J$6:$J$127,'(당초)집계표'!W112)</f>
        <v>0</v>
      </c>
      <c r="I112" s="37" t="s">
        <v>11</v>
      </c>
      <c r="J112" s="213">
        <f>SUMIF('(당초)마룡리'!$J$6:$J$127,'(당초)집계표'!W112,'(당초)마룡리'!$F$6:$F$127)</f>
        <v>0</v>
      </c>
      <c r="K112" s="36">
        <f t="shared" si="6"/>
        <v>0</v>
      </c>
      <c r="L112" s="37" t="s">
        <v>11</v>
      </c>
      <c r="M112" s="213">
        <f t="shared" si="7"/>
        <v>0</v>
      </c>
      <c r="N112" s="39"/>
      <c r="O112" s="23"/>
      <c r="P112" s="23"/>
      <c r="Q112" s="23"/>
      <c r="R112" s="23"/>
      <c r="S112" s="23"/>
      <c r="T112" s="23"/>
      <c r="U112" s="24" t="s">
        <v>1149</v>
      </c>
      <c r="V112" s="23" t="s">
        <v>1133</v>
      </c>
      <c r="W112" s="332" t="s">
        <v>1172</v>
      </c>
    </row>
    <row r="113" spans="1:23" s="24" customFormat="1" ht="23.1" customHeight="1">
      <c r="A113" s="104" t="s">
        <v>29</v>
      </c>
      <c r="B113" s="36">
        <f>COUNTIF('(당초)마룡리'!$D$6:$D$127,'(당초)집계표'!U113)</f>
        <v>0</v>
      </c>
      <c r="C113" s="37" t="s">
        <v>11</v>
      </c>
      <c r="D113" s="213">
        <f>SUMIF('(당초)마룡리'!$D$6:$D$127,'(당초)집계표'!U113,'(당초)마룡리'!$F$6:$F$127)</f>
        <v>0</v>
      </c>
      <c r="E113" s="36">
        <f>COUNTIF('(당초)마룡리'!$J$6:$J$127,'(당초)집계표'!V113)</f>
        <v>0</v>
      </c>
      <c r="F113" s="37" t="s">
        <v>11</v>
      </c>
      <c r="G113" s="213">
        <f>SUMIF('(당초)마룡리'!$J$6:$J$127,'(당초)집계표'!V113,'(당초)마룡리'!$F$6:$F$127)</f>
        <v>0</v>
      </c>
      <c r="H113" s="36">
        <f>COUNTIF('(당초)마룡리'!$J$6:$J$127,'(당초)집계표'!W113)</f>
        <v>0</v>
      </c>
      <c r="I113" s="37" t="s">
        <v>11</v>
      </c>
      <c r="J113" s="213">
        <f>SUMIF('(당초)마룡리'!$J$6:$J$127,'(당초)집계표'!W113,'(당초)마룡리'!$F$6:$F$127)</f>
        <v>0</v>
      </c>
      <c r="K113" s="36">
        <f t="shared" si="6"/>
        <v>0</v>
      </c>
      <c r="L113" s="37" t="s">
        <v>11</v>
      </c>
      <c r="M113" s="213">
        <f t="shared" si="7"/>
        <v>0</v>
      </c>
      <c r="N113" s="39"/>
      <c r="O113" s="23"/>
      <c r="P113" s="23"/>
      <c r="Q113" s="23"/>
      <c r="R113" s="23"/>
      <c r="S113" s="23"/>
      <c r="T113" s="23"/>
      <c r="U113" s="24" t="s">
        <v>1150</v>
      </c>
      <c r="V113" s="23" t="s">
        <v>1134</v>
      </c>
      <c r="W113" s="332" t="s">
        <v>1173</v>
      </c>
    </row>
    <row r="114" spans="1:23" s="24" customFormat="1" ht="23.1" customHeight="1">
      <c r="A114" s="105" t="s">
        <v>30</v>
      </c>
      <c r="B114" s="36">
        <f>COUNTIF('(당초)마룡리'!$D$6:$D$127,'(당초)집계표'!U114)</f>
        <v>0</v>
      </c>
      <c r="C114" s="37" t="s">
        <v>11</v>
      </c>
      <c r="D114" s="213">
        <f>SUMIF('(당초)마룡리'!$D$6:$D$127,'(당초)집계표'!U114,'(당초)마룡리'!$F$6:$F$127)</f>
        <v>0</v>
      </c>
      <c r="E114" s="36">
        <f>COUNTIF('(당초)마룡리'!$J$6:$J$127,'(당초)집계표'!V114)</f>
        <v>0</v>
      </c>
      <c r="F114" s="37" t="s">
        <v>11</v>
      </c>
      <c r="G114" s="213">
        <f>SUMIF('(당초)마룡리'!$J$6:$J$127,'(당초)집계표'!V114,'(당초)마룡리'!$F$6:$F$127)</f>
        <v>0</v>
      </c>
      <c r="H114" s="36">
        <f>COUNTIF('(당초)마룡리'!$J$6:$J$127,'(당초)집계표'!W114)</f>
        <v>0</v>
      </c>
      <c r="I114" s="37" t="s">
        <v>11</v>
      </c>
      <c r="J114" s="213">
        <f>SUMIF('(당초)마룡리'!$J$6:$J$127,'(당초)집계표'!W114,'(당초)마룡리'!$F$6:$F$127)</f>
        <v>0</v>
      </c>
      <c r="K114" s="36">
        <f t="shared" si="6"/>
        <v>0</v>
      </c>
      <c r="L114" s="37" t="s">
        <v>11</v>
      </c>
      <c r="M114" s="213">
        <f t="shared" si="7"/>
        <v>0</v>
      </c>
      <c r="N114" s="39"/>
      <c r="O114" s="23"/>
      <c r="P114" s="23"/>
      <c r="Q114" s="23"/>
      <c r="R114" s="23"/>
      <c r="S114" s="23"/>
      <c r="T114" s="23"/>
      <c r="U114" s="24" t="s">
        <v>1151</v>
      </c>
      <c r="V114" s="23" t="s">
        <v>1135</v>
      </c>
      <c r="W114" s="332" t="s">
        <v>1174</v>
      </c>
    </row>
    <row r="115" spans="1:23" s="24" customFormat="1" ht="23.1" customHeight="1">
      <c r="A115" s="105" t="s">
        <v>1193</v>
      </c>
      <c r="B115" s="36">
        <f>COUNTIF('(당초)마룡리'!$D$6:$D$127,'(당초)집계표'!U115)</f>
        <v>0</v>
      </c>
      <c r="C115" s="37" t="s">
        <v>11</v>
      </c>
      <c r="D115" s="213">
        <f>SUMIF('(당초)마룡리'!$D$6:$D$127,'(당초)집계표'!U115,'(당초)마룡리'!$F$6:$F$127)</f>
        <v>0</v>
      </c>
      <c r="E115" s="36">
        <f>COUNTIF('(당초)마룡리'!$J$6:$J$127,'(당초)집계표'!V115)</f>
        <v>0</v>
      </c>
      <c r="F115" s="37" t="s">
        <v>11</v>
      </c>
      <c r="G115" s="213">
        <f>SUMIF('(당초)마룡리'!$J$6:$J$127,'(당초)집계표'!V115,'(당초)마룡리'!$F$6:$F$127)</f>
        <v>0</v>
      </c>
      <c r="H115" s="36">
        <f>COUNTIF('(당초)마룡리'!$J$6:$J$127,'(당초)집계표'!W115)</f>
        <v>0</v>
      </c>
      <c r="I115" s="37" t="s">
        <v>11</v>
      </c>
      <c r="J115" s="213">
        <f>SUMIF('(당초)마룡리'!$J$6:$J$127,'(당초)집계표'!W115,'(당초)마룡리'!$F$6:$F$127)</f>
        <v>0</v>
      </c>
      <c r="K115" s="36">
        <f t="shared" si="6"/>
        <v>0</v>
      </c>
      <c r="L115" s="37" t="s">
        <v>11</v>
      </c>
      <c r="M115" s="213">
        <f t="shared" si="7"/>
        <v>0</v>
      </c>
      <c r="N115" s="39"/>
      <c r="O115" s="23"/>
      <c r="P115" s="23"/>
      <c r="Q115" s="23"/>
      <c r="R115" s="23"/>
      <c r="S115" s="23"/>
      <c r="T115" s="23"/>
      <c r="U115" s="24" t="s">
        <v>1194</v>
      </c>
      <c r="V115" s="23" t="s">
        <v>1136</v>
      </c>
      <c r="W115" s="332" t="s">
        <v>1175</v>
      </c>
    </row>
    <row r="116" spans="1:23" s="24" customFormat="1" ht="23.1" customHeight="1">
      <c r="A116" s="105" t="s">
        <v>32</v>
      </c>
      <c r="B116" s="36">
        <f>COUNTIF('(당초)마룡리'!$D$6:$D$127,'(당초)집계표'!U116)</f>
        <v>0</v>
      </c>
      <c r="C116" s="37" t="s">
        <v>11</v>
      </c>
      <c r="D116" s="213">
        <f>SUMIF('(당초)마룡리'!$D$6:$D$127,'(당초)집계표'!U116,'(당초)마룡리'!$F$6:$F$127)</f>
        <v>0</v>
      </c>
      <c r="E116" s="36">
        <f>COUNTIF('(당초)마룡리'!$J$6:$J$127,'(당초)집계표'!V116)</f>
        <v>0</v>
      </c>
      <c r="F116" s="37" t="s">
        <v>11</v>
      </c>
      <c r="G116" s="213">
        <f>SUMIF('(당초)마룡리'!$J$6:$J$127,'(당초)집계표'!V116,'(당초)마룡리'!$F$6:$F$127)</f>
        <v>0</v>
      </c>
      <c r="H116" s="36">
        <f>COUNTIF('(당초)마룡리'!$J$6:$J$127,'(당초)집계표'!W116)</f>
        <v>0</v>
      </c>
      <c r="I116" s="37" t="s">
        <v>11</v>
      </c>
      <c r="J116" s="213">
        <f>SUMIF('(당초)마룡리'!$J$6:$J$127,'(당초)집계표'!W116,'(당초)마룡리'!$F$6:$F$127)</f>
        <v>0</v>
      </c>
      <c r="K116" s="36">
        <f t="shared" si="6"/>
        <v>0</v>
      </c>
      <c r="L116" s="37" t="s">
        <v>11</v>
      </c>
      <c r="M116" s="213">
        <f t="shared" si="7"/>
        <v>0</v>
      </c>
      <c r="N116" s="39"/>
      <c r="O116" s="23"/>
      <c r="P116" s="23"/>
      <c r="Q116" s="23"/>
      <c r="R116" s="23"/>
      <c r="S116" s="23"/>
      <c r="T116" s="23"/>
      <c r="U116" s="24" t="s">
        <v>994</v>
      </c>
      <c r="V116" s="23" t="s">
        <v>1128</v>
      </c>
      <c r="W116" s="332" t="s">
        <v>1167</v>
      </c>
    </row>
    <row r="117" spans="1:23" s="24" customFormat="1" ht="23.1" customHeight="1">
      <c r="A117" s="105" t="s">
        <v>33</v>
      </c>
      <c r="B117" s="36">
        <f>COUNTIF('(당초)마룡리'!$D$6:$D$127,'(당초)집계표'!U117)</f>
        <v>0</v>
      </c>
      <c r="C117" s="37" t="s">
        <v>11</v>
      </c>
      <c r="D117" s="213">
        <f>SUMIF('(당초)마룡리'!$D$6:$D$127,'(당초)집계표'!U117,'(당초)마룡리'!$F$6:$F$127)</f>
        <v>0</v>
      </c>
      <c r="E117" s="36">
        <f>COUNTIF('(당초)마룡리'!$J$6:$J$127,'(당초)집계표'!V117)</f>
        <v>0</v>
      </c>
      <c r="F117" s="37" t="s">
        <v>11</v>
      </c>
      <c r="G117" s="213">
        <f>SUMIF('(당초)마룡리'!$J$6:$J$127,'(당초)집계표'!V117,'(당초)마룡리'!$F$6:$F$127)</f>
        <v>0</v>
      </c>
      <c r="H117" s="36">
        <f>COUNTIF('(당초)마룡리'!$J$6:$J$127,'(당초)집계표'!W117)</f>
        <v>0</v>
      </c>
      <c r="I117" s="37" t="s">
        <v>11</v>
      </c>
      <c r="J117" s="213">
        <f>SUMIF('(당초)마룡리'!$J$6:$J$127,'(당초)집계표'!W117,'(당초)마룡리'!$F$6:$F$127)</f>
        <v>0</v>
      </c>
      <c r="K117" s="36">
        <f t="shared" si="6"/>
        <v>0</v>
      </c>
      <c r="L117" s="37" t="s">
        <v>11</v>
      </c>
      <c r="M117" s="213">
        <f t="shared" si="7"/>
        <v>0</v>
      </c>
      <c r="N117" s="39"/>
      <c r="O117" s="23"/>
      <c r="P117" s="23"/>
      <c r="Q117" s="23"/>
      <c r="R117" s="23"/>
      <c r="S117" s="23"/>
      <c r="T117" s="23"/>
      <c r="U117" s="24" t="s">
        <v>1153</v>
      </c>
      <c r="V117" s="23" t="s">
        <v>1137</v>
      </c>
      <c r="W117" s="332" t="s">
        <v>1176</v>
      </c>
    </row>
    <row r="118" spans="1:23" s="24" customFormat="1" ht="23.1" customHeight="1">
      <c r="A118" s="105" t="s">
        <v>34</v>
      </c>
      <c r="B118" s="36">
        <f>COUNTIF('(당초)마룡리'!$D$6:$D$127,'(당초)집계표'!U118)</f>
        <v>0</v>
      </c>
      <c r="C118" s="37" t="s">
        <v>11</v>
      </c>
      <c r="D118" s="213">
        <f>SUMIF('(당초)마룡리'!$D$6:$D$127,'(당초)집계표'!U118,'(당초)마룡리'!$F$6:$F$127)</f>
        <v>0</v>
      </c>
      <c r="E118" s="36">
        <f>COUNTIF('(당초)마룡리'!$J$6:$J$127,'(당초)집계표'!V118)</f>
        <v>0</v>
      </c>
      <c r="F118" s="37" t="s">
        <v>11</v>
      </c>
      <c r="G118" s="213">
        <f>SUMIF('(당초)마룡리'!$J$6:$J$127,'(당초)집계표'!V118,'(당초)마룡리'!$F$6:$F$127)</f>
        <v>0</v>
      </c>
      <c r="H118" s="36">
        <f>COUNTIF('(당초)마룡리'!$J$6:$J$127,'(당초)집계표'!W118)</f>
        <v>0</v>
      </c>
      <c r="I118" s="37" t="s">
        <v>11</v>
      </c>
      <c r="J118" s="213">
        <f>SUMIF('(당초)마룡리'!$J$6:$J$127,'(당초)집계표'!W118,'(당초)마룡리'!$F$6:$F$127)</f>
        <v>0</v>
      </c>
      <c r="K118" s="36">
        <f t="shared" si="6"/>
        <v>0</v>
      </c>
      <c r="L118" s="37" t="s">
        <v>11</v>
      </c>
      <c r="M118" s="213">
        <f t="shared" si="7"/>
        <v>0</v>
      </c>
      <c r="N118" s="39"/>
      <c r="O118" s="23"/>
      <c r="P118" s="23"/>
      <c r="Q118" s="23"/>
      <c r="R118" s="23"/>
      <c r="S118" s="23"/>
      <c r="T118" s="23"/>
      <c r="U118" s="24" t="s">
        <v>1154</v>
      </c>
      <c r="V118" s="23" t="s">
        <v>1138</v>
      </c>
      <c r="W118" s="332" t="s">
        <v>1177</v>
      </c>
    </row>
    <row r="119" spans="1:23" s="24" customFormat="1" ht="23.1" customHeight="1">
      <c r="A119" s="105" t="s">
        <v>66</v>
      </c>
      <c r="B119" s="36">
        <f>COUNTIF('(당초)마룡리'!$D$6:$D$127,'(당초)집계표'!U119)</f>
        <v>0</v>
      </c>
      <c r="C119" s="37" t="s">
        <v>11</v>
      </c>
      <c r="D119" s="213">
        <f>SUMIF('(당초)마룡리'!$D$6:$D$127,'(당초)집계표'!U119,'(당초)마룡리'!$F$6:$F$127)</f>
        <v>0</v>
      </c>
      <c r="E119" s="36">
        <f>COUNTIF('(당초)마룡리'!$J$6:$J$127,'(당초)집계표'!V119)</f>
        <v>0</v>
      </c>
      <c r="F119" s="37" t="s">
        <v>11</v>
      </c>
      <c r="G119" s="213">
        <f>SUMIF('(당초)마룡리'!$J$6:$J$127,'(당초)집계표'!V119,'(당초)마룡리'!$F$6:$F$127)</f>
        <v>0</v>
      </c>
      <c r="H119" s="36">
        <f>COUNTIF('(당초)마룡리'!$J$6:$J$127,'(당초)집계표'!W119)</f>
        <v>0</v>
      </c>
      <c r="I119" s="37" t="s">
        <v>11</v>
      </c>
      <c r="J119" s="213">
        <f>SUMIF('(당초)마룡리'!$J$6:$J$127,'(당초)집계표'!W119,'(당초)마룡리'!$F$6:$F$127)</f>
        <v>0</v>
      </c>
      <c r="K119" s="36">
        <f t="shared" si="6"/>
        <v>0</v>
      </c>
      <c r="L119" s="37" t="s">
        <v>11</v>
      </c>
      <c r="M119" s="213">
        <f t="shared" si="7"/>
        <v>0</v>
      </c>
      <c r="N119" s="39"/>
      <c r="O119" s="23"/>
      <c r="P119" s="23"/>
      <c r="Q119" s="23"/>
      <c r="R119" s="23"/>
      <c r="S119" s="23"/>
      <c r="T119" s="23"/>
      <c r="U119" s="24" t="s">
        <v>1155</v>
      </c>
      <c r="V119" s="23" t="s">
        <v>1139</v>
      </c>
      <c r="W119" s="332" t="s">
        <v>1178</v>
      </c>
    </row>
    <row r="120" spans="1:23" s="24" customFormat="1" ht="23.1" customHeight="1">
      <c r="A120" s="105" t="s">
        <v>75</v>
      </c>
      <c r="B120" s="36">
        <f>COUNTIF('(당초)마룡리'!$D$6:$D$127,'(당초)집계표'!U120)</f>
        <v>0</v>
      </c>
      <c r="C120" s="37" t="s">
        <v>11</v>
      </c>
      <c r="D120" s="213">
        <f>SUMIF('(당초)마룡리'!$D$6:$D$127,'(당초)집계표'!U120,'(당초)마룡리'!$F$6:$F$127)</f>
        <v>0</v>
      </c>
      <c r="E120" s="36">
        <f>COUNTIF('(당초)마룡리'!$J$6:$J$127,'(당초)집계표'!V120)</f>
        <v>0</v>
      </c>
      <c r="F120" s="37" t="s">
        <v>11</v>
      </c>
      <c r="G120" s="213">
        <f>SUMIF('(당초)마룡리'!$J$6:$J$127,'(당초)집계표'!V120,'(당초)마룡리'!$F$6:$F$127)</f>
        <v>0</v>
      </c>
      <c r="H120" s="36">
        <f>COUNTIF('(당초)마룡리'!$J$6:$J$127,'(당초)집계표'!W120)</f>
        <v>0</v>
      </c>
      <c r="I120" s="37" t="s">
        <v>11</v>
      </c>
      <c r="J120" s="213">
        <f>SUMIF('(당초)마룡리'!$J$6:$J$127,'(당초)집계표'!W120,'(당초)마룡리'!$F$6:$F$127)</f>
        <v>0</v>
      </c>
      <c r="K120" s="36">
        <f t="shared" si="6"/>
        <v>0</v>
      </c>
      <c r="L120" s="37" t="s">
        <v>11</v>
      </c>
      <c r="M120" s="213">
        <f t="shared" si="7"/>
        <v>0</v>
      </c>
      <c r="N120" s="39"/>
      <c r="O120" s="23"/>
      <c r="P120" s="23"/>
      <c r="Q120" s="23"/>
      <c r="R120" s="23"/>
      <c r="S120" s="23"/>
      <c r="T120" s="23"/>
      <c r="U120" s="24" t="s">
        <v>1187</v>
      </c>
      <c r="V120" s="23" t="s">
        <v>1188</v>
      </c>
      <c r="W120" s="332" t="s">
        <v>1189</v>
      </c>
    </row>
    <row r="121" spans="1:23" s="24" customFormat="1" ht="23.1" customHeight="1">
      <c r="A121" s="106" t="s">
        <v>68</v>
      </c>
      <c r="B121" s="36">
        <f>COUNTIF('(당초)마룡리'!$D$6:$D$127,'(당초)집계표'!U121)</f>
        <v>2</v>
      </c>
      <c r="C121" s="37" t="s">
        <v>11</v>
      </c>
      <c r="D121" s="213">
        <f>SUMIF('(당초)마룡리'!$D$6:$D$127,'(당초)집계표'!U121,'(당초)마룡리'!$F$6:$F$127)</f>
        <v>102</v>
      </c>
      <c r="E121" s="36">
        <f>COUNTIF('(당초)마룡리'!$J$6:$J$127,'(당초)집계표'!V121)</f>
        <v>2</v>
      </c>
      <c r="F121" s="37" t="s">
        <v>11</v>
      </c>
      <c r="G121" s="213">
        <f>SUMIF('(당초)마룡리'!$J$6:$J$127,'(당초)집계표'!V121,'(당초)마룡리'!$F$6:$F$127)</f>
        <v>102</v>
      </c>
      <c r="H121" s="36">
        <f>COUNTIF('(당초)마룡리'!$J$6:$J$127,'(당초)집계표'!W121)</f>
        <v>0</v>
      </c>
      <c r="I121" s="37" t="s">
        <v>11</v>
      </c>
      <c r="J121" s="213">
        <f>SUMIF('(당초)마룡리'!$J$6:$J$127,'(당초)집계표'!W121,'(당초)마룡리'!$F$6:$F$127)</f>
        <v>0</v>
      </c>
      <c r="K121" s="40">
        <f t="shared" si="6"/>
        <v>0</v>
      </c>
      <c r="L121" s="41" t="s">
        <v>11</v>
      </c>
      <c r="M121" s="214">
        <f t="shared" si="7"/>
        <v>0</v>
      </c>
      <c r="N121" s="43"/>
      <c r="O121" s="23"/>
      <c r="P121" s="23"/>
      <c r="Q121" s="23"/>
      <c r="R121" s="23"/>
      <c r="S121" s="23"/>
      <c r="T121" s="23"/>
      <c r="U121" s="24" t="s">
        <v>1182</v>
      </c>
      <c r="V121" s="23" t="s">
        <v>1184</v>
      </c>
      <c r="W121" s="332" t="s">
        <v>1185</v>
      </c>
    </row>
    <row r="122" spans="1:23" s="17" customFormat="1" ht="20.100000000000001" customHeight="1">
      <c r="A122" s="11">
        <f>IF(EXACT(O126,O127),,"검산확인요!!!")</f>
        <v>0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3" t="e">
        <f>IF(ISBLANK(#REF!),,#REF!)</f>
        <v>#REF!</v>
      </c>
      <c r="L122" s="14"/>
      <c r="M122" s="15"/>
      <c r="N122" s="16"/>
    </row>
    <row r="123" spans="1:23" s="17" customFormat="1" ht="9.9499999999999993" customHeight="1">
      <c r="A123" s="11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</row>
    <row r="124" spans="1:23" s="24" customFormat="1" ht="27.95" customHeight="1">
      <c r="A124" s="18" t="s">
        <v>9</v>
      </c>
      <c r="B124" s="19" t="s">
        <v>8</v>
      </c>
      <c r="C124" s="20"/>
      <c r="D124" s="21"/>
      <c r="E124" s="19" t="s">
        <v>35</v>
      </c>
      <c r="F124" s="20"/>
      <c r="G124" s="21"/>
      <c r="H124" s="19" t="s">
        <v>44</v>
      </c>
      <c r="I124" s="20"/>
      <c r="J124" s="21"/>
      <c r="K124" s="19" t="s">
        <v>36</v>
      </c>
      <c r="L124" s="20"/>
      <c r="M124" s="21"/>
      <c r="N124" s="22" t="s">
        <v>37</v>
      </c>
      <c r="O124" s="23"/>
      <c r="S124" s="23"/>
      <c r="T124" s="23"/>
      <c r="U124" s="23"/>
      <c r="V124" s="23"/>
    </row>
    <row r="125" spans="1:23" s="24" customFormat="1" ht="27.95" customHeight="1">
      <c r="A125" s="25"/>
      <c r="B125" s="26" t="s">
        <v>10</v>
      </c>
      <c r="C125" s="27" t="s">
        <v>11</v>
      </c>
      <c r="D125" s="28" t="s">
        <v>38</v>
      </c>
      <c r="E125" s="26" t="s">
        <v>10</v>
      </c>
      <c r="F125" s="27" t="s">
        <v>11</v>
      </c>
      <c r="G125" s="28" t="s">
        <v>38</v>
      </c>
      <c r="H125" s="26" t="s">
        <v>10</v>
      </c>
      <c r="I125" s="27" t="s">
        <v>11</v>
      </c>
      <c r="J125" s="28" t="s">
        <v>38</v>
      </c>
      <c r="K125" s="26" t="s">
        <v>10</v>
      </c>
      <c r="L125" s="27" t="s">
        <v>11</v>
      </c>
      <c r="M125" s="28" t="s">
        <v>38</v>
      </c>
      <c r="N125" s="29"/>
      <c r="P125" s="23"/>
      <c r="Q125" s="30" t="s">
        <v>39</v>
      </c>
      <c r="R125" s="30" t="s">
        <v>40</v>
      </c>
      <c r="S125" s="30" t="s">
        <v>41</v>
      </c>
      <c r="T125" s="30" t="s">
        <v>42</v>
      </c>
      <c r="U125" s="23"/>
      <c r="V125" s="23"/>
    </row>
    <row r="126" spans="1:23" s="24" customFormat="1" ht="23.1" customHeight="1">
      <c r="A126" s="103" t="s">
        <v>8</v>
      </c>
      <c r="B126" s="31">
        <f>SUM(B127:B151)</f>
        <v>148</v>
      </c>
      <c r="C126" s="32" t="s">
        <v>11</v>
      </c>
      <c r="D126" s="212">
        <f>SUM(D127:D151)</f>
        <v>96622</v>
      </c>
      <c r="E126" s="31">
        <f>SUM(E127:E151)</f>
        <v>16</v>
      </c>
      <c r="F126" s="32" t="s">
        <v>11</v>
      </c>
      <c r="G126" s="212">
        <f>SUM(G127:G151)</f>
        <v>5160</v>
      </c>
      <c r="H126" s="31">
        <f>SUM(H127:H151)</f>
        <v>126</v>
      </c>
      <c r="I126" s="32" t="s">
        <v>11</v>
      </c>
      <c r="J126" s="212">
        <f>SUM(J127:J151)</f>
        <v>86253</v>
      </c>
      <c r="K126" s="31">
        <f>SUM(K127:K151)</f>
        <v>6</v>
      </c>
      <c r="L126" s="32" t="s">
        <v>11</v>
      </c>
      <c r="M126" s="212">
        <f>SUM(M127:M151)</f>
        <v>5209</v>
      </c>
      <c r="N126" s="34"/>
      <c r="O126" s="23" t="str">
        <f>IF(EXACT(Q126,T126),"맞음","틀림")</f>
        <v>틀림</v>
      </c>
      <c r="P126" s="23" t="s">
        <v>10</v>
      </c>
      <c r="Q126" s="35">
        <f>SUM(B127:B151)</f>
        <v>148</v>
      </c>
      <c r="R126" s="35">
        <f>SUM(E127:E151)</f>
        <v>16</v>
      </c>
      <c r="S126" s="35">
        <f>SUM(K127:K151)</f>
        <v>6</v>
      </c>
      <c r="T126" s="35">
        <f>K126+E126</f>
        <v>22</v>
      </c>
      <c r="U126" s="23"/>
      <c r="V126" s="23"/>
    </row>
    <row r="127" spans="1:23" s="24" customFormat="1" ht="23.1" customHeight="1">
      <c r="A127" s="104" t="s">
        <v>13</v>
      </c>
      <c r="B127" s="36">
        <f>COUNTIF('(당초)창리'!$D$6:$D$153,'(당초)집계표'!U127)</f>
        <v>24</v>
      </c>
      <c r="C127" s="37" t="s">
        <v>11</v>
      </c>
      <c r="D127" s="213">
        <f>SUMIF('(당초)창리'!$D$6:$D$153,'(당초)집계표'!U127,'(당초)창리'!$F$6:$F$153)</f>
        <v>7192</v>
      </c>
      <c r="E127" s="36">
        <f>COUNTIF('(당초)창리'!$J$6:$J$153,'(당초)집계표'!V127)</f>
        <v>0</v>
      </c>
      <c r="F127" s="37" t="s">
        <v>11</v>
      </c>
      <c r="G127" s="213">
        <f>SUMIF('(당초)창리'!$J$6:$J$153,'(당초)집계표'!V127,'(당초)창리'!$F$6:$F$153)</f>
        <v>0</v>
      </c>
      <c r="H127" s="36">
        <f>COUNTIF('(당초)창리'!$J$6:$J$153,'(당초)집계표'!W127)</f>
        <v>23</v>
      </c>
      <c r="I127" s="37" t="s">
        <v>11</v>
      </c>
      <c r="J127" s="213">
        <f>SUMIF('(당초)창리'!$J$6:$J$153,'(당초)집계표'!W127,'(당초)창리'!$F$6:$F$153)</f>
        <v>7179</v>
      </c>
      <c r="K127" s="36">
        <f t="shared" ref="K127:K151" si="8">SUM(B127-E127-H127)</f>
        <v>1</v>
      </c>
      <c r="L127" s="37" t="s">
        <v>11</v>
      </c>
      <c r="M127" s="213">
        <f t="shared" ref="M127:M151" si="9">SUM(D127-G127-J127)</f>
        <v>13</v>
      </c>
      <c r="N127" s="39"/>
      <c r="O127" s="23" t="str">
        <f>IF(EXACT(Q127,T127),"맞음","틀림")</f>
        <v>틀림</v>
      </c>
      <c r="P127" s="23" t="s">
        <v>43</v>
      </c>
      <c r="Q127" s="35">
        <f>SUM(D127:D151)</f>
        <v>96622</v>
      </c>
      <c r="R127" s="35">
        <f>SUM(G127:G151)</f>
        <v>5160</v>
      </c>
      <c r="S127" s="35">
        <f>SUM(M127:M151)</f>
        <v>5209</v>
      </c>
      <c r="T127" s="35">
        <f>G126+M126</f>
        <v>10369</v>
      </c>
      <c r="U127" s="24" t="s">
        <v>13</v>
      </c>
      <c r="V127" s="23" t="s">
        <v>1118</v>
      </c>
      <c r="W127" s="332" t="s">
        <v>1157</v>
      </c>
    </row>
    <row r="128" spans="1:23" s="24" customFormat="1" ht="23.1" customHeight="1">
      <c r="A128" s="104" t="s">
        <v>14</v>
      </c>
      <c r="B128" s="36">
        <f>COUNTIF('(당초)창리'!$D$6:$D$153,'(당초)집계표'!U128)</f>
        <v>22</v>
      </c>
      <c r="C128" s="37" t="s">
        <v>11</v>
      </c>
      <c r="D128" s="213">
        <f>SUMIF('(당초)창리'!$D$6:$D$153,'(당초)집계표'!U128,'(당초)창리'!$F$6:$F$153)</f>
        <v>11694</v>
      </c>
      <c r="E128" s="36">
        <f>COUNTIF('(당초)창리'!$J$6:$J$153,'(당초)집계표'!V128)</f>
        <v>0</v>
      </c>
      <c r="F128" s="37" t="s">
        <v>11</v>
      </c>
      <c r="G128" s="213">
        <f>SUMIF('(당초)창리'!$J$6:$J$153,'(당초)집계표'!V128,'(당초)창리'!$F$6:$F$153)</f>
        <v>0</v>
      </c>
      <c r="H128" s="36">
        <f>COUNTIF('(당초)창리'!$J$6:$J$153,'(당초)집계표'!W128)</f>
        <v>22</v>
      </c>
      <c r="I128" s="37" t="s">
        <v>11</v>
      </c>
      <c r="J128" s="213">
        <f>SUMIF('(당초)창리'!$J$6:$J$153,'(당초)집계표'!W128,'(당초)창리'!$F$6:$F$153)</f>
        <v>11694</v>
      </c>
      <c r="K128" s="36">
        <f t="shared" si="8"/>
        <v>0</v>
      </c>
      <c r="L128" s="37" t="s">
        <v>11</v>
      </c>
      <c r="M128" s="213">
        <f t="shared" si="9"/>
        <v>0</v>
      </c>
      <c r="N128" s="39"/>
      <c r="Q128" s="23"/>
      <c r="S128" s="23"/>
      <c r="U128" s="24" t="s">
        <v>14</v>
      </c>
      <c r="V128" s="23" t="s">
        <v>1119</v>
      </c>
      <c r="W128" s="332" t="s">
        <v>1158</v>
      </c>
    </row>
    <row r="129" spans="1:23" s="24" customFormat="1" ht="23.1" customHeight="1">
      <c r="A129" s="104" t="s">
        <v>15</v>
      </c>
      <c r="B129" s="36">
        <f>COUNTIF('(당초)창리'!$D$6:$D$153,'(당초)집계표'!U129)</f>
        <v>42</v>
      </c>
      <c r="C129" s="37" t="s">
        <v>11</v>
      </c>
      <c r="D129" s="213">
        <f>SUMIF('(당초)창리'!$D$6:$D$153,'(당초)집계표'!U129,'(당초)창리'!$F$6:$F$153)</f>
        <v>62482</v>
      </c>
      <c r="E129" s="36">
        <f>COUNTIF('(당초)창리'!$J$6:$J$153,'(당초)집계표'!V129)</f>
        <v>3</v>
      </c>
      <c r="F129" s="37" t="s">
        <v>11</v>
      </c>
      <c r="G129" s="213">
        <f>SUMIF('(당초)창리'!$J$6:$J$153,'(당초)집계표'!V129,'(당초)창리'!$F$6:$F$153)</f>
        <v>3195</v>
      </c>
      <c r="H129" s="36">
        <f>COUNTIF('(당초)창리'!$J$6:$J$153,'(당초)집계표'!W129)</f>
        <v>36</v>
      </c>
      <c r="I129" s="37" t="s">
        <v>11</v>
      </c>
      <c r="J129" s="213">
        <f>SUMIF('(당초)창리'!$J$6:$J$153,'(당초)집계표'!W129,'(당초)창리'!$F$6:$F$153)</f>
        <v>54286</v>
      </c>
      <c r="K129" s="36">
        <f t="shared" si="8"/>
        <v>3</v>
      </c>
      <c r="L129" s="37" t="s">
        <v>11</v>
      </c>
      <c r="M129" s="213">
        <f t="shared" si="9"/>
        <v>5001</v>
      </c>
      <c r="N129" s="39"/>
      <c r="Q129" s="23"/>
      <c r="S129" s="23"/>
      <c r="U129" s="24" t="s">
        <v>146</v>
      </c>
      <c r="V129" s="23" t="s">
        <v>1120</v>
      </c>
      <c r="W129" s="332" t="s">
        <v>1159</v>
      </c>
    </row>
    <row r="130" spans="1:23" s="24" customFormat="1" ht="23.1" customHeight="1">
      <c r="A130" s="104" t="s">
        <v>16</v>
      </c>
      <c r="B130" s="36">
        <f>COUNTIF('(당초)창리'!$D$6:$D$153,'(당초)집계표'!U130)</f>
        <v>8</v>
      </c>
      <c r="C130" s="37" t="s">
        <v>11</v>
      </c>
      <c r="D130" s="213">
        <f>SUMIF('(당초)창리'!$D$6:$D$153,'(당초)집계표'!U130,'(당초)창리'!$F$6:$F$153)</f>
        <v>798</v>
      </c>
      <c r="E130" s="36">
        <f>COUNTIF('(당초)창리'!$J$6:$J$153,'(당초)집계표'!V130)</f>
        <v>0</v>
      </c>
      <c r="F130" s="37" t="s">
        <v>11</v>
      </c>
      <c r="G130" s="213">
        <f>SUMIF('(당초)창리'!$J$6:$J$153,'(당초)집계표'!V130,'(당초)창리'!$F$6:$F$153)</f>
        <v>0</v>
      </c>
      <c r="H130" s="36">
        <f>COUNTIF('(당초)창리'!$J$6:$J$153,'(당초)집계표'!W130)</f>
        <v>8</v>
      </c>
      <c r="I130" s="37" t="s">
        <v>11</v>
      </c>
      <c r="J130" s="213">
        <f>SUMIF('(당초)창리'!$J$6:$J$153,'(당초)집계표'!W130,'(당초)창리'!$F$6:$F$153)</f>
        <v>798</v>
      </c>
      <c r="K130" s="36">
        <f t="shared" si="8"/>
        <v>0</v>
      </c>
      <c r="L130" s="37" t="s">
        <v>11</v>
      </c>
      <c r="M130" s="213">
        <f t="shared" si="9"/>
        <v>0</v>
      </c>
      <c r="N130" s="39"/>
      <c r="O130" s="23"/>
      <c r="P130" s="23"/>
      <c r="Q130" s="23"/>
      <c r="R130" s="23"/>
      <c r="S130" s="23"/>
      <c r="T130" s="23"/>
      <c r="U130" s="24" t="s">
        <v>1002</v>
      </c>
      <c r="V130" s="23" t="s">
        <v>1121</v>
      </c>
      <c r="W130" s="332" t="s">
        <v>1160</v>
      </c>
    </row>
    <row r="131" spans="1:23" s="24" customFormat="1" ht="23.1" customHeight="1">
      <c r="A131" s="104" t="s">
        <v>17</v>
      </c>
      <c r="B131" s="36">
        <f>COUNTIF('(당초)창리'!$D$6:$D$153,'(당초)집계표'!U131)</f>
        <v>38</v>
      </c>
      <c r="C131" s="37" t="s">
        <v>11</v>
      </c>
      <c r="D131" s="213">
        <f>SUMIF('(당초)창리'!$D$6:$D$153,'(당초)집계표'!U131,'(당초)창리'!$F$6:$F$153)</f>
        <v>7427</v>
      </c>
      <c r="E131" s="36">
        <f>COUNTIF('(당초)창리'!$J$6:$J$153,'(당초)집계표'!V131)</f>
        <v>12</v>
      </c>
      <c r="F131" s="37" t="s">
        <v>11</v>
      </c>
      <c r="G131" s="213">
        <f>SUMIF('(당초)창리'!$J$6:$J$153,'(당초)집계표'!V131,'(당초)창리'!$F$6:$F$153)</f>
        <v>1419</v>
      </c>
      <c r="H131" s="36">
        <f>COUNTIF('(당초)창리'!$J$6:$J$153,'(당초)집계표'!W131)</f>
        <v>25</v>
      </c>
      <c r="I131" s="37" t="s">
        <v>11</v>
      </c>
      <c r="J131" s="213">
        <f>SUMIF('(당초)창리'!$J$6:$J$153,'(당초)집계표'!W131,'(당초)창리'!$F$6:$F$153)</f>
        <v>5836</v>
      </c>
      <c r="K131" s="36">
        <f t="shared" si="8"/>
        <v>1</v>
      </c>
      <c r="L131" s="37" t="s">
        <v>11</v>
      </c>
      <c r="M131" s="213">
        <f t="shared" si="9"/>
        <v>172</v>
      </c>
      <c r="N131" s="39"/>
      <c r="O131" s="23"/>
      <c r="P131" s="23"/>
      <c r="Q131" s="23"/>
      <c r="R131" s="23"/>
      <c r="S131" s="23"/>
      <c r="T131" s="23"/>
      <c r="U131" s="24" t="s">
        <v>998</v>
      </c>
      <c r="V131" s="23" t="s">
        <v>1122</v>
      </c>
      <c r="W131" s="332" t="s">
        <v>1161</v>
      </c>
    </row>
    <row r="132" spans="1:23" s="24" customFormat="1" ht="23.1" customHeight="1">
      <c r="A132" s="104" t="s">
        <v>18</v>
      </c>
      <c r="B132" s="36">
        <f>COUNTIF('(당초)창리'!$D$6:$D$153,'(당초)집계표'!U132)</f>
        <v>0</v>
      </c>
      <c r="C132" s="37" t="s">
        <v>11</v>
      </c>
      <c r="D132" s="213">
        <f>SUMIF('(당초)창리'!$D$6:$D$153,'(당초)집계표'!U132,'(당초)창리'!$F$6:$F$153)</f>
        <v>0</v>
      </c>
      <c r="E132" s="36">
        <f>COUNTIF('(당초)창리'!$J$6:$J$153,'(당초)집계표'!V132)</f>
        <v>0</v>
      </c>
      <c r="F132" s="37" t="s">
        <v>11</v>
      </c>
      <c r="G132" s="213">
        <f>SUMIF('(당초)창리'!$J$6:$J$153,'(당초)집계표'!V132,'(당초)창리'!$F$6:$F$153)</f>
        <v>0</v>
      </c>
      <c r="H132" s="36">
        <f>COUNTIF('(당초)창리'!$J$6:$J$153,'(당초)집계표'!W132)</f>
        <v>0</v>
      </c>
      <c r="I132" s="37" t="s">
        <v>11</v>
      </c>
      <c r="J132" s="213">
        <f>SUMIF('(당초)창리'!$J$6:$J$153,'(당초)집계표'!W132,'(당초)창리'!$F$6:$F$153)</f>
        <v>0</v>
      </c>
      <c r="K132" s="36">
        <f t="shared" si="8"/>
        <v>0</v>
      </c>
      <c r="L132" s="37" t="s">
        <v>11</v>
      </c>
      <c r="M132" s="213">
        <f t="shared" si="9"/>
        <v>0</v>
      </c>
      <c r="N132" s="39"/>
      <c r="O132" s="23"/>
      <c r="P132" s="23"/>
      <c r="Q132" s="23"/>
      <c r="R132" s="23"/>
      <c r="S132" s="23"/>
      <c r="T132" s="23"/>
      <c r="U132" s="24" t="s">
        <v>1005</v>
      </c>
      <c r="V132" s="23" t="s">
        <v>1123</v>
      </c>
      <c r="W132" s="332" t="s">
        <v>1162</v>
      </c>
    </row>
    <row r="133" spans="1:23" s="24" customFormat="1" ht="23.1" customHeight="1">
      <c r="A133" s="104" t="s">
        <v>19</v>
      </c>
      <c r="B133" s="36">
        <f>COUNTIF('(당초)창리'!$D$6:$D$153,'(당초)집계표'!U133)</f>
        <v>0</v>
      </c>
      <c r="C133" s="37" t="s">
        <v>11</v>
      </c>
      <c r="D133" s="213">
        <f>SUMIF('(당초)창리'!$D$6:$D$153,'(당초)집계표'!U133,'(당초)창리'!$F$6:$F$153)</f>
        <v>0</v>
      </c>
      <c r="E133" s="36">
        <f>COUNTIF('(당초)창리'!$J$6:$J$153,'(당초)집계표'!V133)</f>
        <v>0</v>
      </c>
      <c r="F133" s="37" t="s">
        <v>11</v>
      </c>
      <c r="G133" s="213">
        <f>SUMIF('(당초)창리'!$J$6:$J$153,'(당초)집계표'!V133,'(당초)창리'!$F$6:$F$153)</f>
        <v>0</v>
      </c>
      <c r="H133" s="36">
        <f>COUNTIF('(당초)창리'!$J$6:$J$153,'(당초)집계표'!W133)</f>
        <v>0</v>
      </c>
      <c r="I133" s="37" t="s">
        <v>11</v>
      </c>
      <c r="J133" s="213">
        <f>SUMIF('(당초)창리'!$J$6:$J$153,'(당초)집계표'!W133,'(당초)창리'!$F$6:$F$153)</f>
        <v>0</v>
      </c>
      <c r="K133" s="36">
        <f t="shared" si="8"/>
        <v>0</v>
      </c>
      <c r="L133" s="37" t="s">
        <v>11</v>
      </c>
      <c r="M133" s="213">
        <f t="shared" si="9"/>
        <v>0</v>
      </c>
      <c r="N133" s="39"/>
      <c r="O133" s="23"/>
      <c r="P133" s="23"/>
      <c r="Q133" s="23"/>
      <c r="R133" s="23"/>
      <c r="S133" s="23"/>
      <c r="T133" s="23"/>
      <c r="U133" s="24" t="s">
        <v>1142</v>
      </c>
      <c r="V133" s="23" t="s">
        <v>1124</v>
      </c>
      <c r="W133" s="332" t="s">
        <v>1163</v>
      </c>
    </row>
    <row r="134" spans="1:23" s="24" customFormat="1" ht="23.1" customHeight="1">
      <c r="A134" s="104" t="s">
        <v>20</v>
      </c>
      <c r="B134" s="36">
        <f>COUNTIF('(당초)창리'!$D$6:$D$153,'(당초)집계표'!U134)</f>
        <v>0</v>
      </c>
      <c r="C134" s="37" t="s">
        <v>11</v>
      </c>
      <c r="D134" s="213">
        <f>SUMIF('(당초)창리'!$D$6:$D$153,'(당초)집계표'!U134,'(당초)창리'!$F$6:$F$153)</f>
        <v>0</v>
      </c>
      <c r="E134" s="36">
        <f>COUNTIF('(당초)창리'!$J$6:$J$153,'(당초)집계표'!V134)</f>
        <v>0</v>
      </c>
      <c r="F134" s="37" t="s">
        <v>11</v>
      </c>
      <c r="G134" s="213">
        <f>SUMIF('(당초)창리'!$J$6:$J$153,'(당초)집계표'!V134,'(당초)창리'!$F$6:$F$153)</f>
        <v>0</v>
      </c>
      <c r="H134" s="36">
        <f>COUNTIF('(당초)창리'!$J$6:$J$153,'(당초)집계표'!W134)</f>
        <v>0</v>
      </c>
      <c r="I134" s="37" t="s">
        <v>11</v>
      </c>
      <c r="J134" s="213">
        <f>SUMIF('(당초)창리'!$J$6:$J$153,'(당초)집계표'!W134,'(당초)창리'!$F$6:$F$153)</f>
        <v>0</v>
      </c>
      <c r="K134" s="36">
        <f t="shared" si="8"/>
        <v>0</v>
      </c>
      <c r="L134" s="37" t="s">
        <v>11</v>
      </c>
      <c r="M134" s="213">
        <f t="shared" si="9"/>
        <v>0</v>
      </c>
      <c r="N134" s="39"/>
      <c r="O134" s="23"/>
      <c r="P134" s="23"/>
      <c r="Q134" s="23"/>
      <c r="R134" s="23"/>
      <c r="S134" s="23"/>
      <c r="T134" s="23"/>
      <c r="U134" s="24" t="s">
        <v>1027</v>
      </c>
      <c r="V134" s="23" t="s">
        <v>1125</v>
      </c>
      <c r="W134" s="332" t="s">
        <v>1164</v>
      </c>
    </row>
    <row r="135" spans="1:23" s="24" customFormat="1" ht="23.1" customHeight="1">
      <c r="A135" s="104" t="s">
        <v>21</v>
      </c>
      <c r="B135" s="36">
        <f>COUNTIF('(당초)창리'!$D$6:$D$153,'(당초)집계표'!U135)</f>
        <v>1</v>
      </c>
      <c r="C135" s="37" t="s">
        <v>11</v>
      </c>
      <c r="D135" s="213">
        <f>SUMIF('(당초)창리'!$D$6:$D$153,'(당초)집계표'!U135,'(당초)창리'!$F$6:$F$153)</f>
        <v>546</v>
      </c>
      <c r="E135" s="36">
        <f>COUNTIF('(당초)창리'!$J$6:$J$153,'(당초)집계표'!V135)</f>
        <v>1</v>
      </c>
      <c r="F135" s="37" t="s">
        <v>11</v>
      </c>
      <c r="G135" s="213">
        <f>SUMIF('(당초)창리'!$J$6:$J$153,'(당초)집계표'!V135,'(당초)창리'!$F$6:$F$153)</f>
        <v>546</v>
      </c>
      <c r="H135" s="36">
        <f>COUNTIF('(당초)창리'!$J$6:$J$153,'(당초)집계표'!W135)</f>
        <v>0</v>
      </c>
      <c r="I135" s="37" t="s">
        <v>11</v>
      </c>
      <c r="J135" s="213">
        <f>SUMIF('(당초)창리'!$J$6:$J$153,'(당초)집계표'!W135,'(당초)창리'!$F$6:$F$153)</f>
        <v>0</v>
      </c>
      <c r="K135" s="36">
        <f t="shared" si="8"/>
        <v>0</v>
      </c>
      <c r="L135" s="37" t="s">
        <v>11</v>
      </c>
      <c r="M135" s="213">
        <f t="shared" si="9"/>
        <v>0</v>
      </c>
      <c r="N135" s="39"/>
      <c r="O135" s="23"/>
      <c r="P135" s="23"/>
      <c r="Q135" s="23"/>
      <c r="R135" s="23"/>
      <c r="S135" s="23"/>
      <c r="T135" s="23"/>
      <c r="U135" s="24" t="s">
        <v>1143</v>
      </c>
      <c r="V135" s="23" t="s">
        <v>1126</v>
      </c>
      <c r="W135" s="332" t="s">
        <v>1165</v>
      </c>
    </row>
    <row r="136" spans="1:23" s="24" customFormat="1" ht="23.1" customHeight="1">
      <c r="A136" s="104" t="s">
        <v>22</v>
      </c>
      <c r="B136" s="36">
        <f>COUNTIF('(당초)창리'!$D$6:$D$153,'(당초)집계표'!U136)</f>
        <v>0</v>
      </c>
      <c r="C136" s="37" t="s">
        <v>11</v>
      </c>
      <c r="D136" s="213">
        <f>SUMIF('(당초)창리'!$D$6:$D$153,'(당초)집계표'!U136,'(당초)창리'!$F$6:$F$153)</f>
        <v>0</v>
      </c>
      <c r="E136" s="36">
        <f>COUNTIF('(당초)창리'!$J$6:$J$153,'(당초)집계표'!V136)</f>
        <v>0</v>
      </c>
      <c r="F136" s="37" t="s">
        <v>11</v>
      </c>
      <c r="G136" s="213">
        <f>SUMIF('(당초)창리'!$J$6:$J$153,'(당초)집계표'!V136,'(당초)창리'!$F$6:$F$153)</f>
        <v>0</v>
      </c>
      <c r="H136" s="36">
        <f>COUNTIF('(당초)창리'!$J$6:$J$153,'(당초)집계표'!W136)</f>
        <v>0</v>
      </c>
      <c r="I136" s="37" t="s">
        <v>11</v>
      </c>
      <c r="J136" s="213">
        <f>SUMIF('(당초)창리'!$J$6:$J$153,'(당초)집계표'!W136,'(당초)창리'!$F$6:$F$153)</f>
        <v>0</v>
      </c>
      <c r="K136" s="36">
        <f t="shared" si="8"/>
        <v>0</v>
      </c>
      <c r="L136" s="37" t="s">
        <v>11</v>
      </c>
      <c r="M136" s="213">
        <f t="shared" si="9"/>
        <v>0</v>
      </c>
      <c r="N136" s="39"/>
      <c r="O136" s="23"/>
      <c r="P136" s="23"/>
      <c r="Q136" s="23"/>
      <c r="R136" s="23"/>
      <c r="S136" s="23"/>
      <c r="T136" s="23"/>
      <c r="U136" s="24" t="s">
        <v>1144</v>
      </c>
      <c r="V136" s="23" t="s">
        <v>1127</v>
      </c>
      <c r="W136" s="332" t="s">
        <v>1166</v>
      </c>
    </row>
    <row r="137" spans="1:23" s="24" customFormat="1" ht="23.1" customHeight="1">
      <c r="A137" s="104" t="s">
        <v>23</v>
      </c>
      <c r="B137" s="36">
        <f>COUNTIF('(당초)창리'!$D$6:$D$153,'(당초)집계표'!U137)</f>
        <v>0</v>
      </c>
      <c r="C137" s="37" t="s">
        <v>11</v>
      </c>
      <c r="D137" s="213">
        <f>SUMIF('(당초)창리'!$D$6:$D$153,'(당초)집계표'!U137,'(당초)창리'!$F$6:$F$153)</f>
        <v>0</v>
      </c>
      <c r="E137" s="36">
        <f>COUNTIF('(당초)창리'!$J$6:$J$153,'(당초)집계표'!V137)</f>
        <v>0</v>
      </c>
      <c r="F137" s="37" t="s">
        <v>11</v>
      </c>
      <c r="G137" s="213">
        <f>SUMIF('(당초)창리'!$J$6:$J$153,'(당초)집계표'!V137,'(당초)창리'!$F$6:$F$153)</f>
        <v>0</v>
      </c>
      <c r="H137" s="36">
        <f>COUNTIF('(당초)창리'!$J$6:$J$153,'(당초)집계표'!W137)</f>
        <v>0</v>
      </c>
      <c r="I137" s="37" t="s">
        <v>11</v>
      </c>
      <c r="J137" s="213">
        <f>SUMIF('(당초)창리'!$J$6:$J$153,'(당초)집계표'!W137,'(당초)창리'!$F$6:$F$153)</f>
        <v>0</v>
      </c>
      <c r="K137" s="36">
        <f t="shared" si="8"/>
        <v>0</v>
      </c>
      <c r="L137" s="37" t="s">
        <v>11</v>
      </c>
      <c r="M137" s="213">
        <f t="shared" si="9"/>
        <v>0</v>
      </c>
      <c r="N137" s="39"/>
      <c r="O137" s="23"/>
      <c r="P137" s="23"/>
      <c r="Q137" s="23"/>
      <c r="R137" s="23"/>
      <c r="S137" s="23"/>
      <c r="T137" s="23"/>
      <c r="U137" s="24" t="s">
        <v>994</v>
      </c>
      <c r="V137" s="23" t="s">
        <v>1128</v>
      </c>
      <c r="W137" s="332" t="s">
        <v>1167</v>
      </c>
    </row>
    <row r="138" spans="1:23" s="24" customFormat="1" ht="23.1" customHeight="1">
      <c r="A138" s="104" t="s">
        <v>24</v>
      </c>
      <c r="B138" s="36">
        <f>COUNTIF('(당초)창리'!$D$6:$D$153,'(당초)집계표'!U138)</f>
        <v>0</v>
      </c>
      <c r="C138" s="37" t="s">
        <v>11</v>
      </c>
      <c r="D138" s="213">
        <f>SUMIF('(당초)창리'!$D$6:$D$153,'(당초)집계표'!U138,'(당초)창리'!$F$6:$F$153)</f>
        <v>0</v>
      </c>
      <c r="E138" s="36">
        <f>COUNTIF('(당초)창리'!$J$6:$J$153,'(당초)집계표'!V138)</f>
        <v>0</v>
      </c>
      <c r="F138" s="37" t="s">
        <v>11</v>
      </c>
      <c r="G138" s="213">
        <f>SUMIF('(당초)창리'!$J$6:$J$153,'(당초)집계표'!V138,'(당초)창리'!$F$6:$F$153)</f>
        <v>0</v>
      </c>
      <c r="H138" s="36">
        <f>COUNTIF('(당초)창리'!$J$6:$J$153,'(당초)집계표'!W138)</f>
        <v>0</v>
      </c>
      <c r="I138" s="37" t="s">
        <v>11</v>
      </c>
      <c r="J138" s="213">
        <f>SUMIF('(당초)창리'!$J$6:$J$153,'(당초)집계표'!W138,'(당초)창리'!$F$6:$F$153)</f>
        <v>0</v>
      </c>
      <c r="K138" s="36">
        <f t="shared" si="8"/>
        <v>0</v>
      </c>
      <c r="L138" s="37" t="s">
        <v>11</v>
      </c>
      <c r="M138" s="213">
        <f t="shared" si="9"/>
        <v>0</v>
      </c>
      <c r="N138" s="39"/>
      <c r="O138" s="23"/>
      <c r="P138" s="23"/>
      <c r="Q138" s="23"/>
      <c r="R138" s="23"/>
      <c r="S138" s="23"/>
      <c r="T138" s="23"/>
      <c r="U138" s="24" t="s">
        <v>1145</v>
      </c>
      <c r="V138" s="23" t="s">
        <v>1129</v>
      </c>
      <c r="W138" s="332" t="s">
        <v>1168</v>
      </c>
    </row>
    <row r="139" spans="1:23" s="24" customFormat="1" ht="23.1" customHeight="1">
      <c r="A139" s="104" t="s">
        <v>25</v>
      </c>
      <c r="B139" s="36">
        <f>COUNTIF('(당초)창리'!$D$6:$D$153,'(당초)집계표'!U139)</f>
        <v>0</v>
      </c>
      <c r="C139" s="37" t="s">
        <v>11</v>
      </c>
      <c r="D139" s="213">
        <f>SUMIF('(당초)창리'!$D$6:$D$153,'(당초)집계표'!U139,'(당초)창리'!$F$6:$F$153)</f>
        <v>0</v>
      </c>
      <c r="E139" s="36">
        <f>COUNTIF('(당초)창리'!$J$6:$J$153,'(당초)집계표'!V139)</f>
        <v>0</v>
      </c>
      <c r="F139" s="37" t="s">
        <v>11</v>
      </c>
      <c r="G139" s="213">
        <f>SUMIF('(당초)창리'!$J$6:$J$153,'(당초)집계표'!V139,'(당초)창리'!$F$6:$F$153)</f>
        <v>0</v>
      </c>
      <c r="H139" s="36">
        <f>COUNTIF('(당초)창리'!$J$6:$J$153,'(당초)집계표'!W139)</f>
        <v>0</v>
      </c>
      <c r="I139" s="37" t="s">
        <v>11</v>
      </c>
      <c r="J139" s="213">
        <f>SUMIF('(당초)창리'!$J$6:$J$153,'(당초)집계표'!W139,'(당초)창리'!$F$6:$F$153)</f>
        <v>0</v>
      </c>
      <c r="K139" s="36">
        <f t="shared" si="8"/>
        <v>0</v>
      </c>
      <c r="L139" s="37" t="s">
        <v>11</v>
      </c>
      <c r="M139" s="213">
        <f t="shared" si="9"/>
        <v>0</v>
      </c>
      <c r="N139" s="39"/>
      <c r="O139" s="23"/>
      <c r="P139" s="23"/>
      <c r="Q139" s="23"/>
      <c r="R139" s="23"/>
      <c r="S139" s="23"/>
      <c r="T139" s="23"/>
      <c r="U139" s="24" t="s">
        <v>1146</v>
      </c>
      <c r="V139" s="23" t="s">
        <v>1130</v>
      </c>
      <c r="W139" s="332" t="s">
        <v>1169</v>
      </c>
    </row>
    <row r="140" spans="1:23" s="24" customFormat="1" ht="23.1" customHeight="1">
      <c r="A140" s="104" t="s">
        <v>26</v>
      </c>
      <c r="B140" s="36">
        <f>COUNTIF('(당초)창리'!$D$6:$D$153,'(당초)집계표'!U140)</f>
        <v>0</v>
      </c>
      <c r="C140" s="37" t="s">
        <v>11</v>
      </c>
      <c r="D140" s="213">
        <f>SUMIF('(당초)창리'!$D$6:$D$153,'(당초)집계표'!U140,'(당초)창리'!$F$6:$F$153)</f>
        <v>0</v>
      </c>
      <c r="E140" s="36">
        <f>COUNTIF('(당초)창리'!$J$6:$J$153,'(당초)집계표'!V140)</f>
        <v>0</v>
      </c>
      <c r="F140" s="37" t="s">
        <v>11</v>
      </c>
      <c r="G140" s="213">
        <f>SUMIF('(당초)창리'!$J$6:$J$153,'(당초)집계표'!V140,'(당초)창리'!$F$6:$F$153)</f>
        <v>0</v>
      </c>
      <c r="H140" s="36">
        <f>COUNTIF('(당초)창리'!$J$6:$J$153,'(당초)집계표'!W140)</f>
        <v>0</v>
      </c>
      <c r="I140" s="37" t="s">
        <v>11</v>
      </c>
      <c r="J140" s="213">
        <f>SUMIF('(당초)창리'!$J$6:$J$153,'(당초)집계표'!W140,'(당초)창리'!$F$6:$F$153)</f>
        <v>0</v>
      </c>
      <c r="K140" s="36">
        <f t="shared" si="8"/>
        <v>0</v>
      </c>
      <c r="L140" s="37" t="s">
        <v>11</v>
      </c>
      <c r="M140" s="213">
        <f t="shared" si="9"/>
        <v>0</v>
      </c>
      <c r="N140" s="39"/>
      <c r="O140" s="23"/>
      <c r="P140" s="23"/>
      <c r="Q140" s="23"/>
      <c r="R140" s="23"/>
      <c r="S140" s="23"/>
      <c r="T140" s="23"/>
      <c r="U140" s="24" t="s">
        <v>1147</v>
      </c>
      <c r="V140" s="23" t="s">
        <v>1131</v>
      </c>
      <c r="W140" s="332" t="s">
        <v>1170</v>
      </c>
    </row>
    <row r="141" spans="1:23" s="24" customFormat="1" ht="23.1" customHeight="1">
      <c r="A141" s="104" t="s">
        <v>27</v>
      </c>
      <c r="B141" s="36">
        <f>COUNTIF('(당초)창리'!$D$6:$D$153,'(당초)집계표'!U141)</f>
        <v>0</v>
      </c>
      <c r="C141" s="37" t="s">
        <v>11</v>
      </c>
      <c r="D141" s="213">
        <f>SUMIF('(당초)창리'!$D$6:$D$153,'(당초)집계표'!U141,'(당초)창리'!$F$6:$F$153)</f>
        <v>0</v>
      </c>
      <c r="E141" s="36">
        <f>COUNTIF('(당초)창리'!$J$6:$J$153,'(당초)집계표'!V141)</f>
        <v>0</v>
      </c>
      <c r="F141" s="37" t="s">
        <v>11</v>
      </c>
      <c r="G141" s="213">
        <f>SUMIF('(당초)창리'!$J$6:$J$153,'(당초)집계표'!V141,'(당초)창리'!$F$6:$F$153)</f>
        <v>0</v>
      </c>
      <c r="H141" s="36">
        <f>COUNTIF('(당초)창리'!$J$6:$J$153,'(당초)집계표'!W141)</f>
        <v>0</v>
      </c>
      <c r="I141" s="37" t="s">
        <v>11</v>
      </c>
      <c r="J141" s="213">
        <f>SUMIF('(당초)창리'!$J$6:$J$153,'(당초)집계표'!W141,'(당초)창리'!$F$6:$F$153)</f>
        <v>0</v>
      </c>
      <c r="K141" s="36">
        <f t="shared" si="8"/>
        <v>0</v>
      </c>
      <c r="L141" s="37" t="s">
        <v>11</v>
      </c>
      <c r="M141" s="213">
        <f t="shared" si="9"/>
        <v>0</v>
      </c>
      <c r="N141" s="39"/>
      <c r="O141" s="23"/>
      <c r="P141" s="23"/>
      <c r="Q141" s="23"/>
      <c r="R141" s="23"/>
      <c r="S141" s="23"/>
      <c r="T141" s="23"/>
      <c r="U141" s="24" t="s">
        <v>1148</v>
      </c>
      <c r="V141" s="23" t="s">
        <v>1132</v>
      </c>
      <c r="W141" s="332" t="s">
        <v>1171</v>
      </c>
    </row>
    <row r="142" spans="1:23" s="24" customFormat="1" ht="23.1" customHeight="1">
      <c r="A142" s="104" t="s">
        <v>28</v>
      </c>
      <c r="B142" s="36">
        <f>COUNTIF('(당초)창리'!$D$6:$D$153,'(당초)집계표'!U142)</f>
        <v>0</v>
      </c>
      <c r="C142" s="37" t="s">
        <v>11</v>
      </c>
      <c r="D142" s="213">
        <f>SUMIF('(당초)창리'!$D$6:$D$153,'(당초)집계표'!U142,'(당초)창리'!$F$6:$F$153)</f>
        <v>0</v>
      </c>
      <c r="E142" s="36">
        <f>COUNTIF('(당초)창리'!$J$6:$J$153,'(당초)집계표'!V142)</f>
        <v>0</v>
      </c>
      <c r="F142" s="37" t="s">
        <v>11</v>
      </c>
      <c r="G142" s="213">
        <f>SUMIF('(당초)창리'!$J$6:$J$153,'(당초)집계표'!V142,'(당초)창리'!$F$6:$F$153)</f>
        <v>0</v>
      </c>
      <c r="H142" s="36">
        <f>COUNTIF('(당초)창리'!$J$6:$J$153,'(당초)집계표'!W142)</f>
        <v>0</v>
      </c>
      <c r="I142" s="37" t="s">
        <v>11</v>
      </c>
      <c r="J142" s="213">
        <f>SUMIF('(당초)창리'!$J$6:$J$153,'(당초)집계표'!W142,'(당초)창리'!$F$6:$F$153)</f>
        <v>0</v>
      </c>
      <c r="K142" s="36">
        <f t="shared" si="8"/>
        <v>0</v>
      </c>
      <c r="L142" s="37" t="s">
        <v>11</v>
      </c>
      <c r="M142" s="213">
        <f t="shared" si="9"/>
        <v>0</v>
      </c>
      <c r="N142" s="39"/>
      <c r="O142" s="23"/>
      <c r="P142" s="23"/>
      <c r="Q142" s="23"/>
      <c r="R142" s="23"/>
      <c r="S142" s="23"/>
      <c r="T142" s="23"/>
      <c r="U142" s="24" t="s">
        <v>1149</v>
      </c>
      <c r="V142" s="23" t="s">
        <v>1133</v>
      </c>
      <c r="W142" s="332" t="s">
        <v>1172</v>
      </c>
    </row>
    <row r="143" spans="1:23" s="24" customFormat="1" ht="23.1" customHeight="1">
      <c r="A143" s="104" t="s">
        <v>29</v>
      </c>
      <c r="B143" s="36">
        <f>COUNTIF('(당초)창리'!$D$6:$D$153,'(당초)집계표'!U143)</f>
        <v>13</v>
      </c>
      <c r="C143" s="37" t="s">
        <v>11</v>
      </c>
      <c r="D143" s="213">
        <f>SUMIF('(당초)창리'!$D$6:$D$153,'(당초)집계표'!U143,'(당초)창리'!$F$6:$F$153)</f>
        <v>6483</v>
      </c>
      <c r="E143" s="36">
        <f>COUNTIF('(당초)창리'!$J$6:$J$153,'(당초)집계표'!V143)</f>
        <v>0</v>
      </c>
      <c r="F143" s="37" t="s">
        <v>11</v>
      </c>
      <c r="G143" s="213">
        <f>SUMIF('(당초)창리'!$J$6:$J$153,'(당초)집계표'!V143,'(당초)창리'!$F$6:$F$153)</f>
        <v>0</v>
      </c>
      <c r="H143" s="36">
        <f>COUNTIF('(당초)창리'!$J$6:$J$153,'(당초)집계표'!W143)</f>
        <v>12</v>
      </c>
      <c r="I143" s="37" t="s">
        <v>11</v>
      </c>
      <c r="J143" s="213">
        <f>SUMIF('(당초)창리'!$J$6:$J$153,'(당초)집계표'!W143,'(당초)창리'!$F$6:$F$153)</f>
        <v>6460</v>
      </c>
      <c r="K143" s="36">
        <f t="shared" si="8"/>
        <v>1</v>
      </c>
      <c r="L143" s="37" t="s">
        <v>11</v>
      </c>
      <c r="M143" s="213">
        <f t="shared" si="9"/>
        <v>23</v>
      </c>
      <c r="N143" s="39"/>
      <c r="O143" s="23"/>
      <c r="P143" s="23"/>
      <c r="Q143" s="23"/>
      <c r="R143" s="23"/>
      <c r="S143" s="23"/>
      <c r="T143" s="23"/>
      <c r="U143" s="24" t="s">
        <v>1150</v>
      </c>
      <c r="V143" s="23" t="s">
        <v>1134</v>
      </c>
      <c r="W143" s="332" t="s">
        <v>1173</v>
      </c>
    </row>
    <row r="144" spans="1:23" s="24" customFormat="1" ht="23.1" customHeight="1">
      <c r="A144" s="105" t="s">
        <v>30</v>
      </c>
      <c r="B144" s="36">
        <f>COUNTIF('(당초)창리'!$D$6:$D$153,'(당초)집계표'!U144)</f>
        <v>0</v>
      </c>
      <c r="C144" s="37" t="s">
        <v>11</v>
      </c>
      <c r="D144" s="213">
        <f>SUMIF('(당초)창리'!$D$6:$D$153,'(당초)집계표'!U144,'(당초)창리'!$F$6:$F$153)</f>
        <v>0</v>
      </c>
      <c r="E144" s="36">
        <f>COUNTIF('(당초)창리'!$J$6:$J$153,'(당초)집계표'!V144)</f>
        <v>0</v>
      </c>
      <c r="F144" s="37" t="s">
        <v>11</v>
      </c>
      <c r="G144" s="213">
        <f>SUMIF('(당초)창리'!$J$6:$J$153,'(당초)집계표'!V144,'(당초)창리'!$F$6:$F$153)</f>
        <v>0</v>
      </c>
      <c r="H144" s="36">
        <f>COUNTIF('(당초)창리'!$J$6:$J$153,'(당초)집계표'!W144)</f>
        <v>0</v>
      </c>
      <c r="I144" s="37" t="s">
        <v>11</v>
      </c>
      <c r="J144" s="213">
        <f>SUMIF('(당초)창리'!$J$6:$J$153,'(당초)집계표'!W144,'(당초)창리'!$F$6:$F$153)</f>
        <v>0</v>
      </c>
      <c r="K144" s="36">
        <f t="shared" si="8"/>
        <v>0</v>
      </c>
      <c r="L144" s="37" t="s">
        <v>11</v>
      </c>
      <c r="M144" s="213">
        <f t="shared" si="9"/>
        <v>0</v>
      </c>
      <c r="N144" s="39"/>
      <c r="O144" s="23"/>
      <c r="P144" s="23"/>
      <c r="Q144" s="23"/>
      <c r="R144" s="23"/>
      <c r="S144" s="23"/>
      <c r="T144" s="23"/>
      <c r="U144" s="24" t="s">
        <v>1151</v>
      </c>
      <c r="V144" s="23" t="s">
        <v>1135</v>
      </c>
      <c r="W144" s="332" t="s">
        <v>1174</v>
      </c>
    </row>
    <row r="145" spans="1:23" s="24" customFormat="1" ht="23.1" customHeight="1">
      <c r="A145" s="105" t="s">
        <v>31</v>
      </c>
      <c r="B145" s="36">
        <f>COUNTIF('(당초)창리'!$D$6:$D$153,'(당초)집계표'!U145)</f>
        <v>0</v>
      </c>
      <c r="C145" s="37" t="s">
        <v>11</v>
      </c>
      <c r="D145" s="213">
        <f>SUMIF('(당초)창리'!$D$6:$D$153,'(당초)집계표'!U145,'(당초)창리'!$F$6:$F$153)</f>
        <v>0</v>
      </c>
      <c r="E145" s="36">
        <f>COUNTIF('(당초)창리'!$J$6:$J$153,'(당초)집계표'!V145)</f>
        <v>0</v>
      </c>
      <c r="F145" s="37" t="s">
        <v>11</v>
      </c>
      <c r="G145" s="213">
        <f>SUMIF('(당초)창리'!$J$6:$J$153,'(당초)집계표'!V145,'(당초)창리'!$F$6:$F$153)</f>
        <v>0</v>
      </c>
      <c r="H145" s="36">
        <f>COUNTIF('(당초)창리'!$J$6:$J$153,'(당초)집계표'!W145)</f>
        <v>0</v>
      </c>
      <c r="I145" s="37" t="s">
        <v>11</v>
      </c>
      <c r="J145" s="213">
        <f>SUMIF('(당초)창리'!$J$6:$J$153,'(당초)집계표'!W145,'(당초)창리'!$F$6:$F$153)</f>
        <v>0</v>
      </c>
      <c r="K145" s="36">
        <f t="shared" si="8"/>
        <v>0</v>
      </c>
      <c r="L145" s="37" t="s">
        <v>11</v>
      </c>
      <c r="M145" s="213">
        <f t="shared" si="9"/>
        <v>0</v>
      </c>
      <c r="N145" s="39"/>
      <c r="O145" s="23"/>
      <c r="P145" s="23"/>
      <c r="Q145" s="23"/>
      <c r="R145" s="23"/>
      <c r="S145" s="23"/>
      <c r="T145" s="23"/>
      <c r="U145" s="24" t="s">
        <v>1152</v>
      </c>
      <c r="V145" s="23" t="s">
        <v>1136</v>
      </c>
      <c r="W145" s="332" t="s">
        <v>1175</v>
      </c>
    </row>
    <row r="146" spans="1:23" s="24" customFormat="1" ht="23.1" customHeight="1">
      <c r="A146" s="105" t="s">
        <v>32</v>
      </c>
      <c r="B146" s="36">
        <f>COUNTIF('(당초)창리'!$D$6:$D$153,'(당초)집계표'!U146)</f>
        <v>0</v>
      </c>
      <c r="C146" s="37" t="s">
        <v>11</v>
      </c>
      <c r="D146" s="213">
        <f>SUMIF('(당초)창리'!$D$6:$D$153,'(당초)집계표'!U146,'(당초)창리'!$F$6:$F$153)</f>
        <v>0</v>
      </c>
      <c r="E146" s="36">
        <f>COUNTIF('(당초)창리'!$J$6:$J$153,'(당초)집계표'!V146)</f>
        <v>0</v>
      </c>
      <c r="F146" s="37" t="s">
        <v>11</v>
      </c>
      <c r="G146" s="213">
        <f>SUMIF('(당초)창리'!$J$6:$J$153,'(당초)집계표'!V146,'(당초)창리'!$F$6:$F$153)</f>
        <v>0</v>
      </c>
      <c r="H146" s="36">
        <f>COUNTIF('(당초)창리'!$J$6:$J$153,'(당초)집계표'!W146)</f>
        <v>0</v>
      </c>
      <c r="I146" s="37" t="s">
        <v>11</v>
      </c>
      <c r="J146" s="213">
        <f>SUMIF('(당초)창리'!$J$6:$J$153,'(당초)집계표'!W146,'(당초)창리'!$F$6:$F$153)</f>
        <v>0</v>
      </c>
      <c r="K146" s="36">
        <f t="shared" si="8"/>
        <v>0</v>
      </c>
      <c r="L146" s="37" t="s">
        <v>11</v>
      </c>
      <c r="M146" s="213">
        <f t="shared" si="9"/>
        <v>0</v>
      </c>
      <c r="N146" s="39"/>
      <c r="O146" s="23"/>
      <c r="P146" s="23"/>
      <c r="Q146" s="23"/>
      <c r="R146" s="23"/>
      <c r="S146" s="23"/>
      <c r="T146" s="23"/>
      <c r="U146" s="24" t="s">
        <v>994</v>
      </c>
      <c r="V146" s="23" t="s">
        <v>1128</v>
      </c>
      <c r="W146" s="332" t="s">
        <v>1167</v>
      </c>
    </row>
    <row r="147" spans="1:23" s="24" customFormat="1" ht="23.1" customHeight="1">
      <c r="A147" s="105" t="s">
        <v>33</v>
      </c>
      <c r="B147" s="36">
        <f>COUNTIF('(당초)창리'!$D$6:$D$153,'(당초)집계표'!U147)</f>
        <v>0</v>
      </c>
      <c r="C147" s="37" t="s">
        <v>11</v>
      </c>
      <c r="D147" s="213">
        <f>SUMIF('(당초)창리'!$D$6:$D$153,'(당초)집계표'!U147,'(당초)창리'!$F$6:$F$153)</f>
        <v>0</v>
      </c>
      <c r="E147" s="36">
        <f>COUNTIF('(당초)창리'!$J$6:$J$153,'(당초)집계표'!V147)</f>
        <v>0</v>
      </c>
      <c r="F147" s="37" t="s">
        <v>11</v>
      </c>
      <c r="G147" s="213">
        <f>SUMIF('(당초)창리'!$J$6:$J$153,'(당초)집계표'!V147,'(당초)창리'!$F$6:$F$153)</f>
        <v>0</v>
      </c>
      <c r="H147" s="36">
        <f>COUNTIF('(당초)창리'!$J$6:$J$153,'(당초)집계표'!W147)</f>
        <v>0</v>
      </c>
      <c r="I147" s="37" t="s">
        <v>11</v>
      </c>
      <c r="J147" s="213">
        <f>SUMIF('(당초)창리'!$J$6:$J$153,'(당초)집계표'!W147,'(당초)창리'!$F$6:$F$153)</f>
        <v>0</v>
      </c>
      <c r="K147" s="36">
        <f t="shared" si="8"/>
        <v>0</v>
      </c>
      <c r="L147" s="37" t="s">
        <v>11</v>
      </c>
      <c r="M147" s="213">
        <f t="shared" si="9"/>
        <v>0</v>
      </c>
      <c r="N147" s="39"/>
      <c r="O147" s="23"/>
      <c r="P147" s="23"/>
      <c r="Q147" s="23"/>
      <c r="R147" s="23"/>
      <c r="S147" s="23"/>
      <c r="T147" s="23"/>
      <c r="U147" s="24" t="s">
        <v>1153</v>
      </c>
      <c r="V147" s="23" t="s">
        <v>1137</v>
      </c>
      <c r="W147" s="332" t="s">
        <v>1176</v>
      </c>
    </row>
    <row r="148" spans="1:23" s="24" customFormat="1" ht="23.1" customHeight="1">
      <c r="A148" s="105" t="s">
        <v>34</v>
      </c>
      <c r="B148" s="36">
        <f>COUNTIF('(당초)창리'!$D$6:$D$153,'(당초)집계표'!U148)</f>
        <v>0</v>
      </c>
      <c r="C148" s="37" t="s">
        <v>11</v>
      </c>
      <c r="D148" s="213">
        <f>SUMIF('(당초)창리'!$D$6:$D$153,'(당초)집계표'!U148,'(당초)창리'!$F$6:$F$153)</f>
        <v>0</v>
      </c>
      <c r="E148" s="36">
        <f>COUNTIF('(당초)창리'!$J$6:$J$153,'(당초)집계표'!V148)</f>
        <v>0</v>
      </c>
      <c r="F148" s="37" t="s">
        <v>11</v>
      </c>
      <c r="G148" s="213">
        <f>SUMIF('(당초)창리'!$J$6:$J$153,'(당초)집계표'!V148,'(당초)창리'!$F$6:$F$153)</f>
        <v>0</v>
      </c>
      <c r="H148" s="36">
        <f>COUNTIF('(당초)창리'!$J$6:$J$153,'(당초)집계표'!W148)</f>
        <v>0</v>
      </c>
      <c r="I148" s="37" t="s">
        <v>11</v>
      </c>
      <c r="J148" s="213">
        <f>SUMIF('(당초)창리'!$J$6:$J$153,'(당초)집계표'!W148,'(당초)창리'!$F$6:$F$153)</f>
        <v>0</v>
      </c>
      <c r="K148" s="36">
        <f t="shared" si="8"/>
        <v>0</v>
      </c>
      <c r="L148" s="37" t="s">
        <v>11</v>
      </c>
      <c r="M148" s="213">
        <f t="shared" si="9"/>
        <v>0</v>
      </c>
      <c r="N148" s="39"/>
      <c r="O148" s="23"/>
      <c r="P148" s="23"/>
      <c r="Q148" s="23"/>
      <c r="R148" s="23"/>
      <c r="S148" s="23"/>
      <c r="T148" s="23"/>
      <c r="U148" s="24" t="s">
        <v>1154</v>
      </c>
      <c r="V148" s="23" t="s">
        <v>1138</v>
      </c>
      <c r="W148" s="332" t="s">
        <v>1177</v>
      </c>
    </row>
    <row r="149" spans="1:23" s="24" customFormat="1" ht="23.1" customHeight="1">
      <c r="A149" s="105" t="s">
        <v>66</v>
      </c>
      <c r="B149" s="36">
        <f>COUNTIF('(당초)창리'!$D$6:$D$153,'(당초)집계표'!U149)</f>
        <v>0</v>
      </c>
      <c r="C149" s="37" t="s">
        <v>11</v>
      </c>
      <c r="D149" s="213">
        <f>SUMIF('(당초)창리'!$D$6:$D$153,'(당초)집계표'!U149,'(당초)창리'!$F$6:$F$153)</f>
        <v>0</v>
      </c>
      <c r="E149" s="36">
        <f>COUNTIF('(당초)창리'!$J$6:$J$153,'(당초)집계표'!V149)</f>
        <v>0</v>
      </c>
      <c r="F149" s="37" t="s">
        <v>11</v>
      </c>
      <c r="G149" s="213">
        <f>SUMIF('(당초)창리'!$J$6:$J$153,'(당초)집계표'!V149,'(당초)창리'!$F$6:$F$153)</f>
        <v>0</v>
      </c>
      <c r="H149" s="36">
        <f>COUNTIF('(당초)창리'!$J$6:$J$153,'(당초)집계표'!W149)</f>
        <v>0</v>
      </c>
      <c r="I149" s="37" t="s">
        <v>11</v>
      </c>
      <c r="J149" s="213">
        <f>SUMIF('(당초)창리'!$J$6:$J$153,'(당초)집계표'!W149,'(당초)창리'!$F$6:$F$153)</f>
        <v>0</v>
      </c>
      <c r="K149" s="36">
        <f t="shared" si="8"/>
        <v>0</v>
      </c>
      <c r="L149" s="37" t="s">
        <v>11</v>
      </c>
      <c r="M149" s="213">
        <f t="shared" si="9"/>
        <v>0</v>
      </c>
      <c r="N149" s="39"/>
      <c r="O149" s="23"/>
      <c r="P149" s="23"/>
      <c r="Q149" s="23"/>
      <c r="R149" s="23"/>
      <c r="S149" s="23"/>
      <c r="T149" s="23"/>
      <c r="U149" s="24" t="s">
        <v>1155</v>
      </c>
      <c r="V149" s="23" t="s">
        <v>1139</v>
      </c>
      <c r="W149" s="332" t="s">
        <v>1178</v>
      </c>
    </row>
    <row r="150" spans="1:23" s="24" customFormat="1" ht="23.1" customHeight="1">
      <c r="A150" s="105" t="s">
        <v>75</v>
      </c>
      <c r="B150" s="36">
        <f>COUNTIF('(당초)창리'!$D$6:$D$153,'(당초)집계표'!U150)</f>
        <v>0</v>
      </c>
      <c r="C150" s="37" t="s">
        <v>11</v>
      </c>
      <c r="D150" s="213">
        <f>SUMIF('(당초)창리'!$D$6:$D$153,'(당초)집계표'!U150,'(당초)창리'!$F$6:$F$153)</f>
        <v>0</v>
      </c>
      <c r="E150" s="36">
        <f>COUNTIF('(당초)창리'!$J$6:$J$153,'(당초)집계표'!V150)</f>
        <v>0</v>
      </c>
      <c r="F150" s="37" t="s">
        <v>11</v>
      </c>
      <c r="G150" s="213">
        <f>SUMIF('(당초)창리'!$J$6:$J$153,'(당초)집계표'!V150,'(당초)창리'!$F$6:$F$153)</f>
        <v>0</v>
      </c>
      <c r="H150" s="36">
        <f>COUNTIF('(당초)창리'!$J$6:$J$153,'(당초)집계표'!W150)</f>
        <v>0</v>
      </c>
      <c r="I150" s="37" t="s">
        <v>11</v>
      </c>
      <c r="J150" s="213">
        <f>SUMIF('(당초)창리'!$J$6:$J$153,'(당초)집계표'!W150,'(당초)창리'!$F$6:$F$153)</f>
        <v>0</v>
      </c>
      <c r="K150" s="36">
        <f t="shared" si="8"/>
        <v>0</v>
      </c>
      <c r="L150" s="37" t="s">
        <v>11</v>
      </c>
      <c r="M150" s="213">
        <f t="shared" si="9"/>
        <v>0</v>
      </c>
      <c r="N150" s="39"/>
      <c r="O150" s="23"/>
      <c r="P150" s="23"/>
      <c r="Q150" s="23"/>
      <c r="R150" s="23"/>
      <c r="S150" s="23"/>
      <c r="T150" s="23"/>
      <c r="U150" s="24" t="s">
        <v>1187</v>
      </c>
      <c r="V150" s="23" t="s">
        <v>1188</v>
      </c>
      <c r="W150" s="332" t="s">
        <v>1189</v>
      </c>
    </row>
    <row r="151" spans="1:23" s="24" customFormat="1" ht="23.1" customHeight="1">
      <c r="A151" s="106" t="s">
        <v>68</v>
      </c>
      <c r="B151" s="36">
        <f>COUNTIF('(당초)창리'!$D$6:$D$153,'(당초)집계표'!U151)</f>
        <v>0</v>
      </c>
      <c r="C151" s="41" t="s">
        <v>11</v>
      </c>
      <c r="D151" s="213">
        <f>SUMIF('(당초)창리'!$D$6:$D$153,'(당초)집계표'!U151,'(당초)창리'!$F$6:$F$153)</f>
        <v>0</v>
      </c>
      <c r="E151" s="36">
        <f>COUNTIF('(당초)창리'!$J$6:$J$153,'(당초)집계표'!V151)</f>
        <v>0</v>
      </c>
      <c r="F151" s="37" t="s">
        <v>11</v>
      </c>
      <c r="G151" s="213">
        <f>SUMIF('(당초)창리'!$J$6:$J$153,'(당초)집계표'!V151,'(당초)창리'!$F$6:$F$153)</f>
        <v>0</v>
      </c>
      <c r="H151" s="36">
        <f>COUNTIF('(당초)창리'!$J$6:$J$153,'(당초)집계표'!W151)</f>
        <v>0</v>
      </c>
      <c r="I151" s="37" t="s">
        <v>11</v>
      </c>
      <c r="J151" s="213">
        <f>SUMIF('(당초)창리'!$J$6:$J$153,'(당초)집계표'!W151,'(당초)창리'!$F$6:$F$153)</f>
        <v>0</v>
      </c>
      <c r="K151" s="40">
        <f t="shared" si="8"/>
        <v>0</v>
      </c>
      <c r="L151" s="41" t="s">
        <v>11</v>
      </c>
      <c r="M151" s="214">
        <f t="shared" si="9"/>
        <v>0</v>
      </c>
      <c r="N151" s="43"/>
      <c r="O151" s="23"/>
      <c r="P151" s="23"/>
      <c r="Q151" s="23"/>
      <c r="R151" s="23"/>
      <c r="S151" s="23"/>
      <c r="T151" s="23"/>
      <c r="U151" s="24" t="s">
        <v>1182</v>
      </c>
      <c r="V151" s="23" t="s">
        <v>1184</v>
      </c>
      <c r="W151" s="332" t="s">
        <v>1185</v>
      </c>
    </row>
    <row r="152" spans="1:23" s="17" customFormat="1" ht="20.100000000000001" customHeight="1">
      <c r="A152" s="11">
        <f>IF(EXACT(O156,O157),,"검산확인요!!!")</f>
        <v>0</v>
      </c>
      <c r="B152" s="12"/>
      <c r="C152" s="12"/>
      <c r="D152" s="12"/>
      <c r="E152" s="12"/>
      <c r="F152" s="12"/>
      <c r="G152" s="12"/>
      <c r="H152" s="12"/>
      <c r="I152" s="12"/>
      <c r="J152" s="12"/>
      <c r="K152" s="13">
        <f>IF(ISBLANK('6'!K2),,'6'!K2)</f>
        <v>3</v>
      </c>
      <c r="L152" s="14"/>
      <c r="M152" s="15"/>
      <c r="N152" s="16"/>
    </row>
    <row r="153" spans="1:23" s="17" customFormat="1" ht="9.9499999999999993" customHeight="1">
      <c r="A153" s="11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</row>
    <row r="154" spans="1:23" s="24" customFormat="1" ht="27.95" customHeight="1">
      <c r="A154" s="18" t="s">
        <v>9</v>
      </c>
      <c r="B154" s="19" t="s">
        <v>8</v>
      </c>
      <c r="C154" s="20"/>
      <c r="D154" s="21"/>
      <c r="E154" s="19" t="s">
        <v>35</v>
      </c>
      <c r="F154" s="20"/>
      <c r="G154" s="21"/>
      <c r="H154" s="19" t="s">
        <v>44</v>
      </c>
      <c r="I154" s="20"/>
      <c r="J154" s="21"/>
      <c r="K154" s="19" t="s">
        <v>36</v>
      </c>
      <c r="L154" s="20"/>
      <c r="M154" s="21"/>
      <c r="N154" s="22" t="s">
        <v>37</v>
      </c>
      <c r="O154" s="23"/>
      <c r="S154" s="23"/>
      <c r="T154" s="23"/>
      <c r="U154" s="23"/>
      <c r="V154" s="23"/>
    </row>
    <row r="155" spans="1:23" s="24" customFormat="1" ht="27.95" customHeight="1">
      <c r="A155" s="25"/>
      <c r="B155" s="26" t="s">
        <v>10</v>
      </c>
      <c r="C155" s="27" t="s">
        <v>11</v>
      </c>
      <c r="D155" s="28" t="s">
        <v>38</v>
      </c>
      <c r="E155" s="26" t="s">
        <v>10</v>
      </c>
      <c r="F155" s="27" t="s">
        <v>11</v>
      </c>
      <c r="G155" s="28" t="s">
        <v>38</v>
      </c>
      <c r="H155" s="26" t="s">
        <v>10</v>
      </c>
      <c r="I155" s="27" t="s">
        <v>11</v>
      </c>
      <c r="J155" s="28" t="s">
        <v>38</v>
      </c>
      <c r="K155" s="26" t="s">
        <v>10</v>
      </c>
      <c r="L155" s="27" t="s">
        <v>11</v>
      </c>
      <c r="M155" s="28" t="s">
        <v>38</v>
      </c>
      <c r="N155" s="29"/>
      <c r="P155" s="23"/>
      <c r="Q155" s="30" t="s">
        <v>39</v>
      </c>
      <c r="R155" s="30" t="s">
        <v>40</v>
      </c>
      <c r="S155" s="30" t="s">
        <v>41</v>
      </c>
      <c r="T155" s="30" t="s">
        <v>42</v>
      </c>
      <c r="U155" s="23"/>
      <c r="V155" s="23"/>
    </row>
    <row r="156" spans="1:23" s="24" customFormat="1" ht="23.1" customHeight="1">
      <c r="A156" s="103" t="s">
        <v>8</v>
      </c>
      <c r="B156" s="31">
        <f>SUM(B157:B181)</f>
        <v>0</v>
      </c>
      <c r="C156" s="32" t="s">
        <v>11</v>
      </c>
      <c r="D156" s="33">
        <f>SUM(D157:D181)</f>
        <v>0</v>
      </c>
      <c r="E156" s="31">
        <f>SUM(E157:E181)</f>
        <v>0</v>
      </c>
      <c r="F156" s="32" t="s">
        <v>11</v>
      </c>
      <c r="G156" s="33">
        <f>SUM(G157:G181)</f>
        <v>0</v>
      </c>
      <c r="H156" s="31">
        <f>SUM(H157:H181)</f>
        <v>0</v>
      </c>
      <c r="I156" s="32" t="s">
        <v>11</v>
      </c>
      <c r="J156" s="33">
        <f>SUM(J157:J181)</f>
        <v>0</v>
      </c>
      <c r="K156" s="31">
        <f>SUM(K157:K181)</f>
        <v>0</v>
      </c>
      <c r="L156" s="32" t="s">
        <v>11</v>
      </c>
      <c r="M156" s="33">
        <f>SUM(M157:M181)</f>
        <v>0</v>
      </c>
      <c r="N156" s="34"/>
      <c r="O156" s="23" t="str">
        <f>IF(EXACT(Q156,T156),"맞음","틀림")</f>
        <v>맞음</v>
      </c>
      <c r="P156" s="23" t="s">
        <v>10</v>
      </c>
      <c r="Q156" s="35">
        <f>SUM(B157:B181)</f>
        <v>0</v>
      </c>
      <c r="R156" s="35">
        <f>SUM(E157:E181)</f>
        <v>0</v>
      </c>
      <c r="S156" s="35">
        <f>SUM(K157:K181)</f>
        <v>0</v>
      </c>
      <c r="T156" s="35">
        <f>K156+E156</f>
        <v>0</v>
      </c>
      <c r="U156" s="23"/>
      <c r="V156" s="23"/>
    </row>
    <row r="157" spans="1:23" s="24" customFormat="1" ht="23.1" customHeight="1">
      <c r="A157" s="104" t="s">
        <v>13</v>
      </c>
      <c r="B157" s="36">
        <f>COUNTIF('6'!$C$6:$C$529,"전")</f>
        <v>0</v>
      </c>
      <c r="C157" s="37" t="s">
        <v>11</v>
      </c>
      <c r="D157" s="38">
        <f>SUMIF('6'!$C$6:$C$529,"전",'6'!$E$6:$E$529)</f>
        <v>0</v>
      </c>
      <c r="E157" s="36">
        <f>COUNTIF('6'!$N$6:$N$529,"전국")</f>
        <v>0</v>
      </c>
      <c r="F157" s="37" t="s">
        <v>11</v>
      </c>
      <c r="G157" s="38">
        <f>SUMIF('6'!$N$6:$N$529,"전국",'6'!$E$6:$E$529)</f>
        <v>0</v>
      </c>
      <c r="H157" s="36">
        <f>COUNTIF('6'!$N$6:$N$529,"전공")</f>
        <v>0</v>
      </c>
      <c r="I157" s="37" t="s">
        <v>11</v>
      </c>
      <c r="J157" s="38">
        <f>SUMIF('6'!$N$6:$N$529,"전공",'6'!$E$6:$E$529)</f>
        <v>0</v>
      </c>
      <c r="K157" s="36">
        <f t="shared" ref="K157:K181" si="10">SUM(B157-E157-H157)</f>
        <v>0</v>
      </c>
      <c r="L157" s="37" t="s">
        <v>11</v>
      </c>
      <c r="M157" s="38">
        <f t="shared" ref="M157:M181" si="11">SUM(D157-G157-J157)</f>
        <v>0</v>
      </c>
      <c r="N157" s="39"/>
      <c r="O157" s="23" t="str">
        <f>IF(EXACT(Q157,T157),"맞음","틀림")</f>
        <v>맞음</v>
      </c>
      <c r="P157" s="23" t="s">
        <v>43</v>
      </c>
      <c r="Q157" s="35">
        <f>SUM(D157:D181)</f>
        <v>0</v>
      </c>
      <c r="R157" s="35">
        <f>SUM(G157:G181)</f>
        <v>0</v>
      </c>
      <c r="S157" s="35">
        <f>SUM(M157:M181)</f>
        <v>0</v>
      </c>
      <c r="T157" s="35">
        <f>G156+M156</f>
        <v>0</v>
      </c>
      <c r="U157" s="23"/>
      <c r="V157" s="23"/>
    </row>
    <row r="158" spans="1:23" s="24" customFormat="1" ht="23.1" customHeight="1">
      <c r="A158" s="104" t="s">
        <v>14</v>
      </c>
      <c r="B158" s="36">
        <f>COUNTIF('6'!$C$6:$C$529,"답")</f>
        <v>0</v>
      </c>
      <c r="C158" s="37" t="s">
        <v>11</v>
      </c>
      <c r="D158" s="38">
        <f>SUMIF('6'!$C$6:$C$529,"답",'6'!$E$6:$E$529)</f>
        <v>0</v>
      </c>
      <c r="E158" s="36">
        <f>COUNTIF('6'!$N$6:$N$529,"답국")</f>
        <v>0</v>
      </c>
      <c r="F158" s="37" t="s">
        <v>11</v>
      </c>
      <c r="G158" s="38">
        <f>SUMIF('6'!$N$6:$N$529,"답국",'6'!$E$6:$E$529)</f>
        <v>0</v>
      </c>
      <c r="H158" s="36">
        <f>COUNTIF('6'!$N$6:$N$529,"답공")</f>
        <v>0</v>
      </c>
      <c r="I158" s="37" t="s">
        <v>11</v>
      </c>
      <c r="J158" s="38">
        <f>SUMIF('6'!$N$6:$N$529,"답공",'6'!$E$6:$E$529)</f>
        <v>0</v>
      </c>
      <c r="K158" s="36">
        <f t="shared" si="10"/>
        <v>0</v>
      </c>
      <c r="L158" s="37" t="s">
        <v>11</v>
      </c>
      <c r="M158" s="38">
        <f t="shared" si="11"/>
        <v>0</v>
      </c>
      <c r="N158" s="39"/>
      <c r="Q158" s="23"/>
      <c r="S158" s="23"/>
      <c r="U158" s="23"/>
      <c r="V158" s="23"/>
    </row>
    <row r="159" spans="1:23" s="24" customFormat="1" ht="23.1" customHeight="1">
      <c r="A159" s="104" t="s">
        <v>15</v>
      </c>
      <c r="B159" s="36">
        <f>COUNTIF('6'!$C$6:$C$529,"임")</f>
        <v>0</v>
      </c>
      <c r="C159" s="37" t="s">
        <v>11</v>
      </c>
      <c r="D159" s="38">
        <f>SUMIF('6'!$C$6:$C$529,"임",'6'!$E$6:$E$529)</f>
        <v>0</v>
      </c>
      <c r="E159" s="36">
        <f>COUNTIF('6'!$N$6:$N$529,"임국")</f>
        <v>0</v>
      </c>
      <c r="F159" s="37" t="s">
        <v>11</v>
      </c>
      <c r="G159" s="38">
        <f>SUMIF('6'!$N$6:$N$529,"임국",'6'!$E$6:$E$529)</f>
        <v>0</v>
      </c>
      <c r="H159" s="36">
        <f>COUNTIF('6'!$N$6:$N$529,"임공")</f>
        <v>0</v>
      </c>
      <c r="I159" s="37" t="s">
        <v>11</v>
      </c>
      <c r="J159" s="38">
        <f>SUMIF('6'!$N$6:$N$529,"임공",'6'!$E$6:$E$529)</f>
        <v>0</v>
      </c>
      <c r="K159" s="36">
        <f t="shared" si="10"/>
        <v>0</v>
      </c>
      <c r="L159" s="37" t="s">
        <v>11</v>
      </c>
      <c r="M159" s="38">
        <f t="shared" si="11"/>
        <v>0</v>
      </c>
      <c r="N159" s="39"/>
      <c r="Q159" s="23"/>
      <c r="S159" s="23"/>
      <c r="U159" s="23"/>
      <c r="V159" s="23"/>
    </row>
    <row r="160" spans="1:23" s="24" customFormat="1" ht="23.1" customHeight="1">
      <c r="A160" s="104" t="s">
        <v>16</v>
      </c>
      <c r="B160" s="36">
        <f>COUNTIF('6'!$C$6:$C$529,"대")</f>
        <v>0</v>
      </c>
      <c r="C160" s="37" t="s">
        <v>11</v>
      </c>
      <c r="D160" s="38">
        <f>SUMIF('6'!$C$6:$C$529,"대",'6'!$E$6:$E$529)</f>
        <v>0</v>
      </c>
      <c r="E160" s="36">
        <f>COUNTIF('6'!$N$6:$N$529,"대국")</f>
        <v>0</v>
      </c>
      <c r="F160" s="37" t="s">
        <v>11</v>
      </c>
      <c r="G160" s="38">
        <f>SUMIF('6'!$N$6:$N$529,"대국",'6'!$E$6:$E$529)</f>
        <v>0</v>
      </c>
      <c r="H160" s="36">
        <f>COUNTIF('6'!$N$6:$N$529,"대공")</f>
        <v>0</v>
      </c>
      <c r="I160" s="37" t="s">
        <v>11</v>
      </c>
      <c r="J160" s="38">
        <f>SUMIF('6'!$N$6:$N$529,"대공",'6'!$E$6:$E$529)</f>
        <v>0</v>
      </c>
      <c r="K160" s="36">
        <f t="shared" si="10"/>
        <v>0</v>
      </c>
      <c r="L160" s="37" t="s">
        <v>11</v>
      </c>
      <c r="M160" s="38">
        <f t="shared" si="11"/>
        <v>0</v>
      </c>
      <c r="N160" s="39"/>
      <c r="O160" s="23"/>
      <c r="P160" s="23"/>
      <c r="Q160" s="23"/>
      <c r="R160" s="23"/>
      <c r="S160" s="23"/>
      <c r="T160" s="23"/>
      <c r="U160" s="23"/>
      <c r="V160" s="23"/>
    </row>
    <row r="161" spans="1:22" s="24" customFormat="1" ht="23.1" customHeight="1">
      <c r="A161" s="104" t="s">
        <v>17</v>
      </c>
      <c r="B161" s="36">
        <f>COUNTIF('6'!$C$6:$C$529,"도")</f>
        <v>0</v>
      </c>
      <c r="C161" s="37" t="s">
        <v>11</v>
      </c>
      <c r="D161" s="38">
        <f>SUMIF('6'!$C$6:$C$529,"도",'6'!$E$6:$E$529)</f>
        <v>0</v>
      </c>
      <c r="E161" s="36">
        <f>COUNTIF('6'!$N$6:$N$529,"도국")</f>
        <v>0</v>
      </c>
      <c r="F161" s="37" t="s">
        <v>11</v>
      </c>
      <c r="G161" s="38">
        <f>SUMIF('6'!$N$6:$N$529,"도국",'6'!$E$6:$E$529)</f>
        <v>0</v>
      </c>
      <c r="H161" s="36">
        <f>COUNTIF('6'!$N$6:$N$529,"도공")</f>
        <v>0</v>
      </c>
      <c r="I161" s="37" t="s">
        <v>11</v>
      </c>
      <c r="J161" s="38">
        <f>SUMIF('6'!$N$6:$N$529,"도공",'6'!$E$6:$E$529)</f>
        <v>0</v>
      </c>
      <c r="K161" s="36">
        <f t="shared" si="10"/>
        <v>0</v>
      </c>
      <c r="L161" s="37" t="s">
        <v>11</v>
      </c>
      <c r="M161" s="38">
        <f t="shared" si="11"/>
        <v>0</v>
      </c>
      <c r="N161" s="39"/>
      <c r="O161" s="23"/>
      <c r="P161" s="23"/>
      <c r="Q161" s="23"/>
      <c r="R161" s="23"/>
      <c r="S161" s="23"/>
      <c r="T161" s="23"/>
      <c r="U161" s="23"/>
      <c r="V161" s="23"/>
    </row>
    <row r="162" spans="1:22" s="24" customFormat="1" ht="23.1" customHeight="1">
      <c r="A162" s="104" t="s">
        <v>18</v>
      </c>
      <c r="B162" s="36">
        <f>COUNTIF('6'!$C$6:$C$529,"구")</f>
        <v>0</v>
      </c>
      <c r="C162" s="37" t="s">
        <v>11</v>
      </c>
      <c r="D162" s="38">
        <f>SUMIF('6'!$C$6:$C$529,"구",'6'!$E$6:$E$529)</f>
        <v>0</v>
      </c>
      <c r="E162" s="36">
        <f>COUNTIF('6'!$N$6:$N$529,"구국")</f>
        <v>0</v>
      </c>
      <c r="F162" s="37" t="s">
        <v>11</v>
      </c>
      <c r="G162" s="38">
        <f>SUMIF('6'!$N$6:$N$529,"구국",'6'!$E$6:$E$529)</f>
        <v>0</v>
      </c>
      <c r="H162" s="36">
        <f>COUNTIF('6'!$N$6:$N$529,"구공")</f>
        <v>0</v>
      </c>
      <c r="I162" s="37" t="s">
        <v>11</v>
      </c>
      <c r="J162" s="38">
        <f>SUMIF('6'!$N$6:$N$529,"구공",'6'!$E$6:$E$529)</f>
        <v>0</v>
      </c>
      <c r="K162" s="36">
        <f t="shared" si="10"/>
        <v>0</v>
      </c>
      <c r="L162" s="37" t="s">
        <v>11</v>
      </c>
      <c r="M162" s="38">
        <f t="shared" si="11"/>
        <v>0</v>
      </c>
      <c r="N162" s="39"/>
      <c r="O162" s="23"/>
      <c r="P162" s="23"/>
      <c r="Q162" s="23"/>
      <c r="R162" s="23"/>
      <c r="S162" s="23"/>
      <c r="T162" s="23"/>
      <c r="U162" s="23"/>
      <c r="V162" s="23"/>
    </row>
    <row r="163" spans="1:22" s="24" customFormat="1" ht="23.1" customHeight="1">
      <c r="A163" s="104" t="s">
        <v>19</v>
      </c>
      <c r="B163" s="36">
        <f>COUNTIF('6'!$C$6:$C$529,"천")</f>
        <v>0</v>
      </c>
      <c r="C163" s="37" t="s">
        <v>11</v>
      </c>
      <c r="D163" s="38">
        <f>SUMIF('6'!$C$6:$C$529,"천",'6'!$E$6:$E$529)</f>
        <v>0</v>
      </c>
      <c r="E163" s="36">
        <f>COUNTIF('6'!$N$6:$N$529,"천국")</f>
        <v>0</v>
      </c>
      <c r="F163" s="37" t="s">
        <v>11</v>
      </c>
      <c r="G163" s="38">
        <f>SUMIF('6'!$N$6:$N$529,"천국",'6'!$E$6:$E$529)</f>
        <v>0</v>
      </c>
      <c r="H163" s="36">
        <f>COUNTIF('6'!$N$6:$N$529,"천공")</f>
        <v>0</v>
      </c>
      <c r="I163" s="37" t="s">
        <v>11</v>
      </c>
      <c r="J163" s="38">
        <f>SUMIF('6'!$N$6:$N$529,"천공",'6'!$E$6:$E$529)</f>
        <v>0</v>
      </c>
      <c r="K163" s="36">
        <f t="shared" si="10"/>
        <v>0</v>
      </c>
      <c r="L163" s="37" t="s">
        <v>11</v>
      </c>
      <c r="M163" s="38">
        <f t="shared" si="11"/>
        <v>0</v>
      </c>
      <c r="N163" s="39"/>
      <c r="O163" s="23"/>
      <c r="P163" s="23"/>
      <c r="Q163" s="23"/>
      <c r="R163" s="23"/>
      <c r="S163" s="23"/>
      <c r="T163" s="23"/>
      <c r="U163" s="23"/>
      <c r="V163" s="23"/>
    </row>
    <row r="164" spans="1:22" s="24" customFormat="1" ht="23.1" customHeight="1">
      <c r="A164" s="104" t="s">
        <v>20</v>
      </c>
      <c r="B164" s="36">
        <f>COUNTIF('6'!$C$6:$C$529,"유")</f>
        <v>0</v>
      </c>
      <c r="C164" s="37" t="s">
        <v>11</v>
      </c>
      <c r="D164" s="38">
        <f>SUMIF('6'!$C$6:$C$529,"유",'6'!$E$6:$E$529)</f>
        <v>0</v>
      </c>
      <c r="E164" s="36">
        <f>COUNTIF('6'!$N$6:$N$529,"유국")</f>
        <v>0</v>
      </c>
      <c r="F164" s="37" t="s">
        <v>11</v>
      </c>
      <c r="G164" s="38">
        <f>SUMIF('6'!$N$6:$N$529,"유국",'6'!$E$6:$E$529)</f>
        <v>0</v>
      </c>
      <c r="H164" s="36">
        <f>COUNTIF('6'!$N$6:$N$529,"유공")</f>
        <v>0</v>
      </c>
      <c r="I164" s="37" t="s">
        <v>11</v>
      </c>
      <c r="J164" s="38">
        <f>SUMIF('6'!$N$6:$N$529,"유공",'6'!$E$6:$E$529)</f>
        <v>0</v>
      </c>
      <c r="K164" s="36">
        <f t="shared" si="10"/>
        <v>0</v>
      </c>
      <c r="L164" s="37" t="s">
        <v>11</v>
      </c>
      <c r="M164" s="38">
        <f t="shared" si="11"/>
        <v>0</v>
      </c>
      <c r="N164" s="39"/>
      <c r="O164" s="23"/>
      <c r="P164" s="23"/>
      <c r="Q164" s="23"/>
      <c r="R164" s="23"/>
      <c r="S164" s="23"/>
      <c r="T164" s="23"/>
      <c r="U164" s="23"/>
      <c r="V164" s="23"/>
    </row>
    <row r="165" spans="1:22" s="24" customFormat="1" ht="23.1" customHeight="1">
      <c r="A165" s="104" t="s">
        <v>21</v>
      </c>
      <c r="B165" s="36">
        <f>COUNTIF('6'!$C$6:$C$529,"제")</f>
        <v>0</v>
      </c>
      <c r="C165" s="37" t="s">
        <v>11</v>
      </c>
      <c r="D165" s="38">
        <f>SUMIF('6'!$C$6:$C$529,"제",'6'!$E$6:$E$529)</f>
        <v>0</v>
      </c>
      <c r="E165" s="36">
        <f>COUNTIF('6'!$N$6:$N$529,"제국")</f>
        <v>0</v>
      </c>
      <c r="F165" s="37" t="s">
        <v>11</v>
      </c>
      <c r="G165" s="38">
        <f>SUMIF('6'!$N$6:$N$529,"제국",'6'!$E$6:$E$529)</f>
        <v>0</v>
      </c>
      <c r="H165" s="36">
        <f>COUNTIF('6'!$N$6:$N$529,"제공")</f>
        <v>0</v>
      </c>
      <c r="I165" s="37" t="s">
        <v>11</v>
      </c>
      <c r="J165" s="38">
        <f>SUMIF('6'!$N$6:$N$529,"제공",'6'!$E$6:$E$529)</f>
        <v>0</v>
      </c>
      <c r="K165" s="36">
        <f t="shared" si="10"/>
        <v>0</v>
      </c>
      <c r="L165" s="37" t="s">
        <v>11</v>
      </c>
      <c r="M165" s="38">
        <f t="shared" si="11"/>
        <v>0</v>
      </c>
      <c r="N165" s="39"/>
      <c r="O165" s="23"/>
      <c r="P165" s="23"/>
      <c r="Q165" s="23"/>
      <c r="R165" s="23"/>
      <c r="S165" s="23"/>
      <c r="T165" s="23"/>
      <c r="U165" s="23"/>
      <c r="V165" s="23"/>
    </row>
    <row r="166" spans="1:22" s="24" customFormat="1" ht="23.1" customHeight="1">
      <c r="A166" s="104" t="s">
        <v>22</v>
      </c>
      <c r="B166" s="36">
        <f>COUNTIF('6'!$C$6:$C$529,"과")</f>
        <v>0</v>
      </c>
      <c r="C166" s="37" t="s">
        <v>11</v>
      </c>
      <c r="D166" s="38">
        <f>SUMIF('6'!$C$6:$C$529,"과",'6'!$E$6:$E$529)</f>
        <v>0</v>
      </c>
      <c r="E166" s="36">
        <f>COUNTIF('6'!$N$6:$N$529,"과국")</f>
        <v>0</v>
      </c>
      <c r="F166" s="37" t="s">
        <v>11</v>
      </c>
      <c r="G166" s="38">
        <f>SUMIF('6'!$N$6:$N$529,"과국",'6'!$E$6:$E$529)</f>
        <v>0</v>
      </c>
      <c r="H166" s="36">
        <f>COUNTIF('6'!$N$6:$N$529,"과공")</f>
        <v>0</v>
      </c>
      <c r="I166" s="37" t="s">
        <v>11</v>
      </c>
      <c r="J166" s="38">
        <f>SUMIF('6'!$N$6:$N$529,"과공",'6'!$E$6:$E$529)</f>
        <v>0</v>
      </c>
      <c r="K166" s="36">
        <f t="shared" si="10"/>
        <v>0</v>
      </c>
      <c r="L166" s="37" t="s">
        <v>11</v>
      </c>
      <c r="M166" s="38">
        <f t="shared" si="11"/>
        <v>0</v>
      </c>
      <c r="N166" s="39"/>
      <c r="O166" s="23"/>
      <c r="P166" s="23"/>
      <c r="Q166" s="23"/>
      <c r="R166" s="23"/>
      <c r="S166" s="23"/>
      <c r="T166" s="23"/>
      <c r="U166" s="23"/>
      <c r="V166" s="23"/>
    </row>
    <row r="167" spans="1:22" s="24" customFormat="1" ht="23.1" customHeight="1">
      <c r="A167" s="104" t="s">
        <v>23</v>
      </c>
      <c r="B167" s="36">
        <f>COUNTIF('6'!$C$6:$C$529,"장")</f>
        <v>0</v>
      </c>
      <c r="C167" s="37" t="s">
        <v>11</v>
      </c>
      <c r="D167" s="38">
        <f>SUMIF('6'!$C$6:$C$529,"장",'6'!$E$6:$E$529)</f>
        <v>0</v>
      </c>
      <c r="E167" s="36">
        <f>COUNTIF('6'!$N$6:$N$529,"장국")</f>
        <v>0</v>
      </c>
      <c r="F167" s="37" t="s">
        <v>11</v>
      </c>
      <c r="G167" s="38">
        <f>SUMIF('6'!$N$6:$N$529,"장국",'6'!$E$6:$E$529)</f>
        <v>0</v>
      </c>
      <c r="H167" s="36">
        <f>COUNTIF('6'!$N$6:$N$529,"장공")</f>
        <v>0</v>
      </c>
      <c r="I167" s="37" t="s">
        <v>11</v>
      </c>
      <c r="J167" s="38">
        <f>SUMIF('6'!$N$6:$N$529,"장공",'6'!$E$6:$E$529)</f>
        <v>0</v>
      </c>
      <c r="K167" s="36">
        <f t="shared" si="10"/>
        <v>0</v>
      </c>
      <c r="L167" s="37" t="s">
        <v>11</v>
      </c>
      <c r="M167" s="38">
        <f t="shared" si="11"/>
        <v>0</v>
      </c>
      <c r="N167" s="39"/>
      <c r="O167" s="23"/>
      <c r="P167" s="23"/>
      <c r="Q167" s="23"/>
      <c r="R167" s="23"/>
      <c r="S167" s="23"/>
      <c r="T167" s="23"/>
      <c r="U167" s="23"/>
      <c r="V167" s="23"/>
    </row>
    <row r="168" spans="1:22" s="24" customFormat="1" ht="23.1" customHeight="1">
      <c r="A168" s="104" t="s">
        <v>24</v>
      </c>
      <c r="B168" s="36">
        <f>COUNTIF('6'!$C$6:$C$529,"목")</f>
        <v>0</v>
      </c>
      <c r="C168" s="37" t="s">
        <v>11</v>
      </c>
      <c r="D168" s="38">
        <f>SUMIF('6'!$C$6:$C$529,"목",'6'!$E$6:$E$529)</f>
        <v>0</v>
      </c>
      <c r="E168" s="36">
        <f>COUNTIF('6'!$N$6:$N$529,"목국")</f>
        <v>0</v>
      </c>
      <c r="F168" s="37" t="s">
        <v>11</v>
      </c>
      <c r="G168" s="38">
        <f>SUMIF('6'!$N$6:$N$529,"목국",'6'!$E$6:$E$529)</f>
        <v>0</v>
      </c>
      <c r="H168" s="36">
        <f>COUNTIF('6'!$N$6:$N$529,"목공")</f>
        <v>0</v>
      </c>
      <c r="I168" s="37" t="s">
        <v>11</v>
      </c>
      <c r="J168" s="38">
        <f>SUMIF('6'!$N$6:$N$529,"목공",'6'!$E$6:$E$529)</f>
        <v>0</v>
      </c>
      <c r="K168" s="36">
        <f t="shared" si="10"/>
        <v>0</v>
      </c>
      <c r="L168" s="37" t="s">
        <v>11</v>
      </c>
      <c r="M168" s="38">
        <f t="shared" si="11"/>
        <v>0</v>
      </c>
      <c r="N168" s="39"/>
      <c r="O168" s="23"/>
      <c r="P168" s="23"/>
      <c r="Q168" s="23"/>
      <c r="R168" s="23"/>
      <c r="S168" s="23"/>
      <c r="T168" s="23"/>
      <c r="U168" s="23"/>
      <c r="V168" s="23"/>
    </row>
    <row r="169" spans="1:22" s="24" customFormat="1" ht="23.1" customHeight="1">
      <c r="A169" s="104" t="s">
        <v>25</v>
      </c>
      <c r="B169" s="36">
        <f>COUNTIF('6'!$C$6:$C$529,"학")</f>
        <v>0</v>
      </c>
      <c r="C169" s="37" t="s">
        <v>11</v>
      </c>
      <c r="D169" s="38">
        <f>SUMIF('6'!$C$6:$C$529,"학",'6'!$E$6:$E$529)</f>
        <v>0</v>
      </c>
      <c r="E169" s="36">
        <f>COUNTIF('6'!$N$6:$N$529,"학국")</f>
        <v>0</v>
      </c>
      <c r="F169" s="37" t="s">
        <v>11</v>
      </c>
      <c r="G169" s="38">
        <f>SUMIF('6'!$N$6:$N$529,"학국",'6'!$E$6:$E$529)</f>
        <v>0</v>
      </c>
      <c r="H169" s="36">
        <f>COUNTIF('6'!$N$6:$N$529,"학공")</f>
        <v>0</v>
      </c>
      <c r="I169" s="37" t="s">
        <v>11</v>
      </c>
      <c r="J169" s="38">
        <f>SUMIF('6'!$N$6:$N$529,"학공",'6'!$E$6:$E$529)</f>
        <v>0</v>
      </c>
      <c r="K169" s="36">
        <f t="shared" si="10"/>
        <v>0</v>
      </c>
      <c r="L169" s="37" t="s">
        <v>11</v>
      </c>
      <c r="M169" s="38">
        <f t="shared" si="11"/>
        <v>0</v>
      </c>
      <c r="N169" s="39"/>
      <c r="O169" s="23"/>
      <c r="P169" s="23"/>
      <c r="Q169" s="23"/>
      <c r="R169" s="23"/>
      <c r="S169" s="23"/>
      <c r="T169" s="23"/>
      <c r="U169" s="23"/>
      <c r="V169" s="23"/>
    </row>
    <row r="170" spans="1:22" s="24" customFormat="1" ht="23.1" customHeight="1">
      <c r="A170" s="104" t="s">
        <v>26</v>
      </c>
      <c r="B170" s="36">
        <f>COUNTIF('6'!$C$6:$C$529,"철")</f>
        <v>0</v>
      </c>
      <c r="C170" s="37" t="s">
        <v>11</v>
      </c>
      <c r="D170" s="38">
        <f>SUMIF('6'!$C$6:$C$529,"철",'6'!$E$6:$E$529)</f>
        <v>0</v>
      </c>
      <c r="E170" s="36">
        <f>COUNTIF('6'!$N$6:$N$529,"철국")</f>
        <v>0</v>
      </c>
      <c r="F170" s="37" t="s">
        <v>11</v>
      </c>
      <c r="G170" s="38">
        <f>SUMIF('6'!$N$6:$N$529,"철국",'6'!$E$6:$E$529)</f>
        <v>0</v>
      </c>
      <c r="H170" s="36">
        <f>COUNTIF('6'!$N$6:$N$529,"철공")</f>
        <v>0</v>
      </c>
      <c r="I170" s="37" t="s">
        <v>11</v>
      </c>
      <c r="J170" s="38">
        <f>SUMIF('6'!$N$6:$N$529,"철공",'6'!$E$6:$E$529)</f>
        <v>0</v>
      </c>
      <c r="K170" s="36">
        <f t="shared" si="10"/>
        <v>0</v>
      </c>
      <c r="L170" s="37" t="s">
        <v>11</v>
      </c>
      <c r="M170" s="38">
        <f t="shared" si="11"/>
        <v>0</v>
      </c>
      <c r="N170" s="39"/>
      <c r="O170" s="23"/>
      <c r="P170" s="23"/>
      <c r="Q170" s="23"/>
      <c r="R170" s="23"/>
      <c r="S170" s="23"/>
      <c r="T170" s="23"/>
      <c r="U170" s="23"/>
      <c r="V170" s="23"/>
    </row>
    <row r="171" spans="1:22" s="24" customFormat="1" ht="23.1" customHeight="1">
      <c r="A171" s="104" t="s">
        <v>27</v>
      </c>
      <c r="B171" s="36">
        <f>COUNTIF('6'!$C$6:$C$529,"묘")</f>
        <v>0</v>
      </c>
      <c r="C171" s="37" t="s">
        <v>11</v>
      </c>
      <c r="D171" s="38">
        <f>SUMIF('6'!$C$6:$C$529,"묘",'6'!$E$6:$E$529)</f>
        <v>0</v>
      </c>
      <c r="E171" s="36">
        <f>COUNTIF('6'!$N$6:$N$529,"묘국")</f>
        <v>0</v>
      </c>
      <c r="F171" s="37" t="s">
        <v>11</v>
      </c>
      <c r="G171" s="38">
        <f>SUMIF('6'!$N$6:$N$529,"묘국",'6'!$E$6:$E$529)</f>
        <v>0</v>
      </c>
      <c r="H171" s="36">
        <f>COUNTIF('6'!$N$6:$N$529,"묘공")</f>
        <v>0</v>
      </c>
      <c r="I171" s="37" t="s">
        <v>11</v>
      </c>
      <c r="J171" s="38">
        <f>SUMIF('6'!$N$6:$N$529,"묘공",'6'!$E$6:$E$529)</f>
        <v>0</v>
      </c>
      <c r="K171" s="36">
        <f t="shared" si="10"/>
        <v>0</v>
      </c>
      <c r="L171" s="37" t="s">
        <v>11</v>
      </c>
      <c r="M171" s="38">
        <f t="shared" si="11"/>
        <v>0</v>
      </c>
      <c r="N171" s="39"/>
      <c r="O171" s="23"/>
      <c r="P171" s="23"/>
      <c r="Q171" s="23"/>
      <c r="R171" s="23"/>
      <c r="S171" s="23"/>
      <c r="T171" s="23"/>
      <c r="U171" s="23"/>
      <c r="V171" s="23"/>
    </row>
    <row r="172" spans="1:22" s="24" customFormat="1" ht="23.1" customHeight="1">
      <c r="A172" s="104" t="s">
        <v>28</v>
      </c>
      <c r="B172" s="36">
        <f>COUNTIF('6'!$C$6:$C$529,"수")</f>
        <v>0</v>
      </c>
      <c r="C172" s="37" t="s">
        <v>11</v>
      </c>
      <c r="D172" s="38">
        <f>SUMIF('6'!$C$6:$C$529,"수",'6'!$E$6:$E$529)</f>
        <v>0</v>
      </c>
      <c r="E172" s="36">
        <f>COUNTIF('6'!$N$6:$N$529,"수국")</f>
        <v>0</v>
      </c>
      <c r="F172" s="37" t="s">
        <v>11</v>
      </c>
      <c r="G172" s="38">
        <f>SUMIF('6'!$N$6:$N$529,"수국",'6'!$E$6:$E$529)</f>
        <v>0</v>
      </c>
      <c r="H172" s="36">
        <f>COUNTIF('6'!$N$6:$N$529,"수공")</f>
        <v>0</v>
      </c>
      <c r="I172" s="37" t="s">
        <v>11</v>
      </c>
      <c r="J172" s="38">
        <f>SUMIF('6'!$N$6:$N$529,"수공",'6'!$E$6:$E$529)</f>
        <v>0</v>
      </c>
      <c r="K172" s="36">
        <f t="shared" si="10"/>
        <v>0</v>
      </c>
      <c r="L172" s="37" t="s">
        <v>11</v>
      </c>
      <c r="M172" s="38">
        <f t="shared" si="11"/>
        <v>0</v>
      </c>
      <c r="N172" s="39"/>
      <c r="O172" s="23"/>
      <c r="P172" s="23"/>
      <c r="Q172" s="23"/>
      <c r="R172" s="23"/>
      <c r="S172" s="23"/>
      <c r="T172" s="23"/>
      <c r="U172" s="23"/>
      <c r="V172" s="23"/>
    </row>
    <row r="173" spans="1:22" s="24" customFormat="1" ht="23.1" customHeight="1">
      <c r="A173" s="104" t="s">
        <v>29</v>
      </c>
      <c r="B173" s="36">
        <f>COUNTIF('6'!$C$6:$C$529,"잡")</f>
        <v>0</v>
      </c>
      <c r="C173" s="37" t="s">
        <v>11</v>
      </c>
      <c r="D173" s="38">
        <f>SUMIF('6'!$C$6:$C$529,"잡",'6'!$E$6:$E$529)</f>
        <v>0</v>
      </c>
      <c r="E173" s="36">
        <f>COUNTIF('6'!$N$6:$N$529,"잡국")</f>
        <v>0</v>
      </c>
      <c r="F173" s="37" t="s">
        <v>11</v>
      </c>
      <c r="G173" s="38">
        <f>SUMIF('6'!$N$6:$N$529,"잡국",'6'!$E$6:$E$529)</f>
        <v>0</v>
      </c>
      <c r="H173" s="36">
        <f>COUNTIF('6'!$N$6:$N$529,"잡공")</f>
        <v>0</v>
      </c>
      <c r="I173" s="37" t="s">
        <v>11</v>
      </c>
      <c r="J173" s="38">
        <f>SUMIF('6'!$N$6:$N$529,"잡공",'6'!$E$6:$E$529)</f>
        <v>0</v>
      </c>
      <c r="K173" s="36">
        <f t="shared" si="10"/>
        <v>0</v>
      </c>
      <c r="L173" s="37" t="s">
        <v>11</v>
      </c>
      <c r="M173" s="38">
        <f t="shared" si="11"/>
        <v>0</v>
      </c>
      <c r="N173" s="39"/>
      <c r="O173" s="23"/>
      <c r="P173" s="23"/>
      <c r="Q173" s="23"/>
      <c r="R173" s="23"/>
      <c r="S173" s="23"/>
      <c r="T173" s="23"/>
      <c r="U173" s="23"/>
      <c r="V173" s="23"/>
    </row>
    <row r="174" spans="1:22" s="24" customFormat="1" ht="23.1" customHeight="1">
      <c r="A174" s="105" t="s">
        <v>30</v>
      </c>
      <c r="B174" s="36">
        <f>COUNTIF('6'!$C$6:$C$529,"종")</f>
        <v>0</v>
      </c>
      <c r="C174" s="37" t="s">
        <v>11</v>
      </c>
      <c r="D174" s="38">
        <f>SUMIF('6'!$C$6:$C$529,"종",'6'!$E$6:$E$529)</f>
        <v>0</v>
      </c>
      <c r="E174" s="36">
        <f>COUNTIF('6'!$N$6:$N$529,"종국")</f>
        <v>0</v>
      </c>
      <c r="F174" s="37" t="s">
        <v>11</v>
      </c>
      <c r="G174" s="38">
        <f>SUMIF('6'!$N$6:$N$529,"종국",'6'!$E$6:$E$529)</f>
        <v>0</v>
      </c>
      <c r="H174" s="36">
        <f>COUNTIF('6'!$N$6:$N$529,"종공")</f>
        <v>0</v>
      </c>
      <c r="I174" s="37" t="s">
        <v>11</v>
      </c>
      <c r="J174" s="38">
        <f>SUMIF('6'!$N$6:$N$529,"종공",'6'!$E$6:$E$529)</f>
        <v>0</v>
      </c>
      <c r="K174" s="36">
        <f t="shared" si="10"/>
        <v>0</v>
      </c>
      <c r="L174" s="37" t="s">
        <v>11</v>
      </c>
      <c r="M174" s="38">
        <f t="shared" si="11"/>
        <v>0</v>
      </c>
      <c r="N174" s="39"/>
      <c r="O174" s="23"/>
      <c r="P174" s="23"/>
      <c r="Q174" s="23"/>
      <c r="R174" s="23"/>
      <c r="S174" s="23"/>
      <c r="T174" s="23"/>
      <c r="U174" s="23"/>
      <c r="V174" s="23"/>
    </row>
    <row r="175" spans="1:22" s="24" customFormat="1" ht="23.1" customHeight="1">
      <c r="A175" s="105" t="s">
        <v>31</v>
      </c>
      <c r="B175" s="36">
        <f>COUNTIF('6'!$C$6:$C$529,"염")</f>
        <v>0</v>
      </c>
      <c r="C175" s="37" t="s">
        <v>11</v>
      </c>
      <c r="D175" s="38">
        <f>SUMIF('6'!$C$6:$C$529,"염",'6'!$E$6:$E$529)</f>
        <v>0</v>
      </c>
      <c r="E175" s="36">
        <f>COUNTIF('6'!$N$6:$N$529,"염국")</f>
        <v>0</v>
      </c>
      <c r="F175" s="37" t="s">
        <v>11</v>
      </c>
      <c r="G175" s="38">
        <f>SUMIF('6'!$N$6:$N$529,"염국",'6'!$E$6:$E$529)</f>
        <v>0</v>
      </c>
      <c r="H175" s="36">
        <f>COUNTIF('6'!$N$6:$N$529,"염공")</f>
        <v>0</v>
      </c>
      <c r="I175" s="37" t="s">
        <v>11</v>
      </c>
      <c r="J175" s="38">
        <f>SUMIF('6'!$N$6:$N$529,"염공",'6'!$E$6:$E$529)</f>
        <v>0</v>
      </c>
      <c r="K175" s="36">
        <f t="shared" si="10"/>
        <v>0</v>
      </c>
      <c r="L175" s="37" t="s">
        <v>11</v>
      </c>
      <c r="M175" s="38">
        <f t="shared" si="11"/>
        <v>0</v>
      </c>
      <c r="N175" s="39"/>
      <c r="O175" s="23"/>
      <c r="P175" s="23"/>
      <c r="Q175" s="23"/>
      <c r="R175" s="23"/>
      <c r="S175" s="23"/>
      <c r="T175" s="23"/>
      <c r="U175" s="23"/>
      <c r="V175" s="23"/>
    </row>
    <row r="176" spans="1:22" s="24" customFormat="1" ht="23.1" customHeight="1">
      <c r="A176" s="105" t="s">
        <v>32</v>
      </c>
      <c r="B176" s="36">
        <f>COUNTIF('6'!$C$6:$C$529,"공")</f>
        <v>0</v>
      </c>
      <c r="C176" s="37" t="s">
        <v>11</v>
      </c>
      <c r="D176" s="38">
        <f>SUMIF('6'!$C$6:$C$529,"공",'6'!$E$6:$E$529)</f>
        <v>0</v>
      </c>
      <c r="E176" s="36">
        <f>COUNTIF('6'!$N$6:$N$529,"공국")</f>
        <v>0</v>
      </c>
      <c r="F176" s="37" t="s">
        <v>11</v>
      </c>
      <c r="G176" s="38">
        <f>SUMIF('6'!$N$6:$N$529,"공국",'6'!$E$6:$E$529)</f>
        <v>0</v>
      </c>
      <c r="H176" s="36">
        <f>COUNTIF('6'!$N$6:$N$529,"공공")</f>
        <v>0</v>
      </c>
      <c r="I176" s="37" t="s">
        <v>11</v>
      </c>
      <c r="J176" s="38">
        <f>SUMIF('6'!$N$6:$N$529,"공공",'6'!$E$6:$E$529)</f>
        <v>0</v>
      </c>
      <c r="K176" s="36">
        <f t="shared" si="10"/>
        <v>0</v>
      </c>
      <c r="L176" s="37" t="s">
        <v>11</v>
      </c>
      <c r="M176" s="38">
        <f t="shared" si="11"/>
        <v>0</v>
      </c>
      <c r="N176" s="39"/>
      <c r="O176" s="23"/>
      <c r="P176" s="23"/>
      <c r="Q176" s="23"/>
      <c r="R176" s="23"/>
      <c r="S176" s="23"/>
      <c r="T176" s="23"/>
      <c r="U176" s="23"/>
      <c r="V176" s="23"/>
    </row>
    <row r="177" spans="1:22" s="24" customFormat="1" ht="23.1" customHeight="1">
      <c r="A177" s="105" t="s">
        <v>33</v>
      </c>
      <c r="B177" s="36">
        <f>COUNTIF('6'!$C$6:$C$529,"체")</f>
        <v>0</v>
      </c>
      <c r="C177" s="37" t="s">
        <v>11</v>
      </c>
      <c r="D177" s="38">
        <f>SUMIF('6'!$C$6:$C$529,"체",'6'!$E$6:$E$529)</f>
        <v>0</v>
      </c>
      <c r="E177" s="36">
        <f>COUNTIF('6'!$N$6:$N$529,"체국")</f>
        <v>0</v>
      </c>
      <c r="F177" s="37" t="s">
        <v>11</v>
      </c>
      <c r="G177" s="38">
        <f>SUMIF('6'!$N$6:$N$529,"체국",'6'!$E$6:$E$529)</f>
        <v>0</v>
      </c>
      <c r="H177" s="36">
        <f>COUNTIF('6'!$N$6:$N$529,"체공")</f>
        <v>0</v>
      </c>
      <c r="I177" s="37" t="s">
        <v>11</v>
      </c>
      <c r="J177" s="38">
        <f>SUMIF('6'!$N$6:$N$529,"체공",'6'!$E$6:$E$529)</f>
        <v>0</v>
      </c>
      <c r="K177" s="36">
        <f t="shared" si="10"/>
        <v>0</v>
      </c>
      <c r="L177" s="37" t="s">
        <v>11</v>
      </c>
      <c r="M177" s="38">
        <f t="shared" si="11"/>
        <v>0</v>
      </c>
      <c r="N177" s="39"/>
      <c r="O177" s="23"/>
      <c r="P177" s="23"/>
      <c r="Q177" s="23"/>
      <c r="R177" s="23"/>
      <c r="S177" s="23"/>
      <c r="T177" s="23"/>
      <c r="U177" s="23"/>
      <c r="V177" s="23"/>
    </row>
    <row r="178" spans="1:22" s="24" customFormat="1" ht="23.1" customHeight="1">
      <c r="A178" s="105" t="s">
        <v>34</v>
      </c>
      <c r="B178" s="36">
        <f>COUNTIF('6'!$C$6:$C$529,"원")</f>
        <v>0</v>
      </c>
      <c r="C178" s="37" t="s">
        <v>11</v>
      </c>
      <c r="D178" s="38">
        <f>SUMIF('6'!$C$6:$C$529,"원",'6'!$E$6:$E$529)</f>
        <v>0</v>
      </c>
      <c r="E178" s="36">
        <f>COUNTIF('6'!$N$6:$N$529,"원국")</f>
        <v>0</v>
      </c>
      <c r="F178" s="37" t="s">
        <v>11</v>
      </c>
      <c r="G178" s="38">
        <f>SUMIF('6'!$N$6:$N$529,"원국",'6'!$E$6:$E$529)</f>
        <v>0</v>
      </c>
      <c r="H178" s="36">
        <f>COUNTIF('6'!$N$6:$N$529,"원공")</f>
        <v>0</v>
      </c>
      <c r="I178" s="37" t="s">
        <v>11</v>
      </c>
      <c r="J178" s="38">
        <f>SUMIF('6'!$N$6:$N$529,"원공",'6'!$E$6:$E$529)</f>
        <v>0</v>
      </c>
      <c r="K178" s="36">
        <f t="shared" si="10"/>
        <v>0</v>
      </c>
      <c r="L178" s="37" t="s">
        <v>11</v>
      </c>
      <c r="M178" s="38">
        <f t="shared" si="11"/>
        <v>0</v>
      </c>
      <c r="N178" s="39"/>
      <c r="O178" s="23"/>
      <c r="P178" s="23"/>
      <c r="Q178" s="23"/>
      <c r="R178" s="23"/>
      <c r="S178" s="23"/>
      <c r="T178" s="23"/>
      <c r="U178" s="23"/>
      <c r="V178" s="23"/>
    </row>
    <row r="179" spans="1:22" s="24" customFormat="1" ht="23.1" customHeight="1">
      <c r="A179" s="105" t="s">
        <v>66</v>
      </c>
      <c r="B179" s="36">
        <f>COUNTIF('6'!$C$6:$C$529,"차")</f>
        <v>0</v>
      </c>
      <c r="C179" s="37" t="s">
        <v>11</v>
      </c>
      <c r="D179" s="38">
        <f>SUMIF('6'!$C$6:$C$529,"차",'6'!$E$6:$E$529)</f>
        <v>0</v>
      </c>
      <c r="E179" s="36">
        <f>COUNTIF('6'!$N$6:$N$529,"차국")</f>
        <v>0</v>
      </c>
      <c r="F179" s="37" t="s">
        <v>11</v>
      </c>
      <c r="G179" s="38">
        <f>SUMIF('6'!$N$6:$N$529,"차국",'6'!$E$6:$E$529)</f>
        <v>0</v>
      </c>
      <c r="H179" s="36">
        <f>COUNTIF('6'!$N$6:$N$529,"차공")</f>
        <v>0</v>
      </c>
      <c r="I179" s="37" t="s">
        <v>11</v>
      </c>
      <c r="J179" s="38">
        <f>SUMIF('6'!$N$6:$N$529,"차공",'6'!$E$6:$E$529)</f>
        <v>0</v>
      </c>
      <c r="K179" s="36">
        <f t="shared" si="10"/>
        <v>0</v>
      </c>
      <c r="L179" s="37" t="s">
        <v>11</v>
      </c>
      <c r="M179" s="38">
        <f t="shared" si="11"/>
        <v>0</v>
      </c>
      <c r="N179" s="39"/>
      <c r="O179" s="23"/>
      <c r="P179" s="23"/>
      <c r="Q179" s="23"/>
      <c r="R179" s="23"/>
      <c r="S179" s="23"/>
      <c r="T179" s="23"/>
      <c r="U179" s="23"/>
      <c r="V179" s="23"/>
    </row>
    <row r="180" spans="1:22" s="24" customFormat="1" ht="23.1" customHeight="1">
      <c r="A180" s="105" t="s">
        <v>67</v>
      </c>
      <c r="B180" s="36">
        <f>COUNTIF('6'!$C$6:$C$529,"주")</f>
        <v>0</v>
      </c>
      <c r="C180" s="37" t="s">
        <v>11</v>
      </c>
      <c r="D180" s="38">
        <f>SUMIF('6'!$C$6:$C$529,"주",'6'!$E$6:$E$529)</f>
        <v>0</v>
      </c>
      <c r="E180" s="36">
        <f>COUNTIF('6'!$N$6:$N$529,"주국")</f>
        <v>0</v>
      </c>
      <c r="F180" s="37" t="s">
        <v>11</v>
      </c>
      <c r="G180" s="38">
        <f>SUMIF('6'!$N$6:$N$529,"주국",'6'!$E$6:$E$529)</f>
        <v>0</v>
      </c>
      <c r="H180" s="36">
        <f>COUNTIF('6'!$N$6:$N$529,"주공")</f>
        <v>0</v>
      </c>
      <c r="I180" s="37" t="s">
        <v>11</v>
      </c>
      <c r="J180" s="38">
        <f>SUMIF('6'!$N$6:$N$529,"주공",'6'!$E$6:$E$529)</f>
        <v>0</v>
      </c>
      <c r="K180" s="36">
        <f t="shared" si="10"/>
        <v>0</v>
      </c>
      <c r="L180" s="37" t="s">
        <v>11</v>
      </c>
      <c r="M180" s="38">
        <f t="shared" si="11"/>
        <v>0</v>
      </c>
      <c r="N180" s="39"/>
      <c r="O180" s="23"/>
      <c r="P180" s="23"/>
      <c r="Q180" s="23"/>
      <c r="R180" s="23"/>
      <c r="S180" s="23"/>
      <c r="T180" s="23"/>
      <c r="U180" s="23"/>
      <c r="V180" s="23"/>
    </row>
    <row r="181" spans="1:22" s="24" customFormat="1" ht="23.1" customHeight="1">
      <c r="A181" s="106" t="s">
        <v>68</v>
      </c>
      <c r="B181" s="40">
        <f>COUNTIF('6'!$C$6:$C$529," ")</f>
        <v>0</v>
      </c>
      <c r="C181" s="41" t="s">
        <v>11</v>
      </c>
      <c r="D181" s="42">
        <f>SUMIF('6'!$C$6:$C$529," ",'6'!$E$6:$E$529)</f>
        <v>0</v>
      </c>
      <c r="E181" s="40">
        <f>COUNTIF('6'!$N$6:$N$529," 국")</f>
        <v>0</v>
      </c>
      <c r="F181" s="41" t="s">
        <v>11</v>
      </c>
      <c r="G181" s="42">
        <f>SUMIF('6'!$N$6:$N$529," 국",'6'!$E$6:$E$529)</f>
        <v>0</v>
      </c>
      <c r="H181" s="40">
        <f>COUNTIF('6'!$N$6:$N$529," 공")</f>
        <v>0</v>
      </c>
      <c r="I181" s="41" t="s">
        <v>11</v>
      </c>
      <c r="J181" s="42">
        <f>SUMIF('6'!$N$6:$N$529," 공",'6'!$E$6:$E$529)</f>
        <v>0</v>
      </c>
      <c r="K181" s="40">
        <f t="shared" si="10"/>
        <v>0</v>
      </c>
      <c r="L181" s="41" t="s">
        <v>11</v>
      </c>
      <c r="M181" s="42">
        <f t="shared" si="11"/>
        <v>0</v>
      </c>
      <c r="N181" s="43"/>
      <c r="O181" s="23"/>
      <c r="P181" s="23"/>
      <c r="Q181" s="23"/>
      <c r="R181" s="23"/>
      <c r="S181" s="23"/>
      <c r="T181" s="23"/>
      <c r="U181" s="23"/>
      <c r="V181" s="23"/>
    </row>
    <row r="182" spans="1:22" s="17" customFormat="1" ht="20.100000000000001" customHeight="1">
      <c r="A182" s="11">
        <f>IF(EXACT(O186,O187),,"검산확인요!!!")</f>
        <v>0</v>
      </c>
      <c r="B182" s="12"/>
      <c r="C182" s="12"/>
      <c r="D182" s="12"/>
      <c r="E182" s="12"/>
      <c r="F182" s="12"/>
      <c r="G182" s="12"/>
      <c r="H182" s="12"/>
      <c r="I182" s="12"/>
      <c r="J182" s="12"/>
      <c r="K182" s="13">
        <f>IF(ISBLANK('7'!K2),,'7'!K2)</f>
        <v>3</v>
      </c>
      <c r="L182" s="14"/>
      <c r="M182" s="15"/>
      <c r="N182" s="16"/>
    </row>
    <row r="183" spans="1:22" s="17" customFormat="1" ht="9.9499999999999993" customHeight="1">
      <c r="A183" s="11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</row>
    <row r="184" spans="1:22" s="24" customFormat="1" ht="27.95" customHeight="1">
      <c r="A184" s="18" t="s">
        <v>9</v>
      </c>
      <c r="B184" s="19" t="s">
        <v>8</v>
      </c>
      <c r="C184" s="20"/>
      <c r="D184" s="21"/>
      <c r="E184" s="19" t="s">
        <v>35</v>
      </c>
      <c r="F184" s="20"/>
      <c r="G184" s="21"/>
      <c r="H184" s="19" t="s">
        <v>44</v>
      </c>
      <c r="I184" s="20"/>
      <c r="J184" s="21"/>
      <c r="K184" s="19" t="s">
        <v>36</v>
      </c>
      <c r="L184" s="20"/>
      <c r="M184" s="21"/>
      <c r="N184" s="22" t="s">
        <v>37</v>
      </c>
      <c r="O184" s="23"/>
      <c r="S184" s="23"/>
      <c r="T184" s="23"/>
      <c r="U184" s="23"/>
      <c r="V184" s="23"/>
    </row>
    <row r="185" spans="1:22" s="24" customFormat="1" ht="27.95" customHeight="1">
      <c r="A185" s="25"/>
      <c r="B185" s="26" t="s">
        <v>10</v>
      </c>
      <c r="C185" s="27" t="s">
        <v>11</v>
      </c>
      <c r="D185" s="28" t="s">
        <v>38</v>
      </c>
      <c r="E185" s="26" t="s">
        <v>10</v>
      </c>
      <c r="F185" s="27" t="s">
        <v>11</v>
      </c>
      <c r="G185" s="28" t="s">
        <v>38</v>
      </c>
      <c r="H185" s="26" t="s">
        <v>10</v>
      </c>
      <c r="I185" s="27" t="s">
        <v>11</v>
      </c>
      <c r="J185" s="28" t="s">
        <v>38</v>
      </c>
      <c r="K185" s="26" t="s">
        <v>10</v>
      </c>
      <c r="L185" s="27" t="s">
        <v>11</v>
      </c>
      <c r="M185" s="28" t="s">
        <v>38</v>
      </c>
      <c r="N185" s="29"/>
      <c r="P185" s="23"/>
      <c r="Q185" s="30" t="s">
        <v>39</v>
      </c>
      <c r="R185" s="30" t="s">
        <v>40</v>
      </c>
      <c r="S185" s="30" t="s">
        <v>41</v>
      </c>
      <c r="T185" s="30" t="s">
        <v>42</v>
      </c>
      <c r="U185" s="23"/>
      <c r="V185" s="23"/>
    </row>
    <row r="186" spans="1:22" s="24" customFormat="1" ht="23.1" customHeight="1">
      <c r="A186" s="103" t="s">
        <v>8</v>
      </c>
      <c r="B186" s="31">
        <f>SUM(B187:B211)</f>
        <v>0</v>
      </c>
      <c r="C186" s="32" t="s">
        <v>11</v>
      </c>
      <c r="D186" s="33">
        <f>SUM(D187:D211)</f>
        <v>0</v>
      </c>
      <c r="E186" s="31">
        <f>SUM(E187:E211)</f>
        <v>0</v>
      </c>
      <c r="F186" s="32" t="s">
        <v>11</v>
      </c>
      <c r="G186" s="33">
        <f>SUM(G187:G211)</f>
        <v>0</v>
      </c>
      <c r="H186" s="31">
        <f>SUM(H187:H211)</f>
        <v>0</v>
      </c>
      <c r="I186" s="32" t="s">
        <v>11</v>
      </c>
      <c r="J186" s="33">
        <f>SUM(J187:J211)</f>
        <v>0</v>
      </c>
      <c r="K186" s="31">
        <f>SUM(K187:K211)</f>
        <v>0</v>
      </c>
      <c r="L186" s="32" t="s">
        <v>11</v>
      </c>
      <c r="M186" s="33">
        <f>SUM(M187:M211)</f>
        <v>0</v>
      </c>
      <c r="N186" s="34"/>
      <c r="O186" s="23" t="str">
        <f>IF(EXACT(Q186,T186),"맞음","틀림")</f>
        <v>맞음</v>
      </c>
      <c r="P186" s="23" t="s">
        <v>10</v>
      </c>
      <c r="Q186" s="35">
        <f>SUM(B187:B211)</f>
        <v>0</v>
      </c>
      <c r="R186" s="35">
        <f>SUM(E187:E211)</f>
        <v>0</v>
      </c>
      <c r="S186" s="35">
        <f>SUM(K187:K211)</f>
        <v>0</v>
      </c>
      <c r="T186" s="35">
        <f>K186+E186</f>
        <v>0</v>
      </c>
      <c r="U186" s="23"/>
      <c r="V186" s="23"/>
    </row>
    <row r="187" spans="1:22" s="24" customFormat="1" ht="23.1" customHeight="1">
      <c r="A187" s="104" t="s">
        <v>13</v>
      </c>
      <c r="B187" s="36">
        <f>COUNTIF('7'!$C$6:$C$529,"전")</f>
        <v>0</v>
      </c>
      <c r="C187" s="37" t="s">
        <v>11</v>
      </c>
      <c r="D187" s="38">
        <f>SUMIF('7'!$C$6:$C$529,"전",'7'!$E$6:$E$529)</f>
        <v>0</v>
      </c>
      <c r="E187" s="36">
        <f>COUNTIF('7'!$N$6:$N$529,"전국")</f>
        <v>0</v>
      </c>
      <c r="F187" s="37" t="s">
        <v>11</v>
      </c>
      <c r="G187" s="38">
        <f>SUMIF('7'!$N$6:$N$529,"전국",'7'!$E$6:$E$529)</f>
        <v>0</v>
      </c>
      <c r="H187" s="36">
        <f>COUNTIF('7'!$N$6:$N$529,"전공")</f>
        <v>0</v>
      </c>
      <c r="I187" s="37" t="s">
        <v>11</v>
      </c>
      <c r="J187" s="38">
        <f>SUMIF('7'!$N$6:$N$529,"전공",'7'!$E$6:$E$529)</f>
        <v>0</v>
      </c>
      <c r="K187" s="36">
        <f t="shared" ref="K187:K211" si="12">SUM(B187-E187-H187)</f>
        <v>0</v>
      </c>
      <c r="L187" s="37" t="s">
        <v>11</v>
      </c>
      <c r="M187" s="38">
        <f t="shared" ref="M187:M211" si="13">SUM(D187-G187-J187)</f>
        <v>0</v>
      </c>
      <c r="N187" s="39"/>
      <c r="O187" s="23" t="str">
        <f>IF(EXACT(Q187,T187),"맞음","틀림")</f>
        <v>맞음</v>
      </c>
      <c r="P187" s="23" t="s">
        <v>43</v>
      </c>
      <c r="Q187" s="35">
        <f>SUM(D187:D211)</f>
        <v>0</v>
      </c>
      <c r="R187" s="35">
        <f>SUM(G187:G211)</f>
        <v>0</v>
      </c>
      <c r="S187" s="35">
        <f>SUM(M187:M211)</f>
        <v>0</v>
      </c>
      <c r="T187" s="35">
        <f>G186+M186</f>
        <v>0</v>
      </c>
      <c r="U187" s="23"/>
      <c r="V187" s="23"/>
    </row>
    <row r="188" spans="1:22" s="24" customFormat="1" ht="23.1" customHeight="1">
      <c r="A188" s="104" t="s">
        <v>14</v>
      </c>
      <c r="B188" s="36">
        <f>COUNTIF('7'!$C$6:$C$529,"답")</f>
        <v>0</v>
      </c>
      <c r="C188" s="37" t="s">
        <v>11</v>
      </c>
      <c r="D188" s="38">
        <f>SUMIF('7'!$C$6:$C$529,"답",'7'!$E$6:$E$529)</f>
        <v>0</v>
      </c>
      <c r="E188" s="36">
        <f>COUNTIF('7'!$N$6:$N$529,"답국")</f>
        <v>0</v>
      </c>
      <c r="F188" s="37" t="s">
        <v>11</v>
      </c>
      <c r="G188" s="38">
        <f>SUMIF('7'!$N$6:$N$529,"답국",'7'!$E$6:$E$529)</f>
        <v>0</v>
      </c>
      <c r="H188" s="36">
        <f>COUNTIF('7'!$N$6:$N$529,"답공")</f>
        <v>0</v>
      </c>
      <c r="I188" s="37" t="s">
        <v>11</v>
      </c>
      <c r="J188" s="38">
        <f>SUMIF('7'!$N$6:$N$529,"답공",'7'!$E$6:$E$529)</f>
        <v>0</v>
      </c>
      <c r="K188" s="36">
        <f t="shared" si="12"/>
        <v>0</v>
      </c>
      <c r="L188" s="37" t="s">
        <v>11</v>
      </c>
      <c r="M188" s="38">
        <f t="shared" si="13"/>
        <v>0</v>
      </c>
      <c r="N188" s="39"/>
      <c r="Q188" s="23"/>
      <c r="S188" s="23"/>
      <c r="U188" s="23"/>
      <c r="V188" s="23"/>
    </row>
    <row r="189" spans="1:22" s="24" customFormat="1" ht="23.1" customHeight="1">
      <c r="A189" s="104" t="s">
        <v>15</v>
      </c>
      <c r="B189" s="36">
        <f>COUNTIF('7'!$C$6:$C$529,"임")</f>
        <v>0</v>
      </c>
      <c r="C189" s="37" t="s">
        <v>11</v>
      </c>
      <c r="D189" s="38">
        <f>SUMIF('7'!$C$6:$C$529,"임",'7'!$E$6:$E$529)</f>
        <v>0</v>
      </c>
      <c r="E189" s="36">
        <f>COUNTIF('7'!$N$6:$N$529,"임국")</f>
        <v>0</v>
      </c>
      <c r="F189" s="37" t="s">
        <v>11</v>
      </c>
      <c r="G189" s="38">
        <f>SUMIF('7'!$N$6:$N$529,"임국",'7'!$E$6:$E$529)</f>
        <v>0</v>
      </c>
      <c r="H189" s="36">
        <f>COUNTIF('7'!$N$6:$N$529,"임공")</f>
        <v>0</v>
      </c>
      <c r="I189" s="37" t="s">
        <v>11</v>
      </c>
      <c r="J189" s="38">
        <f>SUMIF('7'!$N$6:$N$529,"임공",'7'!$E$6:$E$529)</f>
        <v>0</v>
      </c>
      <c r="K189" s="36">
        <f t="shared" si="12"/>
        <v>0</v>
      </c>
      <c r="L189" s="37" t="s">
        <v>11</v>
      </c>
      <c r="M189" s="38">
        <f t="shared" si="13"/>
        <v>0</v>
      </c>
      <c r="N189" s="39"/>
      <c r="Q189" s="23"/>
      <c r="S189" s="23"/>
      <c r="U189" s="23"/>
      <c r="V189" s="23"/>
    </row>
    <row r="190" spans="1:22" s="24" customFormat="1" ht="23.1" customHeight="1">
      <c r="A190" s="104" t="s">
        <v>16</v>
      </c>
      <c r="B190" s="36">
        <f>COUNTIF('7'!$C$6:$C$529,"대")</f>
        <v>0</v>
      </c>
      <c r="C190" s="37" t="s">
        <v>11</v>
      </c>
      <c r="D190" s="38">
        <f>SUMIF('7'!$C$6:$C$529,"대",'7'!$E$6:$E$529)</f>
        <v>0</v>
      </c>
      <c r="E190" s="36">
        <f>COUNTIF('7'!$N$6:$N$529,"대국")</f>
        <v>0</v>
      </c>
      <c r="F190" s="37" t="s">
        <v>11</v>
      </c>
      <c r="G190" s="38">
        <f>SUMIF('7'!$N$6:$N$529,"대국",'7'!$E$6:$E$529)</f>
        <v>0</v>
      </c>
      <c r="H190" s="36">
        <f>COUNTIF('7'!$N$6:$N$529,"대공")</f>
        <v>0</v>
      </c>
      <c r="I190" s="37" t="s">
        <v>11</v>
      </c>
      <c r="J190" s="38">
        <f>SUMIF('7'!$N$6:$N$529,"대공",'7'!$E$6:$E$529)</f>
        <v>0</v>
      </c>
      <c r="K190" s="36">
        <f t="shared" si="12"/>
        <v>0</v>
      </c>
      <c r="L190" s="37" t="s">
        <v>11</v>
      </c>
      <c r="M190" s="38">
        <f t="shared" si="13"/>
        <v>0</v>
      </c>
      <c r="N190" s="39"/>
      <c r="O190" s="23"/>
      <c r="P190" s="23"/>
      <c r="Q190" s="23"/>
      <c r="R190" s="23"/>
      <c r="S190" s="23"/>
      <c r="T190" s="23"/>
      <c r="U190" s="23"/>
      <c r="V190" s="23"/>
    </row>
    <row r="191" spans="1:22" s="24" customFormat="1" ht="23.1" customHeight="1">
      <c r="A191" s="104" t="s">
        <v>17</v>
      </c>
      <c r="B191" s="36">
        <f>COUNTIF('7'!$C$6:$C$529,"도")</f>
        <v>0</v>
      </c>
      <c r="C191" s="37" t="s">
        <v>11</v>
      </c>
      <c r="D191" s="38">
        <f>SUMIF('7'!$C$6:$C$529,"도",'7'!$E$6:$E$529)</f>
        <v>0</v>
      </c>
      <c r="E191" s="36">
        <f>COUNTIF('7'!$N$6:$N$529,"도국")</f>
        <v>0</v>
      </c>
      <c r="F191" s="37" t="s">
        <v>11</v>
      </c>
      <c r="G191" s="38">
        <f>SUMIF('7'!$N$6:$N$529,"도국",'7'!$E$6:$E$529)</f>
        <v>0</v>
      </c>
      <c r="H191" s="36">
        <f>COUNTIF('7'!$N$6:$N$529,"도공")</f>
        <v>0</v>
      </c>
      <c r="I191" s="37" t="s">
        <v>11</v>
      </c>
      <c r="J191" s="38">
        <f>SUMIF('7'!$N$6:$N$529,"도공",'7'!$E$6:$E$529)</f>
        <v>0</v>
      </c>
      <c r="K191" s="36">
        <f t="shared" si="12"/>
        <v>0</v>
      </c>
      <c r="L191" s="37" t="s">
        <v>11</v>
      </c>
      <c r="M191" s="38">
        <f t="shared" si="13"/>
        <v>0</v>
      </c>
      <c r="N191" s="39"/>
      <c r="O191" s="23"/>
      <c r="P191" s="23"/>
      <c r="Q191" s="23"/>
      <c r="R191" s="23"/>
      <c r="S191" s="23"/>
      <c r="T191" s="23"/>
      <c r="U191" s="23"/>
      <c r="V191" s="23"/>
    </row>
    <row r="192" spans="1:22" s="24" customFormat="1" ht="23.1" customHeight="1">
      <c r="A192" s="104" t="s">
        <v>18</v>
      </c>
      <c r="B192" s="36">
        <f>COUNTIF('7'!$C$6:$C$529,"구")</f>
        <v>0</v>
      </c>
      <c r="C192" s="37" t="s">
        <v>11</v>
      </c>
      <c r="D192" s="38">
        <f>SUMIF('7'!$C$6:$C$529,"구",'7'!$E$6:$E$529)</f>
        <v>0</v>
      </c>
      <c r="E192" s="36">
        <f>COUNTIF('7'!$N$6:$N$529,"구국")</f>
        <v>0</v>
      </c>
      <c r="F192" s="37" t="s">
        <v>11</v>
      </c>
      <c r="G192" s="38">
        <f>SUMIF('7'!$N$6:$N$529,"구국",'7'!$E$6:$E$529)</f>
        <v>0</v>
      </c>
      <c r="H192" s="36">
        <f>COUNTIF('7'!$N$6:$N$529,"구공")</f>
        <v>0</v>
      </c>
      <c r="I192" s="37" t="s">
        <v>11</v>
      </c>
      <c r="J192" s="38">
        <f>SUMIF('7'!$N$6:$N$529,"구공",'7'!$E$6:$E$529)</f>
        <v>0</v>
      </c>
      <c r="K192" s="36">
        <f t="shared" si="12"/>
        <v>0</v>
      </c>
      <c r="L192" s="37" t="s">
        <v>11</v>
      </c>
      <c r="M192" s="38">
        <f t="shared" si="13"/>
        <v>0</v>
      </c>
      <c r="N192" s="39"/>
      <c r="O192" s="23"/>
      <c r="P192" s="23"/>
      <c r="Q192" s="23"/>
      <c r="R192" s="23"/>
      <c r="S192" s="23"/>
      <c r="T192" s="23"/>
      <c r="U192" s="23"/>
      <c r="V192" s="23"/>
    </row>
    <row r="193" spans="1:22" s="24" customFormat="1" ht="23.1" customHeight="1">
      <c r="A193" s="104" t="s">
        <v>19</v>
      </c>
      <c r="B193" s="36">
        <f>COUNTIF('7'!$C$6:$C$529,"천")</f>
        <v>0</v>
      </c>
      <c r="C193" s="37" t="s">
        <v>11</v>
      </c>
      <c r="D193" s="38">
        <f>SUMIF('7'!$C$6:$C$529,"천",'7'!$E$6:$E$529)</f>
        <v>0</v>
      </c>
      <c r="E193" s="36">
        <f>COUNTIF('7'!$N$6:$N$529,"천국")</f>
        <v>0</v>
      </c>
      <c r="F193" s="37" t="s">
        <v>11</v>
      </c>
      <c r="G193" s="38">
        <f>SUMIF('7'!$N$6:$N$529,"천국",'7'!$E$6:$E$529)</f>
        <v>0</v>
      </c>
      <c r="H193" s="36">
        <f>COUNTIF('7'!$N$6:$N$529,"천공")</f>
        <v>0</v>
      </c>
      <c r="I193" s="37" t="s">
        <v>11</v>
      </c>
      <c r="J193" s="38">
        <f>SUMIF('7'!$N$6:$N$529,"천공",'7'!$E$6:$E$529)</f>
        <v>0</v>
      </c>
      <c r="K193" s="36">
        <f t="shared" si="12"/>
        <v>0</v>
      </c>
      <c r="L193" s="37" t="s">
        <v>11</v>
      </c>
      <c r="M193" s="38">
        <f t="shared" si="13"/>
        <v>0</v>
      </c>
      <c r="N193" s="39"/>
      <c r="O193" s="23"/>
      <c r="P193" s="23"/>
      <c r="Q193" s="23"/>
      <c r="R193" s="23"/>
      <c r="S193" s="23"/>
      <c r="T193" s="23"/>
      <c r="U193" s="23"/>
      <c r="V193" s="23"/>
    </row>
    <row r="194" spans="1:22" s="24" customFormat="1" ht="23.1" customHeight="1">
      <c r="A194" s="104" t="s">
        <v>20</v>
      </c>
      <c r="B194" s="36">
        <f>COUNTIF('7'!$C$6:$C$529,"유")</f>
        <v>0</v>
      </c>
      <c r="C194" s="37" t="s">
        <v>11</v>
      </c>
      <c r="D194" s="38">
        <f>SUMIF('7'!$C$6:$C$529,"유",'7'!$E$6:$E$529)</f>
        <v>0</v>
      </c>
      <c r="E194" s="36">
        <f>COUNTIF('7'!$N$6:$N$529,"유국")</f>
        <v>0</v>
      </c>
      <c r="F194" s="37" t="s">
        <v>11</v>
      </c>
      <c r="G194" s="38">
        <f>SUMIF('7'!$N$6:$N$529,"유국",'7'!$E$6:$E$529)</f>
        <v>0</v>
      </c>
      <c r="H194" s="36">
        <f>COUNTIF('7'!$N$6:$N$529,"유공")</f>
        <v>0</v>
      </c>
      <c r="I194" s="37" t="s">
        <v>11</v>
      </c>
      <c r="J194" s="38">
        <f>SUMIF('7'!$N$6:$N$529,"유공",'7'!$E$6:$E$529)</f>
        <v>0</v>
      </c>
      <c r="K194" s="36">
        <f t="shared" si="12"/>
        <v>0</v>
      </c>
      <c r="L194" s="37" t="s">
        <v>11</v>
      </c>
      <c r="M194" s="38">
        <f t="shared" si="13"/>
        <v>0</v>
      </c>
      <c r="N194" s="39"/>
      <c r="O194" s="23"/>
      <c r="P194" s="23"/>
      <c r="Q194" s="23"/>
      <c r="R194" s="23"/>
      <c r="S194" s="23"/>
      <c r="T194" s="23"/>
      <c r="U194" s="23"/>
      <c r="V194" s="23"/>
    </row>
    <row r="195" spans="1:22" s="24" customFormat="1" ht="23.1" customHeight="1">
      <c r="A195" s="104" t="s">
        <v>21</v>
      </c>
      <c r="B195" s="36">
        <f>COUNTIF('7'!$C$6:$C$529,"제")</f>
        <v>0</v>
      </c>
      <c r="C195" s="37" t="s">
        <v>11</v>
      </c>
      <c r="D195" s="38">
        <f>SUMIF('7'!$C$6:$C$529,"제",'7'!$E$6:$E$529)</f>
        <v>0</v>
      </c>
      <c r="E195" s="36">
        <f>COUNTIF('7'!$N$6:$N$529,"제국")</f>
        <v>0</v>
      </c>
      <c r="F195" s="37" t="s">
        <v>11</v>
      </c>
      <c r="G195" s="38">
        <f>SUMIF('7'!$N$6:$N$529,"제국",'7'!$E$6:$E$529)</f>
        <v>0</v>
      </c>
      <c r="H195" s="36">
        <f>COUNTIF('7'!$N$6:$N$529,"제공")</f>
        <v>0</v>
      </c>
      <c r="I195" s="37" t="s">
        <v>11</v>
      </c>
      <c r="J195" s="38">
        <f>SUMIF('7'!$N$6:$N$529,"제공",'7'!$E$6:$E$529)</f>
        <v>0</v>
      </c>
      <c r="K195" s="36">
        <f t="shared" si="12"/>
        <v>0</v>
      </c>
      <c r="L195" s="37" t="s">
        <v>11</v>
      </c>
      <c r="M195" s="38">
        <f t="shared" si="13"/>
        <v>0</v>
      </c>
      <c r="N195" s="39"/>
      <c r="O195" s="23"/>
      <c r="P195" s="23"/>
      <c r="Q195" s="23"/>
      <c r="R195" s="23"/>
      <c r="S195" s="23"/>
      <c r="T195" s="23"/>
      <c r="U195" s="23"/>
      <c r="V195" s="23"/>
    </row>
    <row r="196" spans="1:22" s="24" customFormat="1" ht="23.1" customHeight="1">
      <c r="A196" s="104" t="s">
        <v>22</v>
      </c>
      <c r="B196" s="36">
        <f>COUNTIF('7'!$C$6:$C$529,"과")</f>
        <v>0</v>
      </c>
      <c r="C196" s="37" t="s">
        <v>11</v>
      </c>
      <c r="D196" s="38">
        <f>SUMIF('7'!$C$6:$C$529,"과",'7'!$E$6:$E$529)</f>
        <v>0</v>
      </c>
      <c r="E196" s="36">
        <f>COUNTIF('7'!$N$6:$N$529,"과국")</f>
        <v>0</v>
      </c>
      <c r="F196" s="37" t="s">
        <v>11</v>
      </c>
      <c r="G196" s="38">
        <f>SUMIF('7'!$N$6:$N$529,"과국",'7'!$E$6:$E$529)</f>
        <v>0</v>
      </c>
      <c r="H196" s="36">
        <f>COUNTIF('7'!$N$6:$N$529,"과공")</f>
        <v>0</v>
      </c>
      <c r="I196" s="37" t="s">
        <v>11</v>
      </c>
      <c r="J196" s="38">
        <f>SUMIF('7'!$N$6:$N$529,"과공",'7'!$E$6:$E$529)</f>
        <v>0</v>
      </c>
      <c r="K196" s="36">
        <f t="shared" si="12"/>
        <v>0</v>
      </c>
      <c r="L196" s="37" t="s">
        <v>11</v>
      </c>
      <c r="M196" s="38">
        <f t="shared" si="13"/>
        <v>0</v>
      </c>
      <c r="N196" s="39"/>
      <c r="O196" s="23"/>
      <c r="P196" s="23"/>
      <c r="Q196" s="23"/>
      <c r="R196" s="23"/>
      <c r="S196" s="23"/>
      <c r="T196" s="23"/>
      <c r="U196" s="23"/>
      <c r="V196" s="23"/>
    </row>
    <row r="197" spans="1:22" s="24" customFormat="1" ht="23.1" customHeight="1">
      <c r="A197" s="104" t="s">
        <v>23</v>
      </c>
      <c r="B197" s="36">
        <f>COUNTIF('7'!$C$6:$C$529,"장")</f>
        <v>0</v>
      </c>
      <c r="C197" s="37" t="s">
        <v>11</v>
      </c>
      <c r="D197" s="38">
        <f>SUMIF('7'!$C$6:$C$529,"장",'7'!$E$6:$E$529)</f>
        <v>0</v>
      </c>
      <c r="E197" s="36">
        <f>COUNTIF('7'!$N$6:$N$529,"장국")</f>
        <v>0</v>
      </c>
      <c r="F197" s="37" t="s">
        <v>11</v>
      </c>
      <c r="G197" s="38">
        <f>SUMIF('7'!$N$6:$N$529,"장국",'7'!$E$6:$E$529)</f>
        <v>0</v>
      </c>
      <c r="H197" s="36">
        <f>COUNTIF('7'!$N$6:$N$529,"장공")</f>
        <v>0</v>
      </c>
      <c r="I197" s="37" t="s">
        <v>11</v>
      </c>
      <c r="J197" s="38">
        <f>SUMIF('7'!$N$6:$N$529,"장공",'7'!$E$6:$E$529)</f>
        <v>0</v>
      </c>
      <c r="K197" s="36">
        <f t="shared" si="12"/>
        <v>0</v>
      </c>
      <c r="L197" s="37" t="s">
        <v>11</v>
      </c>
      <c r="M197" s="38">
        <f t="shared" si="13"/>
        <v>0</v>
      </c>
      <c r="N197" s="39"/>
      <c r="O197" s="23"/>
      <c r="P197" s="23"/>
      <c r="Q197" s="23"/>
      <c r="R197" s="23"/>
      <c r="S197" s="23"/>
      <c r="T197" s="23"/>
      <c r="U197" s="23"/>
      <c r="V197" s="23"/>
    </row>
    <row r="198" spans="1:22" s="24" customFormat="1" ht="23.1" customHeight="1">
      <c r="A198" s="104" t="s">
        <v>24</v>
      </c>
      <c r="B198" s="36">
        <f>COUNTIF('7'!$C$6:$C$529,"목")</f>
        <v>0</v>
      </c>
      <c r="C198" s="37" t="s">
        <v>11</v>
      </c>
      <c r="D198" s="38">
        <f>SUMIF('7'!$C$6:$C$529,"목",'7'!$E$6:$E$529)</f>
        <v>0</v>
      </c>
      <c r="E198" s="36">
        <f>COUNTIF('7'!$N$6:$N$529,"목국")</f>
        <v>0</v>
      </c>
      <c r="F198" s="37" t="s">
        <v>11</v>
      </c>
      <c r="G198" s="38">
        <f>SUMIF('7'!$N$6:$N$529,"목국",'7'!$E$6:$E$529)</f>
        <v>0</v>
      </c>
      <c r="H198" s="36">
        <f>COUNTIF('7'!$N$6:$N$529,"목공")</f>
        <v>0</v>
      </c>
      <c r="I198" s="37" t="s">
        <v>11</v>
      </c>
      <c r="J198" s="38">
        <f>SUMIF('7'!$N$6:$N$529,"목공",'7'!$E$6:$E$529)</f>
        <v>0</v>
      </c>
      <c r="K198" s="36">
        <f t="shared" si="12"/>
        <v>0</v>
      </c>
      <c r="L198" s="37" t="s">
        <v>11</v>
      </c>
      <c r="M198" s="38">
        <f t="shared" si="13"/>
        <v>0</v>
      </c>
      <c r="N198" s="39"/>
      <c r="O198" s="23"/>
      <c r="P198" s="23"/>
      <c r="Q198" s="23"/>
      <c r="R198" s="23"/>
      <c r="S198" s="23"/>
      <c r="T198" s="23"/>
      <c r="U198" s="23"/>
      <c r="V198" s="23"/>
    </row>
    <row r="199" spans="1:22" s="24" customFormat="1" ht="23.1" customHeight="1">
      <c r="A199" s="104" t="s">
        <v>25</v>
      </c>
      <c r="B199" s="36">
        <f>COUNTIF('7'!$C$6:$C$529,"학")</f>
        <v>0</v>
      </c>
      <c r="C199" s="37" t="s">
        <v>11</v>
      </c>
      <c r="D199" s="38">
        <f>SUMIF('7'!$C$6:$C$529,"학",'7'!$E$6:$E$529)</f>
        <v>0</v>
      </c>
      <c r="E199" s="36">
        <f>COUNTIF('7'!$N$6:$N$529,"학국")</f>
        <v>0</v>
      </c>
      <c r="F199" s="37" t="s">
        <v>11</v>
      </c>
      <c r="G199" s="38">
        <f>SUMIF('7'!$N$6:$N$529,"학국",'7'!$E$6:$E$529)</f>
        <v>0</v>
      </c>
      <c r="H199" s="36">
        <f>COUNTIF('7'!$N$6:$N$529,"학공")</f>
        <v>0</v>
      </c>
      <c r="I199" s="37" t="s">
        <v>11</v>
      </c>
      <c r="J199" s="38">
        <f>SUMIF('7'!$N$6:$N$529,"학공",'7'!$E$6:$E$529)</f>
        <v>0</v>
      </c>
      <c r="K199" s="36">
        <f t="shared" si="12"/>
        <v>0</v>
      </c>
      <c r="L199" s="37" t="s">
        <v>11</v>
      </c>
      <c r="M199" s="38">
        <f t="shared" si="13"/>
        <v>0</v>
      </c>
      <c r="N199" s="39"/>
      <c r="O199" s="23"/>
      <c r="P199" s="23"/>
      <c r="Q199" s="23"/>
      <c r="R199" s="23"/>
      <c r="S199" s="23"/>
      <c r="T199" s="23"/>
      <c r="U199" s="23"/>
      <c r="V199" s="23"/>
    </row>
    <row r="200" spans="1:22" s="24" customFormat="1" ht="23.1" customHeight="1">
      <c r="A200" s="104" t="s">
        <v>26</v>
      </c>
      <c r="B200" s="36">
        <f>COUNTIF('7'!$C$6:$C$529,"철")</f>
        <v>0</v>
      </c>
      <c r="C200" s="37" t="s">
        <v>11</v>
      </c>
      <c r="D200" s="38">
        <f>SUMIF('7'!$C$6:$C$529,"철",'7'!$E$6:$E$529)</f>
        <v>0</v>
      </c>
      <c r="E200" s="36">
        <f>COUNTIF('7'!$N$6:$N$529,"철국")</f>
        <v>0</v>
      </c>
      <c r="F200" s="37" t="s">
        <v>11</v>
      </c>
      <c r="G200" s="38">
        <f>SUMIF('7'!$N$6:$N$529,"철국",'7'!$E$6:$E$529)</f>
        <v>0</v>
      </c>
      <c r="H200" s="36">
        <f>COUNTIF('7'!$N$6:$N$529,"철공")</f>
        <v>0</v>
      </c>
      <c r="I200" s="37" t="s">
        <v>11</v>
      </c>
      <c r="J200" s="38">
        <f>SUMIF('7'!$N$6:$N$529,"철공",'7'!$E$6:$E$529)</f>
        <v>0</v>
      </c>
      <c r="K200" s="36">
        <f t="shared" si="12"/>
        <v>0</v>
      </c>
      <c r="L200" s="37" t="s">
        <v>11</v>
      </c>
      <c r="M200" s="38">
        <f t="shared" si="13"/>
        <v>0</v>
      </c>
      <c r="N200" s="39"/>
      <c r="O200" s="23"/>
      <c r="P200" s="23"/>
      <c r="Q200" s="23"/>
      <c r="R200" s="23"/>
      <c r="S200" s="23"/>
      <c r="T200" s="23"/>
      <c r="U200" s="23"/>
      <c r="V200" s="23"/>
    </row>
    <row r="201" spans="1:22" s="24" customFormat="1" ht="23.1" customHeight="1">
      <c r="A201" s="104" t="s">
        <v>27</v>
      </c>
      <c r="B201" s="36">
        <f>COUNTIF('7'!$C$6:$C$529,"묘")</f>
        <v>0</v>
      </c>
      <c r="C201" s="37" t="s">
        <v>11</v>
      </c>
      <c r="D201" s="38">
        <f>SUMIF('7'!$C$6:$C$529,"묘",'7'!$E$6:$E$529)</f>
        <v>0</v>
      </c>
      <c r="E201" s="36">
        <f>COUNTIF('7'!$N$6:$N$529,"묘국")</f>
        <v>0</v>
      </c>
      <c r="F201" s="37" t="s">
        <v>11</v>
      </c>
      <c r="G201" s="38">
        <f>SUMIF('7'!$N$6:$N$529,"묘국",'7'!$E$6:$E$529)</f>
        <v>0</v>
      </c>
      <c r="H201" s="36">
        <f>COUNTIF('7'!$N$6:$N$529,"묘공")</f>
        <v>0</v>
      </c>
      <c r="I201" s="37" t="s">
        <v>11</v>
      </c>
      <c r="J201" s="38">
        <f>SUMIF('7'!$N$6:$N$529,"묘공",'7'!$E$6:$E$529)</f>
        <v>0</v>
      </c>
      <c r="K201" s="36">
        <f t="shared" si="12"/>
        <v>0</v>
      </c>
      <c r="L201" s="37" t="s">
        <v>11</v>
      </c>
      <c r="M201" s="38">
        <f t="shared" si="13"/>
        <v>0</v>
      </c>
      <c r="N201" s="39"/>
      <c r="O201" s="23"/>
      <c r="P201" s="23"/>
      <c r="Q201" s="23"/>
      <c r="R201" s="23"/>
      <c r="S201" s="23"/>
      <c r="T201" s="23"/>
      <c r="U201" s="23"/>
      <c r="V201" s="23"/>
    </row>
    <row r="202" spans="1:22" s="24" customFormat="1" ht="23.1" customHeight="1">
      <c r="A202" s="104" t="s">
        <v>28</v>
      </c>
      <c r="B202" s="36">
        <f>COUNTIF('7'!$C$6:$C$529,"수")</f>
        <v>0</v>
      </c>
      <c r="C202" s="37" t="s">
        <v>11</v>
      </c>
      <c r="D202" s="38">
        <f>SUMIF('7'!$C$6:$C$529,"수",'7'!$E$6:$E$529)</f>
        <v>0</v>
      </c>
      <c r="E202" s="36">
        <f>COUNTIF('7'!$N$6:$N$529,"수국")</f>
        <v>0</v>
      </c>
      <c r="F202" s="37" t="s">
        <v>11</v>
      </c>
      <c r="G202" s="38">
        <f>SUMIF('7'!$N$6:$N$529,"수국",'7'!$E$6:$E$529)</f>
        <v>0</v>
      </c>
      <c r="H202" s="36">
        <f>COUNTIF('7'!$N$6:$N$529,"수공")</f>
        <v>0</v>
      </c>
      <c r="I202" s="37" t="s">
        <v>11</v>
      </c>
      <c r="J202" s="38">
        <f>SUMIF('7'!$N$6:$N$529,"수공",'7'!$E$6:$E$529)</f>
        <v>0</v>
      </c>
      <c r="K202" s="36">
        <f t="shared" si="12"/>
        <v>0</v>
      </c>
      <c r="L202" s="37" t="s">
        <v>11</v>
      </c>
      <c r="M202" s="38">
        <f t="shared" si="13"/>
        <v>0</v>
      </c>
      <c r="N202" s="39"/>
      <c r="O202" s="23"/>
      <c r="P202" s="23"/>
      <c r="Q202" s="23"/>
      <c r="R202" s="23"/>
      <c r="S202" s="23"/>
      <c r="T202" s="23"/>
      <c r="U202" s="23"/>
      <c r="V202" s="23"/>
    </row>
    <row r="203" spans="1:22" s="24" customFormat="1" ht="23.1" customHeight="1">
      <c r="A203" s="104" t="s">
        <v>29</v>
      </c>
      <c r="B203" s="36">
        <f>COUNTIF('7'!$C$6:$C$529,"잡")</f>
        <v>0</v>
      </c>
      <c r="C203" s="37" t="s">
        <v>11</v>
      </c>
      <c r="D203" s="38">
        <f>SUMIF('7'!$C$6:$C$529,"잡",'7'!$E$6:$E$529)</f>
        <v>0</v>
      </c>
      <c r="E203" s="36">
        <f>COUNTIF('7'!$N$6:$N$529,"잡국")</f>
        <v>0</v>
      </c>
      <c r="F203" s="37" t="s">
        <v>11</v>
      </c>
      <c r="G203" s="38">
        <f>SUMIF('7'!$N$6:$N$529,"잡국",'7'!$E$6:$E$529)</f>
        <v>0</v>
      </c>
      <c r="H203" s="36">
        <f>COUNTIF('7'!$N$6:$N$529,"잡공")</f>
        <v>0</v>
      </c>
      <c r="I203" s="37" t="s">
        <v>11</v>
      </c>
      <c r="J203" s="38">
        <f>SUMIF('7'!$N$6:$N$529,"잡공",'7'!$E$6:$E$529)</f>
        <v>0</v>
      </c>
      <c r="K203" s="36">
        <f t="shared" si="12"/>
        <v>0</v>
      </c>
      <c r="L203" s="37" t="s">
        <v>11</v>
      </c>
      <c r="M203" s="38">
        <f t="shared" si="13"/>
        <v>0</v>
      </c>
      <c r="N203" s="39"/>
      <c r="O203" s="23"/>
      <c r="P203" s="23"/>
      <c r="Q203" s="23"/>
      <c r="R203" s="23"/>
      <c r="S203" s="23"/>
      <c r="T203" s="23"/>
      <c r="U203" s="23"/>
      <c r="V203" s="23"/>
    </row>
    <row r="204" spans="1:22" s="24" customFormat="1" ht="23.1" customHeight="1">
      <c r="A204" s="105" t="s">
        <v>30</v>
      </c>
      <c r="B204" s="36">
        <f>COUNTIF('7'!$C$6:$C$529,"종")</f>
        <v>0</v>
      </c>
      <c r="C204" s="37" t="s">
        <v>11</v>
      </c>
      <c r="D204" s="38">
        <f>SUMIF('7'!$C$6:$C$529,"종",'7'!$E$6:$E$529)</f>
        <v>0</v>
      </c>
      <c r="E204" s="36">
        <f>COUNTIF('7'!$N$6:$N$529,"종국")</f>
        <v>0</v>
      </c>
      <c r="F204" s="37" t="s">
        <v>11</v>
      </c>
      <c r="G204" s="38">
        <f>SUMIF('7'!$N$6:$N$529,"종국",'7'!$E$6:$E$529)</f>
        <v>0</v>
      </c>
      <c r="H204" s="36">
        <f>COUNTIF('7'!$N$6:$N$529,"종공")</f>
        <v>0</v>
      </c>
      <c r="I204" s="37" t="s">
        <v>11</v>
      </c>
      <c r="J204" s="38">
        <f>SUMIF('7'!$N$6:$N$529,"종공",'7'!$E$6:$E$529)</f>
        <v>0</v>
      </c>
      <c r="K204" s="36">
        <f t="shared" si="12"/>
        <v>0</v>
      </c>
      <c r="L204" s="37" t="s">
        <v>11</v>
      </c>
      <c r="M204" s="38">
        <f t="shared" si="13"/>
        <v>0</v>
      </c>
      <c r="N204" s="39"/>
      <c r="O204" s="23"/>
      <c r="P204" s="23"/>
      <c r="Q204" s="23"/>
      <c r="R204" s="23"/>
      <c r="S204" s="23"/>
      <c r="T204" s="23"/>
      <c r="U204" s="23"/>
      <c r="V204" s="23"/>
    </row>
    <row r="205" spans="1:22" s="24" customFormat="1" ht="23.1" customHeight="1">
      <c r="A205" s="105" t="s">
        <v>31</v>
      </c>
      <c r="B205" s="36">
        <f>COUNTIF('7'!$C$6:$C$529,"염")</f>
        <v>0</v>
      </c>
      <c r="C205" s="37" t="s">
        <v>11</v>
      </c>
      <c r="D205" s="38">
        <f>SUMIF('7'!$C$6:$C$529,"염",'7'!$E$6:$E$529)</f>
        <v>0</v>
      </c>
      <c r="E205" s="36">
        <f>COUNTIF('7'!$N$6:$N$529,"염국")</f>
        <v>0</v>
      </c>
      <c r="F205" s="37" t="s">
        <v>11</v>
      </c>
      <c r="G205" s="38">
        <f>SUMIF('7'!$N$6:$N$529,"염국",'7'!$E$6:$E$529)</f>
        <v>0</v>
      </c>
      <c r="H205" s="36">
        <f>COUNTIF('7'!$N$6:$N$529,"염공")</f>
        <v>0</v>
      </c>
      <c r="I205" s="37" t="s">
        <v>11</v>
      </c>
      <c r="J205" s="38">
        <f>SUMIF('7'!$N$6:$N$529,"염공",'7'!$E$6:$E$529)</f>
        <v>0</v>
      </c>
      <c r="K205" s="36">
        <f t="shared" si="12"/>
        <v>0</v>
      </c>
      <c r="L205" s="37" t="s">
        <v>11</v>
      </c>
      <c r="M205" s="38">
        <f t="shared" si="13"/>
        <v>0</v>
      </c>
      <c r="N205" s="39"/>
      <c r="O205" s="23"/>
      <c r="P205" s="23"/>
      <c r="Q205" s="23"/>
      <c r="R205" s="23"/>
      <c r="S205" s="23"/>
      <c r="T205" s="23"/>
      <c r="U205" s="23"/>
      <c r="V205" s="23"/>
    </row>
    <row r="206" spans="1:22" s="24" customFormat="1" ht="23.1" customHeight="1">
      <c r="A206" s="105" t="s">
        <v>32</v>
      </c>
      <c r="B206" s="36">
        <f>COUNTIF('7'!$C$6:$C$529,"공")</f>
        <v>0</v>
      </c>
      <c r="C206" s="37" t="s">
        <v>11</v>
      </c>
      <c r="D206" s="38">
        <f>SUMIF('7'!$C$6:$C$529,"공",'7'!$E$6:$E$529)</f>
        <v>0</v>
      </c>
      <c r="E206" s="36">
        <f>COUNTIF('7'!$N$6:$N$529,"공국")</f>
        <v>0</v>
      </c>
      <c r="F206" s="37" t="s">
        <v>11</v>
      </c>
      <c r="G206" s="38">
        <f>SUMIF('7'!$N$6:$N$529,"공국",'7'!$E$6:$E$529)</f>
        <v>0</v>
      </c>
      <c r="H206" s="36">
        <f>COUNTIF('7'!$N$6:$N$529,"공공")</f>
        <v>0</v>
      </c>
      <c r="I206" s="37" t="s">
        <v>11</v>
      </c>
      <c r="J206" s="38">
        <f>SUMIF('7'!$N$6:$N$529,"공공",'7'!$E$6:$E$529)</f>
        <v>0</v>
      </c>
      <c r="K206" s="36">
        <f t="shared" si="12"/>
        <v>0</v>
      </c>
      <c r="L206" s="37" t="s">
        <v>11</v>
      </c>
      <c r="M206" s="38">
        <f t="shared" si="13"/>
        <v>0</v>
      </c>
      <c r="N206" s="39"/>
      <c r="O206" s="23"/>
      <c r="P206" s="23"/>
      <c r="Q206" s="23"/>
      <c r="R206" s="23"/>
      <c r="S206" s="23"/>
      <c r="T206" s="23"/>
      <c r="U206" s="23"/>
      <c r="V206" s="23"/>
    </row>
    <row r="207" spans="1:22" s="24" customFormat="1" ht="23.1" customHeight="1">
      <c r="A207" s="105" t="s">
        <v>33</v>
      </c>
      <c r="B207" s="36">
        <f>COUNTIF('7'!$C$6:$C$529,"체")</f>
        <v>0</v>
      </c>
      <c r="C207" s="37" t="s">
        <v>11</v>
      </c>
      <c r="D207" s="38">
        <f>SUMIF('7'!$C$6:$C$529,"체",'7'!$E$6:$E$529)</f>
        <v>0</v>
      </c>
      <c r="E207" s="36">
        <f>COUNTIF('7'!$N$6:$N$529,"체국")</f>
        <v>0</v>
      </c>
      <c r="F207" s="37" t="s">
        <v>11</v>
      </c>
      <c r="G207" s="38">
        <f>SUMIF('7'!$N$6:$N$529,"체국",'7'!$E$6:$E$529)</f>
        <v>0</v>
      </c>
      <c r="H207" s="36">
        <f>COUNTIF('7'!$N$6:$N$529,"체공")</f>
        <v>0</v>
      </c>
      <c r="I207" s="37" t="s">
        <v>11</v>
      </c>
      <c r="J207" s="38">
        <f>SUMIF('7'!$N$6:$N$529,"체공",'7'!$E$6:$E$529)</f>
        <v>0</v>
      </c>
      <c r="K207" s="36">
        <f t="shared" si="12"/>
        <v>0</v>
      </c>
      <c r="L207" s="37" t="s">
        <v>11</v>
      </c>
      <c r="M207" s="38">
        <f t="shared" si="13"/>
        <v>0</v>
      </c>
      <c r="N207" s="39"/>
      <c r="O207" s="23"/>
      <c r="P207" s="23"/>
      <c r="Q207" s="23"/>
      <c r="R207" s="23"/>
      <c r="S207" s="23"/>
      <c r="T207" s="23"/>
      <c r="U207" s="23"/>
      <c r="V207" s="23"/>
    </row>
    <row r="208" spans="1:22" s="24" customFormat="1" ht="23.1" customHeight="1">
      <c r="A208" s="105" t="s">
        <v>34</v>
      </c>
      <c r="B208" s="36">
        <f>COUNTIF('7'!$C$6:$C$529,"원")</f>
        <v>0</v>
      </c>
      <c r="C208" s="37" t="s">
        <v>11</v>
      </c>
      <c r="D208" s="38">
        <f>SUMIF('7'!$C$6:$C$529,"원",'7'!$E$6:$E$529)</f>
        <v>0</v>
      </c>
      <c r="E208" s="36">
        <f>COUNTIF('7'!$N$6:$N$529,"원국")</f>
        <v>0</v>
      </c>
      <c r="F208" s="37" t="s">
        <v>11</v>
      </c>
      <c r="G208" s="38">
        <f>SUMIF('7'!$N$6:$N$529,"원국",'7'!$E$6:$E$529)</f>
        <v>0</v>
      </c>
      <c r="H208" s="36">
        <f>COUNTIF('7'!$N$6:$N$529,"원공")</f>
        <v>0</v>
      </c>
      <c r="I208" s="37" t="s">
        <v>11</v>
      </c>
      <c r="J208" s="38">
        <f>SUMIF('7'!$N$6:$N$529,"원공",'7'!$E$6:$E$529)</f>
        <v>0</v>
      </c>
      <c r="K208" s="36">
        <f t="shared" si="12"/>
        <v>0</v>
      </c>
      <c r="L208" s="37" t="s">
        <v>11</v>
      </c>
      <c r="M208" s="38">
        <f t="shared" si="13"/>
        <v>0</v>
      </c>
      <c r="N208" s="39"/>
      <c r="O208" s="23"/>
      <c r="P208" s="23"/>
      <c r="Q208" s="23"/>
      <c r="R208" s="23"/>
      <c r="S208" s="23"/>
      <c r="T208" s="23"/>
      <c r="U208" s="23"/>
      <c r="V208" s="23"/>
    </row>
    <row r="209" spans="1:22" s="24" customFormat="1" ht="23.1" customHeight="1">
      <c r="A209" s="105" t="s">
        <v>66</v>
      </c>
      <c r="B209" s="36">
        <f>COUNTIF('7'!$C$6:$C$529,"차")</f>
        <v>0</v>
      </c>
      <c r="C209" s="37" t="s">
        <v>11</v>
      </c>
      <c r="D209" s="38">
        <f>SUMIF('7'!$C$6:$C$529,"차",'7'!$E$6:$E$529)</f>
        <v>0</v>
      </c>
      <c r="E209" s="36">
        <f>COUNTIF('7'!$N$6:$N$529,"차국")</f>
        <v>0</v>
      </c>
      <c r="F209" s="37" t="s">
        <v>11</v>
      </c>
      <c r="G209" s="38">
        <f>SUMIF('7'!$N$6:$N$529,"차국",'7'!$E$6:$E$529)</f>
        <v>0</v>
      </c>
      <c r="H209" s="36">
        <f>COUNTIF('7'!$N$6:$N$529,"차공")</f>
        <v>0</v>
      </c>
      <c r="I209" s="37" t="s">
        <v>11</v>
      </c>
      <c r="J209" s="38">
        <f>SUMIF('7'!$N$6:$N$529,"차공",'7'!$E$6:$E$529)</f>
        <v>0</v>
      </c>
      <c r="K209" s="36">
        <f t="shared" si="12"/>
        <v>0</v>
      </c>
      <c r="L209" s="37" t="s">
        <v>11</v>
      </c>
      <c r="M209" s="38">
        <f t="shared" si="13"/>
        <v>0</v>
      </c>
      <c r="N209" s="39"/>
      <c r="O209" s="23"/>
      <c r="P209" s="23"/>
      <c r="Q209" s="23"/>
      <c r="R209" s="23"/>
      <c r="S209" s="23"/>
      <c r="T209" s="23"/>
      <c r="U209" s="23"/>
      <c r="V209" s="23"/>
    </row>
    <row r="210" spans="1:22" s="24" customFormat="1" ht="23.1" customHeight="1">
      <c r="A210" s="105" t="s">
        <v>67</v>
      </c>
      <c r="B210" s="36">
        <f>COUNTIF('7'!$C$6:$C$529,"주")</f>
        <v>0</v>
      </c>
      <c r="C210" s="37" t="s">
        <v>11</v>
      </c>
      <c r="D210" s="38">
        <f>SUMIF('7'!$C$6:$C$529,"주",'7'!$E$6:$E$529)</f>
        <v>0</v>
      </c>
      <c r="E210" s="36">
        <f>COUNTIF('7'!$N$6:$N$529,"주국")</f>
        <v>0</v>
      </c>
      <c r="F210" s="37" t="s">
        <v>11</v>
      </c>
      <c r="G210" s="38">
        <f>SUMIF('7'!$N$6:$N$529,"주국",'7'!$E$6:$E$529)</f>
        <v>0</v>
      </c>
      <c r="H210" s="36">
        <f>COUNTIF('7'!$N$6:$N$529,"주공")</f>
        <v>0</v>
      </c>
      <c r="I210" s="37" t="s">
        <v>11</v>
      </c>
      <c r="J210" s="38">
        <f>SUMIF('7'!$N$6:$N$529,"주공",'7'!$E$6:$E$529)</f>
        <v>0</v>
      </c>
      <c r="K210" s="36">
        <f t="shared" si="12"/>
        <v>0</v>
      </c>
      <c r="L210" s="37" t="s">
        <v>11</v>
      </c>
      <c r="M210" s="38">
        <f t="shared" si="13"/>
        <v>0</v>
      </c>
      <c r="N210" s="39"/>
      <c r="O210" s="23"/>
      <c r="P210" s="23"/>
      <c r="Q210" s="23"/>
      <c r="R210" s="23"/>
      <c r="S210" s="23"/>
      <c r="T210" s="23"/>
      <c r="U210" s="23"/>
      <c r="V210" s="23"/>
    </row>
    <row r="211" spans="1:22" s="24" customFormat="1" ht="23.1" customHeight="1">
      <c r="A211" s="106" t="s">
        <v>68</v>
      </c>
      <c r="B211" s="40">
        <f>COUNTIF('7'!$C$6:$C$529," ")</f>
        <v>0</v>
      </c>
      <c r="C211" s="41" t="s">
        <v>11</v>
      </c>
      <c r="D211" s="42">
        <f>SUMIF('7'!$C$6:$C$529," ",'7'!$E$6:$E$529)</f>
        <v>0</v>
      </c>
      <c r="E211" s="40">
        <f>COUNTIF('7'!$N$6:$N$529," 국")</f>
        <v>0</v>
      </c>
      <c r="F211" s="41" t="s">
        <v>11</v>
      </c>
      <c r="G211" s="42">
        <f>SUMIF('7'!$N$6:$N$529," 국",'7'!$E$6:$E$529)</f>
        <v>0</v>
      </c>
      <c r="H211" s="40">
        <f>COUNTIF('7'!$N$6:$N$529," 공")</f>
        <v>0</v>
      </c>
      <c r="I211" s="41" t="s">
        <v>11</v>
      </c>
      <c r="J211" s="42">
        <f>SUMIF('7'!$N$6:$N$529," 공",'7'!$E$6:$E$529)</f>
        <v>0</v>
      </c>
      <c r="K211" s="40">
        <f t="shared" si="12"/>
        <v>0</v>
      </c>
      <c r="L211" s="41" t="s">
        <v>11</v>
      </c>
      <c r="M211" s="42">
        <f t="shared" si="13"/>
        <v>0</v>
      </c>
      <c r="N211" s="43"/>
      <c r="O211" s="23"/>
      <c r="P211" s="23"/>
      <c r="Q211" s="23"/>
      <c r="R211" s="23"/>
      <c r="S211" s="23"/>
      <c r="T211" s="23"/>
      <c r="U211" s="23"/>
      <c r="V211" s="23"/>
    </row>
    <row r="212" spans="1:22" s="17" customFormat="1" ht="20.100000000000001" customHeight="1">
      <c r="A212" s="11">
        <f>IF(EXACT(O216,O217),,"검산확인요!!!")</f>
        <v>0</v>
      </c>
      <c r="B212" s="12"/>
      <c r="C212" s="12"/>
      <c r="D212" s="12"/>
      <c r="E212" s="12"/>
      <c r="F212" s="12"/>
      <c r="G212" s="12"/>
      <c r="H212" s="12"/>
      <c r="I212" s="12"/>
      <c r="J212" s="12"/>
      <c r="K212" s="13">
        <f>IF(ISBLANK('8'!K2),,'8'!K2)</f>
        <v>3</v>
      </c>
      <c r="L212" s="14"/>
      <c r="M212" s="15"/>
      <c r="N212" s="16"/>
    </row>
    <row r="213" spans="1:22" s="17" customFormat="1" ht="9.9499999999999993" customHeight="1">
      <c r="A213" s="11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</row>
    <row r="214" spans="1:22" s="24" customFormat="1" ht="27.95" customHeight="1">
      <c r="A214" s="18" t="s">
        <v>9</v>
      </c>
      <c r="B214" s="19" t="s">
        <v>8</v>
      </c>
      <c r="C214" s="20"/>
      <c r="D214" s="21"/>
      <c r="E214" s="19" t="s">
        <v>35</v>
      </c>
      <c r="F214" s="20"/>
      <c r="G214" s="21"/>
      <c r="H214" s="19" t="s">
        <v>44</v>
      </c>
      <c r="I214" s="20"/>
      <c r="J214" s="21"/>
      <c r="K214" s="19" t="s">
        <v>36</v>
      </c>
      <c r="L214" s="20"/>
      <c r="M214" s="21"/>
      <c r="N214" s="22" t="s">
        <v>37</v>
      </c>
      <c r="O214" s="23"/>
      <c r="S214" s="23"/>
      <c r="T214" s="23"/>
      <c r="U214" s="23"/>
      <c r="V214" s="23"/>
    </row>
    <row r="215" spans="1:22" s="24" customFormat="1" ht="27.95" customHeight="1">
      <c r="A215" s="25"/>
      <c r="B215" s="26" t="s">
        <v>10</v>
      </c>
      <c r="C215" s="27" t="s">
        <v>11</v>
      </c>
      <c r="D215" s="28" t="s">
        <v>38</v>
      </c>
      <c r="E215" s="26" t="s">
        <v>10</v>
      </c>
      <c r="F215" s="27" t="s">
        <v>11</v>
      </c>
      <c r="G215" s="28" t="s">
        <v>38</v>
      </c>
      <c r="H215" s="26" t="s">
        <v>10</v>
      </c>
      <c r="I215" s="27" t="s">
        <v>11</v>
      </c>
      <c r="J215" s="28" t="s">
        <v>38</v>
      </c>
      <c r="K215" s="26" t="s">
        <v>10</v>
      </c>
      <c r="L215" s="27" t="s">
        <v>11</v>
      </c>
      <c r="M215" s="28" t="s">
        <v>38</v>
      </c>
      <c r="N215" s="29"/>
      <c r="P215" s="23"/>
      <c r="Q215" s="30" t="s">
        <v>39</v>
      </c>
      <c r="R215" s="30" t="s">
        <v>40</v>
      </c>
      <c r="S215" s="30" t="s">
        <v>41</v>
      </c>
      <c r="T215" s="30" t="s">
        <v>42</v>
      </c>
      <c r="U215" s="23"/>
      <c r="V215" s="23"/>
    </row>
    <row r="216" spans="1:22" s="24" customFormat="1" ht="23.1" customHeight="1">
      <c r="A216" s="103" t="s">
        <v>8</v>
      </c>
      <c r="B216" s="31">
        <f>SUM(B217:B241)</f>
        <v>0</v>
      </c>
      <c r="C216" s="32" t="s">
        <v>11</v>
      </c>
      <c r="D216" s="33">
        <f>SUM(D217:D241)</f>
        <v>0</v>
      </c>
      <c r="E216" s="31">
        <f>SUM(E217:E241)</f>
        <v>0</v>
      </c>
      <c r="F216" s="32" t="s">
        <v>11</v>
      </c>
      <c r="G216" s="33">
        <f>SUM(G217:G241)</f>
        <v>0</v>
      </c>
      <c r="H216" s="31">
        <f>SUM(H217:H241)</f>
        <v>0</v>
      </c>
      <c r="I216" s="32" t="s">
        <v>11</v>
      </c>
      <c r="J216" s="33">
        <f>SUM(J217:J241)</f>
        <v>0</v>
      </c>
      <c r="K216" s="31">
        <f>SUM(K217:K241)</f>
        <v>0</v>
      </c>
      <c r="L216" s="32" t="s">
        <v>11</v>
      </c>
      <c r="M216" s="33">
        <f>SUM(M217:M241)</f>
        <v>0</v>
      </c>
      <c r="N216" s="34"/>
      <c r="O216" s="23" t="str">
        <f>IF(EXACT(Q216,T216),"맞음","틀림")</f>
        <v>맞음</v>
      </c>
      <c r="P216" s="23" t="s">
        <v>10</v>
      </c>
      <c r="Q216" s="35">
        <f>SUM(B217:B241)</f>
        <v>0</v>
      </c>
      <c r="R216" s="35">
        <f>SUM(E217:E241)</f>
        <v>0</v>
      </c>
      <c r="S216" s="35">
        <f>SUM(K217:K241)</f>
        <v>0</v>
      </c>
      <c r="T216" s="35">
        <f>K216+E216</f>
        <v>0</v>
      </c>
      <c r="U216" s="23"/>
      <c r="V216" s="23"/>
    </row>
    <row r="217" spans="1:22" s="24" customFormat="1" ht="23.1" customHeight="1">
      <c r="A217" s="104" t="s">
        <v>13</v>
      </c>
      <c r="B217" s="36">
        <f>COUNTIF('8'!$C$6:$C$529,"전")</f>
        <v>0</v>
      </c>
      <c r="C217" s="37" t="s">
        <v>11</v>
      </c>
      <c r="D217" s="38">
        <f>SUMIF('8'!$C$6:$C$529,"전",'8'!$E$6:$E$529)</f>
        <v>0</v>
      </c>
      <c r="E217" s="36">
        <f>COUNTIF('8'!$N$6:$N$529,"전국")</f>
        <v>0</v>
      </c>
      <c r="F217" s="37" t="s">
        <v>11</v>
      </c>
      <c r="G217" s="38">
        <f>SUMIF('8'!$N$6:$N$529,"전국",'8'!$E$6:$E$529)</f>
        <v>0</v>
      </c>
      <c r="H217" s="36">
        <f>COUNTIF('8'!$N$6:$N$529,"전공")</f>
        <v>0</v>
      </c>
      <c r="I217" s="37" t="s">
        <v>11</v>
      </c>
      <c r="J217" s="38">
        <f>SUMIF('8'!$N$6:$N$529,"전공",'8'!$E$6:$E$529)</f>
        <v>0</v>
      </c>
      <c r="K217" s="36">
        <f t="shared" ref="K217:K241" si="14">SUM(B217-E217-H217)</f>
        <v>0</v>
      </c>
      <c r="L217" s="37" t="s">
        <v>11</v>
      </c>
      <c r="M217" s="38">
        <f t="shared" ref="M217:M241" si="15">SUM(D217-G217-J217)</f>
        <v>0</v>
      </c>
      <c r="N217" s="39"/>
      <c r="O217" s="23" t="str">
        <f>IF(EXACT(Q217,T217),"맞음","틀림")</f>
        <v>맞음</v>
      </c>
      <c r="P217" s="23" t="s">
        <v>43</v>
      </c>
      <c r="Q217" s="35">
        <f>SUM(D217:D241)</f>
        <v>0</v>
      </c>
      <c r="R217" s="35">
        <f>SUM(G217:G241)</f>
        <v>0</v>
      </c>
      <c r="S217" s="35">
        <f>SUM(M217:M241)</f>
        <v>0</v>
      </c>
      <c r="T217" s="35">
        <f>G216+M216</f>
        <v>0</v>
      </c>
      <c r="U217" s="23"/>
      <c r="V217" s="23"/>
    </row>
    <row r="218" spans="1:22" s="24" customFormat="1" ht="23.1" customHeight="1">
      <c r="A218" s="104" t="s">
        <v>14</v>
      </c>
      <c r="B218" s="36">
        <f>COUNTIF('8'!$C$6:$C$529,"답")</f>
        <v>0</v>
      </c>
      <c r="C218" s="37" t="s">
        <v>11</v>
      </c>
      <c r="D218" s="38">
        <f>SUMIF('8'!$C$6:$C$529,"답",'8'!$E$6:$E$529)</f>
        <v>0</v>
      </c>
      <c r="E218" s="36">
        <f>COUNTIF('8'!$N$6:$N$529,"답국")</f>
        <v>0</v>
      </c>
      <c r="F218" s="37" t="s">
        <v>11</v>
      </c>
      <c r="G218" s="38">
        <f>SUMIF('8'!$N$6:$N$529,"답국",'8'!$E$6:$E$529)</f>
        <v>0</v>
      </c>
      <c r="H218" s="36">
        <f>COUNTIF('8'!$N$6:$N$529,"답공")</f>
        <v>0</v>
      </c>
      <c r="I218" s="37" t="s">
        <v>11</v>
      </c>
      <c r="J218" s="38">
        <f>SUMIF('8'!$N$6:$N$529,"답공",'8'!$E$6:$E$529)</f>
        <v>0</v>
      </c>
      <c r="K218" s="36">
        <f t="shared" si="14"/>
        <v>0</v>
      </c>
      <c r="L218" s="37" t="s">
        <v>11</v>
      </c>
      <c r="M218" s="38">
        <f t="shared" si="15"/>
        <v>0</v>
      </c>
      <c r="N218" s="39"/>
      <c r="Q218" s="23"/>
      <c r="S218" s="23"/>
      <c r="U218" s="23"/>
      <c r="V218" s="23"/>
    </row>
    <row r="219" spans="1:22" s="24" customFormat="1" ht="23.1" customHeight="1">
      <c r="A219" s="104" t="s">
        <v>15</v>
      </c>
      <c r="B219" s="36">
        <f>COUNTIF('8'!$C$6:$C$529,"임")</f>
        <v>0</v>
      </c>
      <c r="C219" s="37" t="s">
        <v>11</v>
      </c>
      <c r="D219" s="38">
        <f>SUMIF('8'!$C$6:$C$529,"임",'8'!$E$6:$E$529)</f>
        <v>0</v>
      </c>
      <c r="E219" s="36">
        <f>COUNTIF('8'!$N$6:$N$529,"임국")</f>
        <v>0</v>
      </c>
      <c r="F219" s="37" t="s">
        <v>11</v>
      </c>
      <c r="G219" s="38">
        <f>SUMIF('8'!$N$6:$N$529,"임국",'8'!$E$6:$E$529)</f>
        <v>0</v>
      </c>
      <c r="H219" s="36">
        <f>COUNTIF('8'!$N$6:$N$529,"임공")</f>
        <v>0</v>
      </c>
      <c r="I219" s="37" t="s">
        <v>11</v>
      </c>
      <c r="J219" s="38">
        <f>SUMIF('8'!$N$6:$N$529,"임공",'8'!$E$6:$E$529)</f>
        <v>0</v>
      </c>
      <c r="K219" s="36">
        <f t="shared" si="14"/>
        <v>0</v>
      </c>
      <c r="L219" s="37" t="s">
        <v>11</v>
      </c>
      <c r="M219" s="38">
        <f t="shared" si="15"/>
        <v>0</v>
      </c>
      <c r="N219" s="39"/>
      <c r="Q219" s="23"/>
      <c r="S219" s="23"/>
      <c r="U219" s="23"/>
      <c r="V219" s="23"/>
    </row>
    <row r="220" spans="1:22" s="24" customFormat="1" ht="23.1" customHeight="1">
      <c r="A220" s="104" t="s">
        <v>16</v>
      </c>
      <c r="B220" s="36">
        <f>COUNTIF('8'!$C$6:$C$529,"대")</f>
        <v>0</v>
      </c>
      <c r="C220" s="37" t="s">
        <v>11</v>
      </c>
      <c r="D220" s="38">
        <f>SUMIF('8'!$C$6:$C$529,"대",'8'!$E$6:$E$529)</f>
        <v>0</v>
      </c>
      <c r="E220" s="36">
        <f>COUNTIF('8'!$N$6:$N$529,"대국")</f>
        <v>0</v>
      </c>
      <c r="F220" s="37" t="s">
        <v>11</v>
      </c>
      <c r="G220" s="38">
        <f>SUMIF('8'!$N$6:$N$529,"대국",'8'!$E$6:$E$529)</f>
        <v>0</v>
      </c>
      <c r="H220" s="36">
        <f>COUNTIF('8'!$N$6:$N$529,"대공")</f>
        <v>0</v>
      </c>
      <c r="I220" s="37" t="s">
        <v>11</v>
      </c>
      <c r="J220" s="38">
        <f>SUMIF('8'!$N$6:$N$529,"대공",'8'!$E$6:$E$529)</f>
        <v>0</v>
      </c>
      <c r="K220" s="36">
        <f t="shared" si="14"/>
        <v>0</v>
      </c>
      <c r="L220" s="37" t="s">
        <v>11</v>
      </c>
      <c r="M220" s="38">
        <f t="shared" si="15"/>
        <v>0</v>
      </c>
      <c r="N220" s="39"/>
      <c r="O220" s="23"/>
      <c r="P220" s="23"/>
      <c r="Q220" s="23"/>
      <c r="R220" s="23"/>
      <c r="S220" s="23"/>
      <c r="T220" s="23"/>
      <c r="U220" s="23"/>
      <c r="V220" s="23"/>
    </row>
    <row r="221" spans="1:22" s="24" customFormat="1" ht="23.1" customHeight="1">
      <c r="A221" s="104" t="s">
        <v>17</v>
      </c>
      <c r="B221" s="36">
        <f>COUNTIF('8'!$C$6:$C$529,"도")</f>
        <v>0</v>
      </c>
      <c r="C221" s="37" t="s">
        <v>11</v>
      </c>
      <c r="D221" s="38">
        <f>SUMIF('8'!$C$6:$C$529,"도",'8'!$E$6:$E$529)</f>
        <v>0</v>
      </c>
      <c r="E221" s="36">
        <f>COUNTIF('8'!$N$6:$N$529,"도국")</f>
        <v>0</v>
      </c>
      <c r="F221" s="37" t="s">
        <v>11</v>
      </c>
      <c r="G221" s="38">
        <f>SUMIF('8'!$N$6:$N$529,"도국",'8'!$E$6:$E$529)</f>
        <v>0</v>
      </c>
      <c r="H221" s="36">
        <f>COUNTIF('8'!$N$6:$N$529,"도공")</f>
        <v>0</v>
      </c>
      <c r="I221" s="37" t="s">
        <v>11</v>
      </c>
      <c r="J221" s="38">
        <f>SUMIF('8'!$N$6:$N$529,"도공",'8'!$E$6:$E$529)</f>
        <v>0</v>
      </c>
      <c r="K221" s="36">
        <f t="shared" si="14"/>
        <v>0</v>
      </c>
      <c r="L221" s="37" t="s">
        <v>11</v>
      </c>
      <c r="M221" s="38">
        <f t="shared" si="15"/>
        <v>0</v>
      </c>
      <c r="N221" s="39"/>
      <c r="O221" s="23"/>
      <c r="P221" s="23"/>
      <c r="Q221" s="23"/>
      <c r="R221" s="23"/>
      <c r="S221" s="23"/>
      <c r="T221" s="23"/>
      <c r="U221" s="23"/>
      <c r="V221" s="23"/>
    </row>
    <row r="222" spans="1:22" s="24" customFormat="1" ht="23.1" customHeight="1">
      <c r="A222" s="104" t="s">
        <v>18</v>
      </c>
      <c r="B222" s="36">
        <f>COUNTIF('8'!$C$6:$C$529,"구")</f>
        <v>0</v>
      </c>
      <c r="C222" s="37" t="s">
        <v>11</v>
      </c>
      <c r="D222" s="38">
        <f>SUMIF('8'!$C$6:$C$529,"구",'8'!$E$6:$E$529)</f>
        <v>0</v>
      </c>
      <c r="E222" s="36">
        <f>COUNTIF('8'!$N$6:$N$529,"구국")</f>
        <v>0</v>
      </c>
      <c r="F222" s="37" t="s">
        <v>11</v>
      </c>
      <c r="G222" s="38">
        <f>SUMIF('8'!$N$6:$N$529,"구국",'8'!$E$6:$E$529)</f>
        <v>0</v>
      </c>
      <c r="H222" s="36">
        <f>COUNTIF('8'!$N$6:$N$529,"구공")</f>
        <v>0</v>
      </c>
      <c r="I222" s="37" t="s">
        <v>11</v>
      </c>
      <c r="J222" s="38">
        <f>SUMIF('8'!$N$6:$N$529,"구공",'8'!$E$6:$E$529)</f>
        <v>0</v>
      </c>
      <c r="K222" s="36">
        <f t="shared" si="14"/>
        <v>0</v>
      </c>
      <c r="L222" s="37" t="s">
        <v>11</v>
      </c>
      <c r="M222" s="38">
        <f t="shared" si="15"/>
        <v>0</v>
      </c>
      <c r="N222" s="39"/>
      <c r="O222" s="23"/>
      <c r="P222" s="23"/>
      <c r="Q222" s="23"/>
      <c r="R222" s="23"/>
      <c r="S222" s="23"/>
      <c r="T222" s="23"/>
      <c r="U222" s="23"/>
      <c r="V222" s="23"/>
    </row>
    <row r="223" spans="1:22" s="24" customFormat="1" ht="23.1" customHeight="1">
      <c r="A223" s="104" t="s">
        <v>19</v>
      </c>
      <c r="B223" s="36">
        <f>COUNTIF('8'!$C$6:$C$529,"천")</f>
        <v>0</v>
      </c>
      <c r="C223" s="37" t="s">
        <v>11</v>
      </c>
      <c r="D223" s="38">
        <f>SUMIF('8'!$C$6:$C$529,"천",'8'!$E$6:$E$529)</f>
        <v>0</v>
      </c>
      <c r="E223" s="36">
        <f>COUNTIF('8'!$N$6:$N$529,"천국")</f>
        <v>0</v>
      </c>
      <c r="F223" s="37" t="s">
        <v>11</v>
      </c>
      <c r="G223" s="38">
        <f>SUMIF('8'!$N$6:$N$529,"천국",'8'!$E$6:$E$529)</f>
        <v>0</v>
      </c>
      <c r="H223" s="36">
        <f>COUNTIF('8'!$N$6:$N$529,"천공")</f>
        <v>0</v>
      </c>
      <c r="I223" s="37" t="s">
        <v>11</v>
      </c>
      <c r="J223" s="38">
        <f>SUMIF('8'!$N$6:$N$529,"천공",'8'!$E$6:$E$529)</f>
        <v>0</v>
      </c>
      <c r="K223" s="36">
        <f t="shared" si="14"/>
        <v>0</v>
      </c>
      <c r="L223" s="37" t="s">
        <v>11</v>
      </c>
      <c r="M223" s="38">
        <f t="shared" si="15"/>
        <v>0</v>
      </c>
      <c r="N223" s="39"/>
      <c r="O223" s="23"/>
      <c r="P223" s="23"/>
      <c r="Q223" s="23"/>
      <c r="R223" s="23"/>
      <c r="S223" s="23"/>
      <c r="T223" s="23"/>
      <c r="U223" s="23"/>
      <c r="V223" s="23"/>
    </row>
    <row r="224" spans="1:22" s="24" customFormat="1" ht="23.1" customHeight="1">
      <c r="A224" s="104" t="s">
        <v>20</v>
      </c>
      <c r="B224" s="36">
        <f>COUNTIF('8'!$C$6:$C$529,"유")</f>
        <v>0</v>
      </c>
      <c r="C224" s="37" t="s">
        <v>11</v>
      </c>
      <c r="D224" s="38">
        <f>SUMIF('8'!$C$6:$C$529,"유",'8'!$E$6:$E$529)</f>
        <v>0</v>
      </c>
      <c r="E224" s="36">
        <f>COUNTIF('8'!$N$6:$N$529,"유국")</f>
        <v>0</v>
      </c>
      <c r="F224" s="37" t="s">
        <v>11</v>
      </c>
      <c r="G224" s="38">
        <f>SUMIF('8'!$N$6:$N$529,"유국",'8'!$E$6:$E$529)</f>
        <v>0</v>
      </c>
      <c r="H224" s="36">
        <f>COUNTIF('8'!$N$6:$N$529,"유공")</f>
        <v>0</v>
      </c>
      <c r="I224" s="37" t="s">
        <v>11</v>
      </c>
      <c r="J224" s="38">
        <f>SUMIF('8'!$N$6:$N$529,"유공",'8'!$E$6:$E$529)</f>
        <v>0</v>
      </c>
      <c r="K224" s="36">
        <f t="shared" si="14"/>
        <v>0</v>
      </c>
      <c r="L224" s="37" t="s">
        <v>11</v>
      </c>
      <c r="M224" s="38">
        <f t="shared" si="15"/>
        <v>0</v>
      </c>
      <c r="N224" s="39"/>
      <c r="O224" s="23"/>
      <c r="P224" s="23"/>
      <c r="Q224" s="23"/>
      <c r="R224" s="23"/>
      <c r="S224" s="23"/>
      <c r="T224" s="23"/>
      <c r="U224" s="23"/>
      <c r="V224" s="23"/>
    </row>
    <row r="225" spans="1:22" s="24" customFormat="1" ht="23.1" customHeight="1">
      <c r="A225" s="104" t="s">
        <v>21</v>
      </c>
      <c r="B225" s="36">
        <f>COUNTIF('8'!$C$6:$C$529,"제")</f>
        <v>0</v>
      </c>
      <c r="C225" s="37" t="s">
        <v>11</v>
      </c>
      <c r="D225" s="38">
        <f>SUMIF('8'!$C$6:$C$529,"제",'8'!$E$6:$E$529)</f>
        <v>0</v>
      </c>
      <c r="E225" s="36">
        <f>COUNTIF('8'!$N$6:$N$529,"제국")</f>
        <v>0</v>
      </c>
      <c r="F225" s="37" t="s">
        <v>11</v>
      </c>
      <c r="G225" s="38">
        <f>SUMIF('8'!$N$6:$N$529,"제국",'8'!$E$6:$E$529)</f>
        <v>0</v>
      </c>
      <c r="H225" s="36">
        <f>COUNTIF('8'!$N$6:$N$529,"제공")</f>
        <v>0</v>
      </c>
      <c r="I225" s="37" t="s">
        <v>11</v>
      </c>
      <c r="J225" s="38">
        <f>SUMIF('8'!$N$6:$N$529,"제공",'8'!$E$6:$E$529)</f>
        <v>0</v>
      </c>
      <c r="K225" s="36">
        <f t="shared" si="14"/>
        <v>0</v>
      </c>
      <c r="L225" s="37" t="s">
        <v>11</v>
      </c>
      <c r="M225" s="38">
        <f t="shared" si="15"/>
        <v>0</v>
      </c>
      <c r="N225" s="39"/>
      <c r="O225" s="23"/>
      <c r="P225" s="23"/>
      <c r="Q225" s="23"/>
      <c r="R225" s="23"/>
      <c r="S225" s="23"/>
      <c r="T225" s="23"/>
      <c r="U225" s="23"/>
      <c r="V225" s="23"/>
    </row>
    <row r="226" spans="1:22" s="24" customFormat="1" ht="23.1" customHeight="1">
      <c r="A226" s="104" t="s">
        <v>22</v>
      </c>
      <c r="B226" s="36">
        <f>COUNTIF('8'!$C$6:$C$529,"과")</f>
        <v>0</v>
      </c>
      <c r="C226" s="37" t="s">
        <v>11</v>
      </c>
      <c r="D226" s="38">
        <f>SUMIF('8'!$C$6:$C$529,"과",'8'!$E$6:$E$529)</f>
        <v>0</v>
      </c>
      <c r="E226" s="36">
        <f>COUNTIF('8'!$N$6:$N$529,"과국")</f>
        <v>0</v>
      </c>
      <c r="F226" s="37" t="s">
        <v>11</v>
      </c>
      <c r="G226" s="38">
        <f>SUMIF('8'!$N$6:$N$529,"과국",'8'!$E$6:$E$529)</f>
        <v>0</v>
      </c>
      <c r="H226" s="36">
        <f>COUNTIF('8'!$N$6:$N$529,"과공")</f>
        <v>0</v>
      </c>
      <c r="I226" s="37" t="s">
        <v>11</v>
      </c>
      <c r="J226" s="38">
        <f>SUMIF('8'!$N$6:$N$529,"과공",'8'!$E$6:$E$529)</f>
        <v>0</v>
      </c>
      <c r="K226" s="36">
        <f t="shared" si="14"/>
        <v>0</v>
      </c>
      <c r="L226" s="37" t="s">
        <v>11</v>
      </c>
      <c r="M226" s="38">
        <f t="shared" si="15"/>
        <v>0</v>
      </c>
      <c r="N226" s="39"/>
      <c r="O226" s="23"/>
      <c r="P226" s="23"/>
      <c r="Q226" s="23"/>
      <c r="R226" s="23"/>
      <c r="S226" s="23"/>
      <c r="T226" s="23"/>
      <c r="U226" s="23"/>
      <c r="V226" s="23"/>
    </row>
    <row r="227" spans="1:22" s="24" customFormat="1" ht="23.1" customHeight="1">
      <c r="A227" s="104" t="s">
        <v>23</v>
      </c>
      <c r="B227" s="36">
        <f>COUNTIF('8'!$C$6:$C$529,"장")</f>
        <v>0</v>
      </c>
      <c r="C227" s="37" t="s">
        <v>11</v>
      </c>
      <c r="D227" s="38">
        <f>SUMIF('8'!$C$6:$C$529,"장",'8'!$E$6:$E$529)</f>
        <v>0</v>
      </c>
      <c r="E227" s="36">
        <f>COUNTIF('8'!$N$6:$N$529,"장국")</f>
        <v>0</v>
      </c>
      <c r="F227" s="37" t="s">
        <v>11</v>
      </c>
      <c r="G227" s="38">
        <f>SUMIF('8'!$N$6:$N$529,"장국",'8'!$E$6:$E$529)</f>
        <v>0</v>
      </c>
      <c r="H227" s="36">
        <f>COUNTIF('8'!$N$6:$N$529,"장공")</f>
        <v>0</v>
      </c>
      <c r="I227" s="37" t="s">
        <v>11</v>
      </c>
      <c r="J227" s="38">
        <f>SUMIF('8'!$N$6:$N$529,"장공",'8'!$E$6:$E$529)</f>
        <v>0</v>
      </c>
      <c r="K227" s="36">
        <f t="shared" si="14"/>
        <v>0</v>
      </c>
      <c r="L227" s="37" t="s">
        <v>11</v>
      </c>
      <c r="M227" s="38">
        <f t="shared" si="15"/>
        <v>0</v>
      </c>
      <c r="N227" s="39"/>
      <c r="O227" s="23"/>
      <c r="P227" s="23"/>
      <c r="Q227" s="23"/>
      <c r="R227" s="23"/>
      <c r="S227" s="23"/>
      <c r="T227" s="23"/>
      <c r="U227" s="23"/>
      <c r="V227" s="23"/>
    </row>
    <row r="228" spans="1:22" s="24" customFormat="1" ht="23.1" customHeight="1">
      <c r="A228" s="104" t="s">
        <v>24</v>
      </c>
      <c r="B228" s="36">
        <f>COUNTIF('8'!$C$6:$C$529,"목")</f>
        <v>0</v>
      </c>
      <c r="C228" s="37" t="s">
        <v>11</v>
      </c>
      <c r="D228" s="38">
        <f>SUMIF('8'!$C$6:$C$529,"목",'8'!$E$6:$E$529)</f>
        <v>0</v>
      </c>
      <c r="E228" s="36">
        <f>COUNTIF('8'!$N$6:$N$529,"목국")</f>
        <v>0</v>
      </c>
      <c r="F228" s="37" t="s">
        <v>11</v>
      </c>
      <c r="G228" s="38">
        <f>SUMIF('8'!$N$6:$N$529,"목국",'8'!$E$6:$E$529)</f>
        <v>0</v>
      </c>
      <c r="H228" s="36">
        <f>COUNTIF('8'!$N$6:$N$529,"목공")</f>
        <v>0</v>
      </c>
      <c r="I228" s="37" t="s">
        <v>11</v>
      </c>
      <c r="J228" s="38">
        <f>SUMIF('8'!$N$6:$N$529,"목공",'8'!$E$6:$E$529)</f>
        <v>0</v>
      </c>
      <c r="K228" s="36">
        <f t="shared" si="14"/>
        <v>0</v>
      </c>
      <c r="L228" s="37" t="s">
        <v>11</v>
      </c>
      <c r="M228" s="38">
        <f t="shared" si="15"/>
        <v>0</v>
      </c>
      <c r="N228" s="39"/>
      <c r="O228" s="23"/>
      <c r="P228" s="23"/>
      <c r="Q228" s="23"/>
      <c r="R228" s="23"/>
      <c r="S228" s="23"/>
      <c r="T228" s="23"/>
      <c r="U228" s="23"/>
      <c r="V228" s="23"/>
    </row>
    <row r="229" spans="1:22" s="24" customFormat="1" ht="23.1" customHeight="1">
      <c r="A229" s="104" t="s">
        <v>25</v>
      </c>
      <c r="B229" s="36">
        <f>COUNTIF('8'!$C$6:$C$529,"학")</f>
        <v>0</v>
      </c>
      <c r="C229" s="37" t="s">
        <v>11</v>
      </c>
      <c r="D229" s="38">
        <f>SUMIF('8'!$C$6:$C$529,"학",'8'!$E$6:$E$529)</f>
        <v>0</v>
      </c>
      <c r="E229" s="36">
        <f>COUNTIF('8'!$N$6:$N$529,"학국")</f>
        <v>0</v>
      </c>
      <c r="F229" s="37" t="s">
        <v>11</v>
      </c>
      <c r="G229" s="38">
        <f>SUMIF('8'!$N$6:$N$529,"학국",'8'!$E$6:$E$529)</f>
        <v>0</v>
      </c>
      <c r="H229" s="36">
        <f>COUNTIF('8'!$N$6:$N$529,"학공")</f>
        <v>0</v>
      </c>
      <c r="I229" s="37" t="s">
        <v>11</v>
      </c>
      <c r="J229" s="38">
        <f>SUMIF('8'!$N$6:$N$529,"학공",'8'!$E$6:$E$529)</f>
        <v>0</v>
      </c>
      <c r="K229" s="36">
        <f t="shared" si="14"/>
        <v>0</v>
      </c>
      <c r="L229" s="37" t="s">
        <v>11</v>
      </c>
      <c r="M229" s="38">
        <f t="shared" si="15"/>
        <v>0</v>
      </c>
      <c r="N229" s="39"/>
      <c r="O229" s="23"/>
      <c r="P229" s="23"/>
      <c r="Q229" s="23"/>
      <c r="R229" s="23"/>
      <c r="S229" s="23"/>
      <c r="T229" s="23"/>
      <c r="U229" s="23"/>
      <c r="V229" s="23"/>
    </row>
    <row r="230" spans="1:22" s="24" customFormat="1" ht="23.1" customHeight="1">
      <c r="A230" s="104" t="s">
        <v>26</v>
      </c>
      <c r="B230" s="36">
        <f>COUNTIF('8'!$C$6:$C$529,"철")</f>
        <v>0</v>
      </c>
      <c r="C230" s="37" t="s">
        <v>11</v>
      </c>
      <c r="D230" s="38">
        <f>SUMIF('8'!$C$6:$C$529,"철",'8'!$E$6:$E$529)</f>
        <v>0</v>
      </c>
      <c r="E230" s="36">
        <f>COUNTIF('8'!$N$6:$N$529,"철국")</f>
        <v>0</v>
      </c>
      <c r="F230" s="37" t="s">
        <v>11</v>
      </c>
      <c r="G230" s="38">
        <f>SUMIF('8'!$N$6:$N$529,"철국",'8'!$E$6:$E$529)</f>
        <v>0</v>
      </c>
      <c r="H230" s="36">
        <f>COUNTIF('8'!$N$6:$N$529,"철공")</f>
        <v>0</v>
      </c>
      <c r="I230" s="37" t="s">
        <v>11</v>
      </c>
      <c r="J230" s="38">
        <f>SUMIF('8'!$N$6:$N$529,"철공",'8'!$E$6:$E$529)</f>
        <v>0</v>
      </c>
      <c r="K230" s="36">
        <f t="shared" si="14"/>
        <v>0</v>
      </c>
      <c r="L230" s="37" t="s">
        <v>11</v>
      </c>
      <c r="M230" s="38">
        <f t="shared" si="15"/>
        <v>0</v>
      </c>
      <c r="N230" s="39"/>
      <c r="O230" s="23"/>
      <c r="P230" s="23"/>
      <c r="Q230" s="23"/>
      <c r="R230" s="23"/>
      <c r="S230" s="23"/>
      <c r="T230" s="23"/>
      <c r="U230" s="23"/>
      <c r="V230" s="23"/>
    </row>
    <row r="231" spans="1:22" s="24" customFormat="1" ht="23.1" customHeight="1">
      <c r="A231" s="104" t="s">
        <v>27</v>
      </c>
      <c r="B231" s="36">
        <f>COUNTIF('8'!$C$6:$C$529,"묘")</f>
        <v>0</v>
      </c>
      <c r="C231" s="37" t="s">
        <v>11</v>
      </c>
      <c r="D231" s="38">
        <f>SUMIF('8'!$C$6:$C$529,"묘",'8'!$E$6:$E$529)</f>
        <v>0</v>
      </c>
      <c r="E231" s="36">
        <f>COUNTIF('8'!$N$6:$N$529,"묘국")</f>
        <v>0</v>
      </c>
      <c r="F231" s="37" t="s">
        <v>11</v>
      </c>
      <c r="G231" s="38">
        <f>SUMIF('8'!$N$6:$N$529,"묘국",'8'!$E$6:$E$529)</f>
        <v>0</v>
      </c>
      <c r="H231" s="36">
        <f>COUNTIF('8'!$N$6:$N$529,"묘공")</f>
        <v>0</v>
      </c>
      <c r="I231" s="37" t="s">
        <v>11</v>
      </c>
      <c r="J231" s="38">
        <f>SUMIF('8'!$N$6:$N$529,"묘공",'8'!$E$6:$E$529)</f>
        <v>0</v>
      </c>
      <c r="K231" s="36">
        <f t="shared" si="14"/>
        <v>0</v>
      </c>
      <c r="L231" s="37" t="s">
        <v>11</v>
      </c>
      <c r="M231" s="38">
        <f t="shared" si="15"/>
        <v>0</v>
      </c>
      <c r="N231" s="39"/>
      <c r="O231" s="23"/>
      <c r="P231" s="23"/>
      <c r="Q231" s="23"/>
      <c r="R231" s="23"/>
      <c r="S231" s="23"/>
      <c r="T231" s="23"/>
      <c r="U231" s="23"/>
      <c r="V231" s="23"/>
    </row>
    <row r="232" spans="1:22" s="24" customFormat="1" ht="23.1" customHeight="1">
      <c r="A232" s="104" t="s">
        <v>28</v>
      </c>
      <c r="B232" s="36">
        <f>COUNTIF('8'!$C$6:$C$529,"수")</f>
        <v>0</v>
      </c>
      <c r="C232" s="37" t="s">
        <v>11</v>
      </c>
      <c r="D232" s="38">
        <f>SUMIF('8'!$C$6:$C$529,"수",'8'!$E$6:$E$529)</f>
        <v>0</v>
      </c>
      <c r="E232" s="36">
        <f>COUNTIF('8'!$N$6:$N$529,"수국")</f>
        <v>0</v>
      </c>
      <c r="F232" s="37" t="s">
        <v>11</v>
      </c>
      <c r="G232" s="38">
        <f>SUMIF('8'!$N$6:$N$529,"수국",'8'!$E$6:$E$529)</f>
        <v>0</v>
      </c>
      <c r="H232" s="36">
        <f>COUNTIF('8'!$N$6:$N$529,"수공")</f>
        <v>0</v>
      </c>
      <c r="I232" s="37" t="s">
        <v>11</v>
      </c>
      <c r="J232" s="38">
        <f>SUMIF('8'!$N$6:$N$529,"수공",'8'!$E$6:$E$529)</f>
        <v>0</v>
      </c>
      <c r="K232" s="36">
        <f t="shared" si="14"/>
        <v>0</v>
      </c>
      <c r="L232" s="37" t="s">
        <v>11</v>
      </c>
      <c r="M232" s="38">
        <f t="shared" si="15"/>
        <v>0</v>
      </c>
      <c r="N232" s="39"/>
      <c r="O232" s="23"/>
      <c r="P232" s="23"/>
      <c r="Q232" s="23"/>
      <c r="R232" s="23"/>
      <c r="S232" s="23"/>
      <c r="T232" s="23"/>
      <c r="U232" s="23"/>
      <c r="V232" s="23"/>
    </row>
    <row r="233" spans="1:22" s="24" customFormat="1" ht="23.1" customHeight="1">
      <c r="A233" s="104" t="s">
        <v>29</v>
      </c>
      <c r="B233" s="36">
        <f>COUNTIF('8'!$C$6:$C$529,"잡")</f>
        <v>0</v>
      </c>
      <c r="C233" s="37" t="s">
        <v>11</v>
      </c>
      <c r="D233" s="38">
        <f>SUMIF('8'!$C$6:$C$529,"잡",'8'!$E$6:$E$529)</f>
        <v>0</v>
      </c>
      <c r="E233" s="36">
        <f>COUNTIF('8'!$N$6:$N$529,"잡국")</f>
        <v>0</v>
      </c>
      <c r="F233" s="37" t="s">
        <v>11</v>
      </c>
      <c r="G233" s="38">
        <f>SUMIF('8'!$N$6:$N$529,"잡국",'8'!$E$6:$E$529)</f>
        <v>0</v>
      </c>
      <c r="H233" s="36">
        <f>COUNTIF('8'!$N$6:$N$529,"잡공")</f>
        <v>0</v>
      </c>
      <c r="I233" s="37" t="s">
        <v>11</v>
      </c>
      <c r="J233" s="38">
        <f>SUMIF('8'!$N$6:$N$529,"잡공",'8'!$E$6:$E$529)</f>
        <v>0</v>
      </c>
      <c r="K233" s="36">
        <f t="shared" si="14"/>
        <v>0</v>
      </c>
      <c r="L233" s="37" t="s">
        <v>11</v>
      </c>
      <c r="M233" s="38">
        <f t="shared" si="15"/>
        <v>0</v>
      </c>
      <c r="N233" s="39"/>
      <c r="O233" s="23"/>
      <c r="P233" s="23"/>
      <c r="Q233" s="23"/>
      <c r="R233" s="23"/>
      <c r="S233" s="23"/>
      <c r="T233" s="23"/>
      <c r="U233" s="23"/>
      <c r="V233" s="23"/>
    </row>
    <row r="234" spans="1:22" s="24" customFormat="1" ht="23.1" customHeight="1">
      <c r="A234" s="105" t="s">
        <v>30</v>
      </c>
      <c r="B234" s="36">
        <f>COUNTIF('8'!$C$6:$C$529,"종")</f>
        <v>0</v>
      </c>
      <c r="C234" s="37" t="s">
        <v>11</v>
      </c>
      <c r="D234" s="38">
        <f>SUMIF('8'!$C$6:$C$529,"종",'8'!$E$6:$E$529)</f>
        <v>0</v>
      </c>
      <c r="E234" s="36">
        <f>COUNTIF('8'!$N$6:$N$529,"종국")</f>
        <v>0</v>
      </c>
      <c r="F234" s="37" t="s">
        <v>11</v>
      </c>
      <c r="G234" s="38">
        <f>SUMIF('8'!$N$6:$N$529,"종국",'8'!$E$6:$E$529)</f>
        <v>0</v>
      </c>
      <c r="H234" s="36">
        <f>COUNTIF('8'!$N$6:$N$529,"종공")</f>
        <v>0</v>
      </c>
      <c r="I234" s="37" t="s">
        <v>11</v>
      </c>
      <c r="J234" s="38">
        <f>SUMIF('8'!$N$6:$N$529,"종공",'8'!$E$6:$E$529)</f>
        <v>0</v>
      </c>
      <c r="K234" s="36">
        <f t="shared" si="14"/>
        <v>0</v>
      </c>
      <c r="L234" s="37" t="s">
        <v>11</v>
      </c>
      <c r="M234" s="38">
        <f t="shared" si="15"/>
        <v>0</v>
      </c>
      <c r="N234" s="39"/>
      <c r="O234" s="23"/>
      <c r="P234" s="23"/>
      <c r="Q234" s="23"/>
      <c r="R234" s="23"/>
      <c r="S234" s="23"/>
      <c r="T234" s="23"/>
      <c r="U234" s="23"/>
      <c r="V234" s="23"/>
    </row>
    <row r="235" spans="1:22" s="24" customFormat="1" ht="23.1" customHeight="1">
      <c r="A235" s="105" t="s">
        <v>31</v>
      </c>
      <c r="B235" s="36">
        <f>COUNTIF('8'!$C$6:$C$529,"염")</f>
        <v>0</v>
      </c>
      <c r="C235" s="37" t="s">
        <v>11</v>
      </c>
      <c r="D235" s="38">
        <f>SUMIF('8'!$C$6:$C$529,"염",'8'!$E$6:$E$529)</f>
        <v>0</v>
      </c>
      <c r="E235" s="36">
        <f>COUNTIF('8'!$N$6:$N$529,"염국")</f>
        <v>0</v>
      </c>
      <c r="F235" s="37" t="s">
        <v>11</v>
      </c>
      <c r="G235" s="38">
        <f>SUMIF('8'!$N$6:$N$529,"염국",'8'!$E$6:$E$529)</f>
        <v>0</v>
      </c>
      <c r="H235" s="36">
        <f>COUNTIF('8'!$N$6:$N$529,"염공")</f>
        <v>0</v>
      </c>
      <c r="I235" s="37" t="s">
        <v>11</v>
      </c>
      <c r="J235" s="38">
        <f>SUMIF('8'!$N$6:$N$529,"염공",'8'!$E$6:$E$529)</f>
        <v>0</v>
      </c>
      <c r="K235" s="36">
        <f t="shared" si="14"/>
        <v>0</v>
      </c>
      <c r="L235" s="37" t="s">
        <v>11</v>
      </c>
      <c r="M235" s="38">
        <f t="shared" si="15"/>
        <v>0</v>
      </c>
      <c r="N235" s="39"/>
      <c r="O235" s="23"/>
      <c r="P235" s="23"/>
      <c r="Q235" s="23"/>
      <c r="R235" s="23"/>
      <c r="S235" s="23"/>
      <c r="T235" s="23"/>
      <c r="U235" s="23"/>
      <c r="V235" s="23"/>
    </row>
    <row r="236" spans="1:22" s="24" customFormat="1" ht="23.1" customHeight="1">
      <c r="A236" s="105" t="s">
        <v>32</v>
      </c>
      <c r="B236" s="36">
        <f>COUNTIF('8'!$C$6:$C$529,"공")</f>
        <v>0</v>
      </c>
      <c r="C236" s="37" t="s">
        <v>11</v>
      </c>
      <c r="D236" s="38">
        <f>SUMIF('8'!$C$6:$C$529,"공",'8'!$E$6:$E$529)</f>
        <v>0</v>
      </c>
      <c r="E236" s="36">
        <f>COUNTIF('8'!$N$6:$N$529,"공국")</f>
        <v>0</v>
      </c>
      <c r="F236" s="37" t="s">
        <v>11</v>
      </c>
      <c r="G236" s="38">
        <f>SUMIF('8'!$N$6:$N$529,"공국",'8'!$E$6:$E$529)</f>
        <v>0</v>
      </c>
      <c r="H236" s="36">
        <f>COUNTIF('8'!$N$6:$N$529,"공공")</f>
        <v>0</v>
      </c>
      <c r="I236" s="37" t="s">
        <v>11</v>
      </c>
      <c r="J236" s="38">
        <f>SUMIF('8'!$N$6:$N$529,"공공",'8'!$E$6:$E$529)</f>
        <v>0</v>
      </c>
      <c r="K236" s="36">
        <f t="shared" si="14"/>
        <v>0</v>
      </c>
      <c r="L236" s="37" t="s">
        <v>11</v>
      </c>
      <c r="M236" s="38">
        <f t="shared" si="15"/>
        <v>0</v>
      </c>
      <c r="N236" s="39"/>
      <c r="O236" s="23"/>
      <c r="P236" s="23"/>
      <c r="Q236" s="23"/>
      <c r="R236" s="23"/>
      <c r="S236" s="23"/>
      <c r="T236" s="23"/>
      <c r="U236" s="23"/>
      <c r="V236" s="23"/>
    </row>
    <row r="237" spans="1:22" s="24" customFormat="1" ht="23.1" customHeight="1">
      <c r="A237" s="105" t="s">
        <v>33</v>
      </c>
      <c r="B237" s="36">
        <f>COUNTIF('8'!$C$6:$C$529,"체")</f>
        <v>0</v>
      </c>
      <c r="C237" s="37" t="s">
        <v>11</v>
      </c>
      <c r="D237" s="38">
        <f>SUMIF('8'!$C$6:$C$529,"체",'8'!$E$6:$E$529)</f>
        <v>0</v>
      </c>
      <c r="E237" s="36">
        <f>COUNTIF('8'!$N$6:$N$529,"체국")</f>
        <v>0</v>
      </c>
      <c r="F237" s="37" t="s">
        <v>11</v>
      </c>
      <c r="G237" s="38">
        <f>SUMIF('8'!$N$6:$N$529,"체국",'8'!$E$6:$E$529)</f>
        <v>0</v>
      </c>
      <c r="H237" s="36">
        <f>COUNTIF('8'!$N$6:$N$529,"체공")</f>
        <v>0</v>
      </c>
      <c r="I237" s="37" t="s">
        <v>11</v>
      </c>
      <c r="J237" s="38">
        <f>SUMIF('8'!$N$6:$N$529,"체공",'8'!$E$6:$E$529)</f>
        <v>0</v>
      </c>
      <c r="K237" s="36">
        <f t="shared" si="14"/>
        <v>0</v>
      </c>
      <c r="L237" s="37" t="s">
        <v>11</v>
      </c>
      <c r="M237" s="38">
        <f t="shared" si="15"/>
        <v>0</v>
      </c>
      <c r="N237" s="39"/>
      <c r="O237" s="23"/>
      <c r="P237" s="23"/>
      <c r="Q237" s="23"/>
      <c r="R237" s="23"/>
      <c r="S237" s="23"/>
      <c r="T237" s="23"/>
      <c r="U237" s="23"/>
      <c r="V237" s="23"/>
    </row>
    <row r="238" spans="1:22" s="24" customFormat="1" ht="23.1" customHeight="1">
      <c r="A238" s="105" t="s">
        <v>34</v>
      </c>
      <c r="B238" s="36">
        <f>COUNTIF('8'!$C$6:$C$529,"원")</f>
        <v>0</v>
      </c>
      <c r="C238" s="37" t="s">
        <v>11</v>
      </c>
      <c r="D238" s="38">
        <f>SUMIF('8'!$C$6:$C$529,"원",'8'!$E$6:$E$529)</f>
        <v>0</v>
      </c>
      <c r="E238" s="36">
        <f>COUNTIF('8'!$N$6:$N$529,"원국")</f>
        <v>0</v>
      </c>
      <c r="F238" s="37" t="s">
        <v>11</v>
      </c>
      <c r="G238" s="38">
        <f>SUMIF('8'!$N$6:$N$529,"원국",'8'!$E$6:$E$529)</f>
        <v>0</v>
      </c>
      <c r="H238" s="36">
        <f>COUNTIF('8'!$N$6:$N$529,"원공")</f>
        <v>0</v>
      </c>
      <c r="I238" s="37" t="s">
        <v>11</v>
      </c>
      <c r="J238" s="38">
        <f>SUMIF('8'!$N$6:$N$529,"원공",'8'!$E$6:$E$529)</f>
        <v>0</v>
      </c>
      <c r="K238" s="36">
        <f t="shared" si="14"/>
        <v>0</v>
      </c>
      <c r="L238" s="37" t="s">
        <v>11</v>
      </c>
      <c r="M238" s="38">
        <f t="shared" si="15"/>
        <v>0</v>
      </c>
      <c r="N238" s="39"/>
      <c r="O238" s="23"/>
      <c r="P238" s="23"/>
      <c r="Q238" s="23"/>
      <c r="R238" s="23"/>
      <c r="S238" s="23"/>
      <c r="T238" s="23"/>
      <c r="U238" s="23"/>
      <c r="V238" s="23"/>
    </row>
    <row r="239" spans="1:22" s="24" customFormat="1" ht="23.1" customHeight="1">
      <c r="A239" s="105" t="s">
        <v>66</v>
      </c>
      <c r="B239" s="36">
        <f>COUNTIF('8'!$C$6:$C$529,"차")</f>
        <v>0</v>
      </c>
      <c r="C239" s="37" t="s">
        <v>11</v>
      </c>
      <c r="D239" s="38">
        <f>SUMIF('8'!$C$6:$C$529,"차",'8'!$E$6:$E$529)</f>
        <v>0</v>
      </c>
      <c r="E239" s="36">
        <f>COUNTIF('8'!$N$6:$N$529,"차국")</f>
        <v>0</v>
      </c>
      <c r="F239" s="37" t="s">
        <v>11</v>
      </c>
      <c r="G239" s="38">
        <f>SUMIF('8'!$N$6:$N$529,"차국",'8'!$E$6:$E$529)</f>
        <v>0</v>
      </c>
      <c r="H239" s="36">
        <f>COUNTIF('8'!$N$6:$N$529,"차공")</f>
        <v>0</v>
      </c>
      <c r="I239" s="37" t="s">
        <v>11</v>
      </c>
      <c r="J239" s="38">
        <f>SUMIF('8'!$N$6:$N$529,"차공",'8'!$E$6:$E$529)</f>
        <v>0</v>
      </c>
      <c r="K239" s="36">
        <f t="shared" si="14"/>
        <v>0</v>
      </c>
      <c r="L239" s="37" t="s">
        <v>11</v>
      </c>
      <c r="M239" s="38">
        <f t="shared" si="15"/>
        <v>0</v>
      </c>
      <c r="N239" s="39"/>
      <c r="O239" s="23"/>
      <c r="P239" s="23"/>
      <c r="Q239" s="23"/>
      <c r="R239" s="23"/>
      <c r="S239" s="23"/>
      <c r="T239" s="23"/>
      <c r="U239" s="23"/>
      <c r="V239" s="23"/>
    </row>
    <row r="240" spans="1:22" s="24" customFormat="1" ht="23.1" customHeight="1">
      <c r="A240" s="105" t="s">
        <v>67</v>
      </c>
      <c r="B240" s="36">
        <f>COUNTIF('8'!$C$6:$C$529,"주")</f>
        <v>0</v>
      </c>
      <c r="C240" s="37" t="s">
        <v>11</v>
      </c>
      <c r="D240" s="38">
        <f>SUMIF('8'!$C$6:$C$529,"주",'8'!$E$6:$E$529)</f>
        <v>0</v>
      </c>
      <c r="E240" s="36">
        <f>COUNTIF('8'!$N$6:$N$529,"주국")</f>
        <v>0</v>
      </c>
      <c r="F240" s="37" t="s">
        <v>11</v>
      </c>
      <c r="G240" s="38">
        <f>SUMIF('8'!$N$6:$N$529,"주국",'8'!$E$6:$E$529)</f>
        <v>0</v>
      </c>
      <c r="H240" s="36">
        <f>COUNTIF('8'!$N$6:$N$529,"주공")</f>
        <v>0</v>
      </c>
      <c r="I240" s="37" t="s">
        <v>11</v>
      </c>
      <c r="J240" s="38">
        <f>SUMIF('8'!$N$6:$N$529,"주공",'8'!$E$6:$E$529)</f>
        <v>0</v>
      </c>
      <c r="K240" s="36">
        <f t="shared" si="14"/>
        <v>0</v>
      </c>
      <c r="L240" s="37" t="s">
        <v>11</v>
      </c>
      <c r="M240" s="38">
        <f t="shared" si="15"/>
        <v>0</v>
      </c>
      <c r="N240" s="39"/>
      <c r="O240" s="23"/>
      <c r="P240" s="23"/>
      <c r="Q240" s="23"/>
      <c r="R240" s="23"/>
      <c r="S240" s="23"/>
      <c r="T240" s="23"/>
      <c r="U240" s="23"/>
      <c r="V240" s="23"/>
    </row>
    <row r="241" spans="1:22" s="24" customFormat="1" ht="23.1" customHeight="1">
      <c r="A241" s="106" t="s">
        <v>68</v>
      </c>
      <c r="B241" s="40">
        <f>COUNTIF('8'!$C$6:$C$529," ")</f>
        <v>0</v>
      </c>
      <c r="C241" s="41" t="s">
        <v>11</v>
      </c>
      <c r="D241" s="42">
        <f>SUMIF('8'!$C$6:$C$529," ",'8'!$E$6:$E$529)</f>
        <v>0</v>
      </c>
      <c r="E241" s="40">
        <f>COUNTIF('8'!$N$6:$N$529," 국")</f>
        <v>0</v>
      </c>
      <c r="F241" s="41" t="s">
        <v>11</v>
      </c>
      <c r="G241" s="42">
        <f>SUMIF('8'!$N$6:$N$529," 국",'8'!$E$6:$E$529)</f>
        <v>0</v>
      </c>
      <c r="H241" s="40">
        <f>COUNTIF('8'!$N$6:$N$529," 공")</f>
        <v>0</v>
      </c>
      <c r="I241" s="41" t="s">
        <v>11</v>
      </c>
      <c r="J241" s="42">
        <f>SUMIF('8'!$N$6:$N$529," 공",'8'!$E$6:$E$529)</f>
        <v>0</v>
      </c>
      <c r="K241" s="40">
        <f t="shared" si="14"/>
        <v>0</v>
      </c>
      <c r="L241" s="41" t="s">
        <v>11</v>
      </c>
      <c r="M241" s="42">
        <f t="shared" si="15"/>
        <v>0</v>
      </c>
      <c r="N241" s="43"/>
      <c r="O241" s="23"/>
      <c r="P241" s="23"/>
      <c r="Q241" s="23"/>
      <c r="R241" s="23"/>
      <c r="S241" s="23"/>
      <c r="T241" s="23"/>
      <c r="U241" s="23"/>
      <c r="V241" s="23"/>
    </row>
    <row r="242" spans="1:22" s="17" customFormat="1" ht="20.100000000000001" customHeight="1">
      <c r="A242" s="11">
        <f>IF(EXACT(O246,O247),,"검산확인요!!!")</f>
        <v>0</v>
      </c>
      <c r="B242" s="12"/>
      <c r="C242" s="12"/>
      <c r="D242" s="12"/>
      <c r="E242" s="12"/>
      <c r="F242" s="12"/>
      <c r="G242" s="12"/>
      <c r="H242" s="12"/>
      <c r="I242" s="12"/>
      <c r="J242" s="12"/>
      <c r="K242" s="13">
        <f>IF(ISBLANK('9'!K2),,'9'!K2)</f>
        <v>3</v>
      </c>
      <c r="L242" s="14"/>
      <c r="M242" s="15"/>
      <c r="N242" s="16"/>
    </row>
    <row r="243" spans="1:22" s="17" customFormat="1" ht="9.9499999999999993" customHeight="1">
      <c r="A243" s="11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</row>
    <row r="244" spans="1:22" s="24" customFormat="1" ht="27.95" customHeight="1">
      <c r="A244" s="18" t="s">
        <v>9</v>
      </c>
      <c r="B244" s="19" t="s">
        <v>8</v>
      </c>
      <c r="C244" s="20"/>
      <c r="D244" s="21"/>
      <c r="E244" s="19" t="s">
        <v>35</v>
      </c>
      <c r="F244" s="20"/>
      <c r="G244" s="21"/>
      <c r="H244" s="19" t="s">
        <v>44</v>
      </c>
      <c r="I244" s="20"/>
      <c r="J244" s="21"/>
      <c r="K244" s="19" t="s">
        <v>36</v>
      </c>
      <c r="L244" s="20"/>
      <c r="M244" s="21"/>
      <c r="N244" s="22" t="s">
        <v>37</v>
      </c>
      <c r="O244" s="23"/>
      <c r="S244" s="23"/>
      <c r="T244" s="23"/>
      <c r="U244" s="23"/>
      <c r="V244" s="23"/>
    </row>
    <row r="245" spans="1:22" s="24" customFormat="1" ht="27.95" customHeight="1">
      <c r="A245" s="25"/>
      <c r="B245" s="26" t="s">
        <v>10</v>
      </c>
      <c r="C245" s="27" t="s">
        <v>11</v>
      </c>
      <c r="D245" s="28" t="s">
        <v>38</v>
      </c>
      <c r="E245" s="26" t="s">
        <v>10</v>
      </c>
      <c r="F245" s="27" t="s">
        <v>11</v>
      </c>
      <c r="G245" s="28" t="s">
        <v>38</v>
      </c>
      <c r="H245" s="26" t="s">
        <v>10</v>
      </c>
      <c r="I245" s="27" t="s">
        <v>11</v>
      </c>
      <c r="J245" s="28" t="s">
        <v>38</v>
      </c>
      <c r="K245" s="26" t="s">
        <v>10</v>
      </c>
      <c r="L245" s="27" t="s">
        <v>11</v>
      </c>
      <c r="M245" s="28" t="s">
        <v>38</v>
      </c>
      <c r="N245" s="29"/>
      <c r="P245" s="23"/>
      <c r="Q245" s="30" t="s">
        <v>39</v>
      </c>
      <c r="R245" s="30" t="s">
        <v>40</v>
      </c>
      <c r="S245" s="30" t="s">
        <v>41</v>
      </c>
      <c r="T245" s="30" t="s">
        <v>42</v>
      </c>
      <c r="U245" s="23"/>
      <c r="V245" s="23"/>
    </row>
    <row r="246" spans="1:22" s="24" customFormat="1" ht="23.1" customHeight="1">
      <c r="A246" s="103" t="s">
        <v>8</v>
      </c>
      <c r="B246" s="31">
        <f>SUM(B247:B271)</f>
        <v>0</v>
      </c>
      <c r="C246" s="32" t="s">
        <v>11</v>
      </c>
      <c r="D246" s="33">
        <f>SUM(D247:D271)</f>
        <v>0</v>
      </c>
      <c r="E246" s="31">
        <f>SUM(E247:E271)</f>
        <v>0</v>
      </c>
      <c r="F246" s="32" t="s">
        <v>11</v>
      </c>
      <c r="G246" s="33">
        <f>SUM(G247:G271)</f>
        <v>0</v>
      </c>
      <c r="H246" s="31">
        <f>SUM(H247:H271)</f>
        <v>0</v>
      </c>
      <c r="I246" s="32" t="s">
        <v>11</v>
      </c>
      <c r="J246" s="33">
        <f>SUM(J247:J271)</f>
        <v>0</v>
      </c>
      <c r="K246" s="31">
        <f>SUM(K247:K271)</f>
        <v>0</v>
      </c>
      <c r="L246" s="32" t="s">
        <v>11</v>
      </c>
      <c r="M246" s="33">
        <f>SUM(M247:M271)</f>
        <v>0</v>
      </c>
      <c r="N246" s="34"/>
      <c r="O246" s="23" t="str">
        <f>IF(EXACT(Q246,T246),"맞음","틀림")</f>
        <v>맞음</v>
      </c>
      <c r="P246" s="23" t="s">
        <v>10</v>
      </c>
      <c r="Q246" s="35">
        <f>SUM(B247:B271)</f>
        <v>0</v>
      </c>
      <c r="R246" s="35">
        <f>SUM(E247:E271)</f>
        <v>0</v>
      </c>
      <c r="S246" s="35">
        <f>SUM(K247:K271)</f>
        <v>0</v>
      </c>
      <c r="T246" s="35">
        <f>K246+E246</f>
        <v>0</v>
      </c>
      <c r="U246" s="23"/>
      <c r="V246" s="23"/>
    </row>
    <row r="247" spans="1:22" s="24" customFormat="1" ht="23.1" customHeight="1">
      <c r="A247" s="104" t="s">
        <v>13</v>
      </c>
      <c r="B247" s="36">
        <f>COUNTIF('9'!$C$6:$C$529,"전")</f>
        <v>0</v>
      </c>
      <c r="C247" s="37" t="s">
        <v>11</v>
      </c>
      <c r="D247" s="38">
        <f>SUMIF('9'!$C$6:$C$529,"전",'9'!$E$6:$E$529)</f>
        <v>0</v>
      </c>
      <c r="E247" s="36">
        <f>COUNTIF('9'!$N$6:$N$529,"전국")</f>
        <v>0</v>
      </c>
      <c r="F247" s="37" t="s">
        <v>11</v>
      </c>
      <c r="G247" s="38">
        <f>SUMIF('9'!$N$6:$N$529,"전국",'9'!$E$6:$E$529)</f>
        <v>0</v>
      </c>
      <c r="H247" s="36">
        <f>COUNTIF('9'!$N$6:$N$529,"전공")</f>
        <v>0</v>
      </c>
      <c r="I247" s="37" t="s">
        <v>11</v>
      </c>
      <c r="J247" s="38">
        <f>SUMIF('9'!$N$6:$N$529,"전공",'9'!$E$6:$E$529)</f>
        <v>0</v>
      </c>
      <c r="K247" s="36">
        <f t="shared" ref="K247:K271" si="16">SUM(B247-E247-H247)</f>
        <v>0</v>
      </c>
      <c r="L247" s="37" t="s">
        <v>11</v>
      </c>
      <c r="M247" s="38">
        <f t="shared" ref="M247:M271" si="17">SUM(D247-G247-J247)</f>
        <v>0</v>
      </c>
      <c r="N247" s="39"/>
      <c r="O247" s="23" t="str">
        <f>IF(EXACT(Q247,T247),"맞음","틀림")</f>
        <v>맞음</v>
      </c>
      <c r="P247" s="23" t="s">
        <v>43</v>
      </c>
      <c r="Q247" s="35">
        <f>SUM(D247:D271)</f>
        <v>0</v>
      </c>
      <c r="R247" s="35">
        <f>SUM(G247:G271)</f>
        <v>0</v>
      </c>
      <c r="S247" s="35">
        <f>SUM(M247:M271)</f>
        <v>0</v>
      </c>
      <c r="T247" s="35">
        <f>G246+M246</f>
        <v>0</v>
      </c>
      <c r="U247" s="23"/>
      <c r="V247" s="23"/>
    </row>
    <row r="248" spans="1:22" s="24" customFormat="1" ht="23.1" customHeight="1">
      <c r="A248" s="104" t="s">
        <v>14</v>
      </c>
      <c r="B248" s="36">
        <f>COUNTIF('9'!$C$6:$C$529,"답")</f>
        <v>0</v>
      </c>
      <c r="C248" s="37" t="s">
        <v>11</v>
      </c>
      <c r="D248" s="38">
        <f>SUMIF('9'!$C$6:$C$529,"답",'9'!$E$6:$E$529)</f>
        <v>0</v>
      </c>
      <c r="E248" s="36">
        <f>COUNTIF('9'!$N$6:$N$529,"답국")</f>
        <v>0</v>
      </c>
      <c r="F248" s="37" t="s">
        <v>11</v>
      </c>
      <c r="G248" s="38">
        <f>SUMIF('9'!$N$6:$N$529,"답국",'9'!$E$6:$E$529)</f>
        <v>0</v>
      </c>
      <c r="H248" s="36">
        <f>COUNTIF('9'!$N$6:$N$529,"답공")</f>
        <v>0</v>
      </c>
      <c r="I248" s="37" t="s">
        <v>11</v>
      </c>
      <c r="J248" s="38">
        <f>SUMIF('9'!$N$6:$N$529,"답공",'9'!$E$6:$E$529)</f>
        <v>0</v>
      </c>
      <c r="K248" s="36">
        <f t="shared" si="16"/>
        <v>0</v>
      </c>
      <c r="L248" s="37" t="s">
        <v>11</v>
      </c>
      <c r="M248" s="38">
        <f t="shared" si="17"/>
        <v>0</v>
      </c>
      <c r="N248" s="39"/>
      <c r="Q248" s="23"/>
      <c r="S248" s="23"/>
      <c r="U248" s="23"/>
      <c r="V248" s="23"/>
    </row>
    <row r="249" spans="1:22" s="24" customFormat="1" ht="23.1" customHeight="1">
      <c r="A249" s="104" t="s">
        <v>15</v>
      </c>
      <c r="B249" s="36">
        <f>COUNTIF('9'!$C$6:$C$529,"임")</f>
        <v>0</v>
      </c>
      <c r="C249" s="37" t="s">
        <v>11</v>
      </c>
      <c r="D249" s="38">
        <f>SUMIF('9'!$C$6:$C$529,"임",'9'!$E$6:$E$529)</f>
        <v>0</v>
      </c>
      <c r="E249" s="36">
        <f>COUNTIF('9'!$N$6:$N$529,"임국")</f>
        <v>0</v>
      </c>
      <c r="F249" s="37" t="s">
        <v>11</v>
      </c>
      <c r="G249" s="38">
        <f>SUMIF('9'!$N$6:$N$529,"임국",'9'!$E$6:$E$529)</f>
        <v>0</v>
      </c>
      <c r="H249" s="36">
        <f>COUNTIF('9'!$N$6:$N$529,"임공")</f>
        <v>0</v>
      </c>
      <c r="I249" s="37" t="s">
        <v>11</v>
      </c>
      <c r="J249" s="38">
        <f>SUMIF('9'!$N$6:$N$529,"임공",'9'!$E$6:$E$529)</f>
        <v>0</v>
      </c>
      <c r="K249" s="36">
        <f t="shared" si="16"/>
        <v>0</v>
      </c>
      <c r="L249" s="37" t="s">
        <v>11</v>
      </c>
      <c r="M249" s="38">
        <f t="shared" si="17"/>
        <v>0</v>
      </c>
      <c r="N249" s="39"/>
      <c r="Q249" s="23"/>
      <c r="S249" s="23"/>
      <c r="U249" s="23"/>
      <c r="V249" s="23"/>
    </row>
    <row r="250" spans="1:22" s="24" customFormat="1" ht="23.1" customHeight="1">
      <c r="A250" s="104" t="s">
        <v>16</v>
      </c>
      <c r="B250" s="36">
        <f>COUNTIF('9'!$C$6:$C$529,"대")</f>
        <v>0</v>
      </c>
      <c r="C250" s="37" t="s">
        <v>11</v>
      </c>
      <c r="D250" s="38">
        <f>SUMIF('9'!$C$6:$C$529,"대",'9'!$E$6:$E$529)</f>
        <v>0</v>
      </c>
      <c r="E250" s="36">
        <f>COUNTIF('9'!$N$6:$N$529,"대국")</f>
        <v>0</v>
      </c>
      <c r="F250" s="37" t="s">
        <v>11</v>
      </c>
      <c r="G250" s="38">
        <f>SUMIF('9'!$N$6:$N$529,"대국",'9'!$E$6:$E$529)</f>
        <v>0</v>
      </c>
      <c r="H250" s="36">
        <f>COUNTIF('9'!$N$6:$N$529,"대공")</f>
        <v>0</v>
      </c>
      <c r="I250" s="37" t="s">
        <v>11</v>
      </c>
      <c r="J250" s="38">
        <f>SUMIF('9'!$N$6:$N$529,"대공",'9'!$E$6:$E$529)</f>
        <v>0</v>
      </c>
      <c r="K250" s="36">
        <f t="shared" si="16"/>
        <v>0</v>
      </c>
      <c r="L250" s="37" t="s">
        <v>11</v>
      </c>
      <c r="M250" s="38">
        <f t="shared" si="17"/>
        <v>0</v>
      </c>
      <c r="N250" s="39"/>
      <c r="O250" s="23"/>
      <c r="P250" s="23"/>
      <c r="Q250" s="23"/>
      <c r="R250" s="23"/>
      <c r="S250" s="23"/>
      <c r="T250" s="23"/>
      <c r="U250" s="23"/>
      <c r="V250" s="23"/>
    </row>
    <row r="251" spans="1:22" s="24" customFormat="1" ht="23.1" customHeight="1">
      <c r="A251" s="104" t="s">
        <v>17</v>
      </c>
      <c r="B251" s="36">
        <f>COUNTIF('9'!$C$6:$C$529,"도")</f>
        <v>0</v>
      </c>
      <c r="C251" s="37" t="s">
        <v>11</v>
      </c>
      <c r="D251" s="38">
        <f>SUMIF('9'!$C$6:$C$529,"도",'9'!$E$6:$E$529)</f>
        <v>0</v>
      </c>
      <c r="E251" s="36">
        <f>COUNTIF('9'!$N$6:$N$529,"도국")</f>
        <v>0</v>
      </c>
      <c r="F251" s="37" t="s">
        <v>11</v>
      </c>
      <c r="G251" s="38">
        <f>SUMIF('9'!$N$6:$N$529,"도국",'9'!$E$6:$E$529)</f>
        <v>0</v>
      </c>
      <c r="H251" s="36">
        <f>COUNTIF('9'!$N$6:$N$529,"도공")</f>
        <v>0</v>
      </c>
      <c r="I251" s="37" t="s">
        <v>11</v>
      </c>
      <c r="J251" s="38">
        <f>SUMIF('9'!$N$6:$N$529,"도공",'9'!$E$6:$E$529)</f>
        <v>0</v>
      </c>
      <c r="K251" s="36">
        <f t="shared" si="16"/>
        <v>0</v>
      </c>
      <c r="L251" s="37" t="s">
        <v>11</v>
      </c>
      <c r="M251" s="38">
        <f t="shared" si="17"/>
        <v>0</v>
      </c>
      <c r="N251" s="39"/>
      <c r="O251" s="23"/>
      <c r="P251" s="23"/>
      <c r="Q251" s="23"/>
      <c r="R251" s="23"/>
      <c r="S251" s="23"/>
      <c r="T251" s="23"/>
      <c r="U251" s="23"/>
      <c r="V251" s="23"/>
    </row>
    <row r="252" spans="1:22" s="24" customFormat="1" ht="23.1" customHeight="1">
      <c r="A252" s="104" t="s">
        <v>18</v>
      </c>
      <c r="B252" s="36">
        <f>COUNTIF('9'!$C$6:$C$529,"구")</f>
        <v>0</v>
      </c>
      <c r="C252" s="37" t="s">
        <v>11</v>
      </c>
      <c r="D252" s="38">
        <f>SUMIF('9'!$C$6:$C$529,"구",'9'!$E$6:$E$529)</f>
        <v>0</v>
      </c>
      <c r="E252" s="36">
        <f>COUNTIF('9'!$N$6:$N$529,"구국")</f>
        <v>0</v>
      </c>
      <c r="F252" s="37" t="s">
        <v>11</v>
      </c>
      <c r="G252" s="38">
        <f>SUMIF('9'!$N$6:$N$529,"구국",'9'!$E$6:$E$529)</f>
        <v>0</v>
      </c>
      <c r="H252" s="36">
        <f>COUNTIF('9'!$N$6:$N$529,"구공")</f>
        <v>0</v>
      </c>
      <c r="I252" s="37" t="s">
        <v>11</v>
      </c>
      <c r="J252" s="38">
        <f>SUMIF('9'!$N$6:$N$529,"구공",'9'!$E$6:$E$529)</f>
        <v>0</v>
      </c>
      <c r="K252" s="36">
        <f t="shared" si="16"/>
        <v>0</v>
      </c>
      <c r="L252" s="37" t="s">
        <v>11</v>
      </c>
      <c r="M252" s="38">
        <f t="shared" si="17"/>
        <v>0</v>
      </c>
      <c r="N252" s="39"/>
      <c r="O252" s="23"/>
      <c r="P252" s="23"/>
      <c r="Q252" s="23"/>
      <c r="R252" s="23"/>
      <c r="S252" s="23"/>
      <c r="T252" s="23"/>
      <c r="U252" s="23"/>
      <c r="V252" s="23"/>
    </row>
    <row r="253" spans="1:22" s="24" customFormat="1" ht="23.1" customHeight="1">
      <c r="A253" s="104" t="s">
        <v>19</v>
      </c>
      <c r="B253" s="36">
        <f>COUNTIF('9'!$C$6:$C$529,"천")</f>
        <v>0</v>
      </c>
      <c r="C253" s="37" t="s">
        <v>11</v>
      </c>
      <c r="D253" s="38">
        <f>SUMIF('9'!$C$6:$C$529,"천",'9'!$E$6:$E$529)</f>
        <v>0</v>
      </c>
      <c r="E253" s="36">
        <f>COUNTIF('9'!$N$6:$N$529,"천국")</f>
        <v>0</v>
      </c>
      <c r="F253" s="37" t="s">
        <v>11</v>
      </c>
      <c r="G253" s="38">
        <f>SUMIF('9'!$N$6:$N$529,"천국",'9'!$E$6:$E$529)</f>
        <v>0</v>
      </c>
      <c r="H253" s="36">
        <f>COUNTIF('9'!$N$6:$N$529,"천공")</f>
        <v>0</v>
      </c>
      <c r="I253" s="37" t="s">
        <v>11</v>
      </c>
      <c r="J253" s="38">
        <f>SUMIF('9'!$N$6:$N$529,"천공",'9'!$E$6:$E$529)</f>
        <v>0</v>
      </c>
      <c r="K253" s="36">
        <f t="shared" si="16"/>
        <v>0</v>
      </c>
      <c r="L253" s="37" t="s">
        <v>11</v>
      </c>
      <c r="M253" s="38">
        <f t="shared" si="17"/>
        <v>0</v>
      </c>
      <c r="N253" s="39"/>
      <c r="O253" s="23"/>
      <c r="P253" s="23"/>
      <c r="Q253" s="23"/>
      <c r="R253" s="23"/>
      <c r="S253" s="23"/>
      <c r="T253" s="23"/>
      <c r="U253" s="23"/>
      <c r="V253" s="23"/>
    </row>
    <row r="254" spans="1:22" s="24" customFormat="1" ht="23.1" customHeight="1">
      <c r="A254" s="104" t="s">
        <v>20</v>
      </c>
      <c r="B254" s="36">
        <f>COUNTIF('9'!$C$6:$C$529,"유")</f>
        <v>0</v>
      </c>
      <c r="C254" s="37" t="s">
        <v>11</v>
      </c>
      <c r="D254" s="38">
        <f>SUMIF('9'!$C$6:$C$529,"유",'9'!$E$6:$E$529)</f>
        <v>0</v>
      </c>
      <c r="E254" s="36">
        <f>COUNTIF('9'!$N$6:$N$529,"유국")</f>
        <v>0</v>
      </c>
      <c r="F254" s="37" t="s">
        <v>11</v>
      </c>
      <c r="G254" s="38">
        <f>SUMIF('9'!$N$6:$N$529,"유국",'9'!$E$6:$E$529)</f>
        <v>0</v>
      </c>
      <c r="H254" s="36">
        <f>COUNTIF('9'!$N$6:$N$529,"유공")</f>
        <v>0</v>
      </c>
      <c r="I254" s="37" t="s">
        <v>11</v>
      </c>
      <c r="J254" s="38">
        <f>SUMIF('9'!$N$6:$N$529,"유공",'9'!$E$6:$E$529)</f>
        <v>0</v>
      </c>
      <c r="K254" s="36">
        <f t="shared" si="16"/>
        <v>0</v>
      </c>
      <c r="L254" s="37" t="s">
        <v>11</v>
      </c>
      <c r="M254" s="38">
        <f t="shared" si="17"/>
        <v>0</v>
      </c>
      <c r="N254" s="39"/>
      <c r="O254" s="23"/>
      <c r="P254" s="23"/>
      <c r="Q254" s="23"/>
      <c r="R254" s="23"/>
      <c r="S254" s="23"/>
      <c r="T254" s="23"/>
      <c r="U254" s="23"/>
      <c r="V254" s="23"/>
    </row>
    <row r="255" spans="1:22" s="24" customFormat="1" ht="23.1" customHeight="1">
      <c r="A255" s="104" t="s">
        <v>21</v>
      </c>
      <c r="B255" s="36">
        <f>COUNTIF('9'!$C$6:$C$529,"제")</f>
        <v>0</v>
      </c>
      <c r="C255" s="37" t="s">
        <v>11</v>
      </c>
      <c r="D255" s="38">
        <f>SUMIF('9'!$C$6:$C$529,"제",'9'!$E$6:$E$529)</f>
        <v>0</v>
      </c>
      <c r="E255" s="36">
        <f>COUNTIF('9'!$N$6:$N$529,"제국")</f>
        <v>0</v>
      </c>
      <c r="F255" s="37" t="s">
        <v>11</v>
      </c>
      <c r="G255" s="38">
        <f>SUMIF('9'!$N$6:$N$529,"제국",'9'!$E$6:$E$529)</f>
        <v>0</v>
      </c>
      <c r="H255" s="36">
        <f>COUNTIF('9'!$N$6:$N$529,"제공")</f>
        <v>0</v>
      </c>
      <c r="I255" s="37" t="s">
        <v>11</v>
      </c>
      <c r="J255" s="38">
        <f>SUMIF('9'!$N$6:$N$529,"제공",'9'!$E$6:$E$529)</f>
        <v>0</v>
      </c>
      <c r="K255" s="36">
        <f t="shared" si="16"/>
        <v>0</v>
      </c>
      <c r="L255" s="37" t="s">
        <v>11</v>
      </c>
      <c r="M255" s="38">
        <f t="shared" si="17"/>
        <v>0</v>
      </c>
      <c r="N255" s="39"/>
      <c r="O255" s="23"/>
      <c r="P255" s="23"/>
      <c r="Q255" s="23"/>
      <c r="R255" s="23"/>
      <c r="S255" s="23"/>
      <c r="T255" s="23"/>
      <c r="U255" s="23"/>
      <c r="V255" s="23"/>
    </row>
    <row r="256" spans="1:22" s="24" customFormat="1" ht="23.1" customHeight="1">
      <c r="A256" s="104" t="s">
        <v>22</v>
      </c>
      <c r="B256" s="36">
        <f>COUNTIF('9'!$C$6:$C$529,"과")</f>
        <v>0</v>
      </c>
      <c r="C256" s="37" t="s">
        <v>11</v>
      </c>
      <c r="D256" s="38">
        <f>SUMIF('9'!$C$6:$C$529,"과",'9'!$E$6:$E$529)</f>
        <v>0</v>
      </c>
      <c r="E256" s="36">
        <f>COUNTIF('9'!$N$6:$N$529,"과국")</f>
        <v>0</v>
      </c>
      <c r="F256" s="37" t="s">
        <v>11</v>
      </c>
      <c r="G256" s="38">
        <f>SUMIF('9'!$N$6:$N$529,"과국",'9'!$E$6:$E$529)</f>
        <v>0</v>
      </c>
      <c r="H256" s="36">
        <f>COUNTIF('9'!$N$6:$N$529,"과공")</f>
        <v>0</v>
      </c>
      <c r="I256" s="37" t="s">
        <v>11</v>
      </c>
      <c r="J256" s="38">
        <f>SUMIF('9'!$N$6:$N$529,"과공",'9'!$E$6:$E$529)</f>
        <v>0</v>
      </c>
      <c r="K256" s="36">
        <f t="shared" si="16"/>
        <v>0</v>
      </c>
      <c r="L256" s="37" t="s">
        <v>11</v>
      </c>
      <c r="M256" s="38">
        <f t="shared" si="17"/>
        <v>0</v>
      </c>
      <c r="N256" s="39"/>
      <c r="O256" s="23"/>
      <c r="P256" s="23"/>
      <c r="Q256" s="23"/>
      <c r="R256" s="23"/>
      <c r="S256" s="23"/>
      <c r="T256" s="23"/>
      <c r="U256" s="23"/>
      <c r="V256" s="23"/>
    </row>
    <row r="257" spans="1:22" s="24" customFormat="1" ht="23.1" customHeight="1">
      <c r="A257" s="104" t="s">
        <v>23</v>
      </c>
      <c r="B257" s="36">
        <f>COUNTIF('9'!$C$6:$C$529,"장")</f>
        <v>0</v>
      </c>
      <c r="C257" s="37" t="s">
        <v>11</v>
      </c>
      <c r="D257" s="38">
        <f>SUMIF('9'!$C$6:$C$529,"장",'9'!$E$6:$E$529)</f>
        <v>0</v>
      </c>
      <c r="E257" s="36">
        <f>COUNTIF('9'!$N$6:$N$529,"장국")</f>
        <v>0</v>
      </c>
      <c r="F257" s="37" t="s">
        <v>11</v>
      </c>
      <c r="G257" s="38">
        <f>SUMIF('9'!$N$6:$N$529,"장국",'9'!$E$6:$E$529)</f>
        <v>0</v>
      </c>
      <c r="H257" s="36">
        <f>COUNTIF('9'!$N$6:$N$529,"장공")</f>
        <v>0</v>
      </c>
      <c r="I257" s="37" t="s">
        <v>11</v>
      </c>
      <c r="J257" s="38">
        <f>SUMIF('9'!$N$6:$N$529,"장공",'9'!$E$6:$E$529)</f>
        <v>0</v>
      </c>
      <c r="K257" s="36">
        <f t="shared" si="16"/>
        <v>0</v>
      </c>
      <c r="L257" s="37" t="s">
        <v>11</v>
      </c>
      <c r="M257" s="38">
        <f t="shared" si="17"/>
        <v>0</v>
      </c>
      <c r="N257" s="39"/>
      <c r="O257" s="23"/>
      <c r="P257" s="23"/>
      <c r="Q257" s="23"/>
      <c r="R257" s="23"/>
      <c r="S257" s="23"/>
      <c r="T257" s="23"/>
      <c r="U257" s="23"/>
      <c r="V257" s="23"/>
    </row>
    <row r="258" spans="1:22" s="24" customFormat="1" ht="23.1" customHeight="1">
      <c r="A258" s="104" t="s">
        <v>24</v>
      </c>
      <c r="B258" s="36">
        <f>COUNTIF('9'!$C$6:$C$529,"목")</f>
        <v>0</v>
      </c>
      <c r="C258" s="37" t="s">
        <v>11</v>
      </c>
      <c r="D258" s="38">
        <f>SUMIF('9'!$C$6:$C$529,"목",'9'!$E$6:$E$529)</f>
        <v>0</v>
      </c>
      <c r="E258" s="36">
        <f>COUNTIF('9'!$N$6:$N$529,"목국")</f>
        <v>0</v>
      </c>
      <c r="F258" s="37" t="s">
        <v>11</v>
      </c>
      <c r="G258" s="38">
        <f>SUMIF('9'!$N$6:$N$529,"목국",'9'!$E$6:$E$529)</f>
        <v>0</v>
      </c>
      <c r="H258" s="36">
        <f>COUNTIF('9'!$N$6:$N$529,"목공")</f>
        <v>0</v>
      </c>
      <c r="I258" s="37" t="s">
        <v>11</v>
      </c>
      <c r="J258" s="38">
        <f>SUMIF('9'!$N$6:$N$529,"목공",'9'!$E$6:$E$529)</f>
        <v>0</v>
      </c>
      <c r="K258" s="36">
        <f t="shared" si="16"/>
        <v>0</v>
      </c>
      <c r="L258" s="37" t="s">
        <v>11</v>
      </c>
      <c r="M258" s="38">
        <f t="shared" si="17"/>
        <v>0</v>
      </c>
      <c r="N258" s="39"/>
      <c r="O258" s="23"/>
      <c r="P258" s="23"/>
      <c r="Q258" s="23"/>
      <c r="R258" s="23"/>
      <c r="S258" s="23"/>
      <c r="T258" s="23"/>
      <c r="U258" s="23"/>
      <c r="V258" s="23"/>
    </row>
    <row r="259" spans="1:22" s="24" customFormat="1" ht="23.1" customHeight="1">
      <c r="A259" s="104" t="s">
        <v>25</v>
      </c>
      <c r="B259" s="36">
        <f>COUNTIF('9'!$C$6:$C$529,"학")</f>
        <v>0</v>
      </c>
      <c r="C259" s="37" t="s">
        <v>11</v>
      </c>
      <c r="D259" s="38">
        <f>SUMIF('9'!$C$6:$C$529,"학",'9'!$E$6:$E$529)</f>
        <v>0</v>
      </c>
      <c r="E259" s="36">
        <f>COUNTIF('9'!$N$6:$N$529,"학국")</f>
        <v>0</v>
      </c>
      <c r="F259" s="37" t="s">
        <v>11</v>
      </c>
      <c r="G259" s="38">
        <f>SUMIF('9'!$N$6:$N$529,"학국",'9'!$E$6:$E$529)</f>
        <v>0</v>
      </c>
      <c r="H259" s="36">
        <f>COUNTIF('9'!$N$6:$N$529,"학공")</f>
        <v>0</v>
      </c>
      <c r="I259" s="37" t="s">
        <v>11</v>
      </c>
      <c r="J259" s="38">
        <f>SUMIF('9'!$N$6:$N$529,"학공",'9'!$E$6:$E$529)</f>
        <v>0</v>
      </c>
      <c r="K259" s="36">
        <f t="shared" si="16"/>
        <v>0</v>
      </c>
      <c r="L259" s="37" t="s">
        <v>11</v>
      </c>
      <c r="M259" s="38">
        <f t="shared" si="17"/>
        <v>0</v>
      </c>
      <c r="N259" s="39"/>
      <c r="O259" s="23"/>
      <c r="P259" s="23"/>
      <c r="Q259" s="23"/>
      <c r="R259" s="23"/>
      <c r="S259" s="23"/>
      <c r="T259" s="23"/>
      <c r="U259" s="23"/>
      <c r="V259" s="23"/>
    </row>
    <row r="260" spans="1:22" s="24" customFormat="1" ht="23.1" customHeight="1">
      <c r="A260" s="104" t="s">
        <v>26</v>
      </c>
      <c r="B260" s="36">
        <f>COUNTIF('9'!$C$6:$C$529,"철")</f>
        <v>0</v>
      </c>
      <c r="C260" s="37" t="s">
        <v>11</v>
      </c>
      <c r="D260" s="38">
        <f>SUMIF('9'!$C$6:$C$529,"철",'9'!$E$6:$E$529)</f>
        <v>0</v>
      </c>
      <c r="E260" s="36">
        <f>COUNTIF('9'!$N$6:$N$529,"철국")</f>
        <v>0</v>
      </c>
      <c r="F260" s="37" t="s">
        <v>11</v>
      </c>
      <c r="G260" s="38">
        <f>SUMIF('9'!$N$6:$N$529,"철국",'9'!$E$6:$E$529)</f>
        <v>0</v>
      </c>
      <c r="H260" s="36">
        <f>COUNTIF('9'!$N$6:$N$529,"철공")</f>
        <v>0</v>
      </c>
      <c r="I260" s="37" t="s">
        <v>11</v>
      </c>
      <c r="J260" s="38">
        <f>SUMIF('9'!$N$6:$N$529,"철공",'9'!$E$6:$E$529)</f>
        <v>0</v>
      </c>
      <c r="K260" s="36">
        <f t="shared" si="16"/>
        <v>0</v>
      </c>
      <c r="L260" s="37" t="s">
        <v>11</v>
      </c>
      <c r="M260" s="38">
        <f t="shared" si="17"/>
        <v>0</v>
      </c>
      <c r="N260" s="39"/>
      <c r="O260" s="23"/>
      <c r="P260" s="23"/>
      <c r="Q260" s="23"/>
      <c r="R260" s="23"/>
      <c r="S260" s="23"/>
      <c r="T260" s="23"/>
      <c r="U260" s="23"/>
      <c r="V260" s="23"/>
    </row>
    <row r="261" spans="1:22" s="24" customFormat="1" ht="23.1" customHeight="1">
      <c r="A261" s="104" t="s">
        <v>27</v>
      </c>
      <c r="B261" s="36">
        <f>COUNTIF('9'!$C$6:$C$529,"묘")</f>
        <v>0</v>
      </c>
      <c r="C261" s="37" t="s">
        <v>11</v>
      </c>
      <c r="D261" s="38">
        <f>SUMIF('9'!$C$6:$C$529,"묘",'9'!$E$6:$E$529)</f>
        <v>0</v>
      </c>
      <c r="E261" s="36">
        <f>COUNTIF('9'!$N$6:$N$529,"묘국")</f>
        <v>0</v>
      </c>
      <c r="F261" s="37" t="s">
        <v>11</v>
      </c>
      <c r="G261" s="38">
        <f>SUMIF('9'!$N$6:$N$529,"묘국",'9'!$E$6:$E$529)</f>
        <v>0</v>
      </c>
      <c r="H261" s="36">
        <f>COUNTIF('9'!$N$6:$N$529,"묘공")</f>
        <v>0</v>
      </c>
      <c r="I261" s="37" t="s">
        <v>11</v>
      </c>
      <c r="J261" s="38">
        <f>SUMIF('9'!$N$6:$N$529,"묘공",'9'!$E$6:$E$529)</f>
        <v>0</v>
      </c>
      <c r="K261" s="36">
        <f t="shared" si="16"/>
        <v>0</v>
      </c>
      <c r="L261" s="37" t="s">
        <v>11</v>
      </c>
      <c r="M261" s="38">
        <f t="shared" si="17"/>
        <v>0</v>
      </c>
      <c r="N261" s="39"/>
      <c r="O261" s="23"/>
      <c r="P261" s="23"/>
      <c r="Q261" s="23"/>
      <c r="R261" s="23"/>
      <c r="S261" s="23"/>
      <c r="T261" s="23"/>
      <c r="U261" s="23"/>
      <c r="V261" s="23"/>
    </row>
    <row r="262" spans="1:22" s="24" customFormat="1" ht="23.1" customHeight="1">
      <c r="A262" s="104" t="s">
        <v>28</v>
      </c>
      <c r="B262" s="36">
        <f>COUNTIF('9'!$C$6:$C$529,"수")</f>
        <v>0</v>
      </c>
      <c r="C262" s="37" t="s">
        <v>11</v>
      </c>
      <c r="D262" s="38">
        <f>SUMIF('9'!$C$6:$C$529,"수",'9'!$E$6:$E$529)</f>
        <v>0</v>
      </c>
      <c r="E262" s="36">
        <f>COUNTIF('9'!$N$6:$N$529,"수국")</f>
        <v>0</v>
      </c>
      <c r="F262" s="37" t="s">
        <v>11</v>
      </c>
      <c r="G262" s="38">
        <f>SUMIF('9'!$N$6:$N$529,"수국",'9'!$E$6:$E$529)</f>
        <v>0</v>
      </c>
      <c r="H262" s="36">
        <f>COUNTIF('9'!$N$6:$N$529,"수공")</f>
        <v>0</v>
      </c>
      <c r="I262" s="37" t="s">
        <v>11</v>
      </c>
      <c r="J262" s="38">
        <f>SUMIF('9'!$N$6:$N$529,"수공",'9'!$E$6:$E$529)</f>
        <v>0</v>
      </c>
      <c r="K262" s="36">
        <f t="shared" si="16"/>
        <v>0</v>
      </c>
      <c r="L262" s="37" t="s">
        <v>11</v>
      </c>
      <c r="M262" s="38">
        <f t="shared" si="17"/>
        <v>0</v>
      </c>
      <c r="N262" s="39"/>
      <c r="O262" s="23"/>
      <c r="P262" s="23"/>
      <c r="Q262" s="23"/>
      <c r="R262" s="23"/>
      <c r="S262" s="23"/>
      <c r="T262" s="23"/>
      <c r="U262" s="23"/>
      <c r="V262" s="23"/>
    </row>
    <row r="263" spans="1:22" s="24" customFormat="1" ht="23.1" customHeight="1">
      <c r="A263" s="104" t="s">
        <v>29</v>
      </c>
      <c r="B263" s="36">
        <f>COUNTIF('9'!$C$6:$C$529,"잡")</f>
        <v>0</v>
      </c>
      <c r="C263" s="37" t="s">
        <v>11</v>
      </c>
      <c r="D263" s="38">
        <f>SUMIF('9'!$C$6:$C$529,"잡",'9'!$E$6:$E$529)</f>
        <v>0</v>
      </c>
      <c r="E263" s="36">
        <f>COUNTIF('9'!$N$6:$N$529,"잡국")</f>
        <v>0</v>
      </c>
      <c r="F263" s="37" t="s">
        <v>11</v>
      </c>
      <c r="G263" s="38">
        <f>SUMIF('9'!$N$6:$N$529,"잡국",'9'!$E$6:$E$529)</f>
        <v>0</v>
      </c>
      <c r="H263" s="36">
        <f>COUNTIF('9'!$N$6:$N$529,"잡공")</f>
        <v>0</v>
      </c>
      <c r="I263" s="37" t="s">
        <v>11</v>
      </c>
      <c r="J263" s="38">
        <f>SUMIF('9'!$N$6:$N$529,"잡공",'9'!$E$6:$E$529)</f>
        <v>0</v>
      </c>
      <c r="K263" s="36">
        <f t="shared" si="16"/>
        <v>0</v>
      </c>
      <c r="L263" s="37" t="s">
        <v>11</v>
      </c>
      <c r="M263" s="38">
        <f t="shared" si="17"/>
        <v>0</v>
      </c>
      <c r="N263" s="39"/>
      <c r="O263" s="23"/>
      <c r="P263" s="23"/>
      <c r="Q263" s="23"/>
      <c r="R263" s="23"/>
      <c r="S263" s="23"/>
      <c r="T263" s="23"/>
      <c r="U263" s="23"/>
      <c r="V263" s="23"/>
    </row>
    <row r="264" spans="1:22" s="24" customFormat="1" ht="23.1" customHeight="1">
      <c r="A264" s="105" t="s">
        <v>30</v>
      </c>
      <c r="B264" s="36">
        <f>COUNTIF('9'!$C$6:$C$529,"종")</f>
        <v>0</v>
      </c>
      <c r="C264" s="37" t="s">
        <v>11</v>
      </c>
      <c r="D264" s="38">
        <f>SUMIF('9'!$C$6:$C$529,"종",'9'!$E$6:$E$529)</f>
        <v>0</v>
      </c>
      <c r="E264" s="36">
        <f>COUNTIF('9'!$N$6:$N$529,"종국")</f>
        <v>0</v>
      </c>
      <c r="F264" s="37" t="s">
        <v>11</v>
      </c>
      <c r="G264" s="38">
        <f>SUMIF('9'!$N$6:$N$529,"종국",'9'!$E$6:$E$529)</f>
        <v>0</v>
      </c>
      <c r="H264" s="36">
        <f>COUNTIF('9'!$N$6:$N$529,"종공")</f>
        <v>0</v>
      </c>
      <c r="I264" s="37" t="s">
        <v>11</v>
      </c>
      <c r="J264" s="38">
        <f>SUMIF('9'!$N$6:$N$529,"종공",'9'!$E$6:$E$529)</f>
        <v>0</v>
      </c>
      <c r="K264" s="36">
        <f t="shared" si="16"/>
        <v>0</v>
      </c>
      <c r="L264" s="37" t="s">
        <v>11</v>
      </c>
      <c r="M264" s="38">
        <f t="shared" si="17"/>
        <v>0</v>
      </c>
      <c r="N264" s="39"/>
      <c r="O264" s="23"/>
      <c r="P264" s="23"/>
      <c r="Q264" s="23"/>
      <c r="R264" s="23"/>
      <c r="S264" s="23"/>
      <c r="T264" s="23"/>
      <c r="U264" s="23"/>
      <c r="V264" s="23"/>
    </row>
    <row r="265" spans="1:22" s="24" customFormat="1" ht="23.1" customHeight="1">
      <c r="A265" s="105" t="s">
        <v>31</v>
      </c>
      <c r="B265" s="36">
        <f>COUNTIF('9'!$C$6:$C$529,"염")</f>
        <v>0</v>
      </c>
      <c r="C265" s="37" t="s">
        <v>11</v>
      </c>
      <c r="D265" s="38">
        <f>SUMIF('9'!$C$6:$C$529,"염",'9'!$E$6:$E$529)</f>
        <v>0</v>
      </c>
      <c r="E265" s="36">
        <f>COUNTIF('9'!$N$6:$N$529,"염국")</f>
        <v>0</v>
      </c>
      <c r="F265" s="37" t="s">
        <v>11</v>
      </c>
      <c r="G265" s="38">
        <f>SUMIF('9'!$N$6:$N$529,"염국",'9'!$E$6:$E$529)</f>
        <v>0</v>
      </c>
      <c r="H265" s="36">
        <f>COUNTIF('9'!$N$6:$N$529,"염공")</f>
        <v>0</v>
      </c>
      <c r="I265" s="37" t="s">
        <v>11</v>
      </c>
      <c r="J265" s="38">
        <f>SUMIF('9'!$N$6:$N$529,"염공",'9'!$E$6:$E$529)</f>
        <v>0</v>
      </c>
      <c r="K265" s="36">
        <f t="shared" si="16"/>
        <v>0</v>
      </c>
      <c r="L265" s="37" t="s">
        <v>11</v>
      </c>
      <c r="M265" s="38">
        <f t="shared" si="17"/>
        <v>0</v>
      </c>
      <c r="N265" s="39"/>
      <c r="O265" s="23"/>
      <c r="P265" s="23"/>
      <c r="Q265" s="23"/>
      <c r="R265" s="23"/>
      <c r="S265" s="23"/>
      <c r="T265" s="23"/>
      <c r="U265" s="23"/>
      <c r="V265" s="23"/>
    </row>
    <row r="266" spans="1:22" s="24" customFormat="1" ht="23.1" customHeight="1">
      <c r="A266" s="105" t="s">
        <v>32</v>
      </c>
      <c r="B266" s="36">
        <f>COUNTIF('9'!$C$6:$C$529,"공")</f>
        <v>0</v>
      </c>
      <c r="C266" s="37" t="s">
        <v>11</v>
      </c>
      <c r="D266" s="38">
        <f>SUMIF('9'!$C$6:$C$529,"공",'9'!$E$6:$E$529)</f>
        <v>0</v>
      </c>
      <c r="E266" s="36">
        <f>COUNTIF('9'!$N$6:$N$529,"공국")</f>
        <v>0</v>
      </c>
      <c r="F266" s="37" t="s">
        <v>11</v>
      </c>
      <c r="G266" s="38">
        <f>SUMIF('9'!$N$6:$N$529,"공국",'9'!$E$6:$E$529)</f>
        <v>0</v>
      </c>
      <c r="H266" s="36">
        <f>COUNTIF('9'!$N$6:$N$529,"공공")</f>
        <v>0</v>
      </c>
      <c r="I266" s="37" t="s">
        <v>11</v>
      </c>
      <c r="J266" s="38">
        <f>SUMIF('9'!$N$6:$N$529,"공공",'9'!$E$6:$E$529)</f>
        <v>0</v>
      </c>
      <c r="K266" s="36">
        <f t="shared" si="16"/>
        <v>0</v>
      </c>
      <c r="L266" s="37" t="s">
        <v>11</v>
      </c>
      <c r="M266" s="38">
        <f t="shared" si="17"/>
        <v>0</v>
      </c>
      <c r="N266" s="39"/>
      <c r="O266" s="23"/>
      <c r="P266" s="23"/>
      <c r="Q266" s="23"/>
      <c r="R266" s="23"/>
      <c r="S266" s="23"/>
      <c r="T266" s="23"/>
      <c r="U266" s="23"/>
      <c r="V266" s="23"/>
    </row>
    <row r="267" spans="1:22" s="24" customFormat="1" ht="23.1" customHeight="1">
      <c r="A267" s="105" t="s">
        <v>33</v>
      </c>
      <c r="B267" s="36">
        <f>COUNTIF('9'!$C$6:$C$529,"체")</f>
        <v>0</v>
      </c>
      <c r="C267" s="37" t="s">
        <v>11</v>
      </c>
      <c r="D267" s="38">
        <f>SUMIF('9'!$C$6:$C$529,"체",'9'!$E$6:$E$529)</f>
        <v>0</v>
      </c>
      <c r="E267" s="36">
        <f>COUNTIF('9'!$N$6:$N$529,"체국")</f>
        <v>0</v>
      </c>
      <c r="F267" s="37" t="s">
        <v>11</v>
      </c>
      <c r="G267" s="38">
        <f>SUMIF('9'!$N$6:$N$529,"체국",'9'!$E$6:$E$529)</f>
        <v>0</v>
      </c>
      <c r="H267" s="36">
        <f>COUNTIF('9'!$N$6:$N$529,"체공")</f>
        <v>0</v>
      </c>
      <c r="I267" s="37" t="s">
        <v>11</v>
      </c>
      <c r="J267" s="38">
        <f>SUMIF('9'!$N$6:$N$529,"체공",'9'!$E$6:$E$529)</f>
        <v>0</v>
      </c>
      <c r="K267" s="36">
        <f t="shared" si="16"/>
        <v>0</v>
      </c>
      <c r="L267" s="37" t="s">
        <v>11</v>
      </c>
      <c r="M267" s="38">
        <f t="shared" si="17"/>
        <v>0</v>
      </c>
      <c r="N267" s="39"/>
      <c r="O267" s="23"/>
      <c r="P267" s="23"/>
      <c r="Q267" s="23"/>
      <c r="R267" s="23"/>
      <c r="S267" s="23"/>
      <c r="T267" s="23"/>
      <c r="U267" s="23"/>
      <c r="V267" s="23"/>
    </row>
    <row r="268" spans="1:22" s="24" customFormat="1" ht="23.1" customHeight="1">
      <c r="A268" s="105" t="s">
        <v>34</v>
      </c>
      <c r="B268" s="36">
        <f>COUNTIF('9'!$C$6:$C$529,"원")</f>
        <v>0</v>
      </c>
      <c r="C268" s="37" t="s">
        <v>11</v>
      </c>
      <c r="D268" s="38">
        <f>SUMIF('9'!$C$6:$C$529,"원",'9'!$E$6:$E$529)</f>
        <v>0</v>
      </c>
      <c r="E268" s="36">
        <f>COUNTIF('9'!$N$6:$N$529,"원국")</f>
        <v>0</v>
      </c>
      <c r="F268" s="37" t="s">
        <v>11</v>
      </c>
      <c r="G268" s="38">
        <f>SUMIF('9'!$N$6:$N$529,"원국",'9'!$E$6:$E$529)</f>
        <v>0</v>
      </c>
      <c r="H268" s="36">
        <f>COUNTIF('9'!$N$6:$N$529,"원공")</f>
        <v>0</v>
      </c>
      <c r="I268" s="37" t="s">
        <v>11</v>
      </c>
      <c r="J268" s="38">
        <f>SUMIF('9'!$N$6:$N$529,"원공",'9'!$E$6:$E$529)</f>
        <v>0</v>
      </c>
      <c r="K268" s="36">
        <f t="shared" si="16"/>
        <v>0</v>
      </c>
      <c r="L268" s="37" t="s">
        <v>11</v>
      </c>
      <c r="M268" s="38">
        <f t="shared" si="17"/>
        <v>0</v>
      </c>
      <c r="N268" s="39"/>
      <c r="O268" s="23"/>
      <c r="P268" s="23"/>
      <c r="Q268" s="23"/>
      <c r="R268" s="23"/>
      <c r="S268" s="23"/>
      <c r="T268" s="23"/>
      <c r="U268" s="23"/>
      <c r="V268" s="23"/>
    </row>
    <row r="269" spans="1:22" s="24" customFormat="1" ht="23.1" customHeight="1">
      <c r="A269" s="105" t="s">
        <v>66</v>
      </c>
      <c r="B269" s="36">
        <f>COUNTIF('9'!$C$6:$C$529,"차")</f>
        <v>0</v>
      </c>
      <c r="C269" s="37" t="s">
        <v>11</v>
      </c>
      <c r="D269" s="38">
        <f>SUMIF('9'!$C$6:$C$529,"차",'9'!$E$6:$E$529)</f>
        <v>0</v>
      </c>
      <c r="E269" s="36">
        <f>COUNTIF('9'!$N$6:$N$529,"차국")</f>
        <v>0</v>
      </c>
      <c r="F269" s="37" t="s">
        <v>11</v>
      </c>
      <c r="G269" s="38">
        <f>SUMIF('9'!$N$6:$N$529,"차국",'9'!$E$6:$E$529)</f>
        <v>0</v>
      </c>
      <c r="H269" s="36">
        <f>COUNTIF('9'!$N$6:$N$529,"차공")</f>
        <v>0</v>
      </c>
      <c r="I269" s="37" t="s">
        <v>11</v>
      </c>
      <c r="J269" s="38">
        <f>SUMIF('9'!$N$6:$N$529,"차공",'9'!$E$6:$E$529)</f>
        <v>0</v>
      </c>
      <c r="K269" s="36">
        <f t="shared" si="16"/>
        <v>0</v>
      </c>
      <c r="L269" s="37" t="s">
        <v>11</v>
      </c>
      <c r="M269" s="38">
        <f t="shared" si="17"/>
        <v>0</v>
      </c>
      <c r="N269" s="39"/>
      <c r="O269" s="23"/>
      <c r="P269" s="23"/>
      <c r="Q269" s="23"/>
      <c r="R269" s="23"/>
      <c r="S269" s="23"/>
      <c r="T269" s="23"/>
      <c r="U269" s="23"/>
      <c r="V269" s="23"/>
    </row>
    <row r="270" spans="1:22" s="24" customFormat="1" ht="23.1" customHeight="1">
      <c r="A270" s="105" t="s">
        <v>67</v>
      </c>
      <c r="B270" s="36">
        <f>COUNTIF('9'!$C$6:$C$529,"주")</f>
        <v>0</v>
      </c>
      <c r="C270" s="37" t="s">
        <v>11</v>
      </c>
      <c r="D270" s="38">
        <f>SUMIF('9'!$C$6:$C$529,"주",'9'!$E$6:$E$529)</f>
        <v>0</v>
      </c>
      <c r="E270" s="36">
        <f>COUNTIF('9'!$N$6:$N$529,"주국")</f>
        <v>0</v>
      </c>
      <c r="F270" s="37" t="s">
        <v>11</v>
      </c>
      <c r="G270" s="38">
        <f>SUMIF('9'!$N$6:$N$529,"주국",'9'!$E$6:$E$529)</f>
        <v>0</v>
      </c>
      <c r="H270" s="36">
        <f>COUNTIF('9'!$N$6:$N$529,"주공")</f>
        <v>0</v>
      </c>
      <c r="I270" s="37" t="s">
        <v>11</v>
      </c>
      <c r="J270" s="38">
        <f>SUMIF('9'!$N$6:$N$529,"주공",'9'!$E$6:$E$529)</f>
        <v>0</v>
      </c>
      <c r="K270" s="36">
        <f t="shared" si="16"/>
        <v>0</v>
      </c>
      <c r="L270" s="37" t="s">
        <v>11</v>
      </c>
      <c r="M270" s="38">
        <f t="shared" si="17"/>
        <v>0</v>
      </c>
      <c r="N270" s="39"/>
      <c r="O270" s="23"/>
      <c r="P270" s="23"/>
      <c r="Q270" s="23"/>
      <c r="R270" s="23"/>
      <c r="S270" s="23"/>
      <c r="T270" s="23"/>
      <c r="U270" s="23"/>
      <c r="V270" s="23"/>
    </row>
    <row r="271" spans="1:22" s="24" customFormat="1" ht="23.1" customHeight="1">
      <c r="A271" s="106" t="s">
        <v>68</v>
      </c>
      <c r="B271" s="40">
        <f>COUNTIF('9'!$C$6:$C$529," ")</f>
        <v>0</v>
      </c>
      <c r="C271" s="41" t="s">
        <v>11</v>
      </c>
      <c r="D271" s="42">
        <f>SUMIF('9'!$C$6:$C$529," ",'9'!$E$6:$E$529)</f>
        <v>0</v>
      </c>
      <c r="E271" s="40">
        <f>COUNTIF('9'!$N$6:$N$529," 국")</f>
        <v>0</v>
      </c>
      <c r="F271" s="41" t="s">
        <v>11</v>
      </c>
      <c r="G271" s="42">
        <f>SUMIF('9'!$N$6:$N$529," 국",'9'!$E$6:$E$529)</f>
        <v>0</v>
      </c>
      <c r="H271" s="40">
        <f>COUNTIF('9'!$N$6:$N$529," 공")</f>
        <v>0</v>
      </c>
      <c r="I271" s="41" t="s">
        <v>11</v>
      </c>
      <c r="J271" s="42">
        <f>SUMIF('9'!$N$6:$N$529," 공",'9'!$E$6:$E$529)</f>
        <v>0</v>
      </c>
      <c r="K271" s="40">
        <f t="shared" si="16"/>
        <v>0</v>
      </c>
      <c r="L271" s="41" t="s">
        <v>11</v>
      </c>
      <c r="M271" s="42">
        <f t="shared" si="17"/>
        <v>0</v>
      </c>
      <c r="N271" s="43"/>
      <c r="O271" s="23"/>
      <c r="P271" s="23"/>
      <c r="Q271" s="23"/>
      <c r="R271" s="23"/>
      <c r="S271" s="23"/>
      <c r="T271" s="23"/>
      <c r="U271" s="23"/>
      <c r="V271" s="23"/>
    </row>
    <row r="272" spans="1:22" s="17" customFormat="1" ht="20.100000000000001" customHeight="1">
      <c r="A272" s="11">
        <f>IF(EXACT(O276,O277),,"검산확인요!!!")</f>
        <v>0</v>
      </c>
      <c r="B272" s="12"/>
      <c r="C272" s="12"/>
      <c r="D272" s="12"/>
      <c r="E272" s="12"/>
      <c r="F272" s="12"/>
      <c r="G272" s="12"/>
      <c r="H272" s="12"/>
      <c r="I272" s="12"/>
      <c r="J272" s="12"/>
      <c r="K272" s="13">
        <f>IF(ISBLANK('10'!K2),,'10'!K2)</f>
        <v>3</v>
      </c>
      <c r="L272" s="14"/>
      <c r="M272" s="15"/>
      <c r="N272" s="16"/>
    </row>
    <row r="273" spans="1:22" s="17" customFormat="1" ht="9.9499999999999993" customHeight="1">
      <c r="A273" s="11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</row>
    <row r="274" spans="1:22" s="24" customFormat="1" ht="27.95" customHeight="1">
      <c r="A274" s="18" t="s">
        <v>9</v>
      </c>
      <c r="B274" s="19" t="s">
        <v>8</v>
      </c>
      <c r="C274" s="20"/>
      <c r="D274" s="21"/>
      <c r="E274" s="19" t="s">
        <v>35</v>
      </c>
      <c r="F274" s="20"/>
      <c r="G274" s="21"/>
      <c r="H274" s="19" t="s">
        <v>44</v>
      </c>
      <c r="I274" s="20"/>
      <c r="J274" s="21"/>
      <c r="K274" s="19" t="s">
        <v>36</v>
      </c>
      <c r="L274" s="20"/>
      <c r="M274" s="21"/>
      <c r="N274" s="22" t="s">
        <v>37</v>
      </c>
      <c r="O274" s="23"/>
      <c r="S274" s="23"/>
      <c r="T274" s="23"/>
      <c r="U274" s="23"/>
      <c r="V274" s="23"/>
    </row>
    <row r="275" spans="1:22" s="24" customFormat="1" ht="27.95" customHeight="1">
      <c r="A275" s="25"/>
      <c r="B275" s="26" t="s">
        <v>10</v>
      </c>
      <c r="C275" s="27" t="s">
        <v>11</v>
      </c>
      <c r="D275" s="28" t="s">
        <v>38</v>
      </c>
      <c r="E275" s="26" t="s">
        <v>10</v>
      </c>
      <c r="F275" s="27" t="s">
        <v>11</v>
      </c>
      <c r="G275" s="28" t="s">
        <v>38</v>
      </c>
      <c r="H275" s="26" t="s">
        <v>10</v>
      </c>
      <c r="I275" s="27" t="s">
        <v>11</v>
      </c>
      <c r="J275" s="28" t="s">
        <v>38</v>
      </c>
      <c r="K275" s="26" t="s">
        <v>10</v>
      </c>
      <c r="L275" s="27" t="s">
        <v>11</v>
      </c>
      <c r="M275" s="28" t="s">
        <v>38</v>
      </c>
      <c r="N275" s="29"/>
      <c r="P275" s="23"/>
      <c r="Q275" s="30" t="s">
        <v>39</v>
      </c>
      <c r="R275" s="30" t="s">
        <v>40</v>
      </c>
      <c r="S275" s="30" t="s">
        <v>41</v>
      </c>
      <c r="T275" s="30" t="s">
        <v>42</v>
      </c>
      <c r="U275" s="23"/>
      <c r="V275" s="23"/>
    </row>
    <row r="276" spans="1:22" s="24" customFormat="1" ht="23.1" customHeight="1">
      <c r="A276" s="103" t="s">
        <v>8</v>
      </c>
      <c r="B276" s="31">
        <f>SUM(B277:B301)</f>
        <v>0</v>
      </c>
      <c r="C276" s="32" t="s">
        <v>11</v>
      </c>
      <c r="D276" s="33">
        <f>SUM(D277:D301)</f>
        <v>0</v>
      </c>
      <c r="E276" s="31">
        <f>SUM(E277:E301)</f>
        <v>0</v>
      </c>
      <c r="F276" s="32" t="s">
        <v>11</v>
      </c>
      <c r="G276" s="33">
        <f>SUM(G277:G301)</f>
        <v>0</v>
      </c>
      <c r="H276" s="31">
        <f>SUM(H277:H301)</f>
        <v>0</v>
      </c>
      <c r="I276" s="32" t="s">
        <v>11</v>
      </c>
      <c r="J276" s="33">
        <f>SUM(J277:J301)</f>
        <v>0</v>
      </c>
      <c r="K276" s="31">
        <f>SUM(K277:K301)</f>
        <v>0</v>
      </c>
      <c r="L276" s="32" t="s">
        <v>11</v>
      </c>
      <c r="M276" s="33">
        <f>SUM(M277:M301)</f>
        <v>0</v>
      </c>
      <c r="N276" s="34"/>
      <c r="O276" s="23" t="str">
        <f>IF(EXACT(Q276,T276),"맞음","틀림")</f>
        <v>맞음</v>
      </c>
      <c r="P276" s="23" t="s">
        <v>10</v>
      </c>
      <c r="Q276" s="35">
        <f>SUM(B277:B301)</f>
        <v>0</v>
      </c>
      <c r="R276" s="35">
        <f>SUM(E277:E301)</f>
        <v>0</v>
      </c>
      <c r="S276" s="35">
        <f>SUM(K277:K301)</f>
        <v>0</v>
      </c>
      <c r="T276" s="35">
        <f>K276+E276</f>
        <v>0</v>
      </c>
      <c r="U276" s="23"/>
      <c r="V276" s="23"/>
    </row>
    <row r="277" spans="1:22" s="24" customFormat="1" ht="23.1" customHeight="1">
      <c r="A277" s="104" t="s">
        <v>13</v>
      </c>
      <c r="B277" s="36">
        <f>COUNTIF('10'!$C$6:$C$529,"전")</f>
        <v>0</v>
      </c>
      <c r="C277" s="37" t="s">
        <v>11</v>
      </c>
      <c r="D277" s="38">
        <f>SUMIF('10'!$C$6:$C$529,"전",'10'!$E$6:$E$529)</f>
        <v>0</v>
      </c>
      <c r="E277" s="36">
        <f>COUNTIF('10'!$N$6:$N$529,"전국")</f>
        <v>0</v>
      </c>
      <c r="F277" s="37" t="s">
        <v>11</v>
      </c>
      <c r="G277" s="38">
        <f>SUMIF('10'!$N$6:$N$529,"전국",'10'!$E$6:$E$529)</f>
        <v>0</v>
      </c>
      <c r="H277" s="36">
        <f>COUNTIF('10'!$N$6:$N$529,"전공")</f>
        <v>0</v>
      </c>
      <c r="I277" s="37" t="s">
        <v>11</v>
      </c>
      <c r="J277" s="38">
        <f>SUMIF('10'!$N$6:$N$529,"전공",'10'!$E$6:$E$529)</f>
        <v>0</v>
      </c>
      <c r="K277" s="36">
        <f t="shared" ref="K277:K301" si="18">SUM(B277-E277-H277)</f>
        <v>0</v>
      </c>
      <c r="L277" s="37" t="s">
        <v>11</v>
      </c>
      <c r="M277" s="38">
        <f t="shared" ref="M277:M301" si="19">SUM(D277-G277-J277)</f>
        <v>0</v>
      </c>
      <c r="N277" s="39"/>
      <c r="O277" s="23" t="str">
        <f>IF(EXACT(Q277,T277),"맞음","틀림")</f>
        <v>맞음</v>
      </c>
      <c r="P277" s="23" t="s">
        <v>43</v>
      </c>
      <c r="Q277" s="35">
        <f>SUM(D277:D301)</f>
        <v>0</v>
      </c>
      <c r="R277" s="35">
        <f>SUM(G277:G301)</f>
        <v>0</v>
      </c>
      <c r="S277" s="35">
        <f>SUM(M277:M301)</f>
        <v>0</v>
      </c>
      <c r="T277" s="35">
        <f>G276+M276</f>
        <v>0</v>
      </c>
      <c r="U277" s="23"/>
      <c r="V277" s="23"/>
    </row>
    <row r="278" spans="1:22" s="24" customFormat="1" ht="23.1" customHeight="1">
      <c r="A278" s="104" t="s">
        <v>14</v>
      </c>
      <c r="B278" s="36">
        <f>COUNTIF('10'!$C$6:$C$529,"답")</f>
        <v>0</v>
      </c>
      <c r="C278" s="37" t="s">
        <v>11</v>
      </c>
      <c r="D278" s="38">
        <f>SUMIF('10'!$C$6:$C$529,"답",'10'!$E$6:$E$529)</f>
        <v>0</v>
      </c>
      <c r="E278" s="36">
        <f>COUNTIF('10'!$N$6:$N$529,"답국")</f>
        <v>0</v>
      </c>
      <c r="F278" s="37" t="s">
        <v>11</v>
      </c>
      <c r="G278" s="38">
        <f>SUMIF('10'!$N$6:$N$529,"답국",'10'!$E$6:$E$529)</f>
        <v>0</v>
      </c>
      <c r="H278" s="36">
        <f>COUNTIF('10'!$N$6:$N$529,"답공")</f>
        <v>0</v>
      </c>
      <c r="I278" s="37" t="s">
        <v>11</v>
      </c>
      <c r="J278" s="38">
        <f>SUMIF('10'!$N$6:$N$529,"답공",'10'!$E$6:$E$529)</f>
        <v>0</v>
      </c>
      <c r="K278" s="36">
        <f t="shared" si="18"/>
        <v>0</v>
      </c>
      <c r="L278" s="37" t="s">
        <v>11</v>
      </c>
      <c r="M278" s="38">
        <f t="shared" si="19"/>
        <v>0</v>
      </c>
      <c r="N278" s="39"/>
      <c r="Q278" s="23"/>
      <c r="S278" s="23"/>
      <c r="U278" s="23"/>
      <c r="V278" s="23"/>
    </row>
    <row r="279" spans="1:22" s="24" customFormat="1" ht="23.1" customHeight="1">
      <c r="A279" s="104" t="s">
        <v>15</v>
      </c>
      <c r="B279" s="36">
        <f>COUNTIF('10'!$C$6:$C$529,"임")</f>
        <v>0</v>
      </c>
      <c r="C279" s="37" t="s">
        <v>11</v>
      </c>
      <c r="D279" s="38">
        <f>SUMIF('10'!$C$6:$C$529,"임",'10'!$E$6:$E$529)</f>
        <v>0</v>
      </c>
      <c r="E279" s="36">
        <f>COUNTIF('10'!$N$6:$N$529,"임국")</f>
        <v>0</v>
      </c>
      <c r="F279" s="37" t="s">
        <v>11</v>
      </c>
      <c r="G279" s="38">
        <f>SUMIF('10'!$N$6:$N$529,"임국",'10'!$E$6:$E$529)</f>
        <v>0</v>
      </c>
      <c r="H279" s="36">
        <f>COUNTIF('10'!$N$6:$N$529,"임공")</f>
        <v>0</v>
      </c>
      <c r="I279" s="37" t="s">
        <v>11</v>
      </c>
      <c r="J279" s="38">
        <f>SUMIF('10'!$N$6:$N$529,"임공",'10'!$E$6:$E$529)</f>
        <v>0</v>
      </c>
      <c r="K279" s="36">
        <f t="shared" si="18"/>
        <v>0</v>
      </c>
      <c r="L279" s="37" t="s">
        <v>11</v>
      </c>
      <c r="M279" s="38">
        <f t="shared" si="19"/>
        <v>0</v>
      </c>
      <c r="N279" s="39"/>
      <c r="Q279" s="23"/>
      <c r="S279" s="23"/>
      <c r="U279" s="23"/>
      <c r="V279" s="23"/>
    </row>
    <row r="280" spans="1:22" s="24" customFormat="1" ht="23.1" customHeight="1">
      <c r="A280" s="104" t="s">
        <v>16</v>
      </c>
      <c r="B280" s="36">
        <f>COUNTIF('10'!$C$6:$C$529,"대")</f>
        <v>0</v>
      </c>
      <c r="C280" s="37" t="s">
        <v>11</v>
      </c>
      <c r="D280" s="38">
        <f>SUMIF('10'!$C$6:$C$529,"대",'10'!$E$6:$E$529)</f>
        <v>0</v>
      </c>
      <c r="E280" s="36">
        <f>COUNTIF('10'!$N$6:$N$529,"대국")</f>
        <v>0</v>
      </c>
      <c r="F280" s="37" t="s">
        <v>11</v>
      </c>
      <c r="G280" s="38">
        <f>SUMIF('10'!$N$6:$N$529,"대국",'10'!$E$6:$E$529)</f>
        <v>0</v>
      </c>
      <c r="H280" s="36">
        <f>COUNTIF('10'!$N$6:$N$529,"대공")</f>
        <v>0</v>
      </c>
      <c r="I280" s="37" t="s">
        <v>11</v>
      </c>
      <c r="J280" s="38">
        <f>SUMIF('10'!$N$6:$N$529,"대공",'10'!$E$6:$E$529)</f>
        <v>0</v>
      </c>
      <c r="K280" s="36">
        <f t="shared" si="18"/>
        <v>0</v>
      </c>
      <c r="L280" s="37" t="s">
        <v>11</v>
      </c>
      <c r="M280" s="38">
        <f t="shared" si="19"/>
        <v>0</v>
      </c>
      <c r="N280" s="39"/>
      <c r="O280" s="23"/>
      <c r="P280" s="23"/>
      <c r="Q280" s="23"/>
      <c r="R280" s="23"/>
      <c r="S280" s="23"/>
      <c r="T280" s="23"/>
      <c r="U280" s="23"/>
      <c r="V280" s="23"/>
    </row>
    <row r="281" spans="1:22" s="24" customFormat="1" ht="23.1" customHeight="1">
      <c r="A281" s="104" t="s">
        <v>17</v>
      </c>
      <c r="B281" s="36">
        <f>COUNTIF('10'!$C$6:$C$529,"도")</f>
        <v>0</v>
      </c>
      <c r="C281" s="37" t="s">
        <v>11</v>
      </c>
      <c r="D281" s="38">
        <f>SUMIF('10'!$C$6:$C$529,"도",'10'!$E$6:$E$529)</f>
        <v>0</v>
      </c>
      <c r="E281" s="36">
        <f>COUNTIF('10'!$N$6:$N$529,"도국")</f>
        <v>0</v>
      </c>
      <c r="F281" s="37" t="s">
        <v>11</v>
      </c>
      <c r="G281" s="38">
        <f>SUMIF('10'!$N$6:$N$529,"도국",'10'!$E$6:$E$529)</f>
        <v>0</v>
      </c>
      <c r="H281" s="36">
        <f>COUNTIF('10'!$N$6:$N$529,"도공")</f>
        <v>0</v>
      </c>
      <c r="I281" s="37" t="s">
        <v>11</v>
      </c>
      <c r="J281" s="38">
        <f>SUMIF('10'!$N$6:$N$529,"도공",'10'!$E$6:$E$529)</f>
        <v>0</v>
      </c>
      <c r="K281" s="36">
        <f t="shared" si="18"/>
        <v>0</v>
      </c>
      <c r="L281" s="37" t="s">
        <v>11</v>
      </c>
      <c r="M281" s="38">
        <f t="shared" si="19"/>
        <v>0</v>
      </c>
      <c r="N281" s="39"/>
      <c r="O281" s="23"/>
      <c r="P281" s="23"/>
      <c r="Q281" s="23"/>
      <c r="R281" s="23"/>
      <c r="S281" s="23"/>
      <c r="T281" s="23"/>
      <c r="U281" s="23"/>
      <c r="V281" s="23"/>
    </row>
    <row r="282" spans="1:22" s="24" customFormat="1" ht="23.1" customHeight="1">
      <c r="A282" s="104" t="s">
        <v>18</v>
      </c>
      <c r="B282" s="36">
        <f>COUNTIF('10'!$C$6:$C$529,"구")</f>
        <v>0</v>
      </c>
      <c r="C282" s="37" t="s">
        <v>11</v>
      </c>
      <c r="D282" s="38">
        <f>SUMIF('10'!$C$6:$C$529,"구",'10'!$E$6:$E$529)</f>
        <v>0</v>
      </c>
      <c r="E282" s="36">
        <f>COUNTIF('10'!$N$6:$N$529,"구국")</f>
        <v>0</v>
      </c>
      <c r="F282" s="37" t="s">
        <v>11</v>
      </c>
      <c r="G282" s="38">
        <f>SUMIF('10'!$N$6:$N$529,"구국",'10'!$E$6:$E$529)</f>
        <v>0</v>
      </c>
      <c r="H282" s="36">
        <f>COUNTIF('10'!$N$6:$N$529,"구공")</f>
        <v>0</v>
      </c>
      <c r="I282" s="37" t="s">
        <v>11</v>
      </c>
      <c r="J282" s="38">
        <f>SUMIF('10'!$N$6:$N$529,"구공",'10'!$E$6:$E$529)</f>
        <v>0</v>
      </c>
      <c r="K282" s="36">
        <f t="shared" si="18"/>
        <v>0</v>
      </c>
      <c r="L282" s="37" t="s">
        <v>11</v>
      </c>
      <c r="M282" s="38">
        <f t="shared" si="19"/>
        <v>0</v>
      </c>
      <c r="N282" s="39"/>
      <c r="O282" s="23"/>
      <c r="P282" s="23"/>
      <c r="Q282" s="23"/>
      <c r="R282" s="23"/>
      <c r="S282" s="23"/>
      <c r="T282" s="23"/>
      <c r="U282" s="23"/>
      <c r="V282" s="23"/>
    </row>
    <row r="283" spans="1:22" s="24" customFormat="1" ht="23.1" customHeight="1">
      <c r="A283" s="104" t="s">
        <v>19</v>
      </c>
      <c r="B283" s="36">
        <f>COUNTIF('10'!$C$6:$C$529,"천")</f>
        <v>0</v>
      </c>
      <c r="C283" s="37" t="s">
        <v>11</v>
      </c>
      <c r="D283" s="38">
        <f>SUMIF('10'!$C$6:$C$529,"천",'10'!$E$6:$E$529)</f>
        <v>0</v>
      </c>
      <c r="E283" s="36">
        <f>COUNTIF('10'!$N$6:$N$529,"천국")</f>
        <v>0</v>
      </c>
      <c r="F283" s="37" t="s">
        <v>11</v>
      </c>
      <c r="G283" s="38">
        <f>SUMIF('10'!$N$6:$N$529,"천국",'10'!$E$6:$E$529)</f>
        <v>0</v>
      </c>
      <c r="H283" s="36">
        <f>COUNTIF('10'!$N$6:$N$529,"천공")</f>
        <v>0</v>
      </c>
      <c r="I283" s="37" t="s">
        <v>11</v>
      </c>
      <c r="J283" s="38">
        <f>SUMIF('10'!$N$6:$N$529,"천공",'10'!$E$6:$E$529)</f>
        <v>0</v>
      </c>
      <c r="K283" s="36">
        <f t="shared" si="18"/>
        <v>0</v>
      </c>
      <c r="L283" s="37" t="s">
        <v>11</v>
      </c>
      <c r="M283" s="38">
        <f t="shared" si="19"/>
        <v>0</v>
      </c>
      <c r="N283" s="39"/>
      <c r="O283" s="23"/>
      <c r="P283" s="23"/>
      <c r="Q283" s="23"/>
      <c r="R283" s="23"/>
      <c r="S283" s="23"/>
      <c r="T283" s="23"/>
      <c r="U283" s="23"/>
      <c r="V283" s="23"/>
    </row>
    <row r="284" spans="1:22" s="24" customFormat="1" ht="23.1" customHeight="1">
      <c r="A284" s="104" t="s">
        <v>20</v>
      </c>
      <c r="B284" s="36">
        <f>COUNTIF('10'!$C$6:$C$529,"유")</f>
        <v>0</v>
      </c>
      <c r="C284" s="37" t="s">
        <v>11</v>
      </c>
      <c r="D284" s="38">
        <f>SUMIF('10'!$C$6:$C$529,"유",'10'!$E$6:$E$529)</f>
        <v>0</v>
      </c>
      <c r="E284" s="36">
        <f>COUNTIF('10'!$N$6:$N$529,"유국")</f>
        <v>0</v>
      </c>
      <c r="F284" s="37" t="s">
        <v>11</v>
      </c>
      <c r="G284" s="38">
        <f>SUMIF('10'!$N$6:$N$529,"유국",'10'!$E$6:$E$529)</f>
        <v>0</v>
      </c>
      <c r="H284" s="36">
        <f>COUNTIF('10'!$N$6:$N$529,"유공")</f>
        <v>0</v>
      </c>
      <c r="I284" s="37" t="s">
        <v>11</v>
      </c>
      <c r="J284" s="38">
        <f>SUMIF('10'!$N$6:$N$529,"유공",'10'!$E$6:$E$529)</f>
        <v>0</v>
      </c>
      <c r="K284" s="36">
        <f t="shared" si="18"/>
        <v>0</v>
      </c>
      <c r="L284" s="37" t="s">
        <v>11</v>
      </c>
      <c r="M284" s="38">
        <f t="shared" si="19"/>
        <v>0</v>
      </c>
      <c r="N284" s="39"/>
      <c r="O284" s="23"/>
      <c r="P284" s="23"/>
      <c r="Q284" s="23"/>
      <c r="R284" s="23"/>
      <c r="S284" s="23"/>
      <c r="T284" s="23"/>
      <c r="U284" s="23"/>
      <c r="V284" s="23"/>
    </row>
    <row r="285" spans="1:22" s="24" customFormat="1" ht="23.1" customHeight="1">
      <c r="A285" s="104" t="s">
        <v>21</v>
      </c>
      <c r="B285" s="36">
        <f>COUNTIF('10'!$C$6:$C$529,"제")</f>
        <v>0</v>
      </c>
      <c r="C285" s="37" t="s">
        <v>11</v>
      </c>
      <c r="D285" s="38">
        <f>SUMIF('10'!$C$6:$C$529,"제",'10'!$E$6:$E$529)</f>
        <v>0</v>
      </c>
      <c r="E285" s="36">
        <f>COUNTIF('10'!$N$6:$N$529,"제국")</f>
        <v>0</v>
      </c>
      <c r="F285" s="37" t="s">
        <v>11</v>
      </c>
      <c r="G285" s="38">
        <f>SUMIF('10'!$N$6:$N$529,"제국",'10'!$E$6:$E$529)</f>
        <v>0</v>
      </c>
      <c r="H285" s="36">
        <f>COUNTIF('10'!$N$6:$N$529,"제공")</f>
        <v>0</v>
      </c>
      <c r="I285" s="37" t="s">
        <v>11</v>
      </c>
      <c r="J285" s="38">
        <f>SUMIF('10'!$N$6:$N$529,"제공",'10'!$E$6:$E$529)</f>
        <v>0</v>
      </c>
      <c r="K285" s="36">
        <f t="shared" si="18"/>
        <v>0</v>
      </c>
      <c r="L285" s="37" t="s">
        <v>11</v>
      </c>
      <c r="M285" s="38">
        <f t="shared" si="19"/>
        <v>0</v>
      </c>
      <c r="N285" s="39"/>
      <c r="O285" s="23"/>
      <c r="P285" s="23"/>
      <c r="Q285" s="23"/>
      <c r="R285" s="23"/>
      <c r="S285" s="23"/>
      <c r="T285" s="23"/>
      <c r="U285" s="23"/>
      <c r="V285" s="23"/>
    </row>
    <row r="286" spans="1:22" s="24" customFormat="1" ht="23.1" customHeight="1">
      <c r="A286" s="104" t="s">
        <v>22</v>
      </c>
      <c r="B286" s="36">
        <f>COUNTIF('10'!$C$6:$C$529,"과")</f>
        <v>0</v>
      </c>
      <c r="C286" s="37" t="s">
        <v>11</v>
      </c>
      <c r="D286" s="38">
        <f>SUMIF('10'!$C$6:$C$529,"과",'10'!$E$6:$E$529)</f>
        <v>0</v>
      </c>
      <c r="E286" s="36">
        <f>COUNTIF('10'!$N$6:$N$529,"과국")</f>
        <v>0</v>
      </c>
      <c r="F286" s="37" t="s">
        <v>11</v>
      </c>
      <c r="G286" s="38">
        <f>SUMIF('10'!$N$6:$N$529,"과국",'10'!$E$6:$E$529)</f>
        <v>0</v>
      </c>
      <c r="H286" s="36">
        <f>COUNTIF('10'!$N$6:$N$529,"과공")</f>
        <v>0</v>
      </c>
      <c r="I286" s="37" t="s">
        <v>11</v>
      </c>
      <c r="J286" s="38">
        <f>SUMIF('10'!$N$6:$N$529,"과공",'10'!$E$6:$E$529)</f>
        <v>0</v>
      </c>
      <c r="K286" s="36">
        <f t="shared" si="18"/>
        <v>0</v>
      </c>
      <c r="L286" s="37" t="s">
        <v>11</v>
      </c>
      <c r="M286" s="38">
        <f t="shared" si="19"/>
        <v>0</v>
      </c>
      <c r="N286" s="39"/>
      <c r="O286" s="23"/>
      <c r="P286" s="23"/>
      <c r="Q286" s="23"/>
      <c r="R286" s="23"/>
      <c r="S286" s="23"/>
      <c r="T286" s="23"/>
      <c r="U286" s="23"/>
      <c r="V286" s="23"/>
    </row>
    <row r="287" spans="1:22" s="24" customFormat="1" ht="23.1" customHeight="1">
      <c r="A287" s="104" t="s">
        <v>23</v>
      </c>
      <c r="B287" s="36">
        <f>COUNTIF('10'!$C$6:$C$529,"장")</f>
        <v>0</v>
      </c>
      <c r="C287" s="37" t="s">
        <v>11</v>
      </c>
      <c r="D287" s="38">
        <f>SUMIF('10'!$C$6:$C$529,"장",'10'!$E$6:$E$529)</f>
        <v>0</v>
      </c>
      <c r="E287" s="36">
        <f>COUNTIF('10'!$N$6:$N$529,"장국")</f>
        <v>0</v>
      </c>
      <c r="F287" s="37" t="s">
        <v>11</v>
      </c>
      <c r="G287" s="38">
        <f>SUMIF('10'!$N$6:$N$529,"장국",'10'!$E$6:$E$529)</f>
        <v>0</v>
      </c>
      <c r="H287" s="36">
        <f>COUNTIF('10'!$N$6:$N$529,"장공")</f>
        <v>0</v>
      </c>
      <c r="I287" s="37" t="s">
        <v>11</v>
      </c>
      <c r="J287" s="38">
        <f>SUMIF('10'!$N$6:$N$529,"장공",'10'!$E$6:$E$529)</f>
        <v>0</v>
      </c>
      <c r="K287" s="36">
        <f t="shared" si="18"/>
        <v>0</v>
      </c>
      <c r="L287" s="37" t="s">
        <v>11</v>
      </c>
      <c r="M287" s="38">
        <f t="shared" si="19"/>
        <v>0</v>
      </c>
      <c r="N287" s="39"/>
      <c r="O287" s="23"/>
      <c r="P287" s="23"/>
      <c r="Q287" s="23"/>
      <c r="R287" s="23"/>
      <c r="S287" s="23"/>
      <c r="T287" s="23"/>
      <c r="U287" s="23"/>
      <c r="V287" s="23"/>
    </row>
    <row r="288" spans="1:22" s="24" customFormat="1" ht="23.1" customHeight="1">
      <c r="A288" s="104" t="s">
        <v>24</v>
      </c>
      <c r="B288" s="36">
        <f>COUNTIF('10'!$C$6:$C$529,"목")</f>
        <v>0</v>
      </c>
      <c r="C288" s="37" t="s">
        <v>11</v>
      </c>
      <c r="D288" s="38">
        <f>SUMIF('10'!$C$6:$C$529,"목",'10'!$E$6:$E$529)</f>
        <v>0</v>
      </c>
      <c r="E288" s="36">
        <f>COUNTIF('10'!$N$6:$N$529,"목국")</f>
        <v>0</v>
      </c>
      <c r="F288" s="37" t="s">
        <v>11</v>
      </c>
      <c r="G288" s="38">
        <f>SUMIF('10'!$N$6:$N$529,"목국",'10'!$E$6:$E$529)</f>
        <v>0</v>
      </c>
      <c r="H288" s="36">
        <f>COUNTIF('10'!$N$6:$N$529,"목공")</f>
        <v>0</v>
      </c>
      <c r="I288" s="37" t="s">
        <v>11</v>
      </c>
      <c r="J288" s="38">
        <f>SUMIF('10'!$N$6:$N$529,"목공",'10'!$E$6:$E$529)</f>
        <v>0</v>
      </c>
      <c r="K288" s="36">
        <f t="shared" si="18"/>
        <v>0</v>
      </c>
      <c r="L288" s="37" t="s">
        <v>11</v>
      </c>
      <c r="M288" s="38">
        <f t="shared" si="19"/>
        <v>0</v>
      </c>
      <c r="N288" s="39"/>
      <c r="O288" s="23"/>
      <c r="P288" s="23"/>
      <c r="Q288" s="23"/>
      <c r="R288" s="23"/>
      <c r="S288" s="23"/>
      <c r="T288" s="23"/>
      <c r="U288" s="23"/>
      <c r="V288" s="23"/>
    </row>
    <row r="289" spans="1:22" s="24" customFormat="1" ht="23.1" customHeight="1">
      <c r="A289" s="104" t="s">
        <v>25</v>
      </c>
      <c r="B289" s="36">
        <f>COUNTIF('10'!$C$6:$C$529,"학")</f>
        <v>0</v>
      </c>
      <c r="C289" s="37" t="s">
        <v>11</v>
      </c>
      <c r="D289" s="38">
        <f>SUMIF('10'!$C$6:$C$529,"학",'10'!$E$6:$E$529)</f>
        <v>0</v>
      </c>
      <c r="E289" s="36">
        <f>COUNTIF('10'!$N$6:$N$529,"학국")</f>
        <v>0</v>
      </c>
      <c r="F289" s="37" t="s">
        <v>11</v>
      </c>
      <c r="G289" s="38">
        <f>SUMIF('10'!$N$6:$N$529,"학국",'10'!$E$6:$E$529)</f>
        <v>0</v>
      </c>
      <c r="H289" s="36">
        <f>COUNTIF('10'!$N$6:$N$529,"학공")</f>
        <v>0</v>
      </c>
      <c r="I289" s="37" t="s">
        <v>11</v>
      </c>
      <c r="J289" s="38">
        <f>SUMIF('10'!$N$6:$N$529,"학공",'10'!$E$6:$E$529)</f>
        <v>0</v>
      </c>
      <c r="K289" s="36">
        <f t="shared" si="18"/>
        <v>0</v>
      </c>
      <c r="L289" s="37" t="s">
        <v>11</v>
      </c>
      <c r="M289" s="38">
        <f t="shared" si="19"/>
        <v>0</v>
      </c>
      <c r="N289" s="39"/>
      <c r="O289" s="23"/>
      <c r="P289" s="23"/>
      <c r="Q289" s="23"/>
      <c r="R289" s="23"/>
      <c r="S289" s="23"/>
      <c r="T289" s="23"/>
      <c r="U289" s="23"/>
      <c r="V289" s="23"/>
    </row>
    <row r="290" spans="1:22" s="24" customFormat="1" ht="23.1" customHeight="1">
      <c r="A290" s="104" t="s">
        <v>26</v>
      </c>
      <c r="B290" s="36">
        <f>COUNTIF('10'!$C$6:$C$529,"철")</f>
        <v>0</v>
      </c>
      <c r="C290" s="37" t="s">
        <v>11</v>
      </c>
      <c r="D290" s="38">
        <f>SUMIF('10'!$C$6:$C$529,"철",'10'!$E$6:$E$529)</f>
        <v>0</v>
      </c>
      <c r="E290" s="36">
        <f>COUNTIF('10'!$N$6:$N$529,"철국")</f>
        <v>0</v>
      </c>
      <c r="F290" s="37" t="s">
        <v>11</v>
      </c>
      <c r="G290" s="38">
        <f>SUMIF('10'!$N$6:$N$529,"철국",'10'!$E$6:$E$529)</f>
        <v>0</v>
      </c>
      <c r="H290" s="36">
        <f>COUNTIF('10'!$N$6:$N$529,"철공")</f>
        <v>0</v>
      </c>
      <c r="I290" s="37" t="s">
        <v>11</v>
      </c>
      <c r="J290" s="38">
        <f>SUMIF('10'!$N$6:$N$529,"철공",'10'!$E$6:$E$529)</f>
        <v>0</v>
      </c>
      <c r="K290" s="36">
        <f t="shared" si="18"/>
        <v>0</v>
      </c>
      <c r="L290" s="37" t="s">
        <v>11</v>
      </c>
      <c r="M290" s="38">
        <f t="shared" si="19"/>
        <v>0</v>
      </c>
      <c r="N290" s="39"/>
      <c r="O290" s="23"/>
      <c r="P290" s="23"/>
      <c r="Q290" s="23"/>
      <c r="R290" s="23"/>
      <c r="S290" s="23"/>
      <c r="T290" s="23"/>
      <c r="U290" s="23"/>
      <c r="V290" s="23"/>
    </row>
    <row r="291" spans="1:22" s="24" customFormat="1" ht="23.1" customHeight="1">
      <c r="A291" s="104" t="s">
        <v>27</v>
      </c>
      <c r="B291" s="36">
        <f>COUNTIF('10'!$C$6:$C$529,"묘")</f>
        <v>0</v>
      </c>
      <c r="C291" s="37" t="s">
        <v>11</v>
      </c>
      <c r="D291" s="38">
        <f>SUMIF('10'!$C$6:$C$529,"묘",'10'!$E$6:$E$529)</f>
        <v>0</v>
      </c>
      <c r="E291" s="36">
        <f>COUNTIF('10'!$N$6:$N$529,"묘국")</f>
        <v>0</v>
      </c>
      <c r="F291" s="37" t="s">
        <v>11</v>
      </c>
      <c r="G291" s="38">
        <f>SUMIF('10'!$N$6:$N$529,"묘국",'10'!$E$6:$E$529)</f>
        <v>0</v>
      </c>
      <c r="H291" s="36">
        <f>COUNTIF('10'!$N$6:$N$529,"묘공")</f>
        <v>0</v>
      </c>
      <c r="I291" s="37" t="s">
        <v>11</v>
      </c>
      <c r="J291" s="38">
        <f>SUMIF('10'!$N$6:$N$529,"묘공",'10'!$E$6:$E$529)</f>
        <v>0</v>
      </c>
      <c r="K291" s="36">
        <f t="shared" si="18"/>
        <v>0</v>
      </c>
      <c r="L291" s="37" t="s">
        <v>11</v>
      </c>
      <c r="M291" s="38">
        <f t="shared" si="19"/>
        <v>0</v>
      </c>
      <c r="N291" s="39"/>
      <c r="O291" s="23"/>
      <c r="P291" s="23"/>
      <c r="Q291" s="23"/>
      <c r="R291" s="23"/>
      <c r="S291" s="23"/>
      <c r="T291" s="23"/>
      <c r="U291" s="23"/>
      <c r="V291" s="23"/>
    </row>
    <row r="292" spans="1:22" s="24" customFormat="1" ht="23.1" customHeight="1">
      <c r="A292" s="104" t="s">
        <v>28</v>
      </c>
      <c r="B292" s="36">
        <f>COUNTIF('10'!$C$6:$C$529,"수")</f>
        <v>0</v>
      </c>
      <c r="C292" s="37" t="s">
        <v>11</v>
      </c>
      <c r="D292" s="38">
        <f>SUMIF('10'!$C$6:$C$529,"수",'10'!$E$6:$E$529)</f>
        <v>0</v>
      </c>
      <c r="E292" s="36">
        <f>COUNTIF('10'!$N$6:$N$529,"수국")</f>
        <v>0</v>
      </c>
      <c r="F292" s="37" t="s">
        <v>11</v>
      </c>
      <c r="G292" s="38">
        <f>SUMIF('10'!$N$6:$N$529,"수국",'10'!$E$6:$E$529)</f>
        <v>0</v>
      </c>
      <c r="H292" s="36">
        <f>COUNTIF('10'!$N$6:$N$529,"수공")</f>
        <v>0</v>
      </c>
      <c r="I292" s="37" t="s">
        <v>11</v>
      </c>
      <c r="J292" s="38">
        <f>SUMIF('10'!$N$6:$N$529,"수공",'10'!$E$6:$E$529)</f>
        <v>0</v>
      </c>
      <c r="K292" s="36">
        <f t="shared" si="18"/>
        <v>0</v>
      </c>
      <c r="L292" s="37" t="s">
        <v>11</v>
      </c>
      <c r="M292" s="38">
        <f t="shared" si="19"/>
        <v>0</v>
      </c>
      <c r="N292" s="39"/>
      <c r="O292" s="23"/>
      <c r="P292" s="23"/>
      <c r="Q292" s="23"/>
      <c r="R292" s="23"/>
      <c r="S292" s="23"/>
      <c r="T292" s="23"/>
      <c r="U292" s="23"/>
      <c r="V292" s="23"/>
    </row>
    <row r="293" spans="1:22" s="24" customFormat="1" ht="23.1" customHeight="1">
      <c r="A293" s="104" t="s">
        <v>29</v>
      </c>
      <c r="B293" s="36">
        <f>COUNTIF('10'!$C$6:$C$529,"잡")</f>
        <v>0</v>
      </c>
      <c r="C293" s="37" t="s">
        <v>11</v>
      </c>
      <c r="D293" s="38">
        <f>SUMIF('10'!$C$6:$C$529,"잡",'10'!$E$6:$E$529)</f>
        <v>0</v>
      </c>
      <c r="E293" s="36">
        <f>COUNTIF('10'!$N$6:$N$529,"잡국")</f>
        <v>0</v>
      </c>
      <c r="F293" s="37" t="s">
        <v>11</v>
      </c>
      <c r="G293" s="38">
        <f>SUMIF('10'!$N$6:$N$529,"잡국",'10'!$E$6:$E$529)</f>
        <v>0</v>
      </c>
      <c r="H293" s="36">
        <f>COUNTIF('10'!$N$6:$N$529,"잡공")</f>
        <v>0</v>
      </c>
      <c r="I293" s="37" t="s">
        <v>11</v>
      </c>
      <c r="J293" s="38">
        <f>SUMIF('10'!$N$6:$N$529,"잡공",'10'!$E$6:$E$529)</f>
        <v>0</v>
      </c>
      <c r="K293" s="36">
        <f t="shared" si="18"/>
        <v>0</v>
      </c>
      <c r="L293" s="37" t="s">
        <v>11</v>
      </c>
      <c r="M293" s="38">
        <f t="shared" si="19"/>
        <v>0</v>
      </c>
      <c r="N293" s="39"/>
      <c r="O293" s="23"/>
      <c r="P293" s="23"/>
      <c r="Q293" s="23"/>
      <c r="R293" s="23"/>
      <c r="S293" s="23"/>
      <c r="T293" s="23"/>
      <c r="U293" s="23"/>
      <c r="V293" s="23"/>
    </row>
    <row r="294" spans="1:22" s="24" customFormat="1" ht="23.1" customHeight="1">
      <c r="A294" s="105" t="s">
        <v>30</v>
      </c>
      <c r="B294" s="36">
        <f>COUNTIF('10'!$C$6:$C$529,"종")</f>
        <v>0</v>
      </c>
      <c r="C294" s="37" t="s">
        <v>11</v>
      </c>
      <c r="D294" s="38">
        <f>SUMIF('10'!$C$6:$C$529,"종",'10'!$E$6:$E$529)</f>
        <v>0</v>
      </c>
      <c r="E294" s="36">
        <f>COUNTIF('10'!$N$6:$N$529,"종국")</f>
        <v>0</v>
      </c>
      <c r="F294" s="37" t="s">
        <v>11</v>
      </c>
      <c r="G294" s="38">
        <f>SUMIF('10'!$N$6:$N$529,"종국",'10'!$E$6:$E$529)</f>
        <v>0</v>
      </c>
      <c r="H294" s="36">
        <f>COUNTIF('10'!$N$6:$N$529,"종공")</f>
        <v>0</v>
      </c>
      <c r="I294" s="37" t="s">
        <v>11</v>
      </c>
      <c r="J294" s="38">
        <f>SUMIF('10'!$N$6:$N$529,"종공",'10'!$E$6:$E$529)</f>
        <v>0</v>
      </c>
      <c r="K294" s="36">
        <f t="shared" si="18"/>
        <v>0</v>
      </c>
      <c r="L294" s="37" t="s">
        <v>11</v>
      </c>
      <c r="M294" s="38">
        <f t="shared" si="19"/>
        <v>0</v>
      </c>
      <c r="N294" s="39"/>
      <c r="O294" s="23"/>
      <c r="P294" s="23"/>
      <c r="Q294" s="23"/>
      <c r="R294" s="23"/>
      <c r="S294" s="23"/>
      <c r="T294" s="23"/>
      <c r="U294" s="23"/>
      <c r="V294" s="23"/>
    </row>
    <row r="295" spans="1:22" s="24" customFormat="1" ht="23.1" customHeight="1">
      <c r="A295" s="105" t="s">
        <v>31</v>
      </c>
      <c r="B295" s="36">
        <f>COUNTIF('10'!$C$6:$C$529,"염")</f>
        <v>0</v>
      </c>
      <c r="C295" s="37" t="s">
        <v>11</v>
      </c>
      <c r="D295" s="38">
        <f>SUMIF('10'!$C$6:$C$529,"염",'10'!$E$6:$E$529)</f>
        <v>0</v>
      </c>
      <c r="E295" s="36">
        <f>COUNTIF('10'!$N$6:$N$529,"염국")</f>
        <v>0</v>
      </c>
      <c r="F295" s="37" t="s">
        <v>11</v>
      </c>
      <c r="G295" s="38">
        <f>SUMIF('10'!$N$6:$N$529,"염국",'10'!$E$6:$E$529)</f>
        <v>0</v>
      </c>
      <c r="H295" s="36">
        <f>COUNTIF('10'!$N$6:$N$529,"염공")</f>
        <v>0</v>
      </c>
      <c r="I295" s="37" t="s">
        <v>11</v>
      </c>
      <c r="J295" s="38">
        <f>SUMIF('10'!$N$6:$N$529,"염공",'10'!$E$6:$E$529)</f>
        <v>0</v>
      </c>
      <c r="K295" s="36">
        <f t="shared" si="18"/>
        <v>0</v>
      </c>
      <c r="L295" s="37" t="s">
        <v>11</v>
      </c>
      <c r="M295" s="38">
        <f t="shared" si="19"/>
        <v>0</v>
      </c>
      <c r="N295" s="39"/>
      <c r="O295" s="23"/>
      <c r="P295" s="23"/>
      <c r="Q295" s="23"/>
      <c r="R295" s="23"/>
      <c r="S295" s="23"/>
      <c r="T295" s="23"/>
      <c r="U295" s="23"/>
      <c r="V295" s="23"/>
    </row>
    <row r="296" spans="1:22" s="24" customFormat="1" ht="23.1" customHeight="1">
      <c r="A296" s="105" t="s">
        <v>32</v>
      </c>
      <c r="B296" s="36">
        <f>COUNTIF('10'!$C$6:$C$529,"공")</f>
        <v>0</v>
      </c>
      <c r="C296" s="37" t="s">
        <v>11</v>
      </c>
      <c r="D296" s="38">
        <f>SUMIF('10'!$C$6:$C$529,"공",'10'!$E$6:$E$529)</f>
        <v>0</v>
      </c>
      <c r="E296" s="36">
        <f>COUNTIF('10'!$N$6:$N$529,"공국")</f>
        <v>0</v>
      </c>
      <c r="F296" s="37" t="s">
        <v>11</v>
      </c>
      <c r="G296" s="38">
        <f>SUMIF('10'!$N$6:$N$529,"공국",'10'!$E$6:$E$529)</f>
        <v>0</v>
      </c>
      <c r="H296" s="36">
        <f>COUNTIF('10'!$N$6:$N$529,"공공")</f>
        <v>0</v>
      </c>
      <c r="I296" s="37" t="s">
        <v>11</v>
      </c>
      <c r="J296" s="38">
        <f>SUMIF('10'!$N$6:$N$529,"공공",'10'!$E$6:$E$529)</f>
        <v>0</v>
      </c>
      <c r="K296" s="36">
        <f t="shared" si="18"/>
        <v>0</v>
      </c>
      <c r="L296" s="37" t="s">
        <v>11</v>
      </c>
      <c r="M296" s="38">
        <f t="shared" si="19"/>
        <v>0</v>
      </c>
      <c r="N296" s="39"/>
      <c r="O296" s="23"/>
      <c r="P296" s="23"/>
      <c r="Q296" s="23"/>
      <c r="R296" s="23"/>
      <c r="S296" s="23"/>
      <c r="T296" s="23"/>
      <c r="U296" s="23"/>
      <c r="V296" s="23"/>
    </row>
    <row r="297" spans="1:22" s="24" customFormat="1" ht="23.1" customHeight="1">
      <c r="A297" s="105" t="s">
        <v>33</v>
      </c>
      <c r="B297" s="36">
        <f>COUNTIF('10'!$C$6:$C$529,"체")</f>
        <v>0</v>
      </c>
      <c r="C297" s="37" t="s">
        <v>11</v>
      </c>
      <c r="D297" s="38">
        <f>SUMIF('10'!$C$6:$C$529,"체",'10'!$E$6:$E$529)</f>
        <v>0</v>
      </c>
      <c r="E297" s="36">
        <f>COUNTIF('10'!$N$6:$N$529,"체국")</f>
        <v>0</v>
      </c>
      <c r="F297" s="37" t="s">
        <v>11</v>
      </c>
      <c r="G297" s="38">
        <f>SUMIF('10'!$N$6:$N$529,"체국",'10'!$E$6:$E$529)</f>
        <v>0</v>
      </c>
      <c r="H297" s="36">
        <f>COUNTIF('10'!$N$6:$N$529,"체공")</f>
        <v>0</v>
      </c>
      <c r="I297" s="37" t="s">
        <v>11</v>
      </c>
      <c r="J297" s="38">
        <f>SUMIF('10'!$N$6:$N$529,"체공",'10'!$E$6:$E$529)</f>
        <v>0</v>
      </c>
      <c r="K297" s="36">
        <f t="shared" si="18"/>
        <v>0</v>
      </c>
      <c r="L297" s="37" t="s">
        <v>11</v>
      </c>
      <c r="M297" s="38">
        <f t="shared" si="19"/>
        <v>0</v>
      </c>
      <c r="N297" s="39"/>
      <c r="O297" s="23"/>
      <c r="P297" s="23"/>
      <c r="Q297" s="23"/>
      <c r="R297" s="23"/>
      <c r="S297" s="23"/>
      <c r="T297" s="23"/>
      <c r="U297" s="23"/>
      <c r="V297" s="23"/>
    </row>
    <row r="298" spans="1:22" s="24" customFormat="1" ht="23.1" customHeight="1">
      <c r="A298" s="105" t="s">
        <v>34</v>
      </c>
      <c r="B298" s="36">
        <f>COUNTIF('10'!$C$6:$C$529,"원")</f>
        <v>0</v>
      </c>
      <c r="C298" s="37" t="s">
        <v>11</v>
      </c>
      <c r="D298" s="38">
        <f>SUMIF('10'!$C$6:$C$529,"원",'10'!$E$6:$E$529)</f>
        <v>0</v>
      </c>
      <c r="E298" s="36">
        <f>COUNTIF('10'!$N$6:$N$529,"원국")</f>
        <v>0</v>
      </c>
      <c r="F298" s="37" t="s">
        <v>11</v>
      </c>
      <c r="G298" s="38">
        <f>SUMIF('10'!$N$6:$N$529,"원국",'10'!$E$6:$E$529)</f>
        <v>0</v>
      </c>
      <c r="H298" s="36">
        <f>COUNTIF('10'!$N$6:$N$529,"원공")</f>
        <v>0</v>
      </c>
      <c r="I298" s="37" t="s">
        <v>11</v>
      </c>
      <c r="J298" s="38">
        <f>SUMIF('10'!$N$6:$N$529,"원공",'10'!$E$6:$E$529)</f>
        <v>0</v>
      </c>
      <c r="K298" s="36">
        <f t="shared" si="18"/>
        <v>0</v>
      </c>
      <c r="L298" s="37" t="s">
        <v>11</v>
      </c>
      <c r="M298" s="38">
        <f t="shared" si="19"/>
        <v>0</v>
      </c>
      <c r="N298" s="39"/>
      <c r="O298" s="23"/>
      <c r="P298" s="23"/>
      <c r="Q298" s="23"/>
      <c r="R298" s="23"/>
      <c r="S298" s="23"/>
      <c r="T298" s="23"/>
      <c r="U298" s="23"/>
      <c r="V298" s="23"/>
    </row>
    <row r="299" spans="1:22" s="24" customFormat="1" ht="23.1" customHeight="1">
      <c r="A299" s="105" t="s">
        <v>66</v>
      </c>
      <c r="B299" s="36">
        <f>COUNTIF('10'!$C$6:$C$529,"차")</f>
        <v>0</v>
      </c>
      <c r="C299" s="37" t="s">
        <v>11</v>
      </c>
      <c r="D299" s="38">
        <f>SUMIF('10'!$C$6:$C$529,"차",'10'!$E$6:$E$529)</f>
        <v>0</v>
      </c>
      <c r="E299" s="36">
        <f>COUNTIF('10'!$N$6:$N$529,"차국")</f>
        <v>0</v>
      </c>
      <c r="F299" s="37" t="s">
        <v>11</v>
      </c>
      <c r="G299" s="38">
        <f>SUMIF('10'!$N$6:$N$529,"차국",'10'!$E$6:$E$529)</f>
        <v>0</v>
      </c>
      <c r="H299" s="36">
        <f>COUNTIF('10'!$N$6:$N$529,"차공")</f>
        <v>0</v>
      </c>
      <c r="I299" s="37" t="s">
        <v>11</v>
      </c>
      <c r="J299" s="38">
        <f>SUMIF('10'!$N$6:$N$529,"차공",'10'!$E$6:$E$529)</f>
        <v>0</v>
      </c>
      <c r="K299" s="36">
        <f t="shared" si="18"/>
        <v>0</v>
      </c>
      <c r="L299" s="37" t="s">
        <v>11</v>
      </c>
      <c r="M299" s="38">
        <f t="shared" si="19"/>
        <v>0</v>
      </c>
      <c r="N299" s="39"/>
      <c r="O299" s="23"/>
      <c r="P299" s="23"/>
      <c r="Q299" s="23"/>
      <c r="R299" s="23"/>
      <c r="S299" s="23"/>
      <c r="T299" s="23"/>
      <c r="U299" s="23"/>
      <c r="V299" s="23"/>
    </row>
    <row r="300" spans="1:22" s="24" customFormat="1" ht="23.1" customHeight="1">
      <c r="A300" s="105" t="s">
        <v>67</v>
      </c>
      <c r="B300" s="36">
        <f>COUNTIF('10'!$C$6:$C$529,"주")</f>
        <v>0</v>
      </c>
      <c r="C300" s="37" t="s">
        <v>11</v>
      </c>
      <c r="D300" s="38">
        <f>SUMIF('10'!$C$6:$C$529,"주",'10'!$E$6:$E$529)</f>
        <v>0</v>
      </c>
      <c r="E300" s="36">
        <f>COUNTIF('10'!$N$6:$N$529,"주국")</f>
        <v>0</v>
      </c>
      <c r="F300" s="37" t="s">
        <v>11</v>
      </c>
      <c r="G300" s="38">
        <f>SUMIF('10'!$N$6:$N$529,"주국",'10'!$E$6:$E$529)</f>
        <v>0</v>
      </c>
      <c r="H300" s="36">
        <f>COUNTIF('10'!$N$6:$N$529,"주공")</f>
        <v>0</v>
      </c>
      <c r="I300" s="37" t="s">
        <v>11</v>
      </c>
      <c r="J300" s="38">
        <f>SUMIF('10'!$N$6:$N$529,"주공",'10'!$E$6:$E$529)</f>
        <v>0</v>
      </c>
      <c r="K300" s="36">
        <f t="shared" si="18"/>
        <v>0</v>
      </c>
      <c r="L300" s="37" t="s">
        <v>11</v>
      </c>
      <c r="M300" s="38">
        <f t="shared" si="19"/>
        <v>0</v>
      </c>
      <c r="N300" s="39"/>
      <c r="O300" s="23"/>
      <c r="P300" s="23"/>
      <c r="Q300" s="23"/>
      <c r="R300" s="23"/>
      <c r="S300" s="23"/>
      <c r="T300" s="23"/>
      <c r="U300" s="23"/>
      <c r="V300" s="23"/>
    </row>
    <row r="301" spans="1:22" s="24" customFormat="1" ht="23.1" customHeight="1">
      <c r="A301" s="106" t="s">
        <v>68</v>
      </c>
      <c r="B301" s="40">
        <f>COUNTIF('10'!$C$6:$C$529," ")</f>
        <v>0</v>
      </c>
      <c r="C301" s="41" t="s">
        <v>11</v>
      </c>
      <c r="D301" s="42">
        <f>SUMIF('10'!$C$6:$C$529," ",'10'!$E$6:$E$529)</f>
        <v>0</v>
      </c>
      <c r="E301" s="40">
        <f>COUNTIF('10'!$N$6:$N$529," 국")</f>
        <v>0</v>
      </c>
      <c r="F301" s="41" t="s">
        <v>11</v>
      </c>
      <c r="G301" s="42">
        <f>SUMIF('10'!$N$6:$N$529," 국",'10'!$E$6:$E$529)</f>
        <v>0</v>
      </c>
      <c r="H301" s="40">
        <f>COUNTIF('10'!$N$6:$N$529," 공")</f>
        <v>0</v>
      </c>
      <c r="I301" s="41" t="s">
        <v>11</v>
      </c>
      <c r="J301" s="42">
        <f>SUMIF('10'!$N$6:$N$529," 공",'10'!$E$6:$E$529)</f>
        <v>0</v>
      </c>
      <c r="K301" s="40">
        <f t="shared" si="18"/>
        <v>0</v>
      </c>
      <c r="L301" s="41" t="s">
        <v>11</v>
      </c>
      <c r="M301" s="42">
        <f t="shared" si="19"/>
        <v>0</v>
      </c>
      <c r="N301" s="43"/>
      <c r="O301" s="23"/>
      <c r="P301" s="23"/>
      <c r="Q301" s="23"/>
      <c r="R301" s="23"/>
      <c r="S301" s="23"/>
      <c r="T301" s="23"/>
      <c r="U301" s="23"/>
      <c r="V301" s="23"/>
    </row>
    <row r="302" spans="1:22">
      <c r="N302" s="100"/>
    </row>
    <row r="303" spans="1:22">
      <c r="N303" s="100"/>
    </row>
    <row r="304" spans="1:22">
      <c r="N304" s="100"/>
    </row>
    <row r="305" spans="1:14">
      <c r="N305" s="100"/>
    </row>
    <row r="306" spans="1:14">
      <c r="N306" s="100"/>
    </row>
    <row r="307" spans="1:14">
      <c r="A307" s="101"/>
      <c r="B307" s="102"/>
      <c r="C307" s="102"/>
      <c r="D307" s="102"/>
      <c r="E307" s="102"/>
      <c r="F307" s="102"/>
      <c r="G307" s="102"/>
      <c r="H307" s="102"/>
      <c r="I307" s="102"/>
      <c r="J307" s="102"/>
      <c r="K307" s="102"/>
      <c r="L307" s="102"/>
      <c r="M307" s="102"/>
      <c r="N307" s="102"/>
    </row>
    <row r="308" spans="1:14">
      <c r="A308" s="101"/>
      <c r="B308" s="102"/>
      <c r="C308" s="102"/>
      <c r="D308" s="102"/>
      <c r="E308" s="102"/>
      <c r="F308" s="102"/>
      <c r="G308" s="102"/>
      <c r="H308" s="102"/>
      <c r="I308" s="102"/>
      <c r="J308" s="102"/>
      <c r="K308" s="102"/>
      <c r="L308" s="102"/>
      <c r="M308" s="102"/>
      <c r="N308" s="102"/>
    </row>
    <row r="309" spans="1:14">
      <c r="A309" s="101"/>
      <c r="B309" s="102"/>
      <c r="C309" s="102"/>
      <c r="D309" s="102"/>
      <c r="E309" s="102"/>
      <c r="F309" s="102"/>
      <c r="G309" s="102"/>
      <c r="H309" s="102"/>
      <c r="I309" s="102"/>
      <c r="J309" s="102"/>
      <c r="K309" s="102"/>
      <c r="L309" s="102"/>
      <c r="M309" s="102"/>
      <c r="N309" s="102"/>
    </row>
    <row r="310" spans="1:14">
      <c r="A310" s="101"/>
      <c r="B310" s="102"/>
      <c r="C310" s="102"/>
      <c r="D310" s="102"/>
      <c r="E310" s="102"/>
      <c r="F310" s="102"/>
      <c r="G310" s="102"/>
      <c r="H310" s="102"/>
      <c r="I310" s="102"/>
      <c r="J310" s="102"/>
      <c r="K310" s="102"/>
      <c r="L310" s="102"/>
      <c r="M310" s="102"/>
      <c r="N310" s="102"/>
    </row>
    <row r="311" spans="1:14">
      <c r="A311" s="101"/>
      <c r="B311" s="102"/>
      <c r="C311" s="102"/>
      <c r="D311" s="102"/>
      <c r="E311" s="102"/>
      <c r="F311" s="102"/>
      <c r="G311" s="102"/>
      <c r="H311" s="102"/>
      <c r="I311" s="102"/>
      <c r="J311" s="102"/>
      <c r="K311" s="102"/>
      <c r="L311" s="102"/>
      <c r="M311" s="102"/>
      <c r="N311" s="102"/>
    </row>
    <row r="312" spans="1:14">
      <c r="A312" s="101"/>
      <c r="B312" s="102"/>
      <c r="C312" s="102"/>
      <c r="D312" s="102"/>
      <c r="E312" s="102"/>
      <c r="F312" s="102"/>
      <c r="G312" s="102"/>
      <c r="H312" s="102"/>
      <c r="I312" s="102"/>
      <c r="J312" s="102"/>
      <c r="K312" s="102"/>
      <c r="L312" s="102"/>
      <c r="M312" s="102"/>
      <c r="N312" s="102"/>
    </row>
    <row r="313" spans="1:14">
      <c r="A313" s="101"/>
      <c r="B313" s="102"/>
      <c r="C313" s="102"/>
      <c r="D313" s="102"/>
      <c r="E313" s="102"/>
      <c r="F313" s="102"/>
      <c r="G313" s="102"/>
      <c r="H313" s="102"/>
      <c r="I313" s="102"/>
      <c r="J313" s="102"/>
      <c r="K313" s="102"/>
      <c r="L313" s="102"/>
      <c r="M313" s="102"/>
      <c r="N313" s="102"/>
    </row>
    <row r="314" spans="1:14">
      <c r="A314" s="101"/>
      <c r="B314" s="102"/>
      <c r="C314" s="102"/>
      <c r="D314" s="102"/>
      <c r="E314" s="102"/>
      <c r="F314" s="102"/>
      <c r="G314" s="102"/>
      <c r="H314" s="102"/>
      <c r="I314" s="102"/>
      <c r="J314" s="102"/>
      <c r="K314" s="102"/>
      <c r="L314" s="102"/>
      <c r="M314" s="102"/>
      <c r="N314" s="102"/>
    </row>
    <row r="315" spans="1:14">
      <c r="A315" s="101"/>
      <c r="B315" s="102"/>
      <c r="C315" s="102"/>
      <c r="D315" s="102"/>
      <c r="E315" s="102"/>
      <c r="F315" s="102"/>
      <c r="G315" s="102"/>
      <c r="H315" s="102"/>
      <c r="I315" s="102"/>
      <c r="J315" s="102"/>
      <c r="K315" s="102"/>
      <c r="L315" s="102"/>
      <c r="M315" s="102"/>
      <c r="N315" s="102"/>
    </row>
    <row r="316" spans="1:14">
      <c r="A316" s="101"/>
      <c r="B316" s="102"/>
      <c r="C316" s="102"/>
      <c r="D316" s="102"/>
      <c r="E316" s="102"/>
      <c r="F316" s="102"/>
      <c r="G316" s="102"/>
      <c r="H316" s="102"/>
      <c r="I316" s="102"/>
      <c r="J316" s="102"/>
      <c r="K316" s="102"/>
      <c r="L316" s="102"/>
      <c r="M316" s="102"/>
      <c r="N316" s="102"/>
    </row>
    <row r="317" spans="1:14">
      <c r="A317" s="101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  <c r="L317" s="102"/>
      <c r="M317" s="102"/>
      <c r="N317" s="102"/>
    </row>
    <row r="318" spans="1:14">
      <c r="A318" s="101"/>
      <c r="B318" s="102"/>
      <c r="C318" s="102"/>
      <c r="D318" s="102"/>
      <c r="E318" s="102"/>
      <c r="F318" s="102"/>
      <c r="G318" s="102"/>
      <c r="H318" s="102"/>
      <c r="I318" s="102"/>
      <c r="J318" s="102"/>
      <c r="K318" s="102"/>
      <c r="L318" s="102"/>
      <c r="M318" s="102"/>
      <c r="N318" s="102"/>
    </row>
    <row r="319" spans="1:14">
      <c r="A319" s="101"/>
      <c r="B319" s="102"/>
      <c r="C319" s="102"/>
      <c r="D319" s="102"/>
      <c r="E319" s="102"/>
      <c r="F319" s="102"/>
      <c r="G319" s="102"/>
      <c r="H319" s="102"/>
      <c r="I319" s="102"/>
      <c r="J319" s="102"/>
      <c r="K319" s="102"/>
      <c r="L319" s="102"/>
      <c r="M319" s="102"/>
      <c r="N319" s="102"/>
    </row>
    <row r="320" spans="1:14">
      <c r="A320" s="101"/>
      <c r="B320" s="102"/>
      <c r="C320" s="102"/>
      <c r="D320" s="102"/>
      <c r="E320" s="102"/>
      <c r="F320" s="102"/>
      <c r="G320" s="102"/>
      <c r="H320" s="102"/>
      <c r="I320" s="102"/>
      <c r="J320" s="102"/>
      <c r="K320" s="102"/>
      <c r="L320" s="102"/>
      <c r="M320" s="102"/>
      <c r="N320" s="102"/>
    </row>
    <row r="321" spans="1:14">
      <c r="A321" s="101"/>
      <c r="B321" s="102"/>
      <c r="C321" s="102"/>
      <c r="D321" s="102"/>
      <c r="E321" s="102"/>
      <c r="F321" s="102"/>
      <c r="G321" s="102"/>
      <c r="H321" s="102"/>
      <c r="I321" s="102"/>
      <c r="J321" s="102"/>
      <c r="K321" s="102"/>
      <c r="L321" s="102"/>
      <c r="M321" s="102"/>
      <c r="N321" s="102"/>
    </row>
    <row r="322" spans="1:14">
      <c r="N322" s="100"/>
    </row>
    <row r="323" spans="1:14">
      <c r="N323" s="100"/>
    </row>
    <row r="324" spans="1:14">
      <c r="N324" s="100"/>
    </row>
    <row r="325" spans="1:14">
      <c r="N325" s="100"/>
    </row>
    <row r="326" spans="1:14">
      <c r="N326" s="100"/>
    </row>
    <row r="327" spans="1:14">
      <c r="N327" s="100"/>
    </row>
    <row r="328" spans="1:14">
      <c r="A328" s="101"/>
      <c r="B328" s="102"/>
      <c r="C328" s="102"/>
      <c r="D328" s="102"/>
      <c r="E328" s="102"/>
      <c r="F328" s="102"/>
      <c r="G328" s="102"/>
      <c r="H328" s="102"/>
      <c r="I328" s="102"/>
      <c r="J328" s="102"/>
      <c r="K328" s="102"/>
      <c r="L328" s="102"/>
      <c r="M328" s="102"/>
      <c r="N328" s="102"/>
    </row>
    <row r="329" spans="1:14">
      <c r="A329" s="101"/>
      <c r="B329" s="102"/>
      <c r="C329" s="102"/>
      <c r="D329" s="102"/>
      <c r="E329" s="102"/>
      <c r="F329" s="102"/>
      <c r="G329" s="102"/>
      <c r="H329" s="102"/>
      <c r="I329" s="102"/>
      <c r="J329" s="102"/>
      <c r="K329" s="102"/>
      <c r="L329" s="102"/>
      <c r="M329" s="102"/>
      <c r="N329" s="102"/>
    </row>
    <row r="330" spans="1:14">
      <c r="A330" s="101"/>
      <c r="B330" s="102"/>
      <c r="C330" s="102"/>
      <c r="D330" s="102"/>
      <c r="E330" s="102"/>
      <c r="F330" s="102"/>
      <c r="G330" s="102"/>
      <c r="H330" s="102"/>
      <c r="I330" s="102"/>
      <c r="J330" s="102"/>
      <c r="K330" s="102"/>
      <c r="L330" s="102"/>
      <c r="M330" s="102"/>
      <c r="N330" s="102"/>
    </row>
    <row r="331" spans="1:14">
      <c r="A331" s="101"/>
      <c r="B331" s="102"/>
      <c r="C331" s="102"/>
      <c r="D331" s="102"/>
      <c r="E331" s="102"/>
      <c r="F331" s="102"/>
      <c r="G331" s="102"/>
      <c r="H331" s="102"/>
      <c r="I331" s="102"/>
      <c r="J331" s="102"/>
      <c r="K331" s="102"/>
      <c r="L331" s="102"/>
      <c r="M331" s="102"/>
      <c r="N331" s="102"/>
    </row>
    <row r="332" spans="1:14">
      <c r="A332" s="101"/>
      <c r="B332" s="102"/>
      <c r="C332" s="102"/>
      <c r="D332" s="102"/>
      <c r="E332" s="102"/>
      <c r="F332" s="102"/>
      <c r="G332" s="102"/>
      <c r="H332" s="102"/>
      <c r="I332" s="102"/>
      <c r="J332" s="102"/>
      <c r="K332" s="102"/>
      <c r="L332" s="102"/>
      <c r="M332" s="102"/>
      <c r="N332" s="102"/>
    </row>
    <row r="333" spans="1:14">
      <c r="A333" s="101"/>
      <c r="B333" s="102"/>
      <c r="C333" s="102"/>
      <c r="D333" s="102"/>
      <c r="E333" s="102"/>
      <c r="F333" s="102"/>
      <c r="G333" s="102"/>
      <c r="H333" s="102"/>
      <c r="I333" s="102"/>
      <c r="J333" s="102"/>
      <c r="K333" s="102"/>
      <c r="L333" s="102"/>
      <c r="M333" s="102"/>
      <c r="N333" s="102"/>
    </row>
    <row r="334" spans="1:14">
      <c r="A334" s="101"/>
      <c r="B334" s="102"/>
      <c r="C334" s="102"/>
      <c r="D334" s="102"/>
      <c r="E334" s="102"/>
      <c r="F334" s="102"/>
      <c r="G334" s="102"/>
      <c r="H334" s="102"/>
      <c r="I334" s="102"/>
      <c r="J334" s="102"/>
      <c r="K334" s="102"/>
      <c r="L334" s="102"/>
      <c r="M334" s="102"/>
      <c r="N334" s="102"/>
    </row>
    <row r="335" spans="1:14">
      <c r="A335" s="101"/>
      <c r="B335" s="102"/>
      <c r="C335" s="102"/>
      <c r="D335" s="102"/>
      <c r="E335" s="102"/>
      <c r="F335" s="102"/>
      <c r="G335" s="102"/>
      <c r="H335" s="102"/>
      <c r="I335" s="102"/>
      <c r="J335" s="102"/>
      <c r="K335" s="102"/>
      <c r="L335" s="102"/>
      <c r="M335" s="102"/>
      <c r="N335" s="102"/>
    </row>
    <row r="336" spans="1:14">
      <c r="A336" s="101"/>
      <c r="B336" s="102"/>
      <c r="C336" s="102"/>
      <c r="D336" s="102"/>
      <c r="E336" s="102"/>
      <c r="F336" s="102"/>
      <c r="G336" s="102"/>
      <c r="H336" s="102"/>
      <c r="I336" s="102"/>
      <c r="J336" s="102"/>
      <c r="K336" s="102"/>
      <c r="L336" s="102"/>
      <c r="M336" s="102"/>
      <c r="N336" s="102"/>
    </row>
    <row r="337" spans="1:14">
      <c r="A337" s="101"/>
      <c r="B337" s="102"/>
      <c r="C337" s="102"/>
      <c r="D337" s="102"/>
      <c r="E337" s="102"/>
      <c r="F337" s="102"/>
      <c r="G337" s="102"/>
      <c r="H337" s="102"/>
      <c r="I337" s="102"/>
      <c r="J337" s="102"/>
      <c r="K337" s="102"/>
      <c r="L337" s="102"/>
      <c r="M337" s="102"/>
      <c r="N337" s="102"/>
    </row>
    <row r="338" spans="1:14">
      <c r="A338" s="101"/>
      <c r="B338" s="102"/>
      <c r="C338" s="102"/>
      <c r="D338" s="102"/>
      <c r="E338" s="102"/>
      <c r="F338" s="102"/>
      <c r="G338" s="102"/>
      <c r="H338" s="102"/>
      <c r="I338" s="102"/>
      <c r="J338" s="102"/>
      <c r="K338" s="102"/>
      <c r="L338" s="102"/>
      <c r="M338" s="102"/>
      <c r="N338" s="102"/>
    </row>
    <row r="339" spans="1:14">
      <c r="A339" s="101"/>
      <c r="B339" s="102"/>
      <c r="C339" s="102"/>
      <c r="D339" s="102"/>
      <c r="E339" s="102"/>
      <c r="F339" s="102"/>
      <c r="G339" s="102"/>
      <c r="H339" s="102"/>
      <c r="I339" s="102"/>
      <c r="J339" s="102"/>
      <c r="K339" s="102"/>
      <c r="L339" s="102"/>
      <c r="M339" s="102"/>
      <c r="N339" s="102"/>
    </row>
    <row r="340" spans="1:14">
      <c r="A340" s="101"/>
      <c r="B340" s="102"/>
      <c r="C340" s="102"/>
      <c r="D340" s="102"/>
      <c r="E340" s="102"/>
      <c r="F340" s="102"/>
      <c r="G340" s="102"/>
      <c r="H340" s="102"/>
      <c r="I340" s="102"/>
      <c r="J340" s="102"/>
      <c r="K340" s="102"/>
      <c r="L340" s="102"/>
      <c r="M340" s="102"/>
      <c r="N340" s="102"/>
    </row>
    <row r="341" spans="1:14">
      <c r="A341" s="101"/>
      <c r="B341" s="102"/>
      <c r="C341" s="102"/>
      <c r="D341" s="102"/>
      <c r="E341" s="102"/>
      <c r="F341" s="102"/>
      <c r="G341" s="102"/>
      <c r="H341" s="102"/>
      <c r="I341" s="102"/>
      <c r="J341" s="102"/>
      <c r="K341" s="102"/>
      <c r="L341" s="102"/>
      <c r="M341" s="102"/>
      <c r="N341" s="102"/>
    </row>
    <row r="342" spans="1:14">
      <c r="A342" s="101"/>
      <c r="B342" s="102"/>
      <c r="C342" s="102"/>
      <c r="D342" s="102"/>
      <c r="E342" s="102"/>
      <c r="F342" s="102"/>
      <c r="G342" s="102"/>
      <c r="H342" s="102"/>
      <c r="I342" s="102"/>
      <c r="J342" s="102"/>
      <c r="K342" s="102"/>
      <c r="L342" s="102"/>
      <c r="M342" s="102"/>
      <c r="N342" s="102"/>
    </row>
    <row r="343" spans="1:14">
      <c r="N343" s="100"/>
    </row>
    <row r="344" spans="1:14">
      <c r="N344" s="100"/>
    </row>
    <row r="345" spans="1:14">
      <c r="N345" s="100"/>
    </row>
    <row r="346" spans="1:14">
      <c r="N346" s="100"/>
    </row>
    <row r="347" spans="1:14">
      <c r="N347" s="100"/>
    </row>
    <row r="348" spans="1:14">
      <c r="N348" s="100"/>
    </row>
    <row r="349" spans="1:14">
      <c r="A349" s="101"/>
      <c r="B349" s="102"/>
      <c r="C349" s="102"/>
      <c r="D349" s="102"/>
      <c r="E349" s="102"/>
      <c r="F349" s="102"/>
      <c r="G349" s="102"/>
      <c r="H349" s="102"/>
      <c r="I349" s="102"/>
      <c r="J349" s="102"/>
      <c r="K349" s="102"/>
      <c r="L349" s="102"/>
      <c r="M349" s="102"/>
      <c r="N349" s="102"/>
    </row>
    <row r="350" spans="1:14">
      <c r="A350" s="101"/>
      <c r="B350" s="102"/>
      <c r="C350" s="102"/>
      <c r="D350" s="102"/>
      <c r="E350" s="102"/>
      <c r="F350" s="102"/>
      <c r="G350" s="102"/>
      <c r="H350" s="102"/>
      <c r="I350" s="102"/>
      <c r="J350" s="102"/>
      <c r="K350" s="102"/>
      <c r="L350" s="102"/>
      <c r="M350" s="102"/>
      <c r="N350" s="102"/>
    </row>
    <row r="351" spans="1:14">
      <c r="A351" s="101"/>
      <c r="B351" s="102"/>
      <c r="C351" s="102"/>
      <c r="D351" s="102"/>
      <c r="E351" s="102"/>
      <c r="F351" s="102"/>
      <c r="G351" s="102"/>
      <c r="H351" s="102"/>
      <c r="I351" s="102"/>
      <c r="J351" s="102"/>
      <c r="K351" s="102"/>
      <c r="L351" s="102"/>
      <c r="M351" s="102"/>
      <c r="N351" s="102"/>
    </row>
    <row r="352" spans="1:14">
      <c r="A352" s="101"/>
      <c r="B352" s="102"/>
      <c r="C352" s="102"/>
      <c r="D352" s="102"/>
      <c r="E352" s="102"/>
      <c r="F352" s="102"/>
      <c r="G352" s="102"/>
      <c r="H352" s="102"/>
      <c r="I352" s="102"/>
      <c r="J352" s="102"/>
      <c r="K352" s="102"/>
      <c r="L352" s="102"/>
      <c r="M352" s="102"/>
      <c r="N352" s="102"/>
    </row>
    <row r="353" spans="1:14">
      <c r="A353" s="101"/>
      <c r="B353" s="102"/>
      <c r="C353" s="102"/>
      <c r="D353" s="102"/>
      <c r="E353" s="102"/>
      <c r="F353" s="102"/>
      <c r="G353" s="102"/>
      <c r="H353" s="102"/>
      <c r="I353" s="102"/>
      <c r="J353" s="102"/>
      <c r="K353" s="102"/>
      <c r="L353" s="102"/>
      <c r="M353" s="102"/>
      <c r="N353" s="102"/>
    </row>
    <row r="354" spans="1:14">
      <c r="A354" s="101"/>
      <c r="B354" s="102"/>
      <c r="C354" s="102"/>
      <c r="D354" s="102"/>
      <c r="E354" s="102"/>
      <c r="F354" s="102"/>
      <c r="G354" s="102"/>
      <c r="H354" s="102"/>
      <c r="I354" s="102"/>
      <c r="J354" s="102"/>
      <c r="K354" s="102"/>
      <c r="L354" s="102"/>
      <c r="M354" s="102"/>
      <c r="N354" s="102"/>
    </row>
    <row r="355" spans="1:14">
      <c r="A355" s="101"/>
      <c r="B355" s="102"/>
      <c r="C355" s="102"/>
      <c r="D355" s="102"/>
      <c r="E355" s="102"/>
      <c r="F355" s="102"/>
      <c r="G355" s="102"/>
      <c r="H355" s="102"/>
      <c r="I355" s="102"/>
      <c r="J355" s="102"/>
      <c r="K355" s="102"/>
      <c r="L355" s="102"/>
      <c r="M355" s="102"/>
      <c r="N355" s="102"/>
    </row>
    <row r="356" spans="1:14">
      <c r="A356" s="101"/>
      <c r="B356" s="102"/>
      <c r="C356" s="102"/>
      <c r="D356" s="102"/>
      <c r="E356" s="102"/>
      <c r="F356" s="102"/>
      <c r="G356" s="102"/>
      <c r="H356" s="102"/>
      <c r="I356" s="102"/>
      <c r="J356" s="102"/>
      <c r="K356" s="102"/>
      <c r="L356" s="102"/>
      <c r="M356" s="102"/>
      <c r="N356" s="102"/>
    </row>
    <row r="357" spans="1:14">
      <c r="A357" s="101"/>
      <c r="B357" s="102"/>
      <c r="C357" s="102"/>
      <c r="D357" s="102"/>
      <c r="E357" s="102"/>
      <c r="F357" s="102"/>
      <c r="G357" s="102"/>
      <c r="H357" s="102"/>
      <c r="I357" s="102"/>
      <c r="J357" s="102"/>
      <c r="K357" s="102"/>
      <c r="L357" s="102"/>
      <c r="M357" s="102"/>
      <c r="N357" s="102"/>
    </row>
    <row r="358" spans="1:14">
      <c r="A358" s="101"/>
      <c r="B358" s="102"/>
      <c r="C358" s="102"/>
      <c r="D358" s="102"/>
      <c r="E358" s="102"/>
      <c r="F358" s="102"/>
      <c r="G358" s="102"/>
      <c r="H358" s="102"/>
      <c r="I358" s="102"/>
      <c r="J358" s="102"/>
      <c r="K358" s="102"/>
      <c r="L358" s="102"/>
      <c r="M358" s="102"/>
      <c r="N358" s="102"/>
    </row>
    <row r="359" spans="1:14">
      <c r="A359" s="101"/>
      <c r="B359" s="102"/>
      <c r="C359" s="102"/>
      <c r="D359" s="102"/>
      <c r="E359" s="102"/>
      <c r="F359" s="102"/>
      <c r="G359" s="102"/>
      <c r="H359" s="102"/>
      <c r="I359" s="102"/>
      <c r="J359" s="102"/>
      <c r="K359" s="102"/>
      <c r="L359" s="102"/>
      <c r="M359" s="102"/>
      <c r="N359" s="102"/>
    </row>
    <row r="360" spans="1:14">
      <c r="A360" s="101"/>
      <c r="B360" s="102"/>
      <c r="C360" s="102"/>
      <c r="D360" s="102"/>
      <c r="E360" s="102"/>
      <c r="F360" s="102"/>
      <c r="G360" s="102"/>
      <c r="H360" s="102"/>
      <c r="I360" s="102"/>
      <c r="J360" s="102"/>
      <c r="K360" s="102"/>
      <c r="L360" s="102"/>
      <c r="M360" s="102"/>
      <c r="N360" s="102"/>
    </row>
    <row r="361" spans="1:14">
      <c r="A361" s="101"/>
      <c r="B361" s="102"/>
      <c r="C361" s="102"/>
      <c r="D361" s="102"/>
      <c r="E361" s="102"/>
      <c r="F361" s="102"/>
      <c r="G361" s="102"/>
      <c r="H361" s="102"/>
      <c r="I361" s="102"/>
      <c r="J361" s="102"/>
      <c r="K361" s="102"/>
      <c r="L361" s="102"/>
      <c r="M361" s="102"/>
      <c r="N361" s="102"/>
    </row>
    <row r="362" spans="1:14">
      <c r="A362" s="101"/>
      <c r="B362" s="102"/>
      <c r="C362" s="102"/>
      <c r="D362" s="102"/>
      <c r="E362" s="102"/>
      <c r="F362" s="102"/>
      <c r="G362" s="102"/>
      <c r="H362" s="102"/>
      <c r="I362" s="102"/>
      <c r="J362" s="102"/>
      <c r="K362" s="102"/>
      <c r="L362" s="102"/>
      <c r="M362" s="102"/>
      <c r="N362" s="102"/>
    </row>
    <row r="363" spans="1:14">
      <c r="A363" s="101"/>
      <c r="B363" s="102"/>
      <c r="C363" s="102"/>
      <c r="D363" s="102"/>
      <c r="E363" s="102"/>
      <c r="F363" s="102"/>
      <c r="G363" s="102"/>
      <c r="H363" s="102"/>
      <c r="I363" s="102"/>
      <c r="J363" s="102"/>
      <c r="K363" s="102"/>
      <c r="L363" s="102"/>
      <c r="M363" s="102"/>
      <c r="N363" s="102"/>
    </row>
    <row r="364" spans="1:14">
      <c r="N364" s="100"/>
    </row>
    <row r="365" spans="1:14">
      <c r="N365" s="100"/>
    </row>
    <row r="366" spans="1:14">
      <c r="N366" s="100"/>
    </row>
    <row r="367" spans="1:14">
      <c r="N367" s="100"/>
    </row>
    <row r="368" spans="1:14">
      <c r="N368" s="100"/>
    </row>
    <row r="369" spans="14:14">
      <c r="N369" s="100"/>
    </row>
  </sheetData>
  <mergeCells count="4">
    <mergeCell ref="B4:D4"/>
    <mergeCell ref="B34:D34"/>
    <mergeCell ref="B64:D64"/>
    <mergeCell ref="B94:D94"/>
  </mergeCells>
  <phoneticPr fontId="5" type="noConversion"/>
  <printOptions horizontalCentered="1" verticalCentered="1"/>
  <pageMargins left="0.39370078740157483" right="0.39370078740157483" top="0.78740157480314965" bottom="0.39370078740157483" header="0.39370078740157483" footer="0.19685039370078741"/>
  <pageSetup paperSize="9" scale="85" orientation="portrait" horizontalDpi="4294967293" r:id="rId1"/>
  <headerFooter alignWithMargins="0"/>
  <rowBreaks count="9" manualBreakCount="9">
    <brk id="31" max="13" man="1"/>
    <brk id="61" max="13" man="1"/>
    <brk id="91" max="13" man="1"/>
    <brk id="121" max="13" man="1"/>
    <brk id="151" max="13" man="1"/>
    <brk id="181" max="13" man="1"/>
    <brk id="211" max="13" man="1"/>
    <brk id="241" max="13" man="1"/>
    <brk id="271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W369"/>
  <sheetViews>
    <sheetView showGridLines="0" showZeros="0" view="pageBreakPreview" zoomScale="115" zoomScaleNormal="100" zoomScaleSheetLayoutView="115" workbookViewId="0">
      <selection activeCell="E9" sqref="E9"/>
    </sheetView>
  </sheetViews>
  <sheetFormatPr defaultRowHeight="13.5"/>
  <cols>
    <col min="1" max="1" width="11" style="11" customWidth="1"/>
    <col min="2" max="2" width="5.109375" style="12" customWidth="1"/>
    <col min="3" max="3" width="1.33203125" style="12" customWidth="1"/>
    <col min="4" max="4" width="9.77734375" style="12" customWidth="1"/>
    <col min="5" max="5" width="5.109375" style="12" customWidth="1"/>
    <col min="6" max="6" width="1.33203125" style="12" customWidth="1"/>
    <col min="7" max="7" width="9.77734375" style="12" customWidth="1"/>
    <col min="8" max="8" width="5.109375" style="12" customWidth="1"/>
    <col min="9" max="9" width="1.33203125" style="12" customWidth="1"/>
    <col min="10" max="10" width="9.77734375" style="12" customWidth="1"/>
    <col min="11" max="11" width="5.109375" style="12" customWidth="1"/>
    <col min="12" max="12" width="1.33203125" style="12" customWidth="1"/>
    <col min="13" max="13" width="9.77734375" style="12" customWidth="1"/>
    <col min="14" max="14" width="6.77734375" style="12" customWidth="1"/>
    <col min="15" max="20" width="12.21875" style="44" hidden="1" customWidth="1"/>
    <col min="21" max="22" width="8.33203125" style="44" customWidth="1"/>
    <col min="23" max="16384" width="8.88671875" style="44"/>
  </cols>
  <sheetData>
    <row r="1" spans="1:23" s="10" customFormat="1" ht="60" customHeight="1">
      <c r="A1" s="228" t="s">
        <v>990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3" s="17" customFormat="1" ht="20.100000000000001" customHeight="1">
      <c r="A2" s="11" t="e">
        <f>IF(EXACT(O6,O7),,"검산확인요!!!")</f>
        <v>#REF!</v>
      </c>
      <c r="B2" s="12"/>
      <c r="C2" s="12"/>
      <c r="D2" s="12"/>
      <c r="E2" s="12"/>
      <c r="F2" s="12"/>
      <c r="G2" s="12"/>
      <c r="H2" s="12"/>
      <c r="I2" s="12"/>
      <c r="J2" s="12"/>
      <c r="K2" s="13">
        <f>IF(ISBLANK(토지세목조서!N2),,토지세목조서!N2)</f>
        <v>0</v>
      </c>
      <c r="L2" s="187"/>
      <c r="M2" s="16"/>
      <c r="N2" s="16"/>
    </row>
    <row r="3" spans="1:23" s="17" customFormat="1" ht="9.9499999999999993" customHeight="1">
      <c r="A3" s="229"/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</row>
    <row r="4" spans="1:23" s="24" customFormat="1" ht="27.95" customHeight="1">
      <c r="A4" s="199" t="s">
        <v>9</v>
      </c>
      <c r="B4" s="361" t="s">
        <v>8</v>
      </c>
      <c r="C4" s="362"/>
      <c r="D4" s="362"/>
      <c r="E4" s="215" t="s">
        <v>35</v>
      </c>
      <c r="F4" s="216"/>
      <c r="G4" s="217"/>
      <c r="H4" s="215" t="s">
        <v>63</v>
      </c>
      <c r="I4" s="216"/>
      <c r="J4" s="217"/>
      <c r="K4" s="215" t="s">
        <v>36</v>
      </c>
      <c r="L4" s="216"/>
      <c r="M4" s="217"/>
      <c r="N4" s="22" t="s">
        <v>37</v>
      </c>
      <c r="O4" s="23"/>
      <c r="S4" s="23"/>
      <c r="T4" s="23"/>
      <c r="U4" s="23"/>
      <c r="V4" s="23"/>
    </row>
    <row r="5" spans="1:23" s="24" customFormat="1" ht="27.95" customHeight="1">
      <c r="A5" s="25"/>
      <c r="B5" s="26" t="s">
        <v>10</v>
      </c>
      <c r="C5" s="27" t="s">
        <v>11</v>
      </c>
      <c r="D5" s="28" t="s">
        <v>38</v>
      </c>
      <c r="E5" s="185" t="s">
        <v>10</v>
      </c>
      <c r="F5" s="186" t="s">
        <v>11</v>
      </c>
      <c r="G5" s="184" t="s">
        <v>38</v>
      </c>
      <c r="H5" s="185" t="s">
        <v>10</v>
      </c>
      <c r="I5" s="186" t="s">
        <v>11</v>
      </c>
      <c r="J5" s="184" t="s">
        <v>38</v>
      </c>
      <c r="K5" s="185" t="s">
        <v>10</v>
      </c>
      <c r="L5" s="186" t="s">
        <v>11</v>
      </c>
      <c r="M5" s="184" t="s">
        <v>38</v>
      </c>
      <c r="N5" s="29"/>
      <c r="P5" s="23"/>
      <c r="Q5" s="30" t="s">
        <v>39</v>
      </c>
      <c r="R5" s="30" t="s">
        <v>40</v>
      </c>
      <c r="S5" s="30" t="s">
        <v>41</v>
      </c>
      <c r="T5" s="30" t="s">
        <v>42</v>
      </c>
      <c r="U5" s="23"/>
      <c r="V5" s="23"/>
    </row>
    <row r="6" spans="1:23" s="24" customFormat="1" ht="23.1" customHeight="1">
      <c r="A6" s="103" t="s">
        <v>8</v>
      </c>
      <c r="B6" s="31">
        <f>SUM(B7:B31)</f>
        <v>650</v>
      </c>
      <c r="C6" s="32" t="s">
        <v>11</v>
      </c>
      <c r="D6" s="212">
        <f>SUM(D7:D31)</f>
        <v>315781.7</v>
      </c>
      <c r="E6" s="31" t="e">
        <f>SUM(E7:E31)</f>
        <v>#REF!</v>
      </c>
      <c r="F6" s="32" t="s">
        <v>11</v>
      </c>
      <c r="G6" s="212" t="e">
        <f>SUM(G7:G31)</f>
        <v>#REF!</v>
      </c>
      <c r="H6" s="31" t="e">
        <f>SUM(H7:H31)</f>
        <v>#REF!</v>
      </c>
      <c r="I6" s="32" t="s">
        <v>11</v>
      </c>
      <c r="J6" s="212" t="e">
        <f>SUM(J7:J31)</f>
        <v>#REF!</v>
      </c>
      <c r="K6" s="31" t="e">
        <f>SUM(K7:K31)</f>
        <v>#REF!</v>
      </c>
      <c r="L6" s="32" t="s">
        <v>11</v>
      </c>
      <c r="M6" s="212" t="e">
        <f>SUM(M7:M31)</f>
        <v>#REF!</v>
      </c>
      <c r="N6" s="34"/>
      <c r="O6" s="23" t="e">
        <f>IF(EXACT(Q6,T6),"맞음","틀림")</f>
        <v>#REF!</v>
      </c>
      <c r="P6" s="23" t="s">
        <v>10</v>
      </c>
      <c r="Q6" s="35">
        <f>SUM(B7:B31)</f>
        <v>650</v>
      </c>
      <c r="R6" s="35" t="e">
        <f>SUM(E7:E31)</f>
        <v>#REF!</v>
      </c>
      <c r="S6" s="35" t="e">
        <f>SUM(K7:K31)</f>
        <v>#REF!</v>
      </c>
      <c r="T6" s="35" t="e">
        <f>K6+E6</f>
        <v>#REF!</v>
      </c>
      <c r="U6" s="23"/>
      <c r="V6" s="23"/>
    </row>
    <row r="7" spans="1:23" s="24" customFormat="1" ht="23.1" customHeight="1">
      <c r="A7" s="104" t="s">
        <v>13</v>
      </c>
      <c r="B7" s="36">
        <f>COUNTIF(토지세목조서!$E$6:$E$659,"전")</f>
        <v>92</v>
      </c>
      <c r="C7" s="37" t="s">
        <v>11</v>
      </c>
      <c r="D7" s="213">
        <f>SUMIF(토지세목조서!$E$6:$E$659,"전",토지세목조서!$H$6:$H$659)</f>
        <v>31389</v>
      </c>
      <c r="E7" s="36" t="e">
        <f>COUNTIF(토지세목조서!#REF!,"전국")</f>
        <v>#REF!</v>
      </c>
      <c r="F7" s="37" t="s">
        <v>11</v>
      </c>
      <c r="G7" s="213" t="e">
        <f>SUMIF(토지세목조서!#REF!,"전국",토지세목조서!$H$6:$H$659)</f>
        <v>#REF!</v>
      </c>
      <c r="H7" s="36" t="e">
        <f>COUNTIF(토지세목조서!#REF!,"전공")</f>
        <v>#REF!</v>
      </c>
      <c r="I7" s="37" t="s">
        <v>11</v>
      </c>
      <c r="J7" s="213" t="e">
        <f>SUMIF(토지세목조서!#REF!,"전공",토지세목조서!$H$6:$H$659)</f>
        <v>#REF!</v>
      </c>
      <c r="K7" s="36" t="e">
        <f t="shared" ref="K7:K31" si="0">SUM(B7-E7-H7)</f>
        <v>#REF!</v>
      </c>
      <c r="L7" s="37" t="s">
        <v>11</v>
      </c>
      <c r="M7" s="213" t="e">
        <f t="shared" ref="M7:M31" si="1">SUM(D7-G7-J7)</f>
        <v>#REF!</v>
      </c>
      <c r="N7" s="39"/>
      <c r="O7" s="23" t="e">
        <f>IF(EXACT(Q7,T7),"맞음","틀림")</f>
        <v>#REF!</v>
      </c>
      <c r="P7" s="23" t="s">
        <v>43</v>
      </c>
      <c r="Q7" s="35">
        <f>SUM(D7:D31)</f>
        <v>315781.7</v>
      </c>
      <c r="R7" s="35" t="e">
        <f>SUM(G7:G31)</f>
        <v>#REF!</v>
      </c>
      <c r="S7" s="35" t="e">
        <f>SUM(M7:M31)</f>
        <v>#REF!</v>
      </c>
      <c r="T7" s="35" t="e">
        <f>G6+M6</f>
        <v>#REF!</v>
      </c>
      <c r="U7" s="24" t="s">
        <v>13</v>
      </c>
      <c r="V7" s="23" t="s">
        <v>1118</v>
      </c>
      <c r="W7" s="332" t="s">
        <v>1157</v>
      </c>
    </row>
    <row r="8" spans="1:23" s="24" customFormat="1" ht="23.1" customHeight="1">
      <c r="A8" s="104" t="s">
        <v>14</v>
      </c>
      <c r="B8" s="36">
        <f>COUNTIF(토지세목조서!$E$6:$E$659,"답")</f>
        <v>142</v>
      </c>
      <c r="C8" s="37" t="s">
        <v>11</v>
      </c>
      <c r="D8" s="213">
        <f>SUMIF(토지세목조서!$E$6:$E$659,"답",토지세목조서!$H$6:$H$659)</f>
        <v>98608</v>
      </c>
      <c r="E8" s="36" t="e">
        <f>COUNTIF(토지세목조서!#REF!,"답국")</f>
        <v>#REF!</v>
      </c>
      <c r="F8" s="37" t="s">
        <v>11</v>
      </c>
      <c r="G8" s="213" t="e">
        <f>SUMIF(토지세목조서!#REF!,"답국",토지세목조서!$H$6:$H$659)</f>
        <v>#REF!</v>
      </c>
      <c r="H8" s="36" t="e">
        <f>COUNTIF(토지세목조서!#REF!,"답공")</f>
        <v>#REF!</v>
      </c>
      <c r="I8" s="37" t="s">
        <v>11</v>
      </c>
      <c r="J8" s="213" t="e">
        <f>SUMIF(토지세목조서!#REF!,"답공",토지세목조서!$H$6:$H$659)</f>
        <v>#REF!</v>
      </c>
      <c r="K8" s="36" t="e">
        <f t="shared" si="0"/>
        <v>#REF!</v>
      </c>
      <c r="L8" s="37" t="s">
        <v>11</v>
      </c>
      <c r="M8" s="213" t="e">
        <f t="shared" si="1"/>
        <v>#REF!</v>
      </c>
      <c r="N8" s="39"/>
      <c r="Q8" s="23"/>
      <c r="S8" s="23"/>
      <c r="U8" s="24" t="s">
        <v>14</v>
      </c>
      <c r="V8" s="23" t="s">
        <v>1119</v>
      </c>
      <c r="W8" s="332" t="s">
        <v>1158</v>
      </c>
    </row>
    <row r="9" spans="1:23" s="24" customFormat="1" ht="23.1" customHeight="1">
      <c r="A9" s="104" t="s">
        <v>15</v>
      </c>
      <c r="B9" s="36">
        <f>COUNTIF(토지세목조서!$E$6:$E$659,"임")</f>
        <v>114</v>
      </c>
      <c r="C9" s="37" t="s">
        <v>11</v>
      </c>
      <c r="D9" s="213">
        <f>SUMIF(토지세목조서!$E$6:$E$659,"임",토지세목조서!$H$6:$H$659)</f>
        <v>98855</v>
      </c>
      <c r="E9" s="36" t="e">
        <f>COUNTIF(토지세목조서!#REF!,"임국")</f>
        <v>#REF!</v>
      </c>
      <c r="F9" s="37" t="s">
        <v>11</v>
      </c>
      <c r="G9" s="213" t="e">
        <f>SUMIF(토지세목조서!#REF!,"임국",토지세목조서!$H$6:$H$659)</f>
        <v>#REF!</v>
      </c>
      <c r="H9" s="36" t="e">
        <f>COUNTIF(토지세목조서!#REF!,"임공")</f>
        <v>#REF!</v>
      </c>
      <c r="I9" s="37" t="s">
        <v>11</v>
      </c>
      <c r="J9" s="213" t="e">
        <f>SUMIF(토지세목조서!#REF!,"임공",토지세목조서!$H$6:$H$659)</f>
        <v>#REF!</v>
      </c>
      <c r="K9" s="36" t="e">
        <f t="shared" si="0"/>
        <v>#REF!</v>
      </c>
      <c r="L9" s="37" t="s">
        <v>11</v>
      </c>
      <c r="M9" s="213" t="e">
        <f t="shared" si="1"/>
        <v>#REF!</v>
      </c>
      <c r="N9" s="39"/>
      <c r="Q9" s="23"/>
      <c r="S9" s="23"/>
      <c r="U9" s="24" t="s">
        <v>146</v>
      </c>
      <c r="V9" s="23" t="s">
        <v>1120</v>
      </c>
      <c r="W9" s="332" t="s">
        <v>1159</v>
      </c>
    </row>
    <row r="10" spans="1:23" s="24" customFormat="1" ht="23.1" customHeight="1">
      <c r="A10" s="104" t="s">
        <v>16</v>
      </c>
      <c r="B10" s="36">
        <f>COUNTIF(토지세목조서!$E$6:$E$659,"대")</f>
        <v>26</v>
      </c>
      <c r="C10" s="37" t="s">
        <v>11</v>
      </c>
      <c r="D10" s="213">
        <f>SUMIF(토지세목조서!$E$6:$E$659,"대",토지세목조서!$H$6:$H$659)</f>
        <v>2982</v>
      </c>
      <c r="E10" s="36" t="e">
        <f>COUNTIF(토지세목조서!#REF!,"대국")</f>
        <v>#REF!</v>
      </c>
      <c r="F10" s="37" t="s">
        <v>11</v>
      </c>
      <c r="G10" s="213" t="e">
        <f>SUMIF(토지세목조서!#REF!,"대국",토지세목조서!$H$6:$H$659)</f>
        <v>#REF!</v>
      </c>
      <c r="H10" s="36" t="e">
        <f>COUNTIF(토지세목조서!#REF!,"대공")</f>
        <v>#REF!</v>
      </c>
      <c r="I10" s="37" t="s">
        <v>11</v>
      </c>
      <c r="J10" s="213" t="e">
        <f>SUMIF(토지세목조서!#REF!,"대공",토지세목조서!$H$6:$H$659)</f>
        <v>#REF!</v>
      </c>
      <c r="K10" s="36" t="e">
        <f t="shared" si="0"/>
        <v>#REF!</v>
      </c>
      <c r="L10" s="37" t="s">
        <v>11</v>
      </c>
      <c r="M10" s="213" t="e">
        <f t="shared" si="1"/>
        <v>#REF!</v>
      </c>
      <c r="N10" s="39"/>
      <c r="O10" s="23"/>
      <c r="P10" s="23"/>
      <c r="Q10" s="23"/>
      <c r="R10" s="23"/>
      <c r="S10" s="23"/>
      <c r="T10" s="23"/>
      <c r="U10" s="24" t="s">
        <v>1002</v>
      </c>
      <c r="V10" s="23" t="s">
        <v>1121</v>
      </c>
      <c r="W10" s="332" t="s">
        <v>1160</v>
      </c>
    </row>
    <row r="11" spans="1:23" s="24" customFormat="1" ht="23.1" customHeight="1">
      <c r="A11" s="104" t="s">
        <v>17</v>
      </c>
      <c r="B11" s="36">
        <f>COUNTIF(토지세목조서!$E$6:$E$659,"도")-1</f>
        <v>212</v>
      </c>
      <c r="C11" s="37" t="s">
        <v>11</v>
      </c>
      <c r="D11" s="213">
        <f>SUMIF(토지세목조서!$E$6:$E$659,"도",토지세목조서!$H$6:$H$659)</f>
        <v>67484.3</v>
      </c>
      <c r="E11" s="36" t="e">
        <f>COUNTIF(토지세목조서!#REF!,"도국")</f>
        <v>#REF!</v>
      </c>
      <c r="F11" s="37" t="s">
        <v>11</v>
      </c>
      <c r="G11" s="213" t="e">
        <f>SUMIF(토지세목조서!#REF!,"도국",토지세목조서!$H$6:$H$659)</f>
        <v>#REF!</v>
      </c>
      <c r="H11" s="36" t="e">
        <f>COUNTIF(토지세목조서!#REF!,"도공")-1</f>
        <v>#REF!</v>
      </c>
      <c r="I11" s="37" t="s">
        <v>11</v>
      </c>
      <c r="J11" s="213" t="e">
        <f>SUMIF(토지세목조서!#REF!,"도공",토지세목조서!$H$6:$H$659)</f>
        <v>#REF!</v>
      </c>
      <c r="K11" s="36" t="e">
        <f t="shared" si="0"/>
        <v>#REF!</v>
      </c>
      <c r="L11" s="37" t="s">
        <v>11</v>
      </c>
      <c r="M11" s="213" t="e">
        <f t="shared" si="1"/>
        <v>#REF!</v>
      </c>
      <c r="N11" s="39"/>
      <c r="O11" s="23"/>
      <c r="P11" s="23"/>
      <c r="Q11" s="23"/>
      <c r="R11" s="23"/>
      <c r="S11" s="23"/>
      <c r="T11" s="23"/>
      <c r="U11" s="24" t="s">
        <v>998</v>
      </c>
      <c r="V11" s="23" t="s">
        <v>1122</v>
      </c>
      <c r="W11" s="332" t="s">
        <v>1161</v>
      </c>
    </row>
    <row r="12" spans="1:23" s="24" customFormat="1" ht="23.1" customHeight="1">
      <c r="A12" s="104" t="s">
        <v>18</v>
      </c>
      <c r="B12" s="36">
        <f>COUNTIF(토지세목조서!$E$6:$E$659,"구")</f>
        <v>45</v>
      </c>
      <c r="C12" s="37" t="s">
        <v>11</v>
      </c>
      <c r="D12" s="213">
        <f>SUMIF(토지세목조서!$E$6:$E$659,"구",토지세목조서!$H$6:$H$659)</f>
        <v>11349.5</v>
      </c>
      <c r="E12" s="36" t="e">
        <f>COUNTIF(토지세목조서!#REF!,"구국")</f>
        <v>#REF!</v>
      </c>
      <c r="F12" s="37" t="s">
        <v>11</v>
      </c>
      <c r="G12" s="213" t="e">
        <f>SUMIF(토지세목조서!#REF!,"구국",토지세목조서!$H$6:$H$659)</f>
        <v>#REF!</v>
      </c>
      <c r="H12" s="36" t="e">
        <f>COUNTIF(토지세목조서!#REF!,"구공")</f>
        <v>#REF!</v>
      </c>
      <c r="I12" s="37" t="s">
        <v>11</v>
      </c>
      <c r="J12" s="213" t="e">
        <f>SUMIF(토지세목조서!#REF!,"구공",토지세목조서!$H$6:$H$659)</f>
        <v>#REF!</v>
      </c>
      <c r="K12" s="36" t="e">
        <f t="shared" si="0"/>
        <v>#REF!</v>
      </c>
      <c r="L12" s="37" t="s">
        <v>11</v>
      </c>
      <c r="M12" s="213" t="e">
        <f t="shared" si="1"/>
        <v>#REF!</v>
      </c>
      <c r="N12" s="39"/>
      <c r="O12" s="23"/>
      <c r="P12" s="23"/>
      <c r="Q12" s="23"/>
      <c r="R12" s="23"/>
      <c r="S12" s="23"/>
      <c r="T12" s="23"/>
      <c r="U12" s="24" t="s">
        <v>1005</v>
      </c>
      <c r="V12" s="23" t="s">
        <v>1123</v>
      </c>
      <c r="W12" s="332" t="s">
        <v>1162</v>
      </c>
    </row>
    <row r="13" spans="1:23" s="24" customFormat="1" ht="23.1" customHeight="1">
      <c r="A13" s="104" t="s">
        <v>19</v>
      </c>
      <c r="B13" s="36">
        <f>COUNTIF(토지세목조서!$E$6:$E$659,"천")</f>
        <v>1</v>
      </c>
      <c r="C13" s="37" t="s">
        <v>11</v>
      </c>
      <c r="D13" s="213">
        <f>SUMIF(토지세목조서!$E$6:$E$659,"천",토지세목조서!$H$6:$H$659)</f>
        <v>597.9</v>
      </c>
      <c r="E13" s="36" t="e">
        <f>COUNTIF(토지세목조서!#REF!,"천국")</f>
        <v>#REF!</v>
      </c>
      <c r="F13" s="37" t="s">
        <v>11</v>
      </c>
      <c r="G13" s="213" t="e">
        <f>SUMIF(토지세목조서!#REF!,"천국",토지세목조서!$H$6:$H$659)</f>
        <v>#REF!</v>
      </c>
      <c r="H13" s="36" t="e">
        <f>COUNTIF(토지세목조서!#REF!,"천공")</f>
        <v>#REF!</v>
      </c>
      <c r="I13" s="37" t="s">
        <v>11</v>
      </c>
      <c r="J13" s="213" t="e">
        <f>SUMIF(토지세목조서!#REF!,"천공",토지세목조서!$H$6:$H$659)</f>
        <v>#REF!</v>
      </c>
      <c r="K13" s="36" t="e">
        <f t="shared" si="0"/>
        <v>#REF!</v>
      </c>
      <c r="L13" s="37" t="s">
        <v>11</v>
      </c>
      <c r="M13" s="213" t="e">
        <f t="shared" si="1"/>
        <v>#REF!</v>
      </c>
      <c r="N13" s="39"/>
      <c r="O13" s="23"/>
      <c r="P13" s="23"/>
      <c r="Q13" s="23"/>
      <c r="R13" s="23"/>
      <c r="S13" s="23"/>
      <c r="T13" s="23"/>
      <c r="U13" s="24" t="s">
        <v>1142</v>
      </c>
      <c r="V13" s="23" t="s">
        <v>1124</v>
      </c>
      <c r="W13" s="332" t="s">
        <v>1163</v>
      </c>
    </row>
    <row r="14" spans="1:23" s="24" customFormat="1" ht="23.1" customHeight="1">
      <c r="A14" s="104" t="s">
        <v>20</v>
      </c>
      <c r="B14" s="36">
        <f>COUNTIF(토지세목조서!$E$6:$E$659,"유")-1</f>
        <v>8</v>
      </c>
      <c r="C14" s="37" t="s">
        <v>11</v>
      </c>
      <c r="D14" s="213">
        <f>SUMIF(토지세목조서!$E$6:$E$659,"유",토지세목조서!$H$6:$H$659)</f>
        <v>2406</v>
      </c>
      <c r="E14" s="36" t="e">
        <f>COUNTIF(토지세목조서!#REF!,"유국")</f>
        <v>#REF!</v>
      </c>
      <c r="F14" s="37" t="s">
        <v>11</v>
      </c>
      <c r="G14" s="213" t="e">
        <f>SUMIF(토지세목조서!#REF!,"유국",토지세목조서!$H$6:$H$659)</f>
        <v>#REF!</v>
      </c>
      <c r="H14" s="36" t="e">
        <f>COUNTIF(토지세목조서!#REF!,"유공")</f>
        <v>#REF!</v>
      </c>
      <c r="I14" s="37" t="s">
        <v>11</v>
      </c>
      <c r="J14" s="213" t="e">
        <f>SUMIF(토지세목조서!#REF!,"유공",토지세목조서!$H$6:$H$659)</f>
        <v>#REF!</v>
      </c>
      <c r="K14" s="36" t="e">
        <f>SUM(B14-E14-H14-1)</f>
        <v>#REF!</v>
      </c>
      <c r="L14" s="37" t="s">
        <v>11</v>
      </c>
      <c r="M14" s="213" t="e">
        <f t="shared" si="1"/>
        <v>#REF!</v>
      </c>
      <c r="N14" s="39"/>
      <c r="O14" s="23"/>
      <c r="P14" s="23"/>
      <c r="Q14" s="23"/>
      <c r="R14" s="23"/>
      <c r="S14" s="23"/>
      <c r="T14" s="23"/>
      <c r="U14" s="24" t="s">
        <v>1027</v>
      </c>
      <c r="V14" s="23" t="s">
        <v>1125</v>
      </c>
      <c r="W14" s="332" t="s">
        <v>1164</v>
      </c>
    </row>
    <row r="15" spans="1:23" s="24" customFormat="1" ht="23.1" customHeight="1">
      <c r="A15" s="104" t="s">
        <v>21</v>
      </c>
      <c r="B15" s="36">
        <f>COUNTIF(토지세목조서!$E$6:$E$659,"제")</f>
        <v>2</v>
      </c>
      <c r="C15" s="37" t="s">
        <v>11</v>
      </c>
      <c r="D15" s="213">
        <f>SUMIF(토지세목조서!$E$6:$E$659,"제",토지세목조서!$H$6:$H$659)</f>
        <v>117</v>
      </c>
      <c r="E15" s="36" t="e">
        <f>COUNTIF(토지세목조서!#REF!,"제국")</f>
        <v>#REF!</v>
      </c>
      <c r="F15" s="37" t="s">
        <v>11</v>
      </c>
      <c r="G15" s="213" t="e">
        <f>SUMIF(토지세목조서!#REF!,"제국",토지세목조서!$H$6:$H$659)</f>
        <v>#REF!</v>
      </c>
      <c r="H15" s="36" t="e">
        <f>COUNTIF(토지세목조서!#REF!,"제공")</f>
        <v>#REF!</v>
      </c>
      <c r="I15" s="37" t="s">
        <v>11</v>
      </c>
      <c r="J15" s="213" t="e">
        <f>SUMIF(토지세목조서!#REF!,"제공",토지세목조서!$H$6:$H$659)</f>
        <v>#REF!</v>
      </c>
      <c r="K15" s="36" t="e">
        <f t="shared" si="0"/>
        <v>#REF!</v>
      </c>
      <c r="L15" s="37" t="s">
        <v>11</v>
      </c>
      <c r="M15" s="213" t="e">
        <f t="shared" si="1"/>
        <v>#REF!</v>
      </c>
      <c r="N15" s="39"/>
      <c r="O15" s="23"/>
      <c r="P15" s="23"/>
      <c r="Q15" s="23"/>
      <c r="R15" s="23"/>
      <c r="S15" s="23"/>
      <c r="T15" s="23"/>
      <c r="U15" s="24" t="s">
        <v>1143</v>
      </c>
      <c r="V15" s="23" t="s">
        <v>1126</v>
      </c>
      <c r="W15" s="332" t="s">
        <v>1165</v>
      </c>
    </row>
    <row r="16" spans="1:23" s="24" customFormat="1" ht="23.1" customHeight="1">
      <c r="A16" s="104" t="s">
        <v>22</v>
      </c>
      <c r="B16" s="36">
        <f>COUNTIF(토지세목조서!$E$6:$E$659,"과")</f>
        <v>0</v>
      </c>
      <c r="C16" s="37" t="s">
        <v>11</v>
      </c>
      <c r="D16" s="213">
        <f>SUMIF(토지세목조서!$E$6:$E$659,"과",토지세목조서!$H$6:$H$659)</f>
        <v>0</v>
      </c>
      <c r="E16" s="36" t="e">
        <f>COUNTIF(토지세목조서!#REF!,"과국")</f>
        <v>#REF!</v>
      </c>
      <c r="F16" s="37" t="s">
        <v>11</v>
      </c>
      <c r="G16" s="213" t="e">
        <f>SUMIF(토지세목조서!#REF!,"과국",토지세목조서!$H$6:$H$659)</f>
        <v>#REF!</v>
      </c>
      <c r="H16" s="36" t="e">
        <f>COUNTIF(토지세목조서!#REF!,"과공")</f>
        <v>#REF!</v>
      </c>
      <c r="I16" s="37" t="s">
        <v>11</v>
      </c>
      <c r="J16" s="213" t="e">
        <f>SUMIF(토지세목조서!#REF!,"과공",토지세목조서!$H$6:$H$659)</f>
        <v>#REF!</v>
      </c>
      <c r="K16" s="36" t="e">
        <f t="shared" si="0"/>
        <v>#REF!</v>
      </c>
      <c r="L16" s="37" t="s">
        <v>11</v>
      </c>
      <c r="M16" s="213" t="e">
        <f t="shared" si="1"/>
        <v>#REF!</v>
      </c>
      <c r="N16" s="39"/>
      <c r="O16" s="23"/>
      <c r="P16" s="23"/>
      <c r="Q16" s="23"/>
      <c r="R16" s="23"/>
      <c r="S16" s="23"/>
      <c r="T16" s="23"/>
      <c r="U16" s="24" t="s">
        <v>1144</v>
      </c>
      <c r="V16" s="23" t="s">
        <v>1127</v>
      </c>
      <c r="W16" s="332" t="s">
        <v>1166</v>
      </c>
    </row>
    <row r="17" spans="1:23" s="24" customFormat="1" ht="23.1" customHeight="1">
      <c r="A17" s="104" t="s">
        <v>23</v>
      </c>
      <c r="B17" s="36">
        <f>COUNTIF(토지세목조서!$E$6:$E$659,"장")</f>
        <v>0</v>
      </c>
      <c r="C17" s="37" t="s">
        <v>11</v>
      </c>
      <c r="D17" s="213">
        <f>SUMIF(토지세목조서!$E$6:$E$659,"장",토지세목조서!$H$6:$H$659)</f>
        <v>0</v>
      </c>
      <c r="E17" s="36" t="e">
        <f>COUNTIF(토지세목조서!#REF!,"장국")</f>
        <v>#REF!</v>
      </c>
      <c r="F17" s="37" t="s">
        <v>11</v>
      </c>
      <c r="G17" s="213" t="e">
        <f>SUMIF(토지세목조서!#REF!,"장국",토지세목조서!$H$6:$H$659)</f>
        <v>#REF!</v>
      </c>
      <c r="H17" s="36" t="e">
        <f>COUNTIF(토지세목조서!#REF!,"장공")</f>
        <v>#REF!</v>
      </c>
      <c r="I17" s="37" t="s">
        <v>11</v>
      </c>
      <c r="J17" s="213" t="e">
        <f>SUMIF(토지세목조서!#REF!,"장공",토지세목조서!$H$6:$H$659)</f>
        <v>#REF!</v>
      </c>
      <c r="K17" s="36" t="e">
        <f t="shared" si="0"/>
        <v>#REF!</v>
      </c>
      <c r="L17" s="37" t="s">
        <v>11</v>
      </c>
      <c r="M17" s="213" t="e">
        <f t="shared" si="1"/>
        <v>#REF!</v>
      </c>
      <c r="N17" s="39"/>
      <c r="O17" s="23"/>
      <c r="P17" s="23"/>
      <c r="Q17" s="23"/>
      <c r="R17" s="23"/>
      <c r="S17" s="23"/>
      <c r="T17" s="23"/>
      <c r="U17" s="24" t="s">
        <v>994</v>
      </c>
      <c r="V17" s="23" t="s">
        <v>1128</v>
      </c>
      <c r="W17" s="332" t="s">
        <v>1167</v>
      </c>
    </row>
    <row r="18" spans="1:23" s="24" customFormat="1" ht="23.1" customHeight="1">
      <c r="A18" s="104" t="s">
        <v>24</v>
      </c>
      <c r="B18" s="36">
        <f>COUNTIF(토지세목조서!$E$6:$E$659,"목")</f>
        <v>0</v>
      </c>
      <c r="C18" s="37" t="s">
        <v>11</v>
      </c>
      <c r="D18" s="213">
        <f>SUMIF(토지세목조서!$E$6:$E$659,"목",토지세목조서!$H$6:$H$659)</f>
        <v>0</v>
      </c>
      <c r="E18" s="36" t="e">
        <f>COUNTIF(토지세목조서!#REF!,"목국")</f>
        <v>#REF!</v>
      </c>
      <c r="F18" s="37" t="s">
        <v>11</v>
      </c>
      <c r="G18" s="213" t="e">
        <f>SUMIF(토지세목조서!#REF!,"목국",토지세목조서!$H$6:$H$659)</f>
        <v>#REF!</v>
      </c>
      <c r="H18" s="36" t="e">
        <f>COUNTIF(토지세목조서!#REF!,"목공")</f>
        <v>#REF!</v>
      </c>
      <c r="I18" s="37" t="s">
        <v>11</v>
      </c>
      <c r="J18" s="213" t="e">
        <f>SUMIF(토지세목조서!#REF!,"목공",토지세목조서!$H$6:$H$659)</f>
        <v>#REF!</v>
      </c>
      <c r="K18" s="36" t="e">
        <f t="shared" si="0"/>
        <v>#REF!</v>
      </c>
      <c r="L18" s="37" t="s">
        <v>11</v>
      </c>
      <c r="M18" s="213" t="e">
        <f t="shared" si="1"/>
        <v>#REF!</v>
      </c>
      <c r="N18" s="39"/>
      <c r="O18" s="23"/>
      <c r="P18" s="23"/>
      <c r="Q18" s="23"/>
      <c r="R18" s="23"/>
      <c r="S18" s="23"/>
      <c r="T18" s="23"/>
      <c r="U18" s="24" t="s">
        <v>1145</v>
      </c>
      <c r="V18" s="23" t="s">
        <v>1129</v>
      </c>
      <c r="W18" s="332" t="s">
        <v>1168</v>
      </c>
    </row>
    <row r="19" spans="1:23" s="24" customFormat="1" ht="23.1" customHeight="1">
      <c r="A19" s="104" t="s">
        <v>25</v>
      </c>
      <c r="B19" s="36">
        <f>COUNTIF(토지세목조서!$E$6:$E$659,"학")</f>
        <v>0</v>
      </c>
      <c r="C19" s="37" t="s">
        <v>11</v>
      </c>
      <c r="D19" s="213">
        <f>SUMIF(토지세목조서!$E$6:$E$659,"학",토지세목조서!$H$6:$H$659)</f>
        <v>0</v>
      </c>
      <c r="E19" s="36" t="e">
        <f>COUNTIF(토지세목조서!#REF!,"학국")</f>
        <v>#REF!</v>
      </c>
      <c r="F19" s="37" t="s">
        <v>11</v>
      </c>
      <c r="G19" s="213" t="e">
        <f>SUMIF(토지세목조서!#REF!,"학국",토지세목조서!$H$6:$H$659)</f>
        <v>#REF!</v>
      </c>
      <c r="H19" s="36" t="e">
        <f>COUNTIF(토지세목조서!#REF!,"학공")</f>
        <v>#REF!</v>
      </c>
      <c r="I19" s="37" t="s">
        <v>11</v>
      </c>
      <c r="J19" s="213" t="e">
        <f>SUMIF(토지세목조서!#REF!,"학공",토지세목조서!$H$6:$H$659)</f>
        <v>#REF!</v>
      </c>
      <c r="K19" s="36" t="e">
        <f t="shared" si="0"/>
        <v>#REF!</v>
      </c>
      <c r="L19" s="37" t="s">
        <v>11</v>
      </c>
      <c r="M19" s="213" t="e">
        <f t="shared" si="1"/>
        <v>#REF!</v>
      </c>
      <c r="N19" s="39"/>
      <c r="O19" s="23"/>
      <c r="P19" s="23"/>
      <c r="Q19" s="23"/>
      <c r="R19" s="23"/>
      <c r="S19" s="23"/>
      <c r="T19" s="23"/>
      <c r="U19" s="24" t="s">
        <v>1146</v>
      </c>
      <c r="V19" s="23" t="s">
        <v>1130</v>
      </c>
      <c r="W19" s="332" t="s">
        <v>1169</v>
      </c>
    </row>
    <row r="20" spans="1:23" s="24" customFormat="1" ht="23.1" customHeight="1">
      <c r="A20" s="104" t="s">
        <v>26</v>
      </c>
      <c r="B20" s="36">
        <f>COUNTIF(토지세목조서!$E$6:$E$659,"철")</f>
        <v>0</v>
      </c>
      <c r="C20" s="37" t="s">
        <v>11</v>
      </c>
      <c r="D20" s="213">
        <f>SUMIF(토지세목조서!$E$6:$E$659,"철",토지세목조서!$H$6:$H$659)</f>
        <v>0</v>
      </c>
      <c r="E20" s="36" t="e">
        <f>COUNTIF(토지세목조서!#REF!,"철국")</f>
        <v>#REF!</v>
      </c>
      <c r="F20" s="37" t="s">
        <v>11</v>
      </c>
      <c r="G20" s="213" t="e">
        <f>SUMIF(토지세목조서!#REF!,"철국",토지세목조서!$H$6:$H$659)</f>
        <v>#REF!</v>
      </c>
      <c r="H20" s="36" t="e">
        <f>COUNTIF(토지세목조서!#REF!,"철공")</f>
        <v>#REF!</v>
      </c>
      <c r="I20" s="37" t="s">
        <v>11</v>
      </c>
      <c r="J20" s="213" t="e">
        <f>SUMIF(토지세목조서!#REF!,"철공",토지세목조서!$H$6:$H$659)</f>
        <v>#REF!</v>
      </c>
      <c r="K20" s="36" t="e">
        <f t="shared" si="0"/>
        <v>#REF!</v>
      </c>
      <c r="L20" s="37" t="s">
        <v>11</v>
      </c>
      <c r="M20" s="213" t="e">
        <f t="shared" si="1"/>
        <v>#REF!</v>
      </c>
      <c r="N20" s="39"/>
      <c r="O20" s="23"/>
      <c r="P20" s="23"/>
      <c r="Q20" s="23"/>
      <c r="R20" s="23"/>
      <c r="S20" s="23"/>
      <c r="T20" s="23"/>
      <c r="U20" s="24" t="s">
        <v>1147</v>
      </c>
      <c r="V20" s="23" t="s">
        <v>1131</v>
      </c>
      <c r="W20" s="332" t="s">
        <v>1170</v>
      </c>
    </row>
    <row r="21" spans="1:23" s="24" customFormat="1" ht="23.1" customHeight="1">
      <c r="A21" s="104" t="s">
        <v>27</v>
      </c>
      <c r="B21" s="36">
        <f>COUNTIF(토지세목조서!$E$6:$E$659,"묘")</f>
        <v>0</v>
      </c>
      <c r="C21" s="37" t="s">
        <v>11</v>
      </c>
      <c r="D21" s="213">
        <f>SUMIF(토지세목조서!$E$6:$E$659,"묘",토지세목조서!$H$6:$H$659)</f>
        <v>0</v>
      </c>
      <c r="E21" s="36" t="e">
        <f>COUNTIF(토지세목조서!#REF!,"묘국")</f>
        <v>#REF!</v>
      </c>
      <c r="F21" s="37" t="s">
        <v>11</v>
      </c>
      <c r="G21" s="213" t="e">
        <f>SUMIF(토지세목조서!#REF!,"묘국",토지세목조서!$H$6:$H$659)</f>
        <v>#REF!</v>
      </c>
      <c r="H21" s="36" t="e">
        <f>COUNTIF(토지세목조서!#REF!,"묘공")</f>
        <v>#REF!</v>
      </c>
      <c r="I21" s="37" t="s">
        <v>11</v>
      </c>
      <c r="J21" s="213" t="e">
        <f>SUMIF(토지세목조서!#REF!,"묘공",토지세목조서!$H$6:$H$659)</f>
        <v>#REF!</v>
      </c>
      <c r="K21" s="36" t="e">
        <f t="shared" si="0"/>
        <v>#REF!</v>
      </c>
      <c r="L21" s="37" t="s">
        <v>11</v>
      </c>
      <c r="M21" s="213" t="e">
        <f t="shared" si="1"/>
        <v>#REF!</v>
      </c>
      <c r="N21" s="39"/>
      <c r="O21" s="23"/>
      <c r="P21" s="23"/>
      <c r="Q21" s="23"/>
      <c r="R21" s="23"/>
      <c r="S21" s="23"/>
      <c r="T21" s="23"/>
      <c r="U21" s="24" t="s">
        <v>1148</v>
      </c>
      <c r="V21" s="23" t="s">
        <v>1132</v>
      </c>
      <c r="W21" s="332" t="s">
        <v>1171</v>
      </c>
    </row>
    <row r="22" spans="1:23" s="24" customFormat="1" ht="23.1" customHeight="1">
      <c r="A22" s="104" t="s">
        <v>28</v>
      </c>
      <c r="B22" s="36">
        <f>COUNTIF(토지세목조서!$E$6:$E$659,"수")</f>
        <v>0</v>
      </c>
      <c r="C22" s="37" t="s">
        <v>11</v>
      </c>
      <c r="D22" s="213">
        <f>SUMIF(토지세목조서!$E$6:$E$659,"수",토지세목조서!$H$6:$H$659)</f>
        <v>0</v>
      </c>
      <c r="E22" s="36" t="e">
        <f>COUNTIF(토지세목조서!#REF!,"수국")</f>
        <v>#REF!</v>
      </c>
      <c r="F22" s="37" t="s">
        <v>11</v>
      </c>
      <c r="G22" s="213" t="e">
        <f>SUMIF(토지세목조서!#REF!,"수국",토지세목조서!$H$6:$H$659)</f>
        <v>#REF!</v>
      </c>
      <c r="H22" s="36" t="e">
        <f>COUNTIF(토지세목조서!#REF!,"수공")</f>
        <v>#REF!</v>
      </c>
      <c r="I22" s="37" t="s">
        <v>11</v>
      </c>
      <c r="J22" s="213" t="e">
        <f>SUMIF(토지세목조서!#REF!,"수공",토지세목조서!$H$6:$H$659)</f>
        <v>#REF!</v>
      </c>
      <c r="K22" s="36" t="e">
        <f t="shared" si="0"/>
        <v>#REF!</v>
      </c>
      <c r="L22" s="37" t="s">
        <v>11</v>
      </c>
      <c r="M22" s="213" t="e">
        <f t="shared" si="1"/>
        <v>#REF!</v>
      </c>
      <c r="N22" s="39"/>
      <c r="O22" s="23"/>
      <c r="P22" s="23"/>
      <c r="Q22" s="23"/>
      <c r="R22" s="23"/>
      <c r="S22" s="23"/>
      <c r="T22" s="23"/>
      <c r="U22" s="24" t="s">
        <v>1149</v>
      </c>
      <c r="V22" s="23" t="s">
        <v>1133</v>
      </c>
      <c r="W22" s="332" t="s">
        <v>1172</v>
      </c>
    </row>
    <row r="23" spans="1:23" s="24" customFormat="1" ht="23.1" customHeight="1">
      <c r="A23" s="104" t="s">
        <v>29</v>
      </c>
      <c r="B23" s="36">
        <f>COUNTIF(토지세목조서!$E$6:$E$659,"잡")</f>
        <v>3</v>
      </c>
      <c r="C23" s="37" t="s">
        <v>11</v>
      </c>
      <c r="D23" s="213">
        <f>SUMIF(토지세목조서!$E$6:$E$659,"잡",토지세목조서!$H$6:$H$659)</f>
        <v>483</v>
      </c>
      <c r="E23" s="36" t="e">
        <f>COUNTIF(토지세목조서!#REF!,"잡국")</f>
        <v>#REF!</v>
      </c>
      <c r="F23" s="37" t="s">
        <v>11</v>
      </c>
      <c r="G23" s="213" t="e">
        <f>SUMIF(토지세목조서!#REF!,"잡국",토지세목조서!$H$6:$H$659)</f>
        <v>#REF!</v>
      </c>
      <c r="H23" s="36" t="e">
        <f>COUNTIF(토지세목조서!#REF!,"잡공")</f>
        <v>#REF!</v>
      </c>
      <c r="I23" s="37" t="s">
        <v>11</v>
      </c>
      <c r="J23" s="213" t="e">
        <f>SUMIF(토지세목조서!#REF!,"잡공",토지세목조서!$H$6:$H$659)</f>
        <v>#REF!</v>
      </c>
      <c r="K23" s="36" t="e">
        <f t="shared" si="0"/>
        <v>#REF!</v>
      </c>
      <c r="L23" s="37" t="s">
        <v>11</v>
      </c>
      <c r="M23" s="213" t="e">
        <f t="shared" si="1"/>
        <v>#REF!</v>
      </c>
      <c r="N23" s="39"/>
      <c r="O23" s="23"/>
      <c r="P23" s="23"/>
      <c r="Q23" s="23"/>
      <c r="R23" s="23"/>
      <c r="S23" s="23"/>
      <c r="T23" s="23"/>
      <c r="U23" s="24" t="s">
        <v>1150</v>
      </c>
      <c r="V23" s="23" t="s">
        <v>1134</v>
      </c>
      <c r="W23" s="332" t="s">
        <v>1173</v>
      </c>
    </row>
    <row r="24" spans="1:23" s="24" customFormat="1" ht="23.1" customHeight="1">
      <c r="A24" s="105" t="s">
        <v>30</v>
      </c>
      <c r="B24" s="36">
        <f>COUNTIF(토지세목조서!$E$6:$E$659,"종")</f>
        <v>0</v>
      </c>
      <c r="C24" s="37" t="s">
        <v>11</v>
      </c>
      <c r="D24" s="213">
        <f>SUMIF(토지세목조서!$E$6:$E$659,"종",토지세목조서!$H$6:$H$659)</f>
        <v>0</v>
      </c>
      <c r="E24" s="36" t="e">
        <f>COUNTIF(토지세목조서!#REF!,"종국")</f>
        <v>#REF!</v>
      </c>
      <c r="F24" s="37" t="s">
        <v>11</v>
      </c>
      <c r="G24" s="213" t="e">
        <f>SUMIF(토지세목조서!#REF!,"종국",토지세목조서!$H$6:$H$659)</f>
        <v>#REF!</v>
      </c>
      <c r="H24" s="36" t="e">
        <f>COUNTIF(토지세목조서!#REF!,"종공")</f>
        <v>#REF!</v>
      </c>
      <c r="I24" s="37" t="s">
        <v>11</v>
      </c>
      <c r="J24" s="213" t="e">
        <f>SUMIF(토지세목조서!#REF!,"종공",토지세목조서!$H$6:$H$659)</f>
        <v>#REF!</v>
      </c>
      <c r="K24" s="36" t="e">
        <f t="shared" si="0"/>
        <v>#REF!</v>
      </c>
      <c r="L24" s="37" t="s">
        <v>11</v>
      </c>
      <c r="M24" s="213" t="e">
        <f t="shared" si="1"/>
        <v>#REF!</v>
      </c>
      <c r="N24" s="39"/>
      <c r="O24" s="23"/>
      <c r="P24" s="23"/>
      <c r="Q24" s="23"/>
      <c r="R24" s="23"/>
      <c r="S24" s="23"/>
      <c r="T24" s="23"/>
      <c r="U24" s="24" t="s">
        <v>1151</v>
      </c>
      <c r="V24" s="23" t="s">
        <v>1135</v>
      </c>
      <c r="W24" s="332" t="s">
        <v>1174</v>
      </c>
    </row>
    <row r="25" spans="1:23" s="24" customFormat="1" ht="23.1" customHeight="1">
      <c r="A25" s="105" t="s">
        <v>31</v>
      </c>
      <c r="B25" s="36">
        <f>COUNTIF(토지세목조서!$E$6:$E$659,"염")</f>
        <v>0</v>
      </c>
      <c r="C25" s="37" t="s">
        <v>11</v>
      </c>
      <c r="D25" s="213">
        <f>SUMIF(토지세목조서!$E$6:$E$659,"염",토지세목조서!$H$6:$H$659)</f>
        <v>0</v>
      </c>
      <c r="E25" s="36" t="e">
        <f>COUNTIF(토지세목조서!#REF!,"염국")</f>
        <v>#REF!</v>
      </c>
      <c r="F25" s="37" t="s">
        <v>11</v>
      </c>
      <c r="G25" s="213" t="e">
        <f>SUMIF(토지세목조서!#REF!,"염국",토지세목조서!$H$6:$H$659)</f>
        <v>#REF!</v>
      </c>
      <c r="H25" s="36" t="e">
        <f>COUNTIF(토지세목조서!#REF!,"염공")</f>
        <v>#REF!</v>
      </c>
      <c r="I25" s="37" t="s">
        <v>11</v>
      </c>
      <c r="J25" s="213" t="e">
        <f>SUMIF(토지세목조서!#REF!,"염공",토지세목조서!$H$6:$H$659)</f>
        <v>#REF!</v>
      </c>
      <c r="K25" s="36" t="e">
        <f t="shared" si="0"/>
        <v>#REF!</v>
      </c>
      <c r="L25" s="37" t="s">
        <v>11</v>
      </c>
      <c r="M25" s="213" t="e">
        <f t="shared" si="1"/>
        <v>#REF!</v>
      </c>
      <c r="N25" s="39"/>
      <c r="O25" s="23"/>
      <c r="P25" s="23"/>
      <c r="Q25" s="23"/>
      <c r="R25" s="23"/>
      <c r="S25" s="23"/>
      <c r="T25" s="23"/>
      <c r="U25" s="24" t="s">
        <v>1152</v>
      </c>
      <c r="V25" s="23" t="s">
        <v>1136</v>
      </c>
      <c r="W25" s="332" t="s">
        <v>1175</v>
      </c>
    </row>
    <row r="26" spans="1:23" s="24" customFormat="1" ht="23.1" customHeight="1">
      <c r="A26" s="105" t="s">
        <v>32</v>
      </c>
      <c r="B26" s="36">
        <f>COUNTIF(토지세목조서!$E$6:$E$659,"공")</f>
        <v>0</v>
      </c>
      <c r="C26" s="37" t="s">
        <v>11</v>
      </c>
      <c r="D26" s="213">
        <f>SUMIF(토지세목조서!$E$6:$E$659,"공",토지세목조서!$H$6:$H$659)</f>
        <v>0</v>
      </c>
      <c r="E26" s="36" t="e">
        <f>COUNTIF(토지세목조서!#REF!,"공국")</f>
        <v>#REF!</v>
      </c>
      <c r="F26" s="37" t="s">
        <v>11</v>
      </c>
      <c r="G26" s="213" t="e">
        <f>SUMIF(토지세목조서!#REF!,"공국",토지세목조서!$H$6:$H$659)</f>
        <v>#REF!</v>
      </c>
      <c r="H26" s="36" t="e">
        <f>COUNTIF(토지세목조서!#REF!,"공공")</f>
        <v>#REF!</v>
      </c>
      <c r="I26" s="37" t="s">
        <v>11</v>
      </c>
      <c r="J26" s="213" t="e">
        <f>SUMIF(토지세목조서!#REF!,"공공",토지세목조서!$H$6:$H$659)</f>
        <v>#REF!</v>
      </c>
      <c r="K26" s="36" t="e">
        <f t="shared" si="0"/>
        <v>#REF!</v>
      </c>
      <c r="L26" s="37" t="s">
        <v>11</v>
      </c>
      <c r="M26" s="213" t="e">
        <f t="shared" si="1"/>
        <v>#REF!</v>
      </c>
      <c r="N26" s="39"/>
      <c r="O26" s="23"/>
      <c r="P26" s="23"/>
      <c r="Q26" s="23"/>
      <c r="R26" s="23"/>
      <c r="S26" s="23"/>
      <c r="T26" s="23"/>
      <c r="U26" s="24" t="s">
        <v>994</v>
      </c>
      <c r="V26" s="23" t="s">
        <v>1128</v>
      </c>
      <c r="W26" s="332" t="s">
        <v>1167</v>
      </c>
    </row>
    <row r="27" spans="1:23" s="24" customFormat="1" ht="23.1" customHeight="1">
      <c r="A27" s="105" t="s">
        <v>33</v>
      </c>
      <c r="B27" s="36">
        <f>COUNTIF(토지세목조서!$E$6:$E$659,"체")</f>
        <v>0</v>
      </c>
      <c r="C27" s="37" t="s">
        <v>11</v>
      </c>
      <c r="D27" s="213">
        <f>SUMIF(토지세목조서!$E$6:$E$659,"체",토지세목조서!$H$6:$H$659)</f>
        <v>0</v>
      </c>
      <c r="E27" s="36" t="e">
        <f>COUNTIF(토지세목조서!#REF!,"체국")</f>
        <v>#REF!</v>
      </c>
      <c r="F27" s="37" t="s">
        <v>11</v>
      </c>
      <c r="G27" s="213" t="e">
        <f>SUMIF(토지세목조서!#REF!,"체국",토지세목조서!$H$6:$H$659)</f>
        <v>#REF!</v>
      </c>
      <c r="H27" s="36" t="e">
        <f>COUNTIF(토지세목조서!#REF!,"체공")</f>
        <v>#REF!</v>
      </c>
      <c r="I27" s="37" t="s">
        <v>11</v>
      </c>
      <c r="J27" s="213" t="e">
        <f>SUMIF(토지세목조서!#REF!,"체공",토지세목조서!$H$6:$H$659)</f>
        <v>#REF!</v>
      </c>
      <c r="K27" s="36" t="e">
        <f t="shared" si="0"/>
        <v>#REF!</v>
      </c>
      <c r="L27" s="37" t="s">
        <v>11</v>
      </c>
      <c r="M27" s="213" t="e">
        <f t="shared" si="1"/>
        <v>#REF!</v>
      </c>
      <c r="N27" s="39"/>
      <c r="O27" s="23"/>
      <c r="P27" s="23"/>
      <c r="Q27" s="23"/>
      <c r="R27" s="23"/>
      <c r="S27" s="23"/>
      <c r="T27" s="23"/>
      <c r="U27" s="24" t="s">
        <v>1153</v>
      </c>
      <c r="V27" s="23" t="s">
        <v>1137</v>
      </c>
      <c r="W27" s="332" t="s">
        <v>1176</v>
      </c>
    </row>
    <row r="28" spans="1:23" s="24" customFormat="1" ht="23.1" customHeight="1">
      <c r="A28" s="105" t="s">
        <v>34</v>
      </c>
      <c r="B28" s="36">
        <f>COUNTIF(토지세목조서!$E$6:$E$659,"원")</f>
        <v>0</v>
      </c>
      <c r="C28" s="37" t="s">
        <v>11</v>
      </c>
      <c r="D28" s="213">
        <f>SUMIF(토지세목조서!$E$6:$E$659,"원",토지세목조서!$H$6:$H$659)</f>
        <v>0</v>
      </c>
      <c r="E28" s="36" t="e">
        <f>COUNTIF(토지세목조서!#REF!,"원국")</f>
        <v>#REF!</v>
      </c>
      <c r="F28" s="37" t="s">
        <v>11</v>
      </c>
      <c r="G28" s="213" t="e">
        <f>SUMIF(토지세목조서!#REF!,"원국",토지세목조서!$H$6:$H$659)</f>
        <v>#REF!</v>
      </c>
      <c r="H28" s="36" t="e">
        <f>COUNTIF(토지세목조서!#REF!,"원공")</f>
        <v>#REF!</v>
      </c>
      <c r="I28" s="37" t="s">
        <v>11</v>
      </c>
      <c r="J28" s="213" t="e">
        <f>SUMIF(토지세목조서!#REF!,"원공",토지세목조서!$H$6:$H$659)</f>
        <v>#REF!</v>
      </c>
      <c r="K28" s="36" t="e">
        <f t="shared" si="0"/>
        <v>#REF!</v>
      </c>
      <c r="L28" s="37" t="s">
        <v>11</v>
      </c>
      <c r="M28" s="213" t="e">
        <f t="shared" si="1"/>
        <v>#REF!</v>
      </c>
      <c r="N28" s="39"/>
      <c r="O28" s="23"/>
      <c r="P28" s="23"/>
      <c r="Q28" s="23"/>
      <c r="R28" s="23"/>
      <c r="S28" s="23"/>
      <c r="T28" s="23"/>
      <c r="U28" s="24" t="s">
        <v>1154</v>
      </c>
      <c r="V28" s="23" t="s">
        <v>1138</v>
      </c>
      <c r="W28" s="332" t="s">
        <v>1177</v>
      </c>
    </row>
    <row r="29" spans="1:23" s="24" customFormat="1" ht="23.1" customHeight="1">
      <c r="A29" s="105" t="s">
        <v>66</v>
      </c>
      <c r="B29" s="36">
        <f>COUNTIF(토지세목조서!$E$6:$E$659,"차")</f>
        <v>0</v>
      </c>
      <c r="C29" s="37" t="s">
        <v>11</v>
      </c>
      <c r="D29" s="213">
        <f>SUMIF(토지세목조서!$E$6:$E$659,"차",토지세목조서!$H$6:$H$659)</f>
        <v>0</v>
      </c>
      <c r="E29" s="36" t="e">
        <f>COUNTIF(토지세목조서!#REF!,"차국")</f>
        <v>#REF!</v>
      </c>
      <c r="F29" s="37" t="s">
        <v>11</v>
      </c>
      <c r="G29" s="213" t="e">
        <f>SUMIF(토지세목조서!#REF!,"차국",토지세목조서!$H$6:$H$659)</f>
        <v>#REF!</v>
      </c>
      <c r="H29" s="36" t="e">
        <f>COUNTIF(토지세목조서!#REF!,"차공")</f>
        <v>#REF!</v>
      </c>
      <c r="I29" s="37" t="s">
        <v>11</v>
      </c>
      <c r="J29" s="213" t="e">
        <f>SUMIF(토지세목조서!#REF!,"차공",토지세목조서!$H$6:$H$659)</f>
        <v>#REF!</v>
      </c>
      <c r="K29" s="36" t="e">
        <f t="shared" si="0"/>
        <v>#REF!</v>
      </c>
      <c r="L29" s="37" t="s">
        <v>11</v>
      </c>
      <c r="M29" s="213" t="e">
        <f t="shared" si="1"/>
        <v>#REF!</v>
      </c>
      <c r="N29" s="39"/>
      <c r="O29" s="23"/>
      <c r="P29" s="23"/>
      <c r="Q29" s="23"/>
      <c r="R29" s="23"/>
      <c r="S29" s="23"/>
      <c r="T29" s="23"/>
      <c r="U29" s="24" t="s">
        <v>1155</v>
      </c>
      <c r="V29" s="23" t="s">
        <v>1139</v>
      </c>
      <c r="W29" s="332" t="s">
        <v>1178</v>
      </c>
    </row>
    <row r="30" spans="1:23" s="24" customFormat="1" ht="23.1" customHeight="1">
      <c r="A30" s="105" t="s">
        <v>75</v>
      </c>
      <c r="B30" s="36">
        <f>COUNTIF(토지세목조서!$E$6:$E$659,"주")</f>
        <v>0</v>
      </c>
      <c r="C30" s="37" t="s">
        <v>11</v>
      </c>
      <c r="D30" s="213">
        <f>SUMIF(토지세목조서!$E$6:$E$659,"주",토지세목조서!$H$6:$H$659)</f>
        <v>0</v>
      </c>
      <c r="E30" s="36" t="e">
        <f>COUNTIF(토지세목조서!#REF!,"주국")</f>
        <v>#REF!</v>
      </c>
      <c r="F30" s="37" t="s">
        <v>11</v>
      </c>
      <c r="G30" s="213" t="e">
        <f>SUMIF(토지세목조서!#REF!,"주국",토지세목조서!$H$6:$H$659)</f>
        <v>#REF!</v>
      </c>
      <c r="H30" s="36" t="e">
        <f>COUNTIF(토지세목조서!#REF!,"주공")</f>
        <v>#REF!</v>
      </c>
      <c r="I30" s="37" t="s">
        <v>11</v>
      </c>
      <c r="J30" s="213" t="e">
        <f>SUMIF(토지세목조서!#REF!,"주공",토지세목조서!$H$6:$H$659)</f>
        <v>#REF!</v>
      </c>
      <c r="K30" s="36" t="e">
        <f t="shared" si="0"/>
        <v>#REF!</v>
      </c>
      <c r="L30" s="37" t="s">
        <v>11</v>
      </c>
      <c r="M30" s="213" t="e">
        <f t="shared" si="1"/>
        <v>#REF!</v>
      </c>
      <c r="N30" s="39"/>
      <c r="O30" s="23"/>
      <c r="P30" s="23"/>
      <c r="Q30" s="23"/>
      <c r="R30" s="23"/>
      <c r="S30" s="23"/>
      <c r="T30" s="23"/>
      <c r="U30" s="24" t="s">
        <v>1156</v>
      </c>
      <c r="V30" s="23" t="s">
        <v>1140</v>
      </c>
      <c r="W30" s="332" t="s">
        <v>1179</v>
      </c>
    </row>
    <row r="31" spans="1:23" s="24" customFormat="1" ht="23.1" customHeight="1">
      <c r="A31" s="106" t="s">
        <v>68</v>
      </c>
      <c r="B31" s="40">
        <f>COUNTIF(토지세목조서!$E$6:$E$659,"가")</f>
        <v>5</v>
      </c>
      <c r="C31" s="41" t="s">
        <v>11</v>
      </c>
      <c r="D31" s="214">
        <f>SUMIF(토지세목조서!$E$6:$E$659,"가",토지세목조서!$H$6:$H$659)</f>
        <v>1510</v>
      </c>
      <c r="E31" s="40" t="e">
        <f>COUNTIF(토지세목조서!#REF!," 국")</f>
        <v>#REF!</v>
      </c>
      <c r="F31" s="41" t="s">
        <v>11</v>
      </c>
      <c r="G31" s="214" t="e">
        <f>SUMIF(토지세목조서!#REF!," 국",토지세목조서!$H$6:$H$659)</f>
        <v>#REF!</v>
      </c>
      <c r="H31" s="40" t="e">
        <f>COUNTIF(토지세목조서!#REF!," 공")</f>
        <v>#REF!</v>
      </c>
      <c r="I31" s="41" t="s">
        <v>11</v>
      </c>
      <c r="J31" s="214" t="e">
        <f>SUMIF(토지세목조서!#REF!," 공",토지세목조서!$H$6:$H$659)</f>
        <v>#REF!</v>
      </c>
      <c r="K31" s="40" t="e">
        <f t="shared" si="0"/>
        <v>#REF!</v>
      </c>
      <c r="L31" s="41" t="s">
        <v>11</v>
      </c>
      <c r="M31" s="214" t="e">
        <f t="shared" si="1"/>
        <v>#REF!</v>
      </c>
      <c r="N31" s="43"/>
      <c r="O31" s="23"/>
      <c r="P31" s="23"/>
      <c r="Q31" s="23"/>
      <c r="R31" s="23"/>
      <c r="S31" s="23"/>
      <c r="T31" s="23"/>
      <c r="U31" s="24" t="s">
        <v>1056</v>
      </c>
      <c r="V31" s="23" t="s">
        <v>1141</v>
      </c>
      <c r="W31" s="332" t="s">
        <v>1180</v>
      </c>
    </row>
    <row r="32" spans="1:23" s="17" customFormat="1" ht="20.100000000000001" customHeight="1">
      <c r="A32" s="11" t="e">
        <f>IF(EXACT(O36,O37),,"검산확인요!!!")</f>
        <v>#REF!</v>
      </c>
      <c r="B32" s="12"/>
      <c r="C32" s="12"/>
      <c r="D32" s="12"/>
      <c r="E32" s="12"/>
      <c r="F32" s="12"/>
      <c r="G32" s="12"/>
      <c r="H32" s="12"/>
      <c r="I32" s="12"/>
      <c r="J32" s="12"/>
      <c r="K32" s="13" t="e">
        <f>IF(ISBLANK(#REF!),,#REF!)</f>
        <v>#REF!</v>
      </c>
      <c r="L32" s="187"/>
      <c r="M32" s="16"/>
      <c r="N32" s="16"/>
    </row>
    <row r="33" spans="1:22" s="17" customFormat="1" ht="9.9499999999999993" customHeight="1">
      <c r="A33" s="229"/>
      <c r="B33" s="230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230"/>
    </row>
    <row r="34" spans="1:22" s="24" customFormat="1" ht="27.95" customHeight="1">
      <c r="A34" s="199" t="s">
        <v>9</v>
      </c>
      <c r="B34" s="361" t="s">
        <v>8</v>
      </c>
      <c r="C34" s="362"/>
      <c r="D34" s="362"/>
      <c r="E34" s="215" t="s">
        <v>35</v>
      </c>
      <c r="F34" s="216"/>
      <c r="G34" s="217"/>
      <c r="H34" s="215" t="s">
        <v>63</v>
      </c>
      <c r="I34" s="216"/>
      <c r="J34" s="217"/>
      <c r="K34" s="215" t="s">
        <v>36</v>
      </c>
      <c r="L34" s="216"/>
      <c r="M34" s="217"/>
      <c r="N34" s="22" t="s">
        <v>37</v>
      </c>
      <c r="O34" s="23"/>
      <c r="S34" s="23"/>
      <c r="T34" s="23"/>
      <c r="U34" s="23"/>
      <c r="V34" s="23"/>
    </row>
    <row r="35" spans="1:22" s="24" customFormat="1" ht="27.95" customHeight="1">
      <c r="A35" s="25"/>
      <c r="B35" s="26" t="s">
        <v>10</v>
      </c>
      <c r="C35" s="27" t="s">
        <v>11</v>
      </c>
      <c r="D35" s="28" t="s">
        <v>38</v>
      </c>
      <c r="E35" s="185" t="s">
        <v>10</v>
      </c>
      <c r="F35" s="186" t="s">
        <v>11</v>
      </c>
      <c r="G35" s="184" t="s">
        <v>38</v>
      </c>
      <c r="H35" s="185" t="s">
        <v>10</v>
      </c>
      <c r="I35" s="186" t="s">
        <v>11</v>
      </c>
      <c r="J35" s="184" t="s">
        <v>38</v>
      </c>
      <c r="K35" s="185" t="s">
        <v>10</v>
      </c>
      <c r="L35" s="186" t="s">
        <v>11</v>
      </c>
      <c r="M35" s="184" t="s">
        <v>38</v>
      </c>
      <c r="N35" s="29"/>
      <c r="P35" s="23"/>
      <c r="Q35" s="30" t="s">
        <v>39</v>
      </c>
      <c r="R35" s="30" t="s">
        <v>40</v>
      </c>
      <c r="S35" s="30" t="s">
        <v>41</v>
      </c>
      <c r="T35" s="30" t="s">
        <v>42</v>
      </c>
      <c r="U35" s="23"/>
      <c r="V35" s="23"/>
    </row>
    <row r="36" spans="1:22" s="24" customFormat="1" ht="23.1" customHeight="1">
      <c r="A36" s="103" t="s">
        <v>8</v>
      </c>
      <c r="B36" s="31" t="e">
        <f>SUM(B37:B61)</f>
        <v>#REF!</v>
      </c>
      <c r="C36" s="32" t="s">
        <v>11</v>
      </c>
      <c r="D36" s="212" t="e">
        <f>SUM(D37:D61)</f>
        <v>#REF!</v>
      </c>
      <c r="E36" s="31" t="e">
        <f>SUM(E37:E61)</f>
        <v>#REF!</v>
      </c>
      <c r="F36" s="32" t="s">
        <v>11</v>
      </c>
      <c r="G36" s="212" t="e">
        <f>SUM(G37:G61)</f>
        <v>#REF!</v>
      </c>
      <c r="H36" s="31" t="e">
        <f>SUM(H37:H61)</f>
        <v>#REF!</v>
      </c>
      <c r="I36" s="32" t="s">
        <v>11</v>
      </c>
      <c r="J36" s="212" t="e">
        <f>SUM(J37:J61)</f>
        <v>#REF!</v>
      </c>
      <c r="K36" s="31" t="e">
        <f>SUM(K37:K61)</f>
        <v>#REF!</v>
      </c>
      <c r="L36" s="32" t="s">
        <v>11</v>
      </c>
      <c r="M36" s="212" t="e">
        <f>SUM(M37:M61)</f>
        <v>#REF!</v>
      </c>
      <c r="N36" s="34"/>
      <c r="O36" s="23" t="e">
        <f>IF(EXACT(Q36,T36),"맞음","틀림")</f>
        <v>#REF!</v>
      </c>
      <c r="P36" s="23" t="s">
        <v>10</v>
      </c>
      <c r="Q36" s="35" t="e">
        <f>SUM(B37:B61)</f>
        <v>#REF!</v>
      </c>
      <c r="R36" s="35" t="e">
        <f>SUM(E37:E61)</f>
        <v>#REF!</v>
      </c>
      <c r="S36" s="35" t="e">
        <f>SUM(K37:K61)</f>
        <v>#REF!</v>
      </c>
      <c r="T36" s="35" t="e">
        <f>K36+E36</f>
        <v>#REF!</v>
      </c>
      <c r="U36" s="23"/>
      <c r="V36" s="23"/>
    </row>
    <row r="37" spans="1:22" s="24" customFormat="1" ht="23.1" customHeight="1">
      <c r="A37" s="104" t="s">
        <v>13</v>
      </c>
      <c r="B37" s="36" t="e">
        <f>COUNTIF(#REF!,"전")</f>
        <v>#REF!</v>
      </c>
      <c r="C37" s="37" t="s">
        <v>11</v>
      </c>
      <c r="D37" s="213" t="e">
        <f>SUMIF(#REF!,"전",#REF!)</f>
        <v>#REF!</v>
      </c>
      <c r="E37" s="36" t="e">
        <f>COUNTIF(#REF!,"전국")</f>
        <v>#REF!</v>
      </c>
      <c r="F37" s="37" t="s">
        <v>11</v>
      </c>
      <c r="G37" s="213" t="e">
        <f>SUMIF(#REF!,"전국",#REF!)</f>
        <v>#REF!</v>
      </c>
      <c r="H37" s="36" t="e">
        <f>COUNTIF(#REF!,"전공")</f>
        <v>#REF!</v>
      </c>
      <c r="I37" s="37" t="s">
        <v>11</v>
      </c>
      <c r="J37" s="213" t="e">
        <f>SUMIF(#REF!,"전공",#REF!)</f>
        <v>#REF!</v>
      </c>
      <c r="K37" s="36" t="e">
        <f t="shared" ref="K37:K61" si="2">SUM(B37-E37-H37)</f>
        <v>#REF!</v>
      </c>
      <c r="L37" s="37" t="s">
        <v>11</v>
      </c>
      <c r="M37" s="213" t="e">
        <f t="shared" ref="M37:M61" si="3">SUM(D37-G37-J37)</f>
        <v>#REF!</v>
      </c>
      <c r="N37" s="39"/>
      <c r="O37" s="23" t="e">
        <f>IF(EXACT(Q37,T37),"맞음","틀림")</f>
        <v>#REF!</v>
      </c>
      <c r="P37" s="23" t="s">
        <v>43</v>
      </c>
      <c r="Q37" s="35" t="e">
        <f>SUM(D37:D61)</f>
        <v>#REF!</v>
      </c>
      <c r="R37" s="35" t="e">
        <f>SUM(G37:G61)</f>
        <v>#REF!</v>
      </c>
      <c r="S37" s="35" t="e">
        <f>SUM(M37:M61)</f>
        <v>#REF!</v>
      </c>
      <c r="T37" s="35" t="e">
        <f>G36+M36</f>
        <v>#REF!</v>
      </c>
      <c r="U37" s="23"/>
      <c r="V37" s="23"/>
    </row>
    <row r="38" spans="1:22" s="24" customFormat="1" ht="23.1" customHeight="1">
      <c r="A38" s="104" t="s">
        <v>14</v>
      </c>
      <c r="B38" s="36" t="e">
        <f>COUNTIF(#REF!,"답")</f>
        <v>#REF!</v>
      </c>
      <c r="C38" s="37" t="s">
        <v>11</v>
      </c>
      <c r="D38" s="213" t="e">
        <f>SUMIF(#REF!,"답",#REF!)</f>
        <v>#REF!</v>
      </c>
      <c r="E38" s="36" t="e">
        <f>COUNTIF(#REF!,"답국")</f>
        <v>#REF!</v>
      </c>
      <c r="F38" s="37" t="s">
        <v>11</v>
      </c>
      <c r="G38" s="213" t="e">
        <f>SUMIF(#REF!,"답국",#REF!)</f>
        <v>#REF!</v>
      </c>
      <c r="H38" s="36" t="e">
        <f>COUNTIF(#REF!,"답공")</f>
        <v>#REF!</v>
      </c>
      <c r="I38" s="37" t="s">
        <v>11</v>
      </c>
      <c r="J38" s="213" t="e">
        <f>SUMIF(#REF!,"답공",#REF!)</f>
        <v>#REF!</v>
      </c>
      <c r="K38" s="36" t="e">
        <f t="shared" si="2"/>
        <v>#REF!</v>
      </c>
      <c r="L38" s="37" t="s">
        <v>11</v>
      </c>
      <c r="M38" s="213" t="e">
        <f t="shared" si="3"/>
        <v>#REF!</v>
      </c>
      <c r="N38" s="39"/>
      <c r="Q38" s="23"/>
      <c r="S38" s="23"/>
      <c r="U38" s="23"/>
      <c r="V38" s="23"/>
    </row>
    <row r="39" spans="1:22" s="24" customFormat="1" ht="23.1" customHeight="1">
      <c r="A39" s="104" t="s">
        <v>15</v>
      </c>
      <c r="B39" s="36" t="e">
        <f>COUNTIF(#REF!,"임")</f>
        <v>#REF!</v>
      </c>
      <c r="C39" s="37" t="s">
        <v>11</v>
      </c>
      <c r="D39" s="213" t="e">
        <f>SUMIF(#REF!,"임",#REF!)</f>
        <v>#REF!</v>
      </c>
      <c r="E39" s="36" t="e">
        <f>COUNTIF(#REF!,"임국")</f>
        <v>#REF!</v>
      </c>
      <c r="F39" s="37" t="s">
        <v>11</v>
      </c>
      <c r="G39" s="213" t="e">
        <f>SUMIF(#REF!,"임국",#REF!)</f>
        <v>#REF!</v>
      </c>
      <c r="H39" s="36" t="e">
        <f>COUNTIF(#REF!,"임공")</f>
        <v>#REF!</v>
      </c>
      <c r="I39" s="37" t="s">
        <v>11</v>
      </c>
      <c r="J39" s="213" t="e">
        <f>SUMIF(#REF!,"임공",#REF!)</f>
        <v>#REF!</v>
      </c>
      <c r="K39" s="36" t="e">
        <f t="shared" si="2"/>
        <v>#REF!</v>
      </c>
      <c r="L39" s="37" t="s">
        <v>11</v>
      </c>
      <c r="M39" s="213" t="e">
        <f t="shared" si="3"/>
        <v>#REF!</v>
      </c>
      <c r="N39" s="39"/>
      <c r="Q39" s="23"/>
      <c r="S39" s="23"/>
      <c r="U39" s="23"/>
      <c r="V39" s="23"/>
    </row>
    <row r="40" spans="1:22" s="24" customFormat="1" ht="23.1" customHeight="1">
      <c r="A40" s="104" t="s">
        <v>16</v>
      </c>
      <c r="B40" s="36" t="e">
        <f>COUNTIF(#REF!,"대")</f>
        <v>#REF!</v>
      </c>
      <c r="C40" s="37" t="s">
        <v>11</v>
      </c>
      <c r="D40" s="213" t="e">
        <f>SUMIF(#REF!,"대",#REF!)</f>
        <v>#REF!</v>
      </c>
      <c r="E40" s="36" t="e">
        <f>COUNTIF(#REF!,"대국")</f>
        <v>#REF!</v>
      </c>
      <c r="F40" s="37" t="s">
        <v>11</v>
      </c>
      <c r="G40" s="213" t="e">
        <f>SUMIF(#REF!,"대국",#REF!)</f>
        <v>#REF!</v>
      </c>
      <c r="H40" s="36" t="e">
        <f>COUNTIF(#REF!,"대공")</f>
        <v>#REF!</v>
      </c>
      <c r="I40" s="37" t="s">
        <v>11</v>
      </c>
      <c r="J40" s="213" t="e">
        <f>SUMIF(#REF!,"대공",#REF!)</f>
        <v>#REF!</v>
      </c>
      <c r="K40" s="36" t="e">
        <f t="shared" si="2"/>
        <v>#REF!</v>
      </c>
      <c r="L40" s="37" t="s">
        <v>11</v>
      </c>
      <c r="M40" s="213" t="e">
        <f t="shared" si="3"/>
        <v>#REF!</v>
      </c>
      <c r="N40" s="39"/>
      <c r="O40" s="23"/>
      <c r="P40" s="23"/>
      <c r="Q40" s="23"/>
      <c r="R40" s="23"/>
      <c r="S40" s="23"/>
      <c r="T40" s="23"/>
      <c r="U40" s="23"/>
      <c r="V40" s="23"/>
    </row>
    <row r="41" spans="1:22" s="24" customFormat="1" ht="23.1" customHeight="1">
      <c r="A41" s="104" t="s">
        <v>17</v>
      </c>
      <c r="B41" s="36" t="e">
        <f>COUNTIF(#REF!,"도")</f>
        <v>#REF!</v>
      </c>
      <c r="C41" s="37" t="s">
        <v>11</v>
      </c>
      <c r="D41" s="213" t="e">
        <f>SUMIF(#REF!,"도",#REF!)</f>
        <v>#REF!</v>
      </c>
      <c r="E41" s="36" t="e">
        <f>COUNTIF(#REF!,"도국")</f>
        <v>#REF!</v>
      </c>
      <c r="F41" s="37" t="s">
        <v>11</v>
      </c>
      <c r="G41" s="213" t="e">
        <f>SUMIF(#REF!,"도국",#REF!)</f>
        <v>#REF!</v>
      </c>
      <c r="H41" s="36" t="e">
        <f>COUNTIF(#REF!,"도공")</f>
        <v>#REF!</v>
      </c>
      <c r="I41" s="37" t="s">
        <v>11</v>
      </c>
      <c r="J41" s="213" t="e">
        <f>SUMIF(#REF!,"도공",#REF!)</f>
        <v>#REF!</v>
      </c>
      <c r="K41" s="36" t="e">
        <f t="shared" si="2"/>
        <v>#REF!</v>
      </c>
      <c r="L41" s="37" t="s">
        <v>11</v>
      </c>
      <c r="M41" s="213" t="e">
        <f t="shared" si="3"/>
        <v>#REF!</v>
      </c>
      <c r="N41" s="39"/>
      <c r="O41" s="23"/>
      <c r="P41" s="23"/>
      <c r="Q41" s="23"/>
      <c r="R41" s="23"/>
      <c r="S41" s="23"/>
      <c r="T41" s="23"/>
      <c r="U41" s="23"/>
      <c r="V41" s="23"/>
    </row>
    <row r="42" spans="1:22" s="24" customFormat="1" ht="23.1" customHeight="1">
      <c r="A42" s="104" t="s">
        <v>18</v>
      </c>
      <c r="B42" s="36" t="e">
        <f>COUNTIF(#REF!,"구")</f>
        <v>#REF!</v>
      </c>
      <c r="C42" s="37" t="s">
        <v>11</v>
      </c>
      <c r="D42" s="213" t="e">
        <f>SUMIF(#REF!,"구",#REF!)</f>
        <v>#REF!</v>
      </c>
      <c r="E42" s="36" t="e">
        <f>COUNTIF(#REF!,"구국")</f>
        <v>#REF!</v>
      </c>
      <c r="F42" s="37" t="s">
        <v>11</v>
      </c>
      <c r="G42" s="213" t="e">
        <f>SUMIF(#REF!,"구국",#REF!)</f>
        <v>#REF!</v>
      </c>
      <c r="H42" s="36" t="e">
        <f>COUNTIF(#REF!,"구공")</f>
        <v>#REF!</v>
      </c>
      <c r="I42" s="37" t="s">
        <v>11</v>
      </c>
      <c r="J42" s="213" t="e">
        <f>SUMIF(#REF!,"구공",#REF!)</f>
        <v>#REF!</v>
      </c>
      <c r="K42" s="36" t="e">
        <f t="shared" si="2"/>
        <v>#REF!</v>
      </c>
      <c r="L42" s="37" t="s">
        <v>11</v>
      </c>
      <c r="M42" s="213" t="e">
        <f t="shared" si="3"/>
        <v>#REF!</v>
      </c>
      <c r="N42" s="39"/>
      <c r="O42" s="23"/>
      <c r="P42" s="23"/>
      <c r="Q42" s="23"/>
      <c r="R42" s="23"/>
      <c r="S42" s="23"/>
      <c r="T42" s="23"/>
      <c r="U42" s="23"/>
      <c r="V42" s="23"/>
    </row>
    <row r="43" spans="1:22" s="24" customFormat="1" ht="23.1" customHeight="1">
      <c r="A43" s="104" t="s">
        <v>19</v>
      </c>
      <c r="B43" s="36" t="e">
        <f>COUNTIF(#REF!,"천")</f>
        <v>#REF!</v>
      </c>
      <c r="C43" s="37" t="s">
        <v>11</v>
      </c>
      <c r="D43" s="213" t="e">
        <f>SUMIF(#REF!,"천",#REF!)</f>
        <v>#REF!</v>
      </c>
      <c r="E43" s="36" t="e">
        <f>COUNTIF(#REF!,"천국")</f>
        <v>#REF!</v>
      </c>
      <c r="F43" s="37" t="s">
        <v>11</v>
      </c>
      <c r="G43" s="213" t="e">
        <f>SUMIF(#REF!,"천국",#REF!)</f>
        <v>#REF!</v>
      </c>
      <c r="H43" s="36" t="e">
        <f>COUNTIF(#REF!,"천공")</f>
        <v>#REF!</v>
      </c>
      <c r="I43" s="37" t="s">
        <v>11</v>
      </c>
      <c r="J43" s="213" t="e">
        <f>SUMIF(#REF!,"천공",#REF!)</f>
        <v>#REF!</v>
      </c>
      <c r="K43" s="36" t="e">
        <f t="shared" si="2"/>
        <v>#REF!</v>
      </c>
      <c r="L43" s="37" t="s">
        <v>11</v>
      </c>
      <c r="M43" s="213" t="e">
        <f t="shared" si="3"/>
        <v>#REF!</v>
      </c>
      <c r="N43" s="39"/>
      <c r="O43" s="23"/>
      <c r="P43" s="23"/>
      <c r="Q43" s="23"/>
      <c r="R43" s="23"/>
      <c r="S43" s="23"/>
      <c r="T43" s="23"/>
      <c r="U43" s="23"/>
      <c r="V43" s="23"/>
    </row>
    <row r="44" spans="1:22" s="24" customFormat="1" ht="23.1" customHeight="1">
      <c r="A44" s="104" t="s">
        <v>20</v>
      </c>
      <c r="B44" s="36" t="e">
        <f>COUNTIF(#REF!,"유")</f>
        <v>#REF!</v>
      </c>
      <c r="C44" s="37" t="s">
        <v>11</v>
      </c>
      <c r="D44" s="213" t="e">
        <f>SUMIF(#REF!,"유",#REF!)</f>
        <v>#REF!</v>
      </c>
      <c r="E44" s="36" t="e">
        <f>COUNTIF(#REF!,"유국")</f>
        <v>#REF!</v>
      </c>
      <c r="F44" s="37" t="s">
        <v>11</v>
      </c>
      <c r="G44" s="213" t="e">
        <f>SUMIF(#REF!,"유국",#REF!)</f>
        <v>#REF!</v>
      </c>
      <c r="H44" s="36" t="e">
        <f>COUNTIF(#REF!,"유공")</f>
        <v>#REF!</v>
      </c>
      <c r="I44" s="37" t="s">
        <v>11</v>
      </c>
      <c r="J44" s="213" t="e">
        <f>SUMIF(#REF!,"유공",#REF!)</f>
        <v>#REF!</v>
      </c>
      <c r="K44" s="36" t="e">
        <f t="shared" si="2"/>
        <v>#REF!</v>
      </c>
      <c r="L44" s="37" t="s">
        <v>11</v>
      </c>
      <c r="M44" s="213" t="e">
        <f t="shared" si="3"/>
        <v>#REF!</v>
      </c>
      <c r="N44" s="39"/>
      <c r="O44" s="23"/>
      <c r="P44" s="23"/>
      <c r="Q44" s="23"/>
      <c r="R44" s="23"/>
      <c r="S44" s="23"/>
      <c r="T44" s="23"/>
      <c r="U44" s="23"/>
      <c r="V44" s="23"/>
    </row>
    <row r="45" spans="1:22" s="24" customFormat="1" ht="23.1" customHeight="1">
      <c r="A45" s="104" t="s">
        <v>21</v>
      </c>
      <c r="B45" s="36" t="e">
        <f>COUNTIF(#REF!,"제")</f>
        <v>#REF!</v>
      </c>
      <c r="C45" s="37" t="s">
        <v>11</v>
      </c>
      <c r="D45" s="213" t="e">
        <f>SUMIF(#REF!,"제",#REF!)</f>
        <v>#REF!</v>
      </c>
      <c r="E45" s="36" t="e">
        <f>COUNTIF(#REF!,"제국")</f>
        <v>#REF!</v>
      </c>
      <c r="F45" s="37" t="s">
        <v>11</v>
      </c>
      <c r="G45" s="213" t="e">
        <f>SUMIF(#REF!,"제국",#REF!)</f>
        <v>#REF!</v>
      </c>
      <c r="H45" s="36" t="e">
        <f>COUNTIF(#REF!,"제공")</f>
        <v>#REF!</v>
      </c>
      <c r="I45" s="37" t="s">
        <v>11</v>
      </c>
      <c r="J45" s="213" t="e">
        <f>SUMIF(#REF!,"제공",#REF!)</f>
        <v>#REF!</v>
      </c>
      <c r="K45" s="36" t="e">
        <f t="shared" si="2"/>
        <v>#REF!</v>
      </c>
      <c r="L45" s="37" t="s">
        <v>11</v>
      </c>
      <c r="M45" s="213" t="e">
        <f t="shared" si="3"/>
        <v>#REF!</v>
      </c>
      <c r="N45" s="39"/>
      <c r="O45" s="23"/>
      <c r="P45" s="23"/>
      <c r="Q45" s="23"/>
      <c r="R45" s="23"/>
      <c r="S45" s="23"/>
      <c r="T45" s="23"/>
      <c r="U45" s="23"/>
      <c r="V45" s="23"/>
    </row>
    <row r="46" spans="1:22" s="24" customFormat="1" ht="23.1" customHeight="1">
      <c r="A46" s="104" t="s">
        <v>22</v>
      </c>
      <c r="B46" s="36" t="e">
        <f>COUNTIF(#REF!,"과")</f>
        <v>#REF!</v>
      </c>
      <c r="C46" s="37" t="s">
        <v>11</v>
      </c>
      <c r="D46" s="213" t="e">
        <f>SUMIF(#REF!,"과",#REF!)</f>
        <v>#REF!</v>
      </c>
      <c r="E46" s="36" t="e">
        <f>COUNTIF(#REF!,"과국")</f>
        <v>#REF!</v>
      </c>
      <c r="F46" s="37" t="s">
        <v>11</v>
      </c>
      <c r="G46" s="213" t="e">
        <f>SUMIF(#REF!,"과국",#REF!)</f>
        <v>#REF!</v>
      </c>
      <c r="H46" s="36" t="e">
        <f>COUNTIF(#REF!,"과공")</f>
        <v>#REF!</v>
      </c>
      <c r="I46" s="37" t="s">
        <v>11</v>
      </c>
      <c r="J46" s="213" t="e">
        <f>SUMIF(#REF!,"과공",#REF!)</f>
        <v>#REF!</v>
      </c>
      <c r="K46" s="36" t="e">
        <f t="shared" si="2"/>
        <v>#REF!</v>
      </c>
      <c r="L46" s="37" t="s">
        <v>11</v>
      </c>
      <c r="M46" s="213" t="e">
        <f t="shared" si="3"/>
        <v>#REF!</v>
      </c>
      <c r="N46" s="39"/>
      <c r="O46" s="23"/>
      <c r="P46" s="23"/>
      <c r="Q46" s="23"/>
      <c r="R46" s="23"/>
      <c r="S46" s="23"/>
      <c r="T46" s="23"/>
      <c r="U46" s="23"/>
      <c r="V46" s="23"/>
    </row>
    <row r="47" spans="1:22" s="24" customFormat="1" ht="23.1" customHeight="1">
      <c r="A47" s="104" t="s">
        <v>23</v>
      </c>
      <c r="B47" s="36" t="e">
        <f>COUNTIF(#REF!,"장")</f>
        <v>#REF!</v>
      </c>
      <c r="C47" s="37" t="s">
        <v>11</v>
      </c>
      <c r="D47" s="213" t="e">
        <f>SUMIF(#REF!,"장",#REF!)</f>
        <v>#REF!</v>
      </c>
      <c r="E47" s="36" t="e">
        <f>COUNTIF(#REF!,"장국")</f>
        <v>#REF!</v>
      </c>
      <c r="F47" s="37" t="s">
        <v>11</v>
      </c>
      <c r="G47" s="213" t="e">
        <f>SUMIF(#REF!,"장국",#REF!)</f>
        <v>#REF!</v>
      </c>
      <c r="H47" s="36" t="e">
        <f>COUNTIF(#REF!,"장공")</f>
        <v>#REF!</v>
      </c>
      <c r="I47" s="37" t="s">
        <v>11</v>
      </c>
      <c r="J47" s="213" t="e">
        <f>SUMIF(#REF!,"장공",#REF!)</f>
        <v>#REF!</v>
      </c>
      <c r="K47" s="36" t="e">
        <f t="shared" si="2"/>
        <v>#REF!</v>
      </c>
      <c r="L47" s="37" t="s">
        <v>11</v>
      </c>
      <c r="M47" s="213" t="e">
        <f t="shared" si="3"/>
        <v>#REF!</v>
      </c>
      <c r="N47" s="39"/>
      <c r="O47" s="23"/>
      <c r="P47" s="23"/>
      <c r="Q47" s="23"/>
      <c r="R47" s="23"/>
      <c r="S47" s="23"/>
      <c r="T47" s="23"/>
      <c r="U47" s="23"/>
      <c r="V47" s="23"/>
    </row>
    <row r="48" spans="1:22" s="24" customFormat="1" ht="23.1" customHeight="1">
      <c r="A48" s="104" t="s">
        <v>24</v>
      </c>
      <c r="B48" s="36" t="e">
        <f>COUNTIF(#REF!,"목")</f>
        <v>#REF!</v>
      </c>
      <c r="C48" s="37" t="s">
        <v>11</v>
      </c>
      <c r="D48" s="213" t="e">
        <f>SUMIF(#REF!,"목",#REF!)</f>
        <v>#REF!</v>
      </c>
      <c r="E48" s="36" t="e">
        <f>COUNTIF(#REF!,"목국")</f>
        <v>#REF!</v>
      </c>
      <c r="F48" s="37" t="s">
        <v>11</v>
      </c>
      <c r="G48" s="213" t="e">
        <f>SUMIF(#REF!,"목국",#REF!)</f>
        <v>#REF!</v>
      </c>
      <c r="H48" s="36" t="e">
        <f>COUNTIF(#REF!,"목공")</f>
        <v>#REF!</v>
      </c>
      <c r="I48" s="37" t="s">
        <v>11</v>
      </c>
      <c r="J48" s="213" t="e">
        <f>SUMIF(#REF!,"목공",#REF!)</f>
        <v>#REF!</v>
      </c>
      <c r="K48" s="36" t="e">
        <f t="shared" si="2"/>
        <v>#REF!</v>
      </c>
      <c r="L48" s="37" t="s">
        <v>11</v>
      </c>
      <c r="M48" s="213" t="e">
        <f t="shared" si="3"/>
        <v>#REF!</v>
      </c>
      <c r="N48" s="39"/>
      <c r="O48" s="23"/>
      <c r="P48" s="23"/>
      <c r="Q48" s="23"/>
      <c r="R48" s="23"/>
      <c r="S48" s="23"/>
      <c r="T48" s="23"/>
      <c r="U48" s="23"/>
      <c r="V48" s="23"/>
    </row>
    <row r="49" spans="1:22" s="24" customFormat="1" ht="23.1" customHeight="1">
      <c r="A49" s="104" t="s">
        <v>25</v>
      </c>
      <c r="B49" s="36" t="e">
        <f>COUNTIF(#REF!,"학")</f>
        <v>#REF!</v>
      </c>
      <c r="C49" s="37" t="s">
        <v>11</v>
      </c>
      <c r="D49" s="213" t="e">
        <f>SUMIF(#REF!,"학",#REF!)</f>
        <v>#REF!</v>
      </c>
      <c r="E49" s="36" t="e">
        <f>COUNTIF(#REF!,"학국")</f>
        <v>#REF!</v>
      </c>
      <c r="F49" s="37" t="s">
        <v>11</v>
      </c>
      <c r="G49" s="213" t="e">
        <f>SUMIF(#REF!,"학국",#REF!)</f>
        <v>#REF!</v>
      </c>
      <c r="H49" s="36" t="e">
        <f>COUNTIF(#REF!,"학공")</f>
        <v>#REF!</v>
      </c>
      <c r="I49" s="37" t="s">
        <v>11</v>
      </c>
      <c r="J49" s="213" t="e">
        <f>SUMIF(#REF!,"학공",#REF!)</f>
        <v>#REF!</v>
      </c>
      <c r="K49" s="36" t="e">
        <f t="shared" si="2"/>
        <v>#REF!</v>
      </c>
      <c r="L49" s="37" t="s">
        <v>11</v>
      </c>
      <c r="M49" s="213" t="e">
        <f t="shared" si="3"/>
        <v>#REF!</v>
      </c>
      <c r="N49" s="39"/>
      <c r="O49" s="23"/>
      <c r="P49" s="23"/>
      <c r="Q49" s="23"/>
      <c r="R49" s="23"/>
      <c r="S49" s="23"/>
      <c r="T49" s="23"/>
      <c r="U49" s="23"/>
      <c r="V49" s="23"/>
    </row>
    <row r="50" spans="1:22" s="24" customFormat="1" ht="23.1" customHeight="1">
      <c r="A50" s="104" t="s">
        <v>26</v>
      </c>
      <c r="B50" s="36" t="e">
        <f>COUNTIF(#REF!,"철")</f>
        <v>#REF!</v>
      </c>
      <c r="C50" s="37" t="s">
        <v>11</v>
      </c>
      <c r="D50" s="213" t="e">
        <f>SUMIF(#REF!,"철",#REF!)</f>
        <v>#REF!</v>
      </c>
      <c r="E50" s="36" t="e">
        <f>COUNTIF(#REF!,"철국")</f>
        <v>#REF!</v>
      </c>
      <c r="F50" s="37" t="s">
        <v>11</v>
      </c>
      <c r="G50" s="213" t="e">
        <f>SUMIF(#REF!,"철국",#REF!)</f>
        <v>#REF!</v>
      </c>
      <c r="H50" s="36" t="e">
        <f>COUNTIF(#REF!,"철공")</f>
        <v>#REF!</v>
      </c>
      <c r="I50" s="37" t="s">
        <v>11</v>
      </c>
      <c r="J50" s="213" t="e">
        <f>SUMIF(#REF!,"철공",#REF!)</f>
        <v>#REF!</v>
      </c>
      <c r="K50" s="36" t="e">
        <f t="shared" si="2"/>
        <v>#REF!</v>
      </c>
      <c r="L50" s="37" t="s">
        <v>11</v>
      </c>
      <c r="M50" s="213" t="e">
        <f t="shared" si="3"/>
        <v>#REF!</v>
      </c>
      <c r="N50" s="39"/>
      <c r="O50" s="23"/>
      <c r="P50" s="23"/>
      <c r="Q50" s="23"/>
      <c r="R50" s="23"/>
      <c r="S50" s="23"/>
      <c r="T50" s="23"/>
      <c r="U50" s="23"/>
      <c r="V50" s="23"/>
    </row>
    <row r="51" spans="1:22" s="24" customFormat="1" ht="23.1" customHeight="1">
      <c r="A51" s="104" t="s">
        <v>27</v>
      </c>
      <c r="B51" s="36" t="e">
        <f>COUNTIF(#REF!,"묘")</f>
        <v>#REF!</v>
      </c>
      <c r="C51" s="37" t="s">
        <v>11</v>
      </c>
      <c r="D51" s="213" t="e">
        <f>SUMIF(#REF!,"묘",#REF!)</f>
        <v>#REF!</v>
      </c>
      <c r="E51" s="36" t="e">
        <f>COUNTIF(#REF!,"묘국")</f>
        <v>#REF!</v>
      </c>
      <c r="F51" s="37" t="s">
        <v>11</v>
      </c>
      <c r="G51" s="213" t="e">
        <f>SUMIF(#REF!,"묘국",#REF!)</f>
        <v>#REF!</v>
      </c>
      <c r="H51" s="36" t="e">
        <f>COUNTIF(#REF!,"묘공")</f>
        <v>#REF!</v>
      </c>
      <c r="I51" s="37" t="s">
        <v>11</v>
      </c>
      <c r="J51" s="213" t="e">
        <f>SUMIF(#REF!,"묘공",#REF!)</f>
        <v>#REF!</v>
      </c>
      <c r="K51" s="36" t="e">
        <f t="shared" si="2"/>
        <v>#REF!</v>
      </c>
      <c r="L51" s="37" t="s">
        <v>11</v>
      </c>
      <c r="M51" s="213" t="e">
        <f t="shared" si="3"/>
        <v>#REF!</v>
      </c>
      <c r="N51" s="39"/>
      <c r="O51" s="23"/>
      <c r="P51" s="23"/>
      <c r="Q51" s="23"/>
      <c r="R51" s="23"/>
      <c r="S51" s="23"/>
      <c r="T51" s="23"/>
      <c r="U51" s="23"/>
      <c r="V51" s="23"/>
    </row>
    <row r="52" spans="1:22" s="24" customFormat="1" ht="23.1" customHeight="1">
      <c r="A52" s="104" t="s">
        <v>28</v>
      </c>
      <c r="B52" s="36" t="e">
        <f>COUNTIF(#REF!,"수")</f>
        <v>#REF!</v>
      </c>
      <c r="C52" s="37" t="s">
        <v>11</v>
      </c>
      <c r="D52" s="213" t="e">
        <f>SUMIF(#REF!,"수",#REF!)</f>
        <v>#REF!</v>
      </c>
      <c r="E52" s="36" t="e">
        <f>COUNTIF(#REF!,"수국")</f>
        <v>#REF!</v>
      </c>
      <c r="F52" s="37" t="s">
        <v>11</v>
      </c>
      <c r="G52" s="213" t="e">
        <f>SUMIF(#REF!,"수국",#REF!)</f>
        <v>#REF!</v>
      </c>
      <c r="H52" s="36" t="e">
        <f>COUNTIF(#REF!,"수공")</f>
        <v>#REF!</v>
      </c>
      <c r="I52" s="37" t="s">
        <v>11</v>
      </c>
      <c r="J52" s="213" t="e">
        <f>SUMIF(#REF!,"수공",#REF!)</f>
        <v>#REF!</v>
      </c>
      <c r="K52" s="36" t="e">
        <f t="shared" si="2"/>
        <v>#REF!</v>
      </c>
      <c r="L52" s="37" t="s">
        <v>11</v>
      </c>
      <c r="M52" s="213" t="e">
        <f t="shared" si="3"/>
        <v>#REF!</v>
      </c>
      <c r="N52" s="39"/>
      <c r="O52" s="23"/>
      <c r="P52" s="23"/>
      <c r="Q52" s="23"/>
      <c r="R52" s="23"/>
      <c r="S52" s="23"/>
      <c r="T52" s="23"/>
      <c r="U52" s="23"/>
      <c r="V52" s="23"/>
    </row>
    <row r="53" spans="1:22" s="24" customFormat="1" ht="23.1" customHeight="1">
      <c r="A53" s="104" t="s">
        <v>29</v>
      </c>
      <c r="B53" s="36" t="e">
        <f>COUNTIF(#REF!,"잡")</f>
        <v>#REF!</v>
      </c>
      <c r="C53" s="37" t="s">
        <v>11</v>
      </c>
      <c r="D53" s="213" t="e">
        <f>SUMIF(#REF!,"잡",#REF!)</f>
        <v>#REF!</v>
      </c>
      <c r="E53" s="36" t="e">
        <f>COUNTIF(#REF!,"잡국")</f>
        <v>#REF!</v>
      </c>
      <c r="F53" s="37" t="s">
        <v>11</v>
      </c>
      <c r="G53" s="213" t="e">
        <f>SUMIF(#REF!,"잡국",#REF!)</f>
        <v>#REF!</v>
      </c>
      <c r="H53" s="36" t="e">
        <f>COUNTIF(#REF!,"잡공")</f>
        <v>#REF!</v>
      </c>
      <c r="I53" s="37" t="s">
        <v>11</v>
      </c>
      <c r="J53" s="213" t="e">
        <f>SUMIF(#REF!,"잡공",#REF!)</f>
        <v>#REF!</v>
      </c>
      <c r="K53" s="36" t="e">
        <f t="shared" si="2"/>
        <v>#REF!</v>
      </c>
      <c r="L53" s="37" t="s">
        <v>11</v>
      </c>
      <c r="M53" s="213" t="e">
        <f t="shared" si="3"/>
        <v>#REF!</v>
      </c>
      <c r="N53" s="39"/>
      <c r="O53" s="23"/>
      <c r="P53" s="23"/>
      <c r="Q53" s="23"/>
      <c r="R53" s="23"/>
      <c r="S53" s="23"/>
      <c r="T53" s="23"/>
      <c r="U53" s="23"/>
      <c r="V53" s="23"/>
    </row>
    <row r="54" spans="1:22" s="24" customFormat="1" ht="23.1" customHeight="1">
      <c r="A54" s="105" t="s">
        <v>30</v>
      </c>
      <c r="B54" s="36" t="e">
        <f>COUNTIF(#REF!,"종")</f>
        <v>#REF!</v>
      </c>
      <c r="C54" s="37" t="s">
        <v>11</v>
      </c>
      <c r="D54" s="213" t="e">
        <f>SUMIF(#REF!,"종",#REF!)</f>
        <v>#REF!</v>
      </c>
      <c r="E54" s="36" t="e">
        <f>COUNTIF(#REF!,"종국")</f>
        <v>#REF!</v>
      </c>
      <c r="F54" s="37" t="s">
        <v>11</v>
      </c>
      <c r="G54" s="213" t="e">
        <f>SUMIF(#REF!,"종국",#REF!)</f>
        <v>#REF!</v>
      </c>
      <c r="H54" s="36" t="e">
        <f>COUNTIF(#REF!,"종공")</f>
        <v>#REF!</v>
      </c>
      <c r="I54" s="37" t="s">
        <v>11</v>
      </c>
      <c r="J54" s="213" t="e">
        <f>SUMIF(#REF!,"종공",#REF!)</f>
        <v>#REF!</v>
      </c>
      <c r="K54" s="36" t="e">
        <f t="shared" si="2"/>
        <v>#REF!</v>
      </c>
      <c r="L54" s="37" t="s">
        <v>11</v>
      </c>
      <c r="M54" s="213" t="e">
        <f t="shared" si="3"/>
        <v>#REF!</v>
      </c>
      <c r="N54" s="39"/>
      <c r="O54" s="23"/>
      <c r="P54" s="23"/>
      <c r="Q54" s="23"/>
      <c r="R54" s="23"/>
      <c r="S54" s="23"/>
      <c r="T54" s="23"/>
      <c r="U54" s="23"/>
      <c r="V54" s="23"/>
    </row>
    <row r="55" spans="1:22" s="24" customFormat="1" ht="23.1" customHeight="1">
      <c r="A55" s="105" t="s">
        <v>31</v>
      </c>
      <c r="B55" s="36" t="e">
        <f>COUNTIF(#REF!,"염")</f>
        <v>#REF!</v>
      </c>
      <c r="C55" s="37" t="s">
        <v>11</v>
      </c>
      <c r="D55" s="213" t="e">
        <f>SUMIF(#REF!,"염",#REF!)</f>
        <v>#REF!</v>
      </c>
      <c r="E55" s="36" t="e">
        <f>COUNTIF(#REF!,"염국")</f>
        <v>#REF!</v>
      </c>
      <c r="F55" s="37" t="s">
        <v>11</v>
      </c>
      <c r="G55" s="213" t="e">
        <f>SUMIF(#REF!,"염국",#REF!)</f>
        <v>#REF!</v>
      </c>
      <c r="H55" s="36" t="e">
        <f>COUNTIF(#REF!,"염공")</f>
        <v>#REF!</v>
      </c>
      <c r="I55" s="37" t="s">
        <v>11</v>
      </c>
      <c r="J55" s="213" t="e">
        <f>SUMIF(#REF!,"염공",#REF!)</f>
        <v>#REF!</v>
      </c>
      <c r="K55" s="36" t="e">
        <f t="shared" si="2"/>
        <v>#REF!</v>
      </c>
      <c r="L55" s="37" t="s">
        <v>11</v>
      </c>
      <c r="M55" s="213" t="e">
        <f t="shared" si="3"/>
        <v>#REF!</v>
      </c>
      <c r="N55" s="39"/>
      <c r="O55" s="23"/>
      <c r="P55" s="23"/>
      <c r="Q55" s="23"/>
      <c r="R55" s="23"/>
      <c r="S55" s="23"/>
      <c r="T55" s="23"/>
      <c r="U55" s="23"/>
      <c r="V55" s="23"/>
    </row>
    <row r="56" spans="1:22" s="24" customFormat="1" ht="23.1" customHeight="1">
      <c r="A56" s="105" t="s">
        <v>32</v>
      </c>
      <c r="B56" s="36" t="e">
        <f>COUNTIF(#REF!,"공")</f>
        <v>#REF!</v>
      </c>
      <c r="C56" s="37" t="s">
        <v>11</v>
      </c>
      <c r="D56" s="213" t="e">
        <f>SUMIF(#REF!,"공",#REF!)</f>
        <v>#REF!</v>
      </c>
      <c r="E56" s="36" t="e">
        <f>COUNTIF(#REF!,"공국")</f>
        <v>#REF!</v>
      </c>
      <c r="F56" s="37" t="s">
        <v>11</v>
      </c>
      <c r="G56" s="213" t="e">
        <f>SUMIF(#REF!,"공국",#REF!)</f>
        <v>#REF!</v>
      </c>
      <c r="H56" s="36" t="e">
        <f>COUNTIF(#REF!,"공공")</f>
        <v>#REF!</v>
      </c>
      <c r="I56" s="37" t="s">
        <v>11</v>
      </c>
      <c r="J56" s="213" t="e">
        <f>SUMIF(#REF!,"공공",#REF!)</f>
        <v>#REF!</v>
      </c>
      <c r="K56" s="36" t="e">
        <f t="shared" si="2"/>
        <v>#REF!</v>
      </c>
      <c r="L56" s="37" t="s">
        <v>11</v>
      </c>
      <c r="M56" s="213" t="e">
        <f t="shared" si="3"/>
        <v>#REF!</v>
      </c>
      <c r="N56" s="39"/>
      <c r="O56" s="23"/>
      <c r="P56" s="23"/>
      <c r="Q56" s="23"/>
      <c r="R56" s="23"/>
      <c r="S56" s="23"/>
      <c r="T56" s="23"/>
      <c r="U56" s="23"/>
      <c r="V56" s="23"/>
    </row>
    <row r="57" spans="1:22" s="24" customFormat="1" ht="23.1" customHeight="1">
      <c r="A57" s="105" t="s">
        <v>33</v>
      </c>
      <c r="B57" s="36" t="e">
        <f>COUNTIF(#REF!,"체")</f>
        <v>#REF!</v>
      </c>
      <c r="C57" s="37" t="s">
        <v>11</v>
      </c>
      <c r="D57" s="213" t="e">
        <f>SUMIF(#REF!,"체",#REF!)</f>
        <v>#REF!</v>
      </c>
      <c r="E57" s="36" t="e">
        <f>COUNTIF(#REF!,"체국")</f>
        <v>#REF!</v>
      </c>
      <c r="F57" s="37" t="s">
        <v>11</v>
      </c>
      <c r="G57" s="213" t="e">
        <f>SUMIF(#REF!,"체국",#REF!)</f>
        <v>#REF!</v>
      </c>
      <c r="H57" s="36" t="e">
        <f>COUNTIF(#REF!,"체공")</f>
        <v>#REF!</v>
      </c>
      <c r="I57" s="37" t="s">
        <v>11</v>
      </c>
      <c r="J57" s="213" t="e">
        <f>SUMIF(#REF!,"체공",#REF!)</f>
        <v>#REF!</v>
      </c>
      <c r="K57" s="36" t="e">
        <f t="shared" si="2"/>
        <v>#REF!</v>
      </c>
      <c r="L57" s="37" t="s">
        <v>11</v>
      </c>
      <c r="M57" s="213" t="e">
        <f t="shared" si="3"/>
        <v>#REF!</v>
      </c>
      <c r="N57" s="39"/>
      <c r="O57" s="23"/>
      <c r="P57" s="23"/>
      <c r="Q57" s="23"/>
      <c r="R57" s="23"/>
      <c r="S57" s="23"/>
      <c r="T57" s="23"/>
      <c r="U57" s="23"/>
      <c r="V57" s="23"/>
    </row>
    <row r="58" spans="1:22" s="24" customFormat="1" ht="23.1" customHeight="1">
      <c r="A58" s="105" t="s">
        <v>34</v>
      </c>
      <c r="B58" s="36" t="e">
        <f>COUNTIF(#REF!,"원")</f>
        <v>#REF!</v>
      </c>
      <c r="C58" s="37" t="s">
        <v>11</v>
      </c>
      <c r="D58" s="213" t="e">
        <f>SUMIF(#REF!,"원",#REF!)</f>
        <v>#REF!</v>
      </c>
      <c r="E58" s="36" t="e">
        <f>COUNTIF(#REF!,"원국")</f>
        <v>#REF!</v>
      </c>
      <c r="F58" s="37" t="s">
        <v>11</v>
      </c>
      <c r="G58" s="213" t="e">
        <f>SUMIF(#REF!,"원국",#REF!)</f>
        <v>#REF!</v>
      </c>
      <c r="H58" s="36" t="e">
        <f>COUNTIF(#REF!,"원공")</f>
        <v>#REF!</v>
      </c>
      <c r="I58" s="37" t="s">
        <v>11</v>
      </c>
      <c r="J58" s="213" t="e">
        <f>SUMIF(#REF!,"원공",#REF!)</f>
        <v>#REF!</v>
      </c>
      <c r="K58" s="36" t="e">
        <f t="shared" si="2"/>
        <v>#REF!</v>
      </c>
      <c r="L58" s="37" t="s">
        <v>11</v>
      </c>
      <c r="M58" s="213" t="e">
        <f t="shared" si="3"/>
        <v>#REF!</v>
      </c>
      <c r="N58" s="39"/>
      <c r="O58" s="23"/>
      <c r="P58" s="23"/>
      <c r="Q58" s="23"/>
      <c r="R58" s="23"/>
      <c r="S58" s="23"/>
      <c r="T58" s="23"/>
      <c r="U58" s="23"/>
      <c r="V58" s="23"/>
    </row>
    <row r="59" spans="1:22" s="24" customFormat="1" ht="23.1" customHeight="1">
      <c r="A59" s="105" t="s">
        <v>69</v>
      </c>
      <c r="B59" s="36" t="e">
        <f>COUNTIF(#REF!,"차")</f>
        <v>#REF!</v>
      </c>
      <c r="C59" s="37" t="s">
        <v>11</v>
      </c>
      <c r="D59" s="213" t="e">
        <f>SUMIF(#REF!,"차",#REF!)</f>
        <v>#REF!</v>
      </c>
      <c r="E59" s="36" t="e">
        <f>COUNTIF(#REF!,"차국")</f>
        <v>#REF!</v>
      </c>
      <c r="F59" s="37" t="s">
        <v>11</v>
      </c>
      <c r="G59" s="213" t="e">
        <f>SUMIF(#REF!,"차국",#REF!)</f>
        <v>#REF!</v>
      </c>
      <c r="H59" s="36" t="e">
        <f>COUNTIF(#REF!,"차공")</f>
        <v>#REF!</v>
      </c>
      <c r="I59" s="37" t="s">
        <v>11</v>
      </c>
      <c r="J59" s="213" t="e">
        <f>SUMIF(#REF!,"차공",#REF!)</f>
        <v>#REF!</v>
      </c>
      <c r="K59" s="36" t="e">
        <f t="shared" si="2"/>
        <v>#REF!</v>
      </c>
      <c r="L59" s="37" t="s">
        <v>11</v>
      </c>
      <c r="M59" s="213" t="e">
        <f t="shared" si="3"/>
        <v>#REF!</v>
      </c>
      <c r="N59" s="39"/>
      <c r="O59" s="23"/>
      <c r="P59" s="23"/>
      <c r="Q59" s="23"/>
      <c r="R59" s="23"/>
      <c r="S59" s="23"/>
      <c r="T59" s="23"/>
      <c r="U59" s="23"/>
      <c r="V59" s="23"/>
    </row>
    <row r="60" spans="1:22" s="24" customFormat="1" ht="23.1" customHeight="1">
      <c r="A60" s="105" t="s">
        <v>75</v>
      </c>
      <c r="B60" s="36" t="e">
        <f>COUNTIF(#REF!,"창")</f>
        <v>#REF!</v>
      </c>
      <c r="C60" s="37" t="s">
        <v>11</v>
      </c>
      <c r="D60" s="213" t="e">
        <f>SUMIF(#REF!,"창",#REF!)</f>
        <v>#REF!</v>
      </c>
      <c r="E60" s="36" t="e">
        <f>COUNTIF(#REF!,"창국")</f>
        <v>#REF!</v>
      </c>
      <c r="F60" s="37" t="s">
        <v>11</v>
      </c>
      <c r="G60" s="213" t="e">
        <f>SUMIF(#REF!,"창국",#REF!)</f>
        <v>#REF!</v>
      </c>
      <c r="H60" s="36" t="e">
        <f>COUNTIF(#REF!,"창공")</f>
        <v>#REF!</v>
      </c>
      <c r="I60" s="37" t="s">
        <v>11</v>
      </c>
      <c r="J60" s="213" t="e">
        <f>SUMIF(#REF!,"창공",#REF!)</f>
        <v>#REF!</v>
      </c>
      <c r="K60" s="36" t="e">
        <f t="shared" si="2"/>
        <v>#REF!</v>
      </c>
      <c r="L60" s="37" t="s">
        <v>11</v>
      </c>
      <c r="M60" s="213" t="e">
        <f t="shared" si="3"/>
        <v>#REF!</v>
      </c>
      <c r="N60" s="39"/>
      <c r="O60" s="23"/>
      <c r="P60" s="23"/>
      <c r="Q60" s="23"/>
      <c r="R60" s="23"/>
      <c r="S60" s="23"/>
      <c r="T60" s="23"/>
      <c r="U60" s="23"/>
      <c r="V60" s="23"/>
    </row>
    <row r="61" spans="1:22" s="24" customFormat="1" ht="23.1" customHeight="1">
      <c r="A61" s="106" t="s">
        <v>70</v>
      </c>
      <c r="B61" s="40" t="e">
        <f>COUNTIF(#REF!,"가")</f>
        <v>#REF!</v>
      </c>
      <c r="C61" s="41" t="s">
        <v>11</v>
      </c>
      <c r="D61" s="214" t="e">
        <f>SUMIF(#REF!,"가",#REF!)</f>
        <v>#REF!</v>
      </c>
      <c r="E61" s="40" t="e">
        <f>COUNTIF(#REF!," 국")</f>
        <v>#REF!</v>
      </c>
      <c r="F61" s="41" t="s">
        <v>11</v>
      </c>
      <c r="G61" s="214" t="e">
        <f>SUMIF(#REF!," 국",#REF!)</f>
        <v>#REF!</v>
      </c>
      <c r="H61" s="40" t="e">
        <f>COUNTIF(#REF!," 공")</f>
        <v>#REF!</v>
      </c>
      <c r="I61" s="41" t="s">
        <v>11</v>
      </c>
      <c r="J61" s="214" t="e">
        <f>SUMIF(#REF!," 공",#REF!)</f>
        <v>#REF!</v>
      </c>
      <c r="K61" s="40" t="e">
        <f t="shared" si="2"/>
        <v>#REF!</v>
      </c>
      <c r="L61" s="41" t="s">
        <v>11</v>
      </c>
      <c r="M61" s="214" t="e">
        <f t="shared" si="3"/>
        <v>#REF!</v>
      </c>
      <c r="N61" s="43"/>
      <c r="O61" s="23"/>
      <c r="P61" s="23"/>
      <c r="Q61" s="23"/>
      <c r="R61" s="23"/>
      <c r="S61" s="23"/>
      <c r="T61" s="23"/>
      <c r="U61" s="23"/>
      <c r="V61" s="23"/>
    </row>
    <row r="62" spans="1:22" s="17" customFormat="1" ht="20.100000000000001" customHeight="1">
      <c r="A62" s="11" t="e">
        <f>IF(EXACT(O66,O67),,"검산확인요!!!")</f>
        <v>#REF!</v>
      </c>
      <c r="B62" s="12"/>
      <c r="C62" s="12"/>
      <c r="D62" s="12"/>
      <c r="E62" s="12"/>
      <c r="F62" s="12"/>
      <c r="G62" s="12"/>
      <c r="H62" s="12"/>
      <c r="I62" s="12"/>
      <c r="J62" s="12"/>
      <c r="K62" s="13" t="e">
        <f>IF(ISBLANK(#REF!),,#REF!)</f>
        <v>#REF!</v>
      </c>
      <c r="L62" s="14"/>
      <c r="M62" s="15"/>
      <c r="N62" s="16"/>
    </row>
    <row r="63" spans="1:22" s="17" customFormat="1" ht="9.9499999999999993" customHeight="1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22" s="24" customFormat="1" ht="27.95" customHeight="1">
      <c r="A64" s="199" t="s">
        <v>9</v>
      </c>
      <c r="B64" s="361" t="s">
        <v>8</v>
      </c>
      <c r="C64" s="362"/>
      <c r="D64" s="362"/>
      <c r="E64" s="215" t="s">
        <v>35</v>
      </c>
      <c r="F64" s="216"/>
      <c r="G64" s="217"/>
      <c r="H64" s="215" t="s">
        <v>63</v>
      </c>
      <c r="I64" s="216"/>
      <c r="J64" s="217"/>
      <c r="K64" s="215" t="s">
        <v>36</v>
      </c>
      <c r="L64" s="216"/>
      <c r="M64" s="217"/>
      <c r="N64" s="22" t="s">
        <v>37</v>
      </c>
      <c r="O64" s="23"/>
      <c r="S64" s="23"/>
      <c r="T64" s="23"/>
      <c r="U64" s="23"/>
      <c r="V64" s="23"/>
    </row>
    <row r="65" spans="1:22" s="24" customFormat="1" ht="27.95" customHeight="1">
      <c r="A65" s="25"/>
      <c r="B65" s="26" t="s">
        <v>10</v>
      </c>
      <c r="C65" s="27" t="s">
        <v>11</v>
      </c>
      <c r="D65" s="28" t="s">
        <v>38</v>
      </c>
      <c r="E65" s="185" t="s">
        <v>10</v>
      </c>
      <c r="F65" s="186" t="s">
        <v>11</v>
      </c>
      <c r="G65" s="184" t="s">
        <v>38</v>
      </c>
      <c r="H65" s="185" t="s">
        <v>10</v>
      </c>
      <c r="I65" s="186" t="s">
        <v>11</v>
      </c>
      <c r="J65" s="184" t="s">
        <v>38</v>
      </c>
      <c r="K65" s="185" t="s">
        <v>10</v>
      </c>
      <c r="L65" s="186" t="s">
        <v>11</v>
      </c>
      <c r="M65" s="184" t="s">
        <v>38</v>
      </c>
      <c r="N65" s="29"/>
      <c r="P65" s="23"/>
      <c r="Q65" s="30" t="s">
        <v>39</v>
      </c>
      <c r="R65" s="30" t="s">
        <v>40</v>
      </c>
      <c r="S65" s="30" t="s">
        <v>41</v>
      </c>
      <c r="T65" s="30" t="s">
        <v>42</v>
      </c>
      <c r="U65" s="23"/>
      <c r="V65" s="23"/>
    </row>
    <row r="66" spans="1:22" s="24" customFormat="1" ht="23.1" customHeight="1">
      <c r="A66" s="103" t="s">
        <v>8</v>
      </c>
      <c r="B66" s="31" t="e">
        <f>SUM(B67:B91)</f>
        <v>#REF!</v>
      </c>
      <c r="C66" s="32" t="s">
        <v>11</v>
      </c>
      <c r="D66" s="212" t="e">
        <f>SUM(D67:D91)</f>
        <v>#REF!</v>
      </c>
      <c r="E66" s="31" t="e">
        <f>SUM(E67:E91)</f>
        <v>#REF!</v>
      </c>
      <c r="F66" s="32" t="s">
        <v>11</v>
      </c>
      <c r="G66" s="212" t="e">
        <f>SUM(G67:G91)</f>
        <v>#REF!</v>
      </c>
      <c r="H66" s="31" t="e">
        <f>SUM(H67:H91)</f>
        <v>#REF!</v>
      </c>
      <c r="I66" s="32" t="s">
        <v>11</v>
      </c>
      <c r="J66" s="212" t="e">
        <f>SUM(J67:J91)</f>
        <v>#REF!</v>
      </c>
      <c r="K66" s="31" t="e">
        <f>SUM(K67:K91)</f>
        <v>#REF!</v>
      </c>
      <c r="L66" s="32" t="s">
        <v>11</v>
      </c>
      <c r="M66" s="212" t="e">
        <f>SUM(M67:M91)</f>
        <v>#REF!</v>
      </c>
      <c r="N66" s="34"/>
      <c r="O66" s="23" t="e">
        <f>IF(EXACT(Q66,T66),"맞음","틀림")</f>
        <v>#REF!</v>
      </c>
      <c r="P66" s="23" t="s">
        <v>10</v>
      </c>
      <c r="Q66" s="35" t="e">
        <f>SUM(B67:B91)</f>
        <v>#REF!</v>
      </c>
      <c r="R66" s="35" t="e">
        <f>SUM(E67:E91)</f>
        <v>#REF!</v>
      </c>
      <c r="S66" s="35" t="e">
        <f>SUM(K67:K91)</f>
        <v>#REF!</v>
      </c>
      <c r="T66" s="35" t="e">
        <f>K66+E66</f>
        <v>#REF!</v>
      </c>
      <c r="U66" s="23"/>
      <c r="V66" s="23"/>
    </row>
    <row r="67" spans="1:22" s="24" customFormat="1" ht="23.1" customHeight="1">
      <c r="A67" s="104" t="s">
        <v>13</v>
      </c>
      <c r="B67" s="36" t="e">
        <f>COUNTIF(#REF!,"전")</f>
        <v>#REF!</v>
      </c>
      <c r="C67" s="37" t="s">
        <v>11</v>
      </c>
      <c r="D67" s="213" t="e">
        <f>SUMIF(#REF!,"전",#REF!)</f>
        <v>#REF!</v>
      </c>
      <c r="E67" s="36" t="e">
        <f>COUNTIF(#REF!,"전국")</f>
        <v>#REF!</v>
      </c>
      <c r="F67" s="37" t="s">
        <v>11</v>
      </c>
      <c r="G67" s="213" t="e">
        <f>SUMIF(#REF!,"전국",#REF!)</f>
        <v>#REF!</v>
      </c>
      <c r="H67" s="36" t="e">
        <f>COUNTIF(#REF!,"전공")</f>
        <v>#REF!</v>
      </c>
      <c r="I67" s="37" t="s">
        <v>11</v>
      </c>
      <c r="J67" s="213" t="e">
        <f>SUMIF(#REF!,"전공",#REF!)</f>
        <v>#REF!</v>
      </c>
      <c r="K67" s="36" t="e">
        <f t="shared" ref="K67:K91" si="4">SUM(B67-E67-H67)</f>
        <v>#REF!</v>
      </c>
      <c r="L67" s="37" t="s">
        <v>11</v>
      </c>
      <c r="M67" s="213" t="e">
        <f t="shared" ref="M67:M91" si="5">SUM(D67-G67-J67)</f>
        <v>#REF!</v>
      </c>
      <c r="N67" s="39"/>
      <c r="O67" s="23" t="e">
        <f>IF(EXACT(Q67,T67),"맞음","틀림")</f>
        <v>#REF!</v>
      </c>
      <c r="P67" s="23" t="s">
        <v>43</v>
      </c>
      <c r="Q67" s="35" t="e">
        <f>SUM(D67:D91)</f>
        <v>#REF!</v>
      </c>
      <c r="R67" s="35" t="e">
        <f>SUM(G67:G91)</f>
        <v>#REF!</v>
      </c>
      <c r="S67" s="35" t="e">
        <f>SUM(M67:M91)</f>
        <v>#REF!</v>
      </c>
      <c r="T67" s="35" t="e">
        <f>G66+M66</f>
        <v>#REF!</v>
      </c>
      <c r="U67" s="23"/>
      <c r="V67" s="23"/>
    </row>
    <row r="68" spans="1:22" s="24" customFormat="1" ht="23.1" customHeight="1">
      <c r="A68" s="104" t="s">
        <v>14</v>
      </c>
      <c r="B68" s="36" t="e">
        <f>COUNTIF(#REF!,"답")</f>
        <v>#REF!</v>
      </c>
      <c r="C68" s="37" t="s">
        <v>11</v>
      </c>
      <c r="D68" s="213" t="e">
        <f>SUMIF(#REF!,"답",#REF!)</f>
        <v>#REF!</v>
      </c>
      <c r="E68" s="36" t="e">
        <f>COUNTIF(#REF!,"답국")</f>
        <v>#REF!</v>
      </c>
      <c r="F68" s="37" t="s">
        <v>11</v>
      </c>
      <c r="G68" s="213" t="e">
        <f>SUMIF(#REF!,"답국",#REF!)</f>
        <v>#REF!</v>
      </c>
      <c r="H68" s="36" t="e">
        <f>COUNTIF(#REF!,"답공")</f>
        <v>#REF!</v>
      </c>
      <c r="I68" s="37" t="s">
        <v>11</v>
      </c>
      <c r="J68" s="213" t="e">
        <f>SUMIF(#REF!,"답공",#REF!)</f>
        <v>#REF!</v>
      </c>
      <c r="K68" s="36" t="e">
        <f t="shared" si="4"/>
        <v>#REF!</v>
      </c>
      <c r="L68" s="37" t="s">
        <v>11</v>
      </c>
      <c r="M68" s="213" t="e">
        <f t="shared" si="5"/>
        <v>#REF!</v>
      </c>
      <c r="N68" s="39"/>
      <c r="Q68" s="23"/>
      <c r="S68" s="23"/>
      <c r="U68" s="23"/>
      <c r="V68" s="23"/>
    </row>
    <row r="69" spans="1:22" s="24" customFormat="1" ht="23.1" customHeight="1">
      <c r="A69" s="104" t="s">
        <v>15</v>
      </c>
      <c r="B69" s="36" t="e">
        <f>COUNTIF(#REF!,"임")</f>
        <v>#REF!</v>
      </c>
      <c r="C69" s="37" t="s">
        <v>11</v>
      </c>
      <c r="D69" s="213" t="e">
        <f>SUMIF(#REF!,"임",#REF!)</f>
        <v>#REF!</v>
      </c>
      <c r="E69" s="36" t="e">
        <f>COUNTIF(#REF!,"임국")</f>
        <v>#REF!</v>
      </c>
      <c r="F69" s="37" t="s">
        <v>11</v>
      </c>
      <c r="G69" s="213" t="e">
        <f>SUMIF(#REF!,"임국",#REF!)</f>
        <v>#REF!</v>
      </c>
      <c r="H69" s="36" t="e">
        <f>COUNTIF(#REF!,"임공")</f>
        <v>#REF!</v>
      </c>
      <c r="I69" s="37" t="s">
        <v>11</v>
      </c>
      <c r="J69" s="213" t="e">
        <f>SUMIF(#REF!,"임공",#REF!)</f>
        <v>#REF!</v>
      </c>
      <c r="K69" s="36" t="e">
        <f t="shared" si="4"/>
        <v>#REF!</v>
      </c>
      <c r="L69" s="37" t="s">
        <v>11</v>
      </c>
      <c r="M69" s="213" t="e">
        <f t="shared" si="5"/>
        <v>#REF!</v>
      </c>
      <c r="N69" s="39"/>
      <c r="Q69" s="23"/>
      <c r="S69" s="23"/>
      <c r="U69" s="23"/>
      <c r="V69" s="23"/>
    </row>
    <row r="70" spans="1:22" s="24" customFormat="1" ht="23.1" customHeight="1">
      <c r="A70" s="104" t="s">
        <v>16</v>
      </c>
      <c r="B70" s="36" t="e">
        <f>COUNTIF(#REF!,"대")</f>
        <v>#REF!</v>
      </c>
      <c r="C70" s="37" t="s">
        <v>11</v>
      </c>
      <c r="D70" s="213" t="e">
        <f>SUMIF(#REF!,"대",#REF!)</f>
        <v>#REF!</v>
      </c>
      <c r="E70" s="36" t="e">
        <f>COUNTIF(#REF!,"대국")</f>
        <v>#REF!</v>
      </c>
      <c r="F70" s="37" t="s">
        <v>11</v>
      </c>
      <c r="G70" s="213" t="e">
        <f>SUMIF(#REF!,"대국",#REF!)</f>
        <v>#REF!</v>
      </c>
      <c r="H70" s="36" t="e">
        <f>COUNTIF(#REF!,"대공")</f>
        <v>#REF!</v>
      </c>
      <c r="I70" s="37" t="s">
        <v>11</v>
      </c>
      <c r="J70" s="213" t="e">
        <f>SUMIF(#REF!,"대공",#REF!)</f>
        <v>#REF!</v>
      </c>
      <c r="K70" s="36" t="e">
        <f t="shared" si="4"/>
        <v>#REF!</v>
      </c>
      <c r="L70" s="37" t="s">
        <v>11</v>
      </c>
      <c r="M70" s="213" t="e">
        <f t="shared" si="5"/>
        <v>#REF!</v>
      </c>
      <c r="N70" s="39"/>
      <c r="O70" s="23"/>
      <c r="P70" s="23"/>
      <c r="Q70" s="23"/>
      <c r="R70" s="23"/>
      <c r="S70" s="23"/>
      <c r="T70" s="23"/>
      <c r="U70" s="23"/>
      <c r="V70" s="23"/>
    </row>
    <row r="71" spans="1:22" s="24" customFormat="1" ht="23.1" customHeight="1">
      <c r="A71" s="104" t="s">
        <v>17</v>
      </c>
      <c r="B71" s="36" t="e">
        <f>COUNTIF(#REF!,"도")</f>
        <v>#REF!</v>
      </c>
      <c r="C71" s="37" t="s">
        <v>11</v>
      </c>
      <c r="D71" s="213" t="e">
        <f>SUMIF(#REF!,"도",#REF!)</f>
        <v>#REF!</v>
      </c>
      <c r="E71" s="36" t="e">
        <f>COUNTIF(#REF!,"도국")</f>
        <v>#REF!</v>
      </c>
      <c r="F71" s="37" t="s">
        <v>11</v>
      </c>
      <c r="G71" s="213" t="e">
        <f>SUMIF(#REF!,"도국",#REF!)</f>
        <v>#REF!</v>
      </c>
      <c r="H71" s="36" t="e">
        <f>COUNTIF(#REF!,"도공")</f>
        <v>#REF!</v>
      </c>
      <c r="I71" s="37" t="s">
        <v>11</v>
      </c>
      <c r="J71" s="213" t="e">
        <f>SUMIF(#REF!,"도공",#REF!)</f>
        <v>#REF!</v>
      </c>
      <c r="K71" s="36" t="e">
        <f t="shared" si="4"/>
        <v>#REF!</v>
      </c>
      <c r="L71" s="37" t="s">
        <v>11</v>
      </c>
      <c r="M71" s="213" t="e">
        <f t="shared" si="5"/>
        <v>#REF!</v>
      </c>
      <c r="N71" s="39"/>
      <c r="O71" s="23"/>
      <c r="P71" s="23"/>
      <c r="Q71" s="23"/>
      <c r="R71" s="23"/>
      <c r="S71" s="23"/>
      <c r="T71" s="23"/>
      <c r="U71" s="23"/>
      <c r="V71" s="23"/>
    </row>
    <row r="72" spans="1:22" s="24" customFormat="1" ht="23.1" customHeight="1">
      <c r="A72" s="104" t="s">
        <v>18</v>
      </c>
      <c r="B72" s="36" t="e">
        <f>COUNTIF(#REF!,"구")</f>
        <v>#REF!</v>
      </c>
      <c r="C72" s="37" t="s">
        <v>11</v>
      </c>
      <c r="D72" s="213" t="e">
        <f>SUMIF(#REF!,"구",#REF!)</f>
        <v>#REF!</v>
      </c>
      <c r="E72" s="36" t="e">
        <f>COUNTIF(#REF!,"구국")</f>
        <v>#REF!</v>
      </c>
      <c r="F72" s="37" t="s">
        <v>11</v>
      </c>
      <c r="G72" s="213" t="e">
        <f>SUMIF(#REF!,"구국",#REF!)</f>
        <v>#REF!</v>
      </c>
      <c r="H72" s="36" t="e">
        <f>COUNTIF(#REF!,"구공")</f>
        <v>#REF!</v>
      </c>
      <c r="I72" s="37" t="s">
        <v>11</v>
      </c>
      <c r="J72" s="213" t="e">
        <f>SUMIF(#REF!,"구공",#REF!)</f>
        <v>#REF!</v>
      </c>
      <c r="K72" s="36" t="e">
        <f t="shared" si="4"/>
        <v>#REF!</v>
      </c>
      <c r="L72" s="37" t="s">
        <v>11</v>
      </c>
      <c r="M72" s="213" t="e">
        <f t="shared" si="5"/>
        <v>#REF!</v>
      </c>
      <c r="N72" s="39"/>
      <c r="O72" s="23"/>
      <c r="P72" s="23"/>
      <c r="Q72" s="23"/>
      <c r="R72" s="23"/>
      <c r="S72" s="23"/>
      <c r="T72" s="23"/>
      <c r="U72" s="23"/>
      <c r="V72" s="23"/>
    </row>
    <row r="73" spans="1:22" s="24" customFormat="1" ht="23.1" customHeight="1">
      <c r="A73" s="104" t="s">
        <v>19</v>
      </c>
      <c r="B73" s="36" t="e">
        <f>COUNTIF(#REF!,"천")</f>
        <v>#REF!</v>
      </c>
      <c r="C73" s="37" t="s">
        <v>11</v>
      </c>
      <c r="D73" s="213" t="e">
        <f>SUMIF(#REF!,"천",#REF!)</f>
        <v>#REF!</v>
      </c>
      <c r="E73" s="36" t="e">
        <f>COUNTIF(#REF!,"천국")</f>
        <v>#REF!</v>
      </c>
      <c r="F73" s="37" t="s">
        <v>11</v>
      </c>
      <c r="G73" s="213" t="e">
        <f>SUMIF(#REF!,"천국",#REF!)</f>
        <v>#REF!</v>
      </c>
      <c r="H73" s="36" t="e">
        <f>COUNTIF(#REF!,"천공")</f>
        <v>#REF!</v>
      </c>
      <c r="I73" s="37" t="s">
        <v>11</v>
      </c>
      <c r="J73" s="213" t="e">
        <f>SUMIF(#REF!,"천공",#REF!)</f>
        <v>#REF!</v>
      </c>
      <c r="K73" s="36" t="e">
        <f t="shared" si="4"/>
        <v>#REF!</v>
      </c>
      <c r="L73" s="37" t="s">
        <v>11</v>
      </c>
      <c r="M73" s="213" t="e">
        <f t="shared" si="5"/>
        <v>#REF!</v>
      </c>
      <c r="N73" s="39"/>
      <c r="O73" s="23"/>
      <c r="P73" s="23"/>
      <c r="Q73" s="23"/>
      <c r="R73" s="23"/>
      <c r="S73" s="23"/>
      <c r="T73" s="23"/>
      <c r="U73" s="23"/>
      <c r="V73" s="23"/>
    </row>
    <row r="74" spans="1:22" s="24" customFormat="1" ht="23.1" customHeight="1">
      <c r="A74" s="104" t="s">
        <v>20</v>
      </c>
      <c r="B74" s="36" t="e">
        <f>COUNTIF(#REF!,"유")</f>
        <v>#REF!</v>
      </c>
      <c r="C74" s="37" t="s">
        <v>11</v>
      </c>
      <c r="D74" s="213" t="e">
        <f>SUMIF(#REF!,"유",#REF!)</f>
        <v>#REF!</v>
      </c>
      <c r="E74" s="36" t="e">
        <f>COUNTIF(#REF!,"유국")</f>
        <v>#REF!</v>
      </c>
      <c r="F74" s="37" t="s">
        <v>11</v>
      </c>
      <c r="G74" s="213" t="e">
        <f>SUMIF(#REF!,"유국",#REF!)</f>
        <v>#REF!</v>
      </c>
      <c r="H74" s="36" t="e">
        <f>COUNTIF(#REF!,"유공")</f>
        <v>#REF!</v>
      </c>
      <c r="I74" s="37" t="s">
        <v>11</v>
      </c>
      <c r="J74" s="213" t="e">
        <f>SUMIF(#REF!,"유공",#REF!)</f>
        <v>#REF!</v>
      </c>
      <c r="K74" s="36" t="e">
        <f t="shared" si="4"/>
        <v>#REF!</v>
      </c>
      <c r="L74" s="37" t="s">
        <v>11</v>
      </c>
      <c r="M74" s="213" t="e">
        <f t="shared" si="5"/>
        <v>#REF!</v>
      </c>
      <c r="N74" s="39"/>
      <c r="O74" s="23"/>
      <c r="P74" s="23"/>
      <c r="Q74" s="23"/>
      <c r="R74" s="23"/>
      <c r="S74" s="23"/>
      <c r="T74" s="23"/>
      <c r="U74" s="23"/>
      <c r="V74" s="23"/>
    </row>
    <row r="75" spans="1:22" s="24" customFormat="1" ht="23.1" customHeight="1">
      <c r="A75" s="104" t="s">
        <v>21</v>
      </c>
      <c r="B75" s="36" t="e">
        <f>COUNTIF(#REF!,"제")</f>
        <v>#REF!</v>
      </c>
      <c r="C75" s="37" t="s">
        <v>11</v>
      </c>
      <c r="D75" s="213" t="e">
        <f>SUMIF(#REF!,"제",#REF!)</f>
        <v>#REF!</v>
      </c>
      <c r="E75" s="36" t="e">
        <f>COUNTIF(#REF!,"제국")</f>
        <v>#REF!</v>
      </c>
      <c r="F75" s="37" t="s">
        <v>11</v>
      </c>
      <c r="G75" s="213" t="e">
        <f>SUMIF(#REF!,"제국",#REF!)</f>
        <v>#REF!</v>
      </c>
      <c r="H75" s="36" t="e">
        <f>COUNTIF(#REF!,"제공")</f>
        <v>#REF!</v>
      </c>
      <c r="I75" s="37" t="s">
        <v>11</v>
      </c>
      <c r="J75" s="213" t="e">
        <f>SUMIF(#REF!,"제공",#REF!)</f>
        <v>#REF!</v>
      </c>
      <c r="K75" s="36" t="e">
        <f t="shared" si="4"/>
        <v>#REF!</v>
      </c>
      <c r="L75" s="37" t="s">
        <v>11</v>
      </c>
      <c r="M75" s="213" t="e">
        <f t="shared" si="5"/>
        <v>#REF!</v>
      </c>
      <c r="N75" s="39"/>
      <c r="O75" s="23"/>
      <c r="P75" s="23"/>
      <c r="Q75" s="23"/>
      <c r="R75" s="23"/>
      <c r="S75" s="23"/>
      <c r="T75" s="23"/>
      <c r="U75" s="23"/>
      <c r="V75" s="23"/>
    </row>
    <row r="76" spans="1:22" s="24" customFormat="1" ht="23.1" customHeight="1">
      <c r="A76" s="104" t="s">
        <v>22</v>
      </c>
      <c r="B76" s="36" t="e">
        <f>COUNTIF(#REF!,"과")</f>
        <v>#REF!</v>
      </c>
      <c r="C76" s="37" t="s">
        <v>11</v>
      </c>
      <c r="D76" s="213" t="e">
        <f>SUMIF(#REF!,"과",#REF!)</f>
        <v>#REF!</v>
      </c>
      <c r="E76" s="36" t="e">
        <f>COUNTIF(#REF!,"과국")</f>
        <v>#REF!</v>
      </c>
      <c r="F76" s="37" t="s">
        <v>11</v>
      </c>
      <c r="G76" s="213" t="e">
        <f>SUMIF(#REF!,"과국",#REF!)</f>
        <v>#REF!</v>
      </c>
      <c r="H76" s="36" t="e">
        <f>COUNTIF(#REF!,"과공")</f>
        <v>#REF!</v>
      </c>
      <c r="I76" s="37" t="s">
        <v>11</v>
      </c>
      <c r="J76" s="213" t="e">
        <f>SUMIF(#REF!,"과공",#REF!)</f>
        <v>#REF!</v>
      </c>
      <c r="K76" s="36" t="e">
        <f t="shared" si="4"/>
        <v>#REF!</v>
      </c>
      <c r="L76" s="37" t="s">
        <v>11</v>
      </c>
      <c r="M76" s="213" t="e">
        <f t="shared" si="5"/>
        <v>#REF!</v>
      </c>
      <c r="N76" s="39"/>
      <c r="O76" s="23"/>
      <c r="P76" s="23"/>
      <c r="Q76" s="23"/>
      <c r="R76" s="23"/>
      <c r="S76" s="23"/>
      <c r="T76" s="23"/>
      <c r="U76" s="23"/>
      <c r="V76" s="23"/>
    </row>
    <row r="77" spans="1:22" s="24" customFormat="1" ht="23.1" customHeight="1">
      <c r="A77" s="104" t="s">
        <v>23</v>
      </c>
      <c r="B77" s="36" t="e">
        <f>COUNTIF(#REF!,"장")</f>
        <v>#REF!</v>
      </c>
      <c r="C77" s="37" t="s">
        <v>11</v>
      </c>
      <c r="D77" s="213" t="e">
        <f>SUMIF(#REF!,"장",#REF!)</f>
        <v>#REF!</v>
      </c>
      <c r="E77" s="36" t="e">
        <f>COUNTIF(#REF!,"장국")</f>
        <v>#REF!</v>
      </c>
      <c r="F77" s="37" t="s">
        <v>11</v>
      </c>
      <c r="G77" s="213" t="e">
        <f>SUMIF(#REF!,"장국",#REF!)</f>
        <v>#REF!</v>
      </c>
      <c r="H77" s="36" t="e">
        <f>COUNTIF(#REF!,"장공")</f>
        <v>#REF!</v>
      </c>
      <c r="I77" s="37" t="s">
        <v>11</v>
      </c>
      <c r="J77" s="213" t="e">
        <f>SUMIF(#REF!,"장공",#REF!)</f>
        <v>#REF!</v>
      </c>
      <c r="K77" s="36" t="e">
        <f t="shared" si="4"/>
        <v>#REF!</v>
      </c>
      <c r="L77" s="37" t="s">
        <v>11</v>
      </c>
      <c r="M77" s="213" t="e">
        <f t="shared" si="5"/>
        <v>#REF!</v>
      </c>
      <c r="N77" s="39"/>
      <c r="O77" s="23"/>
      <c r="P77" s="23"/>
      <c r="Q77" s="23"/>
      <c r="R77" s="23"/>
      <c r="S77" s="23"/>
      <c r="T77" s="23"/>
      <c r="U77" s="23"/>
      <c r="V77" s="23"/>
    </row>
    <row r="78" spans="1:22" s="24" customFormat="1" ht="23.1" customHeight="1">
      <c r="A78" s="104" t="s">
        <v>24</v>
      </c>
      <c r="B78" s="36" t="e">
        <f>COUNTIF(#REF!,"목")</f>
        <v>#REF!</v>
      </c>
      <c r="C78" s="37" t="s">
        <v>11</v>
      </c>
      <c r="D78" s="213" t="e">
        <f>SUMIF(#REF!,"목",#REF!)</f>
        <v>#REF!</v>
      </c>
      <c r="E78" s="36" t="e">
        <f>COUNTIF(#REF!,"목국")</f>
        <v>#REF!</v>
      </c>
      <c r="F78" s="37" t="s">
        <v>11</v>
      </c>
      <c r="G78" s="213" t="e">
        <f>SUMIF(#REF!,"목국",#REF!)</f>
        <v>#REF!</v>
      </c>
      <c r="H78" s="36" t="e">
        <f>COUNTIF(#REF!,"목공")</f>
        <v>#REF!</v>
      </c>
      <c r="I78" s="37" t="s">
        <v>11</v>
      </c>
      <c r="J78" s="213" t="e">
        <f>SUMIF(#REF!,"목공",#REF!)</f>
        <v>#REF!</v>
      </c>
      <c r="K78" s="36" t="e">
        <f t="shared" si="4"/>
        <v>#REF!</v>
      </c>
      <c r="L78" s="37" t="s">
        <v>11</v>
      </c>
      <c r="M78" s="213" t="e">
        <f t="shared" si="5"/>
        <v>#REF!</v>
      </c>
      <c r="N78" s="39"/>
      <c r="O78" s="23"/>
      <c r="P78" s="23"/>
      <c r="Q78" s="23"/>
      <c r="R78" s="23"/>
      <c r="S78" s="23"/>
      <c r="T78" s="23"/>
      <c r="U78" s="23"/>
      <c r="V78" s="23"/>
    </row>
    <row r="79" spans="1:22" s="24" customFormat="1" ht="23.1" customHeight="1">
      <c r="A79" s="104" t="s">
        <v>25</v>
      </c>
      <c r="B79" s="36" t="e">
        <f>COUNTIF(#REF!,"학")</f>
        <v>#REF!</v>
      </c>
      <c r="C79" s="37" t="s">
        <v>11</v>
      </c>
      <c r="D79" s="213" t="e">
        <f>SUMIF(#REF!,"학",#REF!)</f>
        <v>#REF!</v>
      </c>
      <c r="E79" s="36" t="e">
        <f>COUNTIF(#REF!,"학국")</f>
        <v>#REF!</v>
      </c>
      <c r="F79" s="37" t="s">
        <v>11</v>
      </c>
      <c r="G79" s="213" t="e">
        <f>SUMIF(#REF!,"학국",#REF!)</f>
        <v>#REF!</v>
      </c>
      <c r="H79" s="36" t="e">
        <f>COUNTIF(#REF!,"학공")</f>
        <v>#REF!</v>
      </c>
      <c r="I79" s="37" t="s">
        <v>11</v>
      </c>
      <c r="J79" s="213" t="e">
        <f>SUMIF(#REF!,"학공",#REF!)</f>
        <v>#REF!</v>
      </c>
      <c r="K79" s="36" t="e">
        <f t="shared" si="4"/>
        <v>#REF!</v>
      </c>
      <c r="L79" s="37" t="s">
        <v>11</v>
      </c>
      <c r="M79" s="213" t="e">
        <f t="shared" si="5"/>
        <v>#REF!</v>
      </c>
      <c r="N79" s="39"/>
      <c r="O79" s="23"/>
      <c r="P79" s="23"/>
      <c r="Q79" s="23"/>
      <c r="R79" s="23"/>
      <c r="S79" s="23"/>
      <c r="T79" s="23"/>
      <c r="U79" s="23"/>
      <c r="V79" s="23"/>
    </row>
    <row r="80" spans="1:22" s="24" customFormat="1" ht="23.1" customHeight="1">
      <c r="A80" s="104" t="s">
        <v>26</v>
      </c>
      <c r="B80" s="36" t="e">
        <f>COUNTIF(#REF!,"철")</f>
        <v>#REF!</v>
      </c>
      <c r="C80" s="37" t="s">
        <v>11</v>
      </c>
      <c r="D80" s="213" t="e">
        <f>SUMIF(#REF!,"철",#REF!)</f>
        <v>#REF!</v>
      </c>
      <c r="E80" s="36" t="e">
        <f>COUNTIF(#REF!,"철국")</f>
        <v>#REF!</v>
      </c>
      <c r="F80" s="37" t="s">
        <v>11</v>
      </c>
      <c r="G80" s="213" t="e">
        <f>SUMIF(#REF!,"철국",#REF!)</f>
        <v>#REF!</v>
      </c>
      <c r="H80" s="36" t="e">
        <f>COUNTIF(#REF!,"철공")</f>
        <v>#REF!</v>
      </c>
      <c r="I80" s="37" t="s">
        <v>11</v>
      </c>
      <c r="J80" s="213" t="e">
        <f>SUMIF(#REF!,"철공",#REF!)</f>
        <v>#REF!</v>
      </c>
      <c r="K80" s="36" t="e">
        <f t="shared" si="4"/>
        <v>#REF!</v>
      </c>
      <c r="L80" s="37" t="s">
        <v>11</v>
      </c>
      <c r="M80" s="213" t="e">
        <f t="shared" si="5"/>
        <v>#REF!</v>
      </c>
      <c r="N80" s="39"/>
      <c r="O80" s="23"/>
      <c r="P80" s="23"/>
      <c r="Q80" s="23"/>
      <c r="R80" s="23"/>
      <c r="S80" s="23"/>
      <c r="T80" s="23"/>
      <c r="U80" s="23"/>
      <c r="V80" s="23"/>
    </row>
    <row r="81" spans="1:22" s="24" customFormat="1" ht="23.1" customHeight="1">
      <c r="A81" s="104" t="s">
        <v>27</v>
      </c>
      <c r="B81" s="36" t="e">
        <f>COUNTIF(#REF!,"묘")</f>
        <v>#REF!</v>
      </c>
      <c r="C81" s="37" t="s">
        <v>11</v>
      </c>
      <c r="D81" s="213" t="e">
        <f>SUMIF(#REF!,"묘",#REF!)</f>
        <v>#REF!</v>
      </c>
      <c r="E81" s="36" t="e">
        <f>COUNTIF(#REF!,"묘국")</f>
        <v>#REF!</v>
      </c>
      <c r="F81" s="37" t="s">
        <v>11</v>
      </c>
      <c r="G81" s="213" t="e">
        <f>SUMIF(#REF!,"묘국",#REF!)</f>
        <v>#REF!</v>
      </c>
      <c r="H81" s="36" t="e">
        <f>COUNTIF(#REF!,"묘공")</f>
        <v>#REF!</v>
      </c>
      <c r="I81" s="37" t="s">
        <v>11</v>
      </c>
      <c r="J81" s="213" t="e">
        <f>SUMIF(#REF!,"묘공",#REF!)</f>
        <v>#REF!</v>
      </c>
      <c r="K81" s="36" t="e">
        <f t="shared" si="4"/>
        <v>#REF!</v>
      </c>
      <c r="L81" s="37" t="s">
        <v>11</v>
      </c>
      <c r="M81" s="213" t="e">
        <f t="shared" si="5"/>
        <v>#REF!</v>
      </c>
      <c r="N81" s="39"/>
      <c r="O81" s="23"/>
      <c r="P81" s="23"/>
      <c r="Q81" s="23"/>
      <c r="R81" s="23"/>
      <c r="S81" s="23"/>
      <c r="T81" s="23"/>
      <c r="U81" s="23"/>
      <c r="V81" s="23"/>
    </row>
    <row r="82" spans="1:22" s="24" customFormat="1" ht="23.1" customHeight="1">
      <c r="A82" s="104" t="s">
        <v>28</v>
      </c>
      <c r="B82" s="36" t="e">
        <f>COUNTIF(#REF!,"수")</f>
        <v>#REF!</v>
      </c>
      <c r="C82" s="37" t="s">
        <v>11</v>
      </c>
      <c r="D82" s="213" t="e">
        <f>SUMIF(#REF!,"수",#REF!)</f>
        <v>#REF!</v>
      </c>
      <c r="E82" s="36" t="e">
        <f>COUNTIF(#REF!,"수국")</f>
        <v>#REF!</v>
      </c>
      <c r="F82" s="37" t="s">
        <v>11</v>
      </c>
      <c r="G82" s="213" t="e">
        <f>SUMIF(#REF!,"수국",#REF!)</f>
        <v>#REF!</v>
      </c>
      <c r="H82" s="36" t="e">
        <f>COUNTIF(#REF!,"수공")</f>
        <v>#REF!</v>
      </c>
      <c r="I82" s="37" t="s">
        <v>11</v>
      </c>
      <c r="J82" s="213" t="e">
        <f>SUMIF(#REF!,"수공",#REF!)</f>
        <v>#REF!</v>
      </c>
      <c r="K82" s="36" t="e">
        <f t="shared" si="4"/>
        <v>#REF!</v>
      </c>
      <c r="L82" s="37" t="s">
        <v>11</v>
      </c>
      <c r="M82" s="213" t="e">
        <f t="shared" si="5"/>
        <v>#REF!</v>
      </c>
      <c r="N82" s="39"/>
      <c r="O82" s="23"/>
      <c r="P82" s="23"/>
      <c r="Q82" s="23"/>
      <c r="R82" s="23"/>
      <c r="S82" s="23"/>
      <c r="T82" s="23"/>
      <c r="U82" s="23"/>
      <c r="V82" s="23"/>
    </row>
    <row r="83" spans="1:22" s="24" customFormat="1" ht="23.1" customHeight="1">
      <c r="A83" s="104" t="s">
        <v>29</v>
      </c>
      <c r="B83" s="36" t="e">
        <f>COUNTIF(#REF!,"잡")</f>
        <v>#REF!</v>
      </c>
      <c r="C83" s="37" t="s">
        <v>11</v>
      </c>
      <c r="D83" s="213" t="e">
        <f>SUMIF(#REF!,"잡",#REF!)</f>
        <v>#REF!</v>
      </c>
      <c r="E83" s="36" t="e">
        <f>COUNTIF(#REF!,"잡국")</f>
        <v>#REF!</v>
      </c>
      <c r="F83" s="37" t="s">
        <v>11</v>
      </c>
      <c r="G83" s="213" t="e">
        <f>SUMIF(#REF!,"잡국",#REF!)</f>
        <v>#REF!</v>
      </c>
      <c r="H83" s="36" t="e">
        <f>COUNTIF(#REF!,"잡공")</f>
        <v>#REF!</v>
      </c>
      <c r="I83" s="37" t="s">
        <v>11</v>
      </c>
      <c r="J83" s="213" t="e">
        <f>SUMIF(#REF!,"잡공",#REF!)</f>
        <v>#REF!</v>
      </c>
      <c r="K83" s="36" t="e">
        <f t="shared" si="4"/>
        <v>#REF!</v>
      </c>
      <c r="L83" s="37" t="s">
        <v>11</v>
      </c>
      <c r="M83" s="213" t="e">
        <f t="shared" si="5"/>
        <v>#REF!</v>
      </c>
      <c r="N83" s="39"/>
      <c r="O83" s="23"/>
      <c r="P83" s="23"/>
      <c r="Q83" s="23"/>
      <c r="R83" s="23"/>
      <c r="S83" s="23"/>
      <c r="T83" s="23"/>
      <c r="U83" s="23"/>
      <c r="V83" s="23"/>
    </row>
    <row r="84" spans="1:22" s="24" customFormat="1" ht="23.1" customHeight="1">
      <c r="A84" s="105" t="s">
        <v>30</v>
      </c>
      <c r="B84" s="36" t="e">
        <f>COUNTIF(#REF!,"종")</f>
        <v>#REF!</v>
      </c>
      <c r="C84" s="37" t="s">
        <v>11</v>
      </c>
      <c r="D84" s="213" t="e">
        <f>SUMIF(#REF!,"종",#REF!)</f>
        <v>#REF!</v>
      </c>
      <c r="E84" s="36" t="e">
        <f>COUNTIF(#REF!,"종국")</f>
        <v>#REF!</v>
      </c>
      <c r="F84" s="37" t="s">
        <v>11</v>
      </c>
      <c r="G84" s="213" t="e">
        <f>SUMIF(#REF!,"종국",#REF!)</f>
        <v>#REF!</v>
      </c>
      <c r="H84" s="36" t="e">
        <f>COUNTIF(#REF!,"종공")</f>
        <v>#REF!</v>
      </c>
      <c r="I84" s="37" t="s">
        <v>11</v>
      </c>
      <c r="J84" s="213" t="e">
        <f>SUMIF(#REF!,"종공",#REF!)</f>
        <v>#REF!</v>
      </c>
      <c r="K84" s="36" t="e">
        <f t="shared" si="4"/>
        <v>#REF!</v>
      </c>
      <c r="L84" s="37" t="s">
        <v>11</v>
      </c>
      <c r="M84" s="213" t="e">
        <f t="shared" si="5"/>
        <v>#REF!</v>
      </c>
      <c r="N84" s="39"/>
      <c r="O84" s="23"/>
      <c r="P84" s="23"/>
      <c r="Q84" s="23"/>
      <c r="R84" s="23"/>
      <c r="S84" s="23"/>
      <c r="T84" s="23"/>
      <c r="U84" s="23"/>
      <c r="V84" s="23"/>
    </row>
    <row r="85" spans="1:22" s="24" customFormat="1" ht="23.1" customHeight="1">
      <c r="A85" s="105" t="s">
        <v>1193</v>
      </c>
      <c r="B85" s="36" t="e">
        <f>COUNTIF(#REF!,"염")</f>
        <v>#REF!</v>
      </c>
      <c r="C85" s="37" t="s">
        <v>11</v>
      </c>
      <c r="D85" s="213" t="e">
        <f>SUMIF(#REF!,"염",#REF!)</f>
        <v>#REF!</v>
      </c>
      <c r="E85" s="36" t="e">
        <f>COUNTIF(#REF!,"염국")</f>
        <v>#REF!</v>
      </c>
      <c r="F85" s="37" t="s">
        <v>11</v>
      </c>
      <c r="G85" s="213" t="e">
        <f>SUMIF(#REF!,"염국",#REF!)</f>
        <v>#REF!</v>
      </c>
      <c r="H85" s="36" t="e">
        <f>COUNTIF(#REF!,"염공")</f>
        <v>#REF!</v>
      </c>
      <c r="I85" s="37" t="s">
        <v>11</v>
      </c>
      <c r="J85" s="213" t="e">
        <f>SUMIF(#REF!,"염공",#REF!)</f>
        <v>#REF!</v>
      </c>
      <c r="K85" s="36" t="e">
        <f t="shared" si="4"/>
        <v>#REF!</v>
      </c>
      <c r="L85" s="37" t="s">
        <v>11</v>
      </c>
      <c r="M85" s="213" t="e">
        <f t="shared" si="5"/>
        <v>#REF!</v>
      </c>
      <c r="N85" s="39"/>
      <c r="O85" s="23"/>
      <c r="P85" s="23"/>
      <c r="Q85" s="23"/>
      <c r="R85" s="23"/>
      <c r="S85" s="23"/>
      <c r="T85" s="23"/>
      <c r="U85" s="23"/>
      <c r="V85" s="23"/>
    </row>
    <row r="86" spans="1:22" s="24" customFormat="1" ht="23.1" customHeight="1">
      <c r="A86" s="105" t="s">
        <v>32</v>
      </c>
      <c r="B86" s="36" t="e">
        <f>COUNTIF(#REF!,"공")</f>
        <v>#REF!</v>
      </c>
      <c r="C86" s="37" t="s">
        <v>11</v>
      </c>
      <c r="D86" s="213" t="e">
        <f>SUMIF(#REF!,"공",#REF!)</f>
        <v>#REF!</v>
      </c>
      <c r="E86" s="36" t="e">
        <f>COUNTIF(#REF!,"공국")</f>
        <v>#REF!</v>
      </c>
      <c r="F86" s="37" t="s">
        <v>11</v>
      </c>
      <c r="G86" s="213" t="e">
        <f>SUMIF(#REF!,"공국",#REF!)</f>
        <v>#REF!</v>
      </c>
      <c r="H86" s="36" t="e">
        <f>COUNTIF(#REF!,"공공")</f>
        <v>#REF!</v>
      </c>
      <c r="I86" s="37" t="s">
        <v>11</v>
      </c>
      <c r="J86" s="213" t="e">
        <f>SUMIF(#REF!,"공공",#REF!)</f>
        <v>#REF!</v>
      </c>
      <c r="K86" s="36" t="e">
        <f t="shared" si="4"/>
        <v>#REF!</v>
      </c>
      <c r="L86" s="37" t="s">
        <v>11</v>
      </c>
      <c r="M86" s="213" t="e">
        <f t="shared" si="5"/>
        <v>#REF!</v>
      </c>
      <c r="N86" s="39"/>
      <c r="O86" s="23"/>
      <c r="P86" s="23"/>
      <c r="Q86" s="23"/>
      <c r="R86" s="23"/>
      <c r="S86" s="23"/>
      <c r="T86" s="23"/>
      <c r="U86" s="23"/>
      <c r="V86" s="23"/>
    </row>
    <row r="87" spans="1:22" s="24" customFormat="1" ht="23.1" customHeight="1">
      <c r="A87" s="105" t="s">
        <v>33</v>
      </c>
      <c r="B87" s="36" t="e">
        <f>COUNTIF(#REF!,"체")</f>
        <v>#REF!</v>
      </c>
      <c r="C87" s="37" t="s">
        <v>11</v>
      </c>
      <c r="D87" s="213" t="e">
        <f>SUMIF(#REF!,"체",#REF!)</f>
        <v>#REF!</v>
      </c>
      <c r="E87" s="36" t="e">
        <f>COUNTIF(#REF!,"체국")</f>
        <v>#REF!</v>
      </c>
      <c r="F87" s="37" t="s">
        <v>11</v>
      </c>
      <c r="G87" s="213" t="e">
        <f>SUMIF(#REF!,"체국",#REF!)</f>
        <v>#REF!</v>
      </c>
      <c r="H87" s="36" t="e">
        <f>COUNTIF(#REF!,"체공")</f>
        <v>#REF!</v>
      </c>
      <c r="I87" s="37" t="s">
        <v>11</v>
      </c>
      <c r="J87" s="213" t="e">
        <f>SUMIF(#REF!,"체공",#REF!)</f>
        <v>#REF!</v>
      </c>
      <c r="K87" s="36" t="e">
        <f t="shared" si="4"/>
        <v>#REF!</v>
      </c>
      <c r="L87" s="37" t="s">
        <v>11</v>
      </c>
      <c r="M87" s="213" t="e">
        <f t="shared" si="5"/>
        <v>#REF!</v>
      </c>
      <c r="N87" s="39"/>
      <c r="O87" s="23"/>
      <c r="P87" s="23"/>
      <c r="Q87" s="23"/>
      <c r="R87" s="23"/>
      <c r="S87" s="23"/>
      <c r="T87" s="23"/>
      <c r="U87" s="23"/>
      <c r="V87" s="23"/>
    </row>
    <row r="88" spans="1:22" s="24" customFormat="1" ht="23.1" customHeight="1">
      <c r="A88" s="105" t="s">
        <v>34</v>
      </c>
      <c r="B88" s="36" t="e">
        <f>COUNTIF(#REF!,"원")</f>
        <v>#REF!</v>
      </c>
      <c r="C88" s="37" t="s">
        <v>11</v>
      </c>
      <c r="D88" s="213" t="e">
        <f>SUMIF(#REF!,"원",#REF!)</f>
        <v>#REF!</v>
      </c>
      <c r="E88" s="36" t="e">
        <f>COUNTIF(#REF!,"원국")</f>
        <v>#REF!</v>
      </c>
      <c r="F88" s="37" t="s">
        <v>11</v>
      </c>
      <c r="G88" s="213" t="e">
        <f>SUMIF(#REF!,"원국",#REF!)</f>
        <v>#REF!</v>
      </c>
      <c r="H88" s="36" t="e">
        <f>COUNTIF(#REF!,"원공")</f>
        <v>#REF!</v>
      </c>
      <c r="I88" s="37" t="s">
        <v>11</v>
      </c>
      <c r="J88" s="213" t="e">
        <f>SUMIF(#REF!,"원공",#REF!)</f>
        <v>#REF!</v>
      </c>
      <c r="K88" s="36" t="e">
        <f t="shared" si="4"/>
        <v>#REF!</v>
      </c>
      <c r="L88" s="37" t="s">
        <v>11</v>
      </c>
      <c r="M88" s="213" t="e">
        <f t="shared" si="5"/>
        <v>#REF!</v>
      </c>
      <c r="N88" s="39"/>
      <c r="O88" s="23"/>
      <c r="P88" s="23"/>
      <c r="Q88" s="23"/>
      <c r="R88" s="23"/>
      <c r="S88" s="23"/>
      <c r="T88" s="23"/>
      <c r="U88" s="23"/>
      <c r="V88" s="23"/>
    </row>
    <row r="89" spans="1:22" s="24" customFormat="1" ht="23.1" customHeight="1">
      <c r="A89" s="105" t="s">
        <v>71</v>
      </c>
      <c r="B89" s="36" t="e">
        <f>COUNTIF(#REF!,"차")</f>
        <v>#REF!</v>
      </c>
      <c r="C89" s="37" t="s">
        <v>11</v>
      </c>
      <c r="D89" s="213" t="e">
        <f>SUMIF(#REF!,"차",#REF!)</f>
        <v>#REF!</v>
      </c>
      <c r="E89" s="36" t="e">
        <f>COUNTIF(#REF!,"차국")</f>
        <v>#REF!</v>
      </c>
      <c r="F89" s="37" t="s">
        <v>11</v>
      </c>
      <c r="G89" s="213" t="e">
        <f>SUMIF(#REF!,"차국",#REF!)</f>
        <v>#REF!</v>
      </c>
      <c r="H89" s="36" t="e">
        <f>COUNTIF(#REF!,"차공")</f>
        <v>#REF!</v>
      </c>
      <c r="I89" s="37" t="s">
        <v>11</v>
      </c>
      <c r="J89" s="213" t="e">
        <f>SUMIF(#REF!,"차공",#REF!)</f>
        <v>#REF!</v>
      </c>
      <c r="K89" s="36" t="e">
        <f t="shared" si="4"/>
        <v>#REF!</v>
      </c>
      <c r="L89" s="37" t="s">
        <v>11</v>
      </c>
      <c r="M89" s="213" t="e">
        <f t="shared" si="5"/>
        <v>#REF!</v>
      </c>
      <c r="N89" s="39"/>
      <c r="O89" s="23"/>
      <c r="P89" s="23"/>
      <c r="Q89" s="23"/>
      <c r="R89" s="23"/>
      <c r="S89" s="23"/>
      <c r="T89" s="23"/>
      <c r="U89" s="23"/>
      <c r="V89" s="23"/>
    </row>
    <row r="90" spans="1:22" s="24" customFormat="1" ht="23.1" customHeight="1">
      <c r="A90" s="105" t="s">
        <v>75</v>
      </c>
      <c r="B90" s="36" t="e">
        <f>COUNTIF(#REF!,"창")</f>
        <v>#REF!</v>
      </c>
      <c r="C90" s="37" t="s">
        <v>11</v>
      </c>
      <c r="D90" s="213" t="e">
        <f>SUMIF(#REF!,"창",#REF!)</f>
        <v>#REF!</v>
      </c>
      <c r="E90" s="36" t="e">
        <f>COUNTIF(#REF!,"주국")</f>
        <v>#REF!</v>
      </c>
      <c r="F90" s="37" t="s">
        <v>11</v>
      </c>
      <c r="G90" s="213" t="e">
        <f>SUMIF(#REF!,"주국",#REF!)</f>
        <v>#REF!</v>
      </c>
      <c r="H90" s="36" t="e">
        <f>COUNTIF(#REF!,"창공")</f>
        <v>#REF!</v>
      </c>
      <c r="I90" s="37" t="s">
        <v>11</v>
      </c>
      <c r="J90" s="213" t="e">
        <f>SUMIF(#REF!,"창공",#REF!)</f>
        <v>#REF!</v>
      </c>
      <c r="K90" s="36" t="e">
        <f t="shared" si="4"/>
        <v>#REF!</v>
      </c>
      <c r="L90" s="37" t="s">
        <v>11</v>
      </c>
      <c r="M90" s="213" t="e">
        <f t="shared" si="5"/>
        <v>#REF!</v>
      </c>
      <c r="N90" s="39"/>
      <c r="O90" s="23"/>
      <c r="P90" s="23"/>
      <c r="Q90" s="23"/>
      <c r="R90" s="23"/>
      <c r="S90" s="23"/>
      <c r="T90" s="23"/>
      <c r="U90" s="23"/>
      <c r="V90" s="23"/>
    </row>
    <row r="91" spans="1:22" s="24" customFormat="1" ht="23.1" customHeight="1">
      <c r="A91" s="106" t="s">
        <v>72</v>
      </c>
      <c r="B91" s="40" t="e">
        <f>COUNTIF(#REF!,"가")</f>
        <v>#REF!</v>
      </c>
      <c r="C91" s="41" t="s">
        <v>11</v>
      </c>
      <c r="D91" s="214" t="e">
        <f>SUMIF(#REF!,"가",#REF!)</f>
        <v>#REF!</v>
      </c>
      <c r="E91" s="40" t="e">
        <f>COUNTIF(#REF!," 국")</f>
        <v>#REF!</v>
      </c>
      <c r="F91" s="41" t="s">
        <v>11</v>
      </c>
      <c r="G91" s="214" t="e">
        <f>SUMIF(#REF!," 국",#REF!)</f>
        <v>#REF!</v>
      </c>
      <c r="H91" s="40" t="e">
        <f>COUNTIF(#REF!," 공")</f>
        <v>#REF!</v>
      </c>
      <c r="I91" s="41" t="s">
        <v>11</v>
      </c>
      <c r="J91" s="214" t="e">
        <f>SUMIF(#REF!," 공",#REF!)</f>
        <v>#REF!</v>
      </c>
      <c r="K91" s="40" t="e">
        <f t="shared" si="4"/>
        <v>#REF!</v>
      </c>
      <c r="L91" s="41" t="s">
        <v>11</v>
      </c>
      <c r="M91" s="214" t="e">
        <f t="shared" si="5"/>
        <v>#REF!</v>
      </c>
      <c r="N91" s="43"/>
      <c r="O91" s="23"/>
      <c r="P91" s="23"/>
      <c r="Q91" s="23"/>
      <c r="R91" s="23"/>
      <c r="S91" s="23"/>
      <c r="T91" s="23"/>
      <c r="U91" s="23"/>
      <c r="V91" s="23"/>
    </row>
    <row r="92" spans="1:22" s="17" customFormat="1" ht="20.100000000000001" customHeight="1">
      <c r="A92" s="11" t="e">
        <f>IF(EXACT(O96,O97),,"검산확인요!!!")</f>
        <v>#REF!</v>
      </c>
      <c r="B92" s="12"/>
      <c r="C92" s="12"/>
      <c r="D92" s="12"/>
      <c r="E92" s="12"/>
      <c r="F92" s="12"/>
      <c r="G92" s="12"/>
      <c r="H92" s="12"/>
      <c r="I92" s="12"/>
      <c r="J92" s="12"/>
      <c r="K92" s="13" t="e">
        <f>IF(ISBLANK(#REF!),,#REF!)</f>
        <v>#REF!</v>
      </c>
      <c r="L92" s="14"/>
      <c r="M92" s="15"/>
      <c r="N92" s="16"/>
    </row>
    <row r="93" spans="1:22" s="17" customFormat="1" ht="9.75" customHeight="1">
      <c r="A93" s="11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spans="1:22" s="24" customFormat="1" ht="27.95" customHeight="1">
      <c r="A94" s="199" t="s">
        <v>9</v>
      </c>
      <c r="B94" s="361" t="s">
        <v>8</v>
      </c>
      <c r="C94" s="362"/>
      <c r="D94" s="362"/>
      <c r="E94" s="215" t="s">
        <v>35</v>
      </c>
      <c r="F94" s="216"/>
      <c r="G94" s="217"/>
      <c r="H94" s="215" t="s">
        <v>63</v>
      </c>
      <c r="I94" s="216"/>
      <c r="J94" s="217"/>
      <c r="K94" s="215" t="s">
        <v>36</v>
      </c>
      <c r="L94" s="216"/>
      <c r="M94" s="217"/>
      <c r="N94" s="22" t="s">
        <v>37</v>
      </c>
      <c r="O94" s="23"/>
      <c r="S94" s="23"/>
      <c r="T94" s="23"/>
      <c r="U94" s="23"/>
      <c r="V94" s="23"/>
    </row>
    <row r="95" spans="1:22" s="24" customFormat="1" ht="27.95" customHeight="1">
      <c r="A95" s="25"/>
      <c r="B95" s="26" t="s">
        <v>10</v>
      </c>
      <c r="C95" s="27" t="s">
        <v>11</v>
      </c>
      <c r="D95" s="28" t="s">
        <v>38</v>
      </c>
      <c r="E95" s="185" t="s">
        <v>10</v>
      </c>
      <c r="F95" s="186" t="s">
        <v>11</v>
      </c>
      <c r="G95" s="184" t="s">
        <v>38</v>
      </c>
      <c r="H95" s="185" t="s">
        <v>10</v>
      </c>
      <c r="I95" s="186" t="s">
        <v>11</v>
      </c>
      <c r="J95" s="184" t="s">
        <v>38</v>
      </c>
      <c r="K95" s="185" t="s">
        <v>10</v>
      </c>
      <c r="L95" s="186" t="s">
        <v>11</v>
      </c>
      <c r="M95" s="184" t="s">
        <v>38</v>
      </c>
      <c r="N95" s="29"/>
      <c r="P95" s="23"/>
      <c r="Q95" s="30" t="s">
        <v>39</v>
      </c>
      <c r="R95" s="30" t="s">
        <v>40</v>
      </c>
      <c r="S95" s="30" t="s">
        <v>41</v>
      </c>
      <c r="T95" s="30" t="s">
        <v>42</v>
      </c>
      <c r="U95" s="23"/>
      <c r="V95" s="23"/>
    </row>
    <row r="96" spans="1:22" s="24" customFormat="1" ht="23.1" customHeight="1">
      <c r="A96" s="103" t="s">
        <v>8</v>
      </c>
      <c r="B96" s="31" t="e">
        <f>SUM(B97:B121)</f>
        <v>#REF!</v>
      </c>
      <c r="C96" s="32" t="s">
        <v>11</v>
      </c>
      <c r="D96" s="212" t="e">
        <f>SUM(D97:D121)</f>
        <v>#REF!</v>
      </c>
      <c r="E96" s="31" t="e">
        <f>SUM(E97:E121)</f>
        <v>#REF!</v>
      </c>
      <c r="F96" s="32" t="s">
        <v>11</v>
      </c>
      <c r="G96" s="212" t="e">
        <f>SUM(G97:G121)</f>
        <v>#REF!</v>
      </c>
      <c r="H96" s="31" t="e">
        <f>SUM(H97:H121)</f>
        <v>#REF!</v>
      </c>
      <c r="I96" s="32" t="s">
        <v>11</v>
      </c>
      <c r="J96" s="212" t="e">
        <f>SUM(J97:J121)</f>
        <v>#REF!</v>
      </c>
      <c r="K96" s="31" t="e">
        <f>SUM(K97:K121)</f>
        <v>#REF!</v>
      </c>
      <c r="L96" s="32" t="s">
        <v>11</v>
      </c>
      <c r="M96" s="212" t="e">
        <f>SUM(M97:M121)</f>
        <v>#REF!</v>
      </c>
      <c r="N96" s="34"/>
      <c r="O96" s="23" t="e">
        <f>IF(EXACT(Q96,T96),"맞음","틀림")</f>
        <v>#REF!</v>
      </c>
      <c r="P96" s="23" t="s">
        <v>10</v>
      </c>
      <c r="Q96" s="35" t="e">
        <f>SUM(B97:B121)</f>
        <v>#REF!</v>
      </c>
      <c r="R96" s="35" t="e">
        <f>SUM(E97:E121)</f>
        <v>#REF!</v>
      </c>
      <c r="S96" s="35" t="e">
        <f>SUM(K97:K121)</f>
        <v>#REF!</v>
      </c>
      <c r="T96" s="35" t="e">
        <f>K96+E96</f>
        <v>#REF!</v>
      </c>
      <c r="U96" s="23"/>
      <c r="V96" s="23"/>
    </row>
    <row r="97" spans="1:22" s="24" customFormat="1" ht="23.1" customHeight="1">
      <c r="A97" s="104" t="s">
        <v>13</v>
      </c>
      <c r="B97" s="36" t="e">
        <f>COUNTIF(#REF!,"전")</f>
        <v>#REF!</v>
      </c>
      <c r="C97" s="37" t="s">
        <v>11</v>
      </c>
      <c r="D97" s="213" t="e">
        <f>SUMIF(#REF!,"전",#REF!)</f>
        <v>#REF!</v>
      </c>
      <c r="E97" s="36" t="e">
        <f>COUNTIF(#REF!,"전국")</f>
        <v>#REF!</v>
      </c>
      <c r="F97" s="37" t="s">
        <v>11</v>
      </c>
      <c r="G97" s="213" t="e">
        <f>SUMIF(#REF!,"전국",#REF!)</f>
        <v>#REF!</v>
      </c>
      <c r="H97" s="36" t="e">
        <f>COUNTIF(#REF!,"전공")</f>
        <v>#REF!</v>
      </c>
      <c r="I97" s="37" t="s">
        <v>11</v>
      </c>
      <c r="J97" s="213" t="e">
        <f>SUMIF(#REF!,"전공",#REF!)</f>
        <v>#REF!</v>
      </c>
      <c r="K97" s="36" t="e">
        <f t="shared" ref="K97:K121" si="6">SUM(B97-E97-H97)</f>
        <v>#REF!</v>
      </c>
      <c r="L97" s="37" t="s">
        <v>11</v>
      </c>
      <c r="M97" s="213" t="e">
        <f t="shared" ref="M97:M121" si="7">SUM(D97-G97-J97)</f>
        <v>#REF!</v>
      </c>
      <c r="N97" s="39"/>
      <c r="O97" s="23" t="e">
        <f>IF(EXACT(Q97,T97),"맞음","틀림")</f>
        <v>#REF!</v>
      </c>
      <c r="P97" s="23" t="s">
        <v>43</v>
      </c>
      <c r="Q97" s="35" t="e">
        <f>SUM(D97:D121)</f>
        <v>#REF!</v>
      </c>
      <c r="R97" s="35" t="e">
        <f>SUM(G97:G121)</f>
        <v>#REF!</v>
      </c>
      <c r="S97" s="35" t="e">
        <f>SUM(M97:M121)</f>
        <v>#REF!</v>
      </c>
      <c r="T97" s="35" t="e">
        <f>G96+M96</f>
        <v>#REF!</v>
      </c>
      <c r="U97" s="23"/>
      <c r="V97" s="23"/>
    </row>
    <row r="98" spans="1:22" s="24" customFormat="1" ht="23.1" customHeight="1">
      <c r="A98" s="104" t="s">
        <v>14</v>
      </c>
      <c r="B98" s="36" t="e">
        <f>COUNTIF(#REF!,"답")</f>
        <v>#REF!</v>
      </c>
      <c r="C98" s="37" t="s">
        <v>11</v>
      </c>
      <c r="D98" s="213" t="e">
        <f>SUMIF(#REF!,"답",#REF!)</f>
        <v>#REF!</v>
      </c>
      <c r="E98" s="36" t="e">
        <f>COUNTIF(#REF!,"답국")</f>
        <v>#REF!</v>
      </c>
      <c r="F98" s="37" t="s">
        <v>11</v>
      </c>
      <c r="G98" s="213" t="e">
        <f>SUMIF(#REF!,"답국",#REF!)</f>
        <v>#REF!</v>
      </c>
      <c r="H98" s="36" t="e">
        <f>COUNTIF(#REF!,"답공")</f>
        <v>#REF!</v>
      </c>
      <c r="I98" s="37" t="s">
        <v>11</v>
      </c>
      <c r="J98" s="213" t="e">
        <f>SUMIF(#REF!,"답공",#REF!)</f>
        <v>#REF!</v>
      </c>
      <c r="K98" s="36" t="e">
        <f t="shared" si="6"/>
        <v>#REF!</v>
      </c>
      <c r="L98" s="37" t="s">
        <v>11</v>
      </c>
      <c r="M98" s="213" t="e">
        <f t="shared" si="7"/>
        <v>#REF!</v>
      </c>
      <c r="N98" s="39"/>
      <c r="Q98" s="23"/>
      <c r="S98" s="23"/>
      <c r="U98" s="23"/>
      <c r="V98" s="23"/>
    </row>
    <row r="99" spans="1:22" s="24" customFormat="1" ht="23.1" customHeight="1">
      <c r="A99" s="104" t="s">
        <v>15</v>
      </c>
      <c r="B99" s="36" t="e">
        <f>COUNTIF(#REF!,"임")</f>
        <v>#REF!</v>
      </c>
      <c r="C99" s="37" t="s">
        <v>11</v>
      </c>
      <c r="D99" s="213" t="e">
        <f>SUMIF(#REF!,"임",#REF!)</f>
        <v>#REF!</v>
      </c>
      <c r="E99" s="36" t="e">
        <f>COUNTIF(#REF!,"임국")</f>
        <v>#REF!</v>
      </c>
      <c r="F99" s="37" t="s">
        <v>11</v>
      </c>
      <c r="G99" s="213" t="e">
        <f>SUMIF(#REF!,"임국",#REF!)</f>
        <v>#REF!</v>
      </c>
      <c r="H99" s="36" t="e">
        <f>COUNTIF(#REF!,"임공")</f>
        <v>#REF!</v>
      </c>
      <c r="I99" s="37" t="s">
        <v>11</v>
      </c>
      <c r="J99" s="213" t="e">
        <f>SUMIF(#REF!,"임공",#REF!)</f>
        <v>#REF!</v>
      </c>
      <c r="K99" s="36" t="e">
        <f t="shared" si="6"/>
        <v>#REF!</v>
      </c>
      <c r="L99" s="37" t="s">
        <v>11</v>
      </c>
      <c r="M99" s="213" t="e">
        <f t="shared" si="7"/>
        <v>#REF!</v>
      </c>
      <c r="N99" s="39"/>
      <c r="Q99" s="23"/>
      <c r="S99" s="23"/>
      <c r="U99" s="23"/>
      <c r="V99" s="23"/>
    </row>
    <row r="100" spans="1:22" s="24" customFormat="1" ht="23.1" customHeight="1">
      <c r="A100" s="104" t="s">
        <v>16</v>
      </c>
      <c r="B100" s="36" t="e">
        <f>COUNTIF(#REF!,"대")</f>
        <v>#REF!</v>
      </c>
      <c r="C100" s="37" t="s">
        <v>11</v>
      </c>
      <c r="D100" s="213" t="e">
        <f>SUMIF(#REF!,"대",#REF!)</f>
        <v>#REF!</v>
      </c>
      <c r="E100" s="36" t="e">
        <f>COUNTIF(#REF!,"대국")</f>
        <v>#REF!</v>
      </c>
      <c r="F100" s="37" t="s">
        <v>11</v>
      </c>
      <c r="G100" s="213" t="e">
        <f>SUMIF(#REF!,"대국",#REF!)</f>
        <v>#REF!</v>
      </c>
      <c r="H100" s="36" t="e">
        <f>COUNTIF(#REF!,"대공")</f>
        <v>#REF!</v>
      </c>
      <c r="I100" s="37" t="s">
        <v>11</v>
      </c>
      <c r="J100" s="213" t="e">
        <f>SUMIF(#REF!,"대공",#REF!)</f>
        <v>#REF!</v>
      </c>
      <c r="K100" s="36" t="e">
        <f t="shared" si="6"/>
        <v>#REF!</v>
      </c>
      <c r="L100" s="37" t="s">
        <v>11</v>
      </c>
      <c r="M100" s="213" t="e">
        <f t="shared" si="7"/>
        <v>#REF!</v>
      </c>
      <c r="N100" s="39"/>
      <c r="O100" s="23"/>
      <c r="P100" s="23"/>
      <c r="Q100" s="23"/>
      <c r="R100" s="23"/>
      <c r="S100" s="23"/>
      <c r="T100" s="23"/>
      <c r="U100" s="23"/>
      <c r="V100" s="23"/>
    </row>
    <row r="101" spans="1:22" s="24" customFormat="1" ht="23.1" customHeight="1">
      <c r="A101" s="104" t="s">
        <v>17</v>
      </c>
      <c r="B101" s="36" t="e">
        <f>COUNTIF(#REF!,"도")</f>
        <v>#REF!</v>
      </c>
      <c r="C101" s="37" t="s">
        <v>11</v>
      </c>
      <c r="D101" s="213" t="e">
        <f>SUMIF(#REF!,"도",#REF!)</f>
        <v>#REF!</v>
      </c>
      <c r="E101" s="36" t="e">
        <f>COUNTIF(#REF!,"도국")</f>
        <v>#REF!</v>
      </c>
      <c r="F101" s="37" t="s">
        <v>11</v>
      </c>
      <c r="G101" s="213" t="e">
        <f>SUMIF(#REF!,"도국",#REF!)</f>
        <v>#REF!</v>
      </c>
      <c r="H101" s="36" t="e">
        <f>COUNTIF(#REF!,"도공")</f>
        <v>#REF!</v>
      </c>
      <c r="I101" s="37" t="s">
        <v>11</v>
      </c>
      <c r="J101" s="213" t="e">
        <f>SUMIF(#REF!,"도공",#REF!)</f>
        <v>#REF!</v>
      </c>
      <c r="K101" s="36" t="e">
        <f t="shared" si="6"/>
        <v>#REF!</v>
      </c>
      <c r="L101" s="37" t="s">
        <v>11</v>
      </c>
      <c r="M101" s="213" t="e">
        <f t="shared" si="7"/>
        <v>#REF!</v>
      </c>
      <c r="N101" s="39"/>
      <c r="O101" s="23"/>
      <c r="P101" s="23"/>
      <c r="Q101" s="23"/>
      <c r="R101" s="23"/>
      <c r="S101" s="23"/>
      <c r="T101" s="23"/>
      <c r="U101" s="23"/>
      <c r="V101" s="23"/>
    </row>
    <row r="102" spans="1:22" s="24" customFormat="1" ht="23.1" customHeight="1">
      <c r="A102" s="104" t="s">
        <v>18</v>
      </c>
      <c r="B102" s="36" t="e">
        <f>COUNTIF(#REF!,"구")</f>
        <v>#REF!</v>
      </c>
      <c r="C102" s="37" t="s">
        <v>11</v>
      </c>
      <c r="D102" s="213" t="e">
        <f>SUMIF(#REF!,"구",#REF!)</f>
        <v>#REF!</v>
      </c>
      <c r="E102" s="36" t="e">
        <f>COUNTIF(#REF!,"구국")</f>
        <v>#REF!</v>
      </c>
      <c r="F102" s="37" t="s">
        <v>11</v>
      </c>
      <c r="G102" s="213" t="e">
        <f>SUMIF(#REF!,"구국",#REF!)</f>
        <v>#REF!</v>
      </c>
      <c r="H102" s="36" t="e">
        <f>COUNTIF(#REF!,"구공")</f>
        <v>#REF!</v>
      </c>
      <c r="I102" s="37" t="s">
        <v>11</v>
      </c>
      <c r="J102" s="213" t="e">
        <f>SUMIF(#REF!,"구공",#REF!)</f>
        <v>#REF!</v>
      </c>
      <c r="K102" s="36" t="e">
        <f t="shared" si="6"/>
        <v>#REF!</v>
      </c>
      <c r="L102" s="37" t="s">
        <v>11</v>
      </c>
      <c r="M102" s="213" t="e">
        <f t="shared" si="7"/>
        <v>#REF!</v>
      </c>
      <c r="N102" s="39"/>
      <c r="O102" s="23"/>
      <c r="P102" s="23"/>
      <c r="Q102" s="23"/>
      <c r="R102" s="23"/>
      <c r="S102" s="23"/>
      <c r="T102" s="23"/>
      <c r="U102" s="23"/>
      <c r="V102" s="23"/>
    </row>
    <row r="103" spans="1:22" s="24" customFormat="1" ht="23.1" customHeight="1">
      <c r="A103" s="104" t="s">
        <v>19</v>
      </c>
      <c r="B103" s="36" t="e">
        <f>COUNTIF(#REF!,"천")</f>
        <v>#REF!</v>
      </c>
      <c r="C103" s="37" t="s">
        <v>11</v>
      </c>
      <c r="D103" s="213" t="e">
        <f>SUMIF(#REF!,"천",#REF!)</f>
        <v>#REF!</v>
      </c>
      <c r="E103" s="36" t="e">
        <f>COUNTIF(#REF!,"천국")</f>
        <v>#REF!</v>
      </c>
      <c r="F103" s="37" t="s">
        <v>11</v>
      </c>
      <c r="G103" s="213" t="e">
        <f>SUMIF(#REF!,"천국",#REF!)</f>
        <v>#REF!</v>
      </c>
      <c r="H103" s="36" t="e">
        <f>COUNTIF(#REF!,"천공")</f>
        <v>#REF!</v>
      </c>
      <c r="I103" s="37" t="s">
        <v>11</v>
      </c>
      <c r="J103" s="213" t="e">
        <f>SUMIF(#REF!,"천공",#REF!)</f>
        <v>#REF!</v>
      </c>
      <c r="K103" s="36" t="e">
        <f t="shared" si="6"/>
        <v>#REF!</v>
      </c>
      <c r="L103" s="37" t="s">
        <v>11</v>
      </c>
      <c r="M103" s="213" t="e">
        <f t="shared" si="7"/>
        <v>#REF!</v>
      </c>
      <c r="N103" s="39"/>
      <c r="O103" s="23"/>
      <c r="P103" s="23"/>
      <c r="Q103" s="23"/>
      <c r="R103" s="23"/>
      <c r="S103" s="23"/>
      <c r="T103" s="23"/>
      <c r="U103" s="23"/>
      <c r="V103" s="23"/>
    </row>
    <row r="104" spans="1:22" s="24" customFormat="1" ht="23.1" customHeight="1">
      <c r="A104" s="104" t="s">
        <v>20</v>
      </c>
      <c r="B104" s="36" t="e">
        <f>COUNTIF(#REF!,"유")</f>
        <v>#REF!</v>
      </c>
      <c r="C104" s="37" t="s">
        <v>11</v>
      </c>
      <c r="D104" s="213" t="e">
        <f>SUMIF(#REF!,"유",#REF!)</f>
        <v>#REF!</v>
      </c>
      <c r="E104" s="36" t="e">
        <f>COUNTIF(#REF!,"유국")</f>
        <v>#REF!</v>
      </c>
      <c r="F104" s="37" t="s">
        <v>11</v>
      </c>
      <c r="G104" s="213" t="e">
        <f>SUMIF(#REF!,"유국",#REF!)</f>
        <v>#REF!</v>
      </c>
      <c r="H104" s="36" t="e">
        <f>COUNTIF(#REF!,"유공")</f>
        <v>#REF!</v>
      </c>
      <c r="I104" s="37" t="s">
        <v>11</v>
      </c>
      <c r="J104" s="213" t="e">
        <f>SUMIF(#REF!,"유공",#REF!)</f>
        <v>#REF!</v>
      </c>
      <c r="K104" s="36" t="e">
        <f t="shared" si="6"/>
        <v>#REF!</v>
      </c>
      <c r="L104" s="37" t="s">
        <v>11</v>
      </c>
      <c r="M104" s="213" t="e">
        <f t="shared" si="7"/>
        <v>#REF!</v>
      </c>
      <c r="N104" s="39"/>
      <c r="O104" s="23"/>
      <c r="P104" s="23"/>
      <c r="Q104" s="23"/>
      <c r="R104" s="23"/>
      <c r="S104" s="23"/>
      <c r="T104" s="23"/>
      <c r="U104" s="23"/>
      <c r="V104" s="23"/>
    </row>
    <row r="105" spans="1:22" s="24" customFormat="1" ht="23.1" customHeight="1">
      <c r="A105" s="104" t="s">
        <v>21</v>
      </c>
      <c r="B105" s="36" t="e">
        <f>COUNTIF(#REF!,"제")</f>
        <v>#REF!</v>
      </c>
      <c r="C105" s="37" t="s">
        <v>11</v>
      </c>
      <c r="D105" s="213" t="e">
        <f>SUMIF(#REF!,"제",#REF!)</f>
        <v>#REF!</v>
      </c>
      <c r="E105" s="36" t="e">
        <f>COUNTIF(#REF!,"제국")</f>
        <v>#REF!</v>
      </c>
      <c r="F105" s="37" t="s">
        <v>11</v>
      </c>
      <c r="G105" s="213" t="e">
        <f>SUMIF(#REF!,"제국",#REF!)</f>
        <v>#REF!</v>
      </c>
      <c r="H105" s="36" t="e">
        <f>COUNTIF(#REF!,"제공")</f>
        <v>#REF!</v>
      </c>
      <c r="I105" s="37" t="s">
        <v>11</v>
      </c>
      <c r="J105" s="213" t="e">
        <f>SUMIF(#REF!,"제공",#REF!)</f>
        <v>#REF!</v>
      </c>
      <c r="K105" s="36" t="e">
        <f t="shared" si="6"/>
        <v>#REF!</v>
      </c>
      <c r="L105" s="37" t="s">
        <v>11</v>
      </c>
      <c r="M105" s="213" t="e">
        <f t="shared" si="7"/>
        <v>#REF!</v>
      </c>
      <c r="N105" s="39"/>
      <c r="O105" s="23"/>
      <c r="P105" s="23"/>
      <c r="Q105" s="23"/>
      <c r="R105" s="23"/>
      <c r="S105" s="23"/>
      <c r="T105" s="23"/>
      <c r="U105" s="23"/>
      <c r="V105" s="23"/>
    </row>
    <row r="106" spans="1:22" s="24" customFormat="1" ht="23.1" customHeight="1">
      <c r="A106" s="104" t="s">
        <v>22</v>
      </c>
      <c r="B106" s="36" t="e">
        <f>COUNTIF(#REF!,"과")</f>
        <v>#REF!</v>
      </c>
      <c r="C106" s="37" t="s">
        <v>11</v>
      </c>
      <c r="D106" s="213" t="e">
        <f>SUMIF(#REF!,"과",#REF!)</f>
        <v>#REF!</v>
      </c>
      <c r="E106" s="36" t="e">
        <f>COUNTIF(#REF!,"과국")</f>
        <v>#REF!</v>
      </c>
      <c r="F106" s="37" t="s">
        <v>11</v>
      </c>
      <c r="G106" s="213" t="e">
        <f>SUMIF(#REF!,"과국",#REF!)</f>
        <v>#REF!</v>
      </c>
      <c r="H106" s="36" t="e">
        <f>COUNTIF(#REF!,"과공")</f>
        <v>#REF!</v>
      </c>
      <c r="I106" s="37" t="s">
        <v>11</v>
      </c>
      <c r="J106" s="213" t="e">
        <f>SUMIF(#REF!,"과공",#REF!)</f>
        <v>#REF!</v>
      </c>
      <c r="K106" s="36" t="e">
        <f t="shared" si="6"/>
        <v>#REF!</v>
      </c>
      <c r="L106" s="37" t="s">
        <v>11</v>
      </c>
      <c r="M106" s="213" t="e">
        <f t="shared" si="7"/>
        <v>#REF!</v>
      </c>
      <c r="N106" s="39"/>
      <c r="O106" s="23"/>
      <c r="P106" s="23"/>
      <c r="Q106" s="23"/>
      <c r="R106" s="23"/>
      <c r="S106" s="23"/>
      <c r="T106" s="23"/>
      <c r="U106" s="23"/>
      <c r="V106" s="23"/>
    </row>
    <row r="107" spans="1:22" s="24" customFormat="1" ht="23.1" customHeight="1">
      <c r="A107" s="104" t="s">
        <v>23</v>
      </c>
      <c r="B107" s="36" t="e">
        <f>COUNTIF(#REF!,"장")</f>
        <v>#REF!</v>
      </c>
      <c r="C107" s="37" t="s">
        <v>11</v>
      </c>
      <c r="D107" s="213" t="e">
        <f>SUMIF(#REF!,"장",#REF!)</f>
        <v>#REF!</v>
      </c>
      <c r="E107" s="36" t="e">
        <f>COUNTIF(#REF!,"장국")</f>
        <v>#REF!</v>
      </c>
      <c r="F107" s="37" t="s">
        <v>11</v>
      </c>
      <c r="G107" s="213" t="e">
        <f>SUMIF(#REF!,"장국",#REF!)</f>
        <v>#REF!</v>
      </c>
      <c r="H107" s="36" t="e">
        <f>COUNTIF(#REF!,"장공")</f>
        <v>#REF!</v>
      </c>
      <c r="I107" s="37" t="s">
        <v>11</v>
      </c>
      <c r="J107" s="213" t="e">
        <f>SUMIF(#REF!,"장공",#REF!)</f>
        <v>#REF!</v>
      </c>
      <c r="K107" s="36" t="e">
        <f t="shared" si="6"/>
        <v>#REF!</v>
      </c>
      <c r="L107" s="37" t="s">
        <v>11</v>
      </c>
      <c r="M107" s="213" t="e">
        <f t="shared" si="7"/>
        <v>#REF!</v>
      </c>
      <c r="N107" s="39"/>
      <c r="O107" s="23"/>
      <c r="P107" s="23"/>
      <c r="Q107" s="23"/>
      <c r="R107" s="23"/>
      <c r="S107" s="23"/>
      <c r="T107" s="23"/>
      <c r="U107" s="23"/>
      <c r="V107" s="23"/>
    </row>
    <row r="108" spans="1:22" s="24" customFormat="1" ht="23.1" customHeight="1">
      <c r="A108" s="104" t="s">
        <v>24</v>
      </c>
      <c r="B108" s="36" t="e">
        <f>COUNTIF(#REF!,"목")</f>
        <v>#REF!</v>
      </c>
      <c r="C108" s="37" t="s">
        <v>11</v>
      </c>
      <c r="D108" s="213" t="e">
        <f>SUMIF(#REF!,"목",#REF!)</f>
        <v>#REF!</v>
      </c>
      <c r="E108" s="36" t="e">
        <f>COUNTIF(#REF!,"목국")</f>
        <v>#REF!</v>
      </c>
      <c r="F108" s="37" t="s">
        <v>11</v>
      </c>
      <c r="G108" s="213" t="e">
        <f>SUMIF(#REF!,"목국",#REF!)</f>
        <v>#REF!</v>
      </c>
      <c r="H108" s="36" t="e">
        <f>COUNTIF(#REF!,"목공")</f>
        <v>#REF!</v>
      </c>
      <c r="I108" s="37" t="s">
        <v>11</v>
      </c>
      <c r="J108" s="213" t="e">
        <f>SUMIF(#REF!,"목공",#REF!)</f>
        <v>#REF!</v>
      </c>
      <c r="K108" s="36" t="e">
        <f t="shared" si="6"/>
        <v>#REF!</v>
      </c>
      <c r="L108" s="37" t="s">
        <v>11</v>
      </c>
      <c r="M108" s="213" t="e">
        <f t="shared" si="7"/>
        <v>#REF!</v>
      </c>
      <c r="N108" s="39"/>
      <c r="O108" s="23"/>
      <c r="P108" s="23"/>
      <c r="Q108" s="23"/>
      <c r="R108" s="23"/>
      <c r="S108" s="23"/>
      <c r="T108" s="23"/>
      <c r="U108" s="23"/>
      <c r="V108" s="23"/>
    </row>
    <row r="109" spans="1:22" s="24" customFormat="1" ht="23.1" customHeight="1">
      <c r="A109" s="104" t="s">
        <v>25</v>
      </c>
      <c r="B109" s="36" t="e">
        <f>COUNTIF(#REF!,"학")</f>
        <v>#REF!</v>
      </c>
      <c r="C109" s="37" t="s">
        <v>11</v>
      </c>
      <c r="D109" s="213" t="e">
        <f>SUMIF(#REF!,"학",#REF!)</f>
        <v>#REF!</v>
      </c>
      <c r="E109" s="36" t="e">
        <f>COUNTIF(#REF!,"학국")</f>
        <v>#REF!</v>
      </c>
      <c r="F109" s="37" t="s">
        <v>11</v>
      </c>
      <c r="G109" s="213" t="e">
        <f>SUMIF(#REF!,"학국",#REF!)</f>
        <v>#REF!</v>
      </c>
      <c r="H109" s="36" t="e">
        <f>COUNTIF(#REF!,"학공")</f>
        <v>#REF!</v>
      </c>
      <c r="I109" s="37" t="s">
        <v>11</v>
      </c>
      <c r="J109" s="213" t="e">
        <f>SUMIF(#REF!,"학공",#REF!)</f>
        <v>#REF!</v>
      </c>
      <c r="K109" s="36" t="e">
        <f t="shared" si="6"/>
        <v>#REF!</v>
      </c>
      <c r="L109" s="37" t="s">
        <v>11</v>
      </c>
      <c r="M109" s="213" t="e">
        <f t="shared" si="7"/>
        <v>#REF!</v>
      </c>
      <c r="N109" s="39"/>
      <c r="O109" s="23"/>
      <c r="P109" s="23"/>
      <c r="Q109" s="23"/>
      <c r="R109" s="23"/>
      <c r="S109" s="23"/>
      <c r="T109" s="23"/>
      <c r="U109" s="23"/>
      <c r="V109" s="23"/>
    </row>
    <row r="110" spans="1:22" s="24" customFormat="1" ht="23.1" customHeight="1">
      <c r="A110" s="104" t="s">
        <v>26</v>
      </c>
      <c r="B110" s="36" t="e">
        <f>COUNTIF(#REF!,"철")</f>
        <v>#REF!</v>
      </c>
      <c r="C110" s="37" t="s">
        <v>11</v>
      </c>
      <c r="D110" s="213" t="e">
        <f>SUMIF(#REF!,"철",#REF!)</f>
        <v>#REF!</v>
      </c>
      <c r="E110" s="36" t="e">
        <f>COUNTIF(#REF!,"철국")</f>
        <v>#REF!</v>
      </c>
      <c r="F110" s="37" t="s">
        <v>11</v>
      </c>
      <c r="G110" s="213" t="e">
        <f>SUMIF(#REF!,"철국",#REF!)</f>
        <v>#REF!</v>
      </c>
      <c r="H110" s="36" t="e">
        <f>COUNTIF(#REF!,"철공")</f>
        <v>#REF!</v>
      </c>
      <c r="I110" s="37" t="s">
        <v>11</v>
      </c>
      <c r="J110" s="213" t="e">
        <f>SUMIF(#REF!,"철공",#REF!)</f>
        <v>#REF!</v>
      </c>
      <c r="K110" s="36" t="e">
        <f t="shared" si="6"/>
        <v>#REF!</v>
      </c>
      <c r="L110" s="37" t="s">
        <v>11</v>
      </c>
      <c r="M110" s="213" t="e">
        <f t="shared" si="7"/>
        <v>#REF!</v>
      </c>
      <c r="N110" s="39"/>
      <c r="O110" s="23"/>
      <c r="P110" s="23"/>
      <c r="Q110" s="23"/>
      <c r="R110" s="23"/>
      <c r="S110" s="23"/>
      <c r="T110" s="23"/>
      <c r="U110" s="23"/>
      <c r="V110" s="23"/>
    </row>
    <row r="111" spans="1:22" s="24" customFormat="1" ht="23.1" customHeight="1">
      <c r="A111" s="104" t="s">
        <v>27</v>
      </c>
      <c r="B111" s="36" t="e">
        <f>COUNTIF(#REF!,"묘")</f>
        <v>#REF!</v>
      </c>
      <c r="C111" s="37" t="s">
        <v>11</v>
      </c>
      <c r="D111" s="213" t="e">
        <f>SUMIF(#REF!,"묘",#REF!)</f>
        <v>#REF!</v>
      </c>
      <c r="E111" s="36" t="e">
        <f>COUNTIF(#REF!,"묘국")</f>
        <v>#REF!</v>
      </c>
      <c r="F111" s="37" t="s">
        <v>11</v>
      </c>
      <c r="G111" s="213" t="e">
        <f>SUMIF(#REF!,"묘국",#REF!)</f>
        <v>#REF!</v>
      </c>
      <c r="H111" s="36" t="e">
        <f>COUNTIF(#REF!,"묘공")</f>
        <v>#REF!</v>
      </c>
      <c r="I111" s="37" t="s">
        <v>11</v>
      </c>
      <c r="J111" s="213" t="e">
        <f>SUMIF(#REF!,"묘공",#REF!)</f>
        <v>#REF!</v>
      </c>
      <c r="K111" s="36" t="e">
        <f t="shared" si="6"/>
        <v>#REF!</v>
      </c>
      <c r="L111" s="37" t="s">
        <v>11</v>
      </c>
      <c r="M111" s="213" t="e">
        <f t="shared" si="7"/>
        <v>#REF!</v>
      </c>
      <c r="N111" s="39"/>
      <c r="O111" s="23"/>
      <c r="P111" s="23"/>
      <c r="Q111" s="23"/>
      <c r="R111" s="23"/>
      <c r="S111" s="23"/>
      <c r="T111" s="23"/>
      <c r="U111" s="23"/>
      <c r="V111" s="23"/>
    </row>
    <row r="112" spans="1:22" s="24" customFormat="1" ht="23.1" customHeight="1">
      <c r="A112" s="104" t="s">
        <v>28</v>
      </c>
      <c r="B112" s="36" t="e">
        <f>COUNTIF(#REF!,"수")</f>
        <v>#REF!</v>
      </c>
      <c r="C112" s="37" t="s">
        <v>11</v>
      </c>
      <c r="D112" s="213" t="e">
        <f>SUMIF(#REF!,"수",#REF!)</f>
        <v>#REF!</v>
      </c>
      <c r="E112" s="36" t="e">
        <f>COUNTIF(#REF!,"수국")</f>
        <v>#REF!</v>
      </c>
      <c r="F112" s="37" t="s">
        <v>11</v>
      </c>
      <c r="G112" s="213" t="e">
        <f>SUMIF(#REF!,"수국",#REF!)</f>
        <v>#REF!</v>
      </c>
      <c r="H112" s="36" t="e">
        <f>COUNTIF(#REF!,"수공")</f>
        <v>#REF!</v>
      </c>
      <c r="I112" s="37" t="s">
        <v>11</v>
      </c>
      <c r="J112" s="213" t="e">
        <f>SUMIF(#REF!,"수공",#REF!)</f>
        <v>#REF!</v>
      </c>
      <c r="K112" s="36" t="e">
        <f t="shared" si="6"/>
        <v>#REF!</v>
      </c>
      <c r="L112" s="37" t="s">
        <v>11</v>
      </c>
      <c r="M112" s="213" t="e">
        <f t="shared" si="7"/>
        <v>#REF!</v>
      </c>
      <c r="N112" s="39"/>
      <c r="O112" s="23"/>
      <c r="P112" s="23"/>
      <c r="Q112" s="23"/>
      <c r="R112" s="23"/>
      <c r="S112" s="23"/>
      <c r="T112" s="23"/>
      <c r="U112" s="23"/>
      <c r="V112" s="23"/>
    </row>
    <row r="113" spans="1:22" s="24" customFormat="1" ht="23.1" customHeight="1">
      <c r="A113" s="104" t="s">
        <v>29</v>
      </c>
      <c r="B113" s="36" t="e">
        <f>COUNTIF(#REF!,"잡")</f>
        <v>#REF!</v>
      </c>
      <c r="C113" s="37" t="s">
        <v>11</v>
      </c>
      <c r="D113" s="213" t="e">
        <f>SUMIF(#REF!,"잡",#REF!)</f>
        <v>#REF!</v>
      </c>
      <c r="E113" s="36" t="e">
        <f>COUNTIF(#REF!,"잡국")</f>
        <v>#REF!</v>
      </c>
      <c r="F113" s="37" t="s">
        <v>11</v>
      </c>
      <c r="G113" s="213" t="e">
        <f>SUMIF(#REF!,"잡국",#REF!)</f>
        <v>#REF!</v>
      </c>
      <c r="H113" s="36" t="e">
        <f>COUNTIF(#REF!,"잡공")</f>
        <v>#REF!</v>
      </c>
      <c r="I113" s="37" t="s">
        <v>11</v>
      </c>
      <c r="J113" s="213" t="e">
        <f>SUMIF(#REF!,"잡공",#REF!)</f>
        <v>#REF!</v>
      </c>
      <c r="K113" s="36" t="e">
        <f t="shared" si="6"/>
        <v>#REF!</v>
      </c>
      <c r="L113" s="37" t="s">
        <v>11</v>
      </c>
      <c r="M113" s="213" t="e">
        <f t="shared" si="7"/>
        <v>#REF!</v>
      </c>
      <c r="N113" s="39"/>
      <c r="O113" s="23"/>
      <c r="P113" s="23"/>
      <c r="Q113" s="23"/>
      <c r="R113" s="23"/>
      <c r="S113" s="23"/>
      <c r="T113" s="23"/>
      <c r="U113" s="23"/>
      <c r="V113" s="23"/>
    </row>
    <row r="114" spans="1:22" s="24" customFormat="1" ht="23.1" customHeight="1">
      <c r="A114" s="105" t="s">
        <v>30</v>
      </c>
      <c r="B114" s="36" t="e">
        <f>COUNTIF(#REF!,"종")</f>
        <v>#REF!</v>
      </c>
      <c r="C114" s="37" t="s">
        <v>11</v>
      </c>
      <c r="D114" s="213" t="e">
        <f>SUMIF(#REF!,"종",#REF!)</f>
        <v>#REF!</v>
      </c>
      <c r="E114" s="36" t="e">
        <f>COUNTIF(#REF!,"종국")</f>
        <v>#REF!</v>
      </c>
      <c r="F114" s="37" t="s">
        <v>11</v>
      </c>
      <c r="G114" s="213" t="e">
        <f>SUMIF(#REF!,"종국",#REF!)</f>
        <v>#REF!</v>
      </c>
      <c r="H114" s="36" t="e">
        <f>COUNTIF(#REF!,"종공")</f>
        <v>#REF!</v>
      </c>
      <c r="I114" s="37" t="s">
        <v>11</v>
      </c>
      <c r="J114" s="213" t="e">
        <f>SUMIF(#REF!,"종공",#REF!)</f>
        <v>#REF!</v>
      </c>
      <c r="K114" s="36" t="e">
        <f t="shared" si="6"/>
        <v>#REF!</v>
      </c>
      <c r="L114" s="37" t="s">
        <v>11</v>
      </c>
      <c r="M114" s="213" t="e">
        <f t="shared" si="7"/>
        <v>#REF!</v>
      </c>
      <c r="N114" s="39"/>
      <c r="O114" s="23"/>
      <c r="P114" s="23"/>
      <c r="Q114" s="23"/>
      <c r="R114" s="23"/>
      <c r="S114" s="23"/>
      <c r="T114" s="23"/>
      <c r="U114" s="23"/>
      <c r="V114" s="23"/>
    </row>
    <row r="115" spans="1:22" s="24" customFormat="1" ht="23.1" customHeight="1">
      <c r="A115" s="105" t="s">
        <v>31</v>
      </c>
      <c r="B115" s="36" t="e">
        <f>COUNTIF(#REF!,"염")</f>
        <v>#REF!</v>
      </c>
      <c r="C115" s="37" t="s">
        <v>11</v>
      </c>
      <c r="D115" s="213" t="e">
        <f>SUMIF(#REF!,"염",#REF!)</f>
        <v>#REF!</v>
      </c>
      <c r="E115" s="36" t="e">
        <f>COUNTIF(#REF!,"염국")</f>
        <v>#REF!</v>
      </c>
      <c r="F115" s="37" t="s">
        <v>11</v>
      </c>
      <c r="G115" s="213" t="e">
        <f>SUMIF(#REF!,"염국",#REF!)</f>
        <v>#REF!</v>
      </c>
      <c r="H115" s="36" t="e">
        <f>COUNTIF(#REF!,"염공")</f>
        <v>#REF!</v>
      </c>
      <c r="I115" s="37" t="s">
        <v>11</v>
      </c>
      <c r="J115" s="213" t="e">
        <f>SUMIF(#REF!,"염공",#REF!)</f>
        <v>#REF!</v>
      </c>
      <c r="K115" s="36" t="e">
        <f t="shared" si="6"/>
        <v>#REF!</v>
      </c>
      <c r="L115" s="37" t="s">
        <v>11</v>
      </c>
      <c r="M115" s="213" t="e">
        <f t="shared" si="7"/>
        <v>#REF!</v>
      </c>
      <c r="N115" s="39"/>
      <c r="O115" s="23"/>
      <c r="P115" s="23"/>
      <c r="Q115" s="23"/>
      <c r="R115" s="23"/>
      <c r="S115" s="23"/>
      <c r="T115" s="23"/>
      <c r="U115" s="23"/>
      <c r="V115" s="23"/>
    </row>
    <row r="116" spans="1:22" s="24" customFormat="1" ht="23.1" customHeight="1">
      <c r="A116" s="105" t="s">
        <v>32</v>
      </c>
      <c r="B116" s="36" t="e">
        <f>COUNTIF(#REF!,"공")</f>
        <v>#REF!</v>
      </c>
      <c r="C116" s="37" t="s">
        <v>11</v>
      </c>
      <c r="D116" s="213" t="e">
        <f>SUMIF(#REF!,"공",#REF!)</f>
        <v>#REF!</v>
      </c>
      <c r="E116" s="36" t="e">
        <f>COUNTIF(#REF!,"공국")</f>
        <v>#REF!</v>
      </c>
      <c r="F116" s="37" t="s">
        <v>11</v>
      </c>
      <c r="G116" s="213" t="e">
        <f>SUMIF(#REF!,"공국",#REF!)</f>
        <v>#REF!</v>
      </c>
      <c r="H116" s="36" t="e">
        <f>COUNTIF(#REF!,"공공")</f>
        <v>#REF!</v>
      </c>
      <c r="I116" s="37" t="s">
        <v>11</v>
      </c>
      <c r="J116" s="213" t="e">
        <f>SUMIF(#REF!,"공공",#REF!)</f>
        <v>#REF!</v>
      </c>
      <c r="K116" s="36" t="e">
        <f t="shared" si="6"/>
        <v>#REF!</v>
      </c>
      <c r="L116" s="37" t="s">
        <v>11</v>
      </c>
      <c r="M116" s="213" t="e">
        <f t="shared" si="7"/>
        <v>#REF!</v>
      </c>
      <c r="N116" s="39"/>
      <c r="O116" s="23"/>
      <c r="P116" s="23"/>
      <c r="Q116" s="23"/>
      <c r="R116" s="23"/>
      <c r="S116" s="23"/>
      <c r="T116" s="23"/>
      <c r="U116" s="23"/>
      <c r="V116" s="23"/>
    </row>
    <row r="117" spans="1:22" s="24" customFormat="1" ht="23.1" customHeight="1">
      <c r="A117" s="105" t="s">
        <v>33</v>
      </c>
      <c r="B117" s="36" t="e">
        <f>COUNTIF(#REF!,"체")</f>
        <v>#REF!</v>
      </c>
      <c r="C117" s="37" t="s">
        <v>11</v>
      </c>
      <c r="D117" s="213" t="e">
        <f>SUMIF(#REF!,"체",#REF!)</f>
        <v>#REF!</v>
      </c>
      <c r="E117" s="36" t="e">
        <f>COUNTIF(#REF!,"체국")</f>
        <v>#REF!</v>
      </c>
      <c r="F117" s="37" t="s">
        <v>11</v>
      </c>
      <c r="G117" s="213" t="e">
        <f>SUMIF(#REF!,"체국",#REF!)</f>
        <v>#REF!</v>
      </c>
      <c r="H117" s="36" t="e">
        <f>COUNTIF(#REF!,"체공")</f>
        <v>#REF!</v>
      </c>
      <c r="I117" s="37" t="s">
        <v>11</v>
      </c>
      <c r="J117" s="213" t="e">
        <f>SUMIF(#REF!,"체공",#REF!)</f>
        <v>#REF!</v>
      </c>
      <c r="K117" s="36" t="e">
        <f t="shared" si="6"/>
        <v>#REF!</v>
      </c>
      <c r="L117" s="37" t="s">
        <v>11</v>
      </c>
      <c r="M117" s="213" t="e">
        <f t="shared" si="7"/>
        <v>#REF!</v>
      </c>
      <c r="N117" s="39"/>
      <c r="O117" s="23"/>
      <c r="P117" s="23"/>
      <c r="Q117" s="23"/>
      <c r="R117" s="23"/>
      <c r="S117" s="23"/>
      <c r="T117" s="23"/>
      <c r="U117" s="23"/>
      <c r="V117" s="23"/>
    </row>
    <row r="118" spans="1:22" s="24" customFormat="1" ht="23.1" customHeight="1">
      <c r="A118" s="105" t="s">
        <v>34</v>
      </c>
      <c r="B118" s="36" t="e">
        <f>COUNTIF(#REF!,"원")</f>
        <v>#REF!</v>
      </c>
      <c r="C118" s="37" t="s">
        <v>11</v>
      </c>
      <c r="D118" s="213" t="e">
        <f>SUMIF(#REF!,"원",#REF!)</f>
        <v>#REF!</v>
      </c>
      <c r="E118" s="36" t="e">
        <f>COUNTIF(#REF!,"원국")</f>
        <v>#REF!</v>
      </c>
      <c r="F118" s="37" t="s">
        <v>11</v>
      </c>
      <c r="G118" s="213" t="e">
        <f>SUMIF(#REF!,"원국",#REF!)</f>
        <v>#REF!</v>
      </c>
      <c r="H118" s="36" t="e">
        <f>COUNTIF(#REF!,"원공")</f>
        <v>#REF!</v>
      </c>
      <c r="I118" s="37" t="s">
        <v>11</v>
      </c>
      <c r="J118" s="213" t="e">
        <f>SUMIF(#REF!,"원공",#REF!)</f>
        <v>#REF!</v>
      </c>
      <c r="K118" s="36" t="e">
        <f t="shared" si="6"/>
        <v>#REF!</v>
      </c>
      <c r="L118" s="37" t="s">
        <v>11</v>
      </c>
      <c r="M118" s="213" t="e">
        <f t="shared" si="7"/>
        <v>#REF!</v>
      </c>
      <c r="N118" s="39"/>
      <c r="O118" s="23"/>
      <c r="P118" s="23"/>
      <c r="Q118" s="23"/>
      <c r="R118" s="23"/>
      <c r="S118" s="23"/>
      <c r="T118" s="23"/>
      <c r="U118" s="23"/>
      <c r="V118" s="23"/>
    </row>
    <row r="119" spans="1:22" s="24" customFormat="1" ht="23.1" customHeight="1">
      <c r="A119" s="105" t="s">
        <v>66</v>
      </c>
      <c r="B119" s="36" t="e">
        <f>COUNTIF(#REF!,"차")</f>
        <v>#REF!</v>
      </c>
      <c r="C119" s="37" t="s">
        <v>11</v>
      </c>
      <c r="D119" s="213" t="e">
        <f>SUMIF(#REF!,"차",#REF!)</f>
        <v>#REF!</v>
      </c>
      <c r="E119" s="36" t="e">
        <f>COUNTIF(#REF!,"차국")</f>
        <v>#REF!</v>
      </c>
      <c r="F119" s="37" t="s">
        <v>11</v>
      </c>
      <c r="G119" s="213" t="e">
        <f>SUMIF(#REF!,"차국",#REF!)</f>
        <v>#REF!</v>
      </c>
      <c r="H119" s="36" t="e">
        <f>COUNTIF(#REF!,"차공")</f>
        <v>#REF!</v>
      </c>
      <c r="I119" s="37" t="s">
        <v>11</v>
      </c>
      <c r="J119" s="213" t="e">
        <f>SUMIF(#REF!,"차공",#REF!)</f>
        <v>#REF!</v>
      </c>
      <c r="K119" s="36" t="e">
        <f t="shared" si="6"/>
        <v>#REF!</v>
      </c>
      <c r="L119" s="37" t="s">
        <v>11</v>
      </c>
      <c r="M119" s="213" t="e">
        <f t="shared" si="7"/>
        <v>#REF!</v>
      </c>
      <c r="N119" s="39"/>
      <c r="O119" s="23"/>
      <c r="P119" s="23"/>
      <c r="Q119" s="23"/>
      <c r="R119" s="23"/>
      <c r="S119" s="23"/>
      <c r="T119" s="23"/>
      <c r="U119" s="23"/>
      <c r="V119" s="23"/>
    </row>
    <row r="120" spans="1:22" s="24" customFormat="1" ht="23.1" customHeight="1">
      <c r="A120" s="105" t="s">
        <v>75</v>
      </c>
      <c r="B120" s="36" t="e">
        <f>COUNTIF(#REF!,"주")</f>
        <v>#REF!</v>
      </c>
      <c r="C120" s="37" t="s">
        <v>11</v>
      </c>
      <c r="D120" s="213" t="e">
        <f>SUMIF(#REF!,"주",#REF!)</f>
        <v>#REF!</v>
      </c>
      <c r="E120" s="36" t="e">
        <f>COUNTIF(#REF!,"주국")</f>
        <v>#REF!</v>
      </c>
      <c r="F120" s="37" t="s">
        <v>11</v>
      </c>
      <c r="G120" s="213" t="e">
        <f>SUMIF(#REF!,"주국",#REF!)</f>
        <v>#REF!</v>
      </c>
      <c r="H120" s="36" t="e">
        <f>COUNTIF(#REF!,"주공")</f>
        <v>#REF!</v>
      </c>
      <c r="I120" s="37" t="s">
        <v>11</v>
      </c>
      <c r="J120" s="213" t="e">
        <f>SUMIF(#REF!,"주공",#REF!)</f>
        <v>#REF!</v>
      </c>
      <c r="K120" s="36" t="e">
        <f t="shared" si="6"/>
        <v>#REF!</v>
      </c>
      <c r="L120" s="37" t="s">
        <v>11</v>
      </c>
      <c r="M120" s="213" t="e">
        <f t="shared" si="7"/>
        <v>#REF!</v>
      </c>
      <c r="N120" s="39"/>
      <c r="O120" s="23"/>
      <c r="P120" s="23"/>
      <c r="Q120" s="23"/>
      <c r="R120" s="23"/>
      <c r="S120" s="23"/>
      <c r="T120" s="23"/>
      <c r="U120" s="23"/>
      <c r="V120" s="23"/>
    </row>
    <row r="121" spans="1:22" s="24" customFormat="1" ht="23.1" customHeight="1">
      <c r="A121" s="106" t="s">
        <v>68</v>
      </c>
      <c r="B121" s="40" t="e">
        <f>COUNTIF(#REF!,"가")</f>
        <v>#REF!</v>
      </c>
      <c r="C121" s="41" t="s">
        <v>11</v>
      </c>
      <c r="D121" s="214" t="e">
        <f>SUMIF(#REF!,"가",#REF!)</f>
        <v>#REF!</v>
      </c>
      <c r="E121" s="40" t="e">
        <f>COUNTIF(#REF!," 국")</f>
        <v>#REF!</v>
      </c>
      <c r="F121" s="41" t="s">
        <v>11</v>
      </c>
      <c r="G121" s="214" t="e">
        <f>SUMIF(#REF!," 국",#REF!)</f>
        <v>#REF!</v>
      </c>
      <c r="H121" s="40" t="e">
        <f>COUNTIF(#REF!," 공")</f>
        <v>#REF!</v>
      </c>
      <c r="I121" s="41" t="s">
        <v>11</v>
      </c>
      <c r="J121" s="214" t="e">
        <f>SUMIF(#REF!," 공",#REF!)</f>
        <v>#REF!</v>
      </c>
      <c r="K121" s="40" t="e">
        <f t="shared" si="6"/>
        <v>#REF!</v>
      </c>
      <c r="L121" s="41" t="s">
        <v>11</v>
      </c>
      <c r="M121" s="214" t="e">
        <f t="shared" si="7"/>
        <v>#REF!</v>
      </c>
      <c r="N121" s="43"/>
      <c r="O121" s="23"/>
      <c r="P121" s="23"/>
      <c r="Q121" s="23"/>
      <c r="R121" s="23"/>
      <c r="S121" s="23"/>
      <c r="T121" s="23"/>
      <c r="U121" s="23"/>
      <c r="V121" s="23"/>
    </row>
    <row r="122" spans="1:22" s="17" customFormat="1" ht="20.100000000000001" customHeight="1">
      <c r="A122" s="11" t="e">
        <f>IF(EXACT(O126,O127),,"검산확인요!!!")</f>
        <v>#REF!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3" t="e">
        <f>IF(ISBLANK(#REF!),,#REF!)</f>
        <v>#REF!</v>
      </c>
      <c r="L122" s="14"/>
      <c r="M122" s="15"/>
      <c r="N122" s="16"/>
    </row>
    <row r="123" spans="1:22" s="17" customFormat="1" ht="9.9499999999999993" customHeight="1">
      <c r="A123" s="11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</row>
    <row r="124" spans="1:22" s="24" customFormat="1" ht="27.95" customHeight="1">
      <c r="A124" s="18" t="s">
        <v>9</v>
      </c>
      <c r="B124" s="19" t="s">
        <v>8</v>
      </c>
      <c r="C124" s="20"/>
      <c r="D124" s="21"/>
      <c r="E124" s="19" t="s">
        <v>35</v>
      </c>
      <c r="F124" s="20"/>
      <c r="G124" s="21"/>
      <c r="H124" s="19" t="s">
        <v>44</v>
      </c>
      <c r="I124" s="20"/>
      <c r="J124" s="21"/>
      <c r="K124" s="19" t="s">
        <v>36</v>
      </c>
      <c r="L124" s="20"/>
      <c r="M124" s="21"/>
      <c r="N124" s="22" t="s">
        <v>37</v>
      </c>
      <c r="O124" s="23"/>
      <c r="S124" s="23"/>
      <c r="T124" s="23"/>
      <c r="U124" s="23"/>
      <c r="V124" s="23"/>
    </row>
    <row r="125" spans="1:22" s="24" customFormat="1" ht="27.95" customHeight="1">
      <c r="A125" s="25"/>
      <c r="B125" s="26" t="s">
        <v>10</v>
      </c>
      <c r="C125" s="27" t="s">
        <v>11</v>
      </c>
      <c r="D125" s="28" t="s">
        <v>38</v>
      </c>
      <c r="E125" s="26" t="s">
        <v>10</v>
      </c>
      <c r="F125" s="27" t="s">
        <v>11</v>
      </c>
      <c r="G125" s="28" t="s">
        <v>38</v>
      </c>
      <c r="H125" s="26" t="s">
        <v>10</v>
      </c>
      <c r="I125" s="27" t="s">
        <v>11</v>
      </c>
      <c r="J125" s="28" t="s">
        <v>38</v>
      </c>
      <c r="K125" s="26" t="s">
        <v>10</v>
      </c>
      <c r="L125" s="27" t="s">
        <v>11</v>
      </c>
      <c r="M125" s="28" t="s">
        <v>38</v>
      </c>
      <c r="N125" s="29"/>
      <c r="P125" s="23"/>
      <c r="Q125" s="30" t="s">
        <v>39</v>
      </c>
      <c r="R125" s="30" t="s">
        <v>40</v>
      </c>
      <c r="S125" s="30" t="s">
        <v>41</v>
      </c>
      <c r="T125" s="30" t="s">
        <v>42</v>
      </c>
      <c r="U125" s="23"/>
      <c r="V125" s="23"/>
    </row>
    <row r="126" spans="1:22" s="24" customFormat="1" ht="23.1" customHeight="1">
      <c r="A126" s="103" t="s">
        <v>8</v>
      </c>
      <c r="B126" s="31" t="e">
        <f>SUM(B127:B151)</f>
        <v>#REF!</v>
      </c>
      <c r="C126" s="32" t="s">
        <v>11</v>
      </c>
      <c r="D126" s="212" t="e">
        <f>SUM(D127:D151)</f>
        <v>#REF!</v>
      </c>
      <c r="E126" s="31" t="e">
        <f>SUM(E127:E151)</f>
        <v>#REF!</v>
      </c>
      <c r="F126" s="32" t="s">
        <v>11</v>
      </c>
      <c r="G126" s="212" t="e">
        <f>SUM(G127:G151)</f>
        <v>#REF!</v>
      </c>
      <c r="H126" s="31" t="e">
        <f>SUM(H127:H151)</f>
        <v>#REF!</v>
      </c>
      <c r="I126" s="32" t="s">
        <v>11</v>
      </c>
      <c r="J126" s="212" t="e">
        <f>SUM(J127:J151)</f>
        <v>#REF!</v>
      </c>
      <c r="K126" s="31" t="e">
        <f>SUM(K127:K151)</f>
        <v>#REF!</v>
      </c>
      <c r="L126" s="32" t="s">
        <v>11</v>
      </c>
      <c r="M126" s="212" t="e">
        <f>SUM(M127:M151)</f>
        <v>#REF!</v>
      </c>
      <c r="N126" s="34"/>
      <c r="O126" s="23" t="e">
        <f>IF(EXACT(Q126,T126),"맞음","틀림")</f>
        <v>#REF!</v>
      </c>
      <c r="P126" s="23" t="s">
        <v>10</v>
      </c>
      <c r="Q126" s="35" t="e">
        <f>SUM(B127:B151)</f>
        <v>#REF!</v>
      </c>
      <c r="R126" s="35" t="e">
        <f>SUM(E127:E151)</f>
        <v>#REF!</v>
      </c>
      <c r="S126" s="35" t="e">
        <f>SUM(K127:K151)</f>
        <v>#REF!</v>
      </c>
      <c r="T126" s="35" t="e">
        <f>K126+E126</f>
        <v>#REF!</v>
      </c>
      <c r="U126" s="23"/>
      <c r="V126" s="23"/>
    </row>
    <row r="127" spans="1:22" s="24" customFormat="1" ht="23.1" customHeight="1">
      <c r="A127" s="104" t="s">
        <v>13</v>
      </c>
      <c r="B127" s="36" t="e">
        <f>COUNTIF(#REF!,"전")</f>
        <v>#REF!</v>
      </c>
      <c r="C127" s="37" t="s">
        <v>11</v>
      </c>
      <c r="D127" s="213" t="e">
        <f>SUMIF(#REF!,"전",#REF!)</f>
        <v>#REF!</v>
      </c>
      <c r="E127" s="36" t="e">
        <f>COUNTIF(#REF!,"전국")</f>
        <v>#REF!</v>
      </c>
      <c r="F127" s="37" t="s">
        <v>11</v>
      </c>
      <c r="G127" s="213" t="e">
        <f>SUMIF(#REF!,"전국",#REF!)</f>
        <v>#REF!</v>
      </c>
      <c r="H127" s="36" t="e">
        <f>COUNTIF(#REF!,"전공")</f>
        <v>#REF!</v>
      </c>
      <c r="I127" s="37" t="s">
        <v>11</v>
      </c>
      <c r="J127" s="213" t="e">
        <f>SUMIF(#REF!,"전공",#REF!)</f>
        <v>#REF!</v>
      </c>
      <c r="K127" s="36" t="e">
        <f t="shared" ref="K127:K151" si="8">SUM(B127-E127-H127)</f>
        <v>#REF!</v>
      </c>
      <c r="L127" s="37" t="s">
        <v>11</v>
      </c>
      <c r="M127" s="213" t="e">
        <f t="shared" ref="M127:M151" si="9">SUM(D127-G127-J127)</f>
        <v>#REF!</v>
      </c>
      <c r="N127" s="39"/>
      <c r="O127" s="23" t="e">
        <f>IF(EXACT(Q127,T127),"맞음","틀림")</f>
        <v>#REF!</v>
      </c>
      <c r="P127" s="23" t="s">
        <v>43</v>
      </c>
      <c r="Q127" s="35" t="e">
        <f>SUM(D127:D151)</f>
        <v>#REF!</v>
      </c>
      <c r="R127" s="35" t="e">
        <f>SUM(G127:G151)</f>
        <v>#REF!</v>
      </c>
      <c r="S127" s="35" t="e">
        <f>SUM(M127:M151)</f>
        <v>#REF!</v>
      </c>
      <c r="T127" s="35" t="e">
        <f>G126+M126</f>
        <v>#REF!</v>
      </c>
      <c r="U127" s="23"/>
      <c r="V127" s="23"/>
    </row>
    <row r="128" spans="1:22" s="24" customFormat="1" ht="23.1" customHeight="1">
      <c r="A128" s="104" t="s">
        <v>14</v>
      </c>
      <c r="B128" s="36" t="e">
        <f>COUNTIF(#REF!,"답")</f>
        <v>#REF!</v>
      </c>
      <c r="C128" s="37" t="s">
        <v>11</v>
      </c>
      <c r="D128" s="213" t="e">
        <f>SUMIF(#REF!,"답",#REF!)</f>
        <v>#REF!</v>
      </c>
      <c r="E128" s="36" t="e">
        <f>COUNTIF(#REF!,"답국")</f>
        <v>#REF!</v>
      </c>
      <c r="F128" s="37" t="s">
        <v>11</v>
      </c>
      <c r="G128" s="213" t="e">
        <f>SUMIF(#REF!,"답국",#REF!)</f>
        <v>#REF!</v>
      </c>
      <c r="H128" s="36" t="e">
        <f>COUNTIF(#REF!,"답공")</f>
        <v>#REF!</v>
      </c>
      <c r="I128" s="37" t="s">
        <v>11</v>
      </c>
      <c r="J128" s="213" t="e">
        <f>SUMIF(#REF!,"답공",#REF!)</f>
        <v>#REF!</v>
      </c>
      <c r="K128" s="36" t="e">
        <f t="shared" si="8"/>
        <v>#REF!</v>
      </c>
      <c r="L128" s="37" t="s">
        <v>11</v>
      </c>
      <c r="M128" s="213" t="e">
        <f t="shared" si="9"/>
        <v>#REF!</v>
      </c>
      <c r="N128" s="39"/>
      <c r="Q128" s="23"/>
      <c r="S128" s="23"/>
      <c r="U128" s="23"/>
      <c r="V128" s="23"/>
    </row>
    <row r="129" spans="1:22" s="24" customFormat="1" ht="23.1" customHeight="1">
      <c r="A129" s="104" t="s">
        <v>15</v>
      </c>
      <c r="B129" s="36" t="e">
        <f>COUNTIF(#REF!,"임")</f>
        <v>#REF!</v>
      </c>
      <c r="C129" s="37" t="s">
        <v>11</v>
      </c>
      <c r="D129" s="213" t="e">
        <f>SUMIF(#REF!,"임",#REF!)</f>
        <v>#REF!</v>
      </c>
      <c r="E129" s="36" t="e">
        <f>COUNTIF(#REF!,"임국")</f>
        <v>#REF!</v>
      </c>
      <c r="F129" s="37" t="s">
        <v>11</v>
      </c>
      <c r="G129" s="213" t="e">
        <f>SUMIF(#REF!,"임국",#REF!)</f>
        <v>#REF!</v>
      </c>
      <c r="H129" s="36" t="e">
        <f>COUNTIF(#REF!,"임공")</f>
        <v>#REF!</v>
      </c>
      <c r="I129" s="37" t="s">
        <v>11</v>
      </c>
      <c r="J129" s="213" t="e">
        <f>SUMIF(#REF!,"임공",#REF!)</f>
        <v>#REF!</v>
      </c>
      <c r="K129" s="36" t="e">
        <f t="shared" si="8"/>
        <v>#REF!</v>
      </c>
      <c r="L129" s="37" t="s">
        <v>11</v>
      </c>
      <c r="M129" s="213" t="e">
        <f t="shared" si="9"/>
        <v>#REF!</v>
      </c>
      <c r="N129" s="39"/>
      <c r="Q129" s="23"/>
      <c r="S129" s="23"/>
      <c r="U129" s="23"/>
      <c r="V129" s="23"/>
    </row>
    <row r="130" spans="1:22" s="24" customFormat="1" ht="23.1" customHeight="1">
      <c r="A130" s="104" t="s">
        <v>16</v>
      </c>
      <c r="B130" s="36" t="e">
        <f>COUNTIF(#REF!,"대")</f>
        <v>#REF!</v>
      </c>
      <c r="C130" s="37" t="s">
        <v>11</v>
      </c>
      <c r="D130" s="213" t="e">
        <f>SUMIF(#REF!,"대",#REF!)</f>
        <v>#REF!</v>
      </c>
      <c r="E130" s="36" t="e">
        <f>COUNTIF(#REF!,"대국")</f>
        <v>#REF!</v>
      </c>
      <c r="F130" s="37" t="s">
        <v>11</v>
      </c>
      <c r="G130" s="213" t="e">
        <f>SUMIF(#REF!,"대국",#REF!)</f>
        <v>#REF!</v>
      </c>
      <c r="H130" s="36" t="e">
        <f>COUNTIF(#REF!,"대공")</f>
        <v>#REF!</v>
      </c>
      <c r="I130" s="37" t="s">
        <v>11</v>
      </c>
      <c r="J130" s="213" t="e">
        <f>SUMIF(#REF!,"대공",#REF!)</f>
        <v>#REF!</v>
      </c>
      <c r="K130" s="36" t="e">
        <f t="shared" si="8"/>
        <v>#REF!</v>
      </c>
      <c r="L130" s="37" t="s">
        <v>11</v>
      </c>
      <c r="M130" s="213" t="e">
        <f t="shared" si="9"/>
        <v>#REF!</v>
      </c>
      <c r="N130" s="39"/>
      <c r="O130" s="23"/>
      <c r="P130" s="23"/>
      <c r="Q130" s="23"/>
      <c r="R130" s="23"/>
      <c r="S130" s="23"/>
      <c r="T130" s="23"/>
      <c r="U130" s="23"/>
      <c r="V130" s="23"/>
    </row>
    <row r="131" spans="1:22" s="24" customFormat="1" ht="23.1" customHeight="1">
      <c r="A131" s="104" t="s">
        <v>17</v>
      </c>
      <c r="B131" s="36" t="e">
        <f>COUNTIF(#REF!,"도")</f>
        <v>#REF!</v>
      </c>
      <c r="C131" s="37" t="s">
        <v>11</v>
      </c>
      <c r="D131" s="213" t="e">
        <f>SUMIF(#REF!,"도",#REF!)</f>
        <v>#REF!</v>
      </c>
      <c r="E131" s="36" t="e">
        <f>COUNTIF(#REF!,"도국")</f>
        <v>#REF!</v>
      </c>
      <c r="F131" s="37" t="s">
        <v>11</v>
      </c>
      <c r="G131" s="213" t="e">
        <f>SUMIF(#REF!,"도국",#REF!)</f>
        <v>#REF!</v>
      </c>
      <c r="H131" s="36" t="e">
        <f>COUNTIF(#REF!,"도공")</f>
        <v>#REF!</v>
      </c>
      <c r="I131" s="37" t="s">
        <v>11</v>
      </c>
      <c r="J131" s="213" t="e">
        <f>SUMIF(#REF!,"도공",#REF!)</f>
        <v>#REF!</v>
      </c>
      <c r="K131" s="36" t="e">
        <f t="shared" si="8"/>
        <v>#REF!</v>
      </c>
      <c r="L131" s="37" t="s">
        <v>11</v>
      </c>
      <c r="M131" s="213" t="e">
        <f t="shared" si="9"/>
        <v>#REF!</v>
      </c>
      <c r="N131" s="39"/>
      <c r="O131" s="23"/>
      <c r="P131" s="23"/>
      <c r="Q131" s="23"/>
      <c r="R131" s="23"/>
      <c r="S131" s="23"/>
      <c r="T131" s="23"/>
      <c r="U131" s="23"/>
      <c r="V131" s="23"/>
    </row>
    <row r="132" spans="1:22" s="24" customFormat="1" ht="23.1" customHeight="1">
      <c r="A132" s="104" t="s">
        <v>18</v>
      </c>
      <c r="B132" s="36" t="e">
        <f>COUNTIF(#REF!,"구")</f>
        <v>#REF!</v>
      </c>
      <c r="C132" s="37" t="s">
        <v>11</v>
      </c>
      <c r="D132" s="213" t="e">
        <f>SUMIF(#REF!,"구",#REF!)</f>
        <v>#REF!</v>
      </c>
      <c r="E132" s="36" t="e">
        <f>COUNTIF(#REF!,"구국")</f>
        <v>#REF!</v>
      </c>
      <c r="F132" s="37" t="s">
        <v>11</v>
      </c>
      <c r="G132" s="213" t="e">
        <f>SUMIF(#REF!,"구국",#REF!)</f>
        <v>#REF!</v>
      </c>
      <c r="H132" s="36" t="e">
        <f>COUNTIF(#REF!,"구공")</f>
        <v>#REF!</v>
      </c>
      <c r="I132" s="37" t="s">
        <v>11</v>
      </c>
      <c r="J132" s="213" t="e">
        <f>SUMIF(#REF!,"구공",#REF!)</f>
        <v>#REF!</v>
      </c>
      <c r="K132" s="36" t="e">
        <f t="shared" si="8"/>
        <v>#REF!</v>
      </c>
      <c r="L132" s="37" t="s">
        <v>11</v>
      </c>
      <c r="M132" s="213" t="e">
        <f t="shared" si="9"/>
        <v>#REF!</v>
      </c>
      <c r="N132" s="39"/>
      <c r="O132" s="23"/>
      <c r="P132" s="23"/>
      <c r="Q132" s="23"/>
      <c r="R132" s="23"/>
      <c r="S132" s="23"/>
      <c r="T132" s="23"/>
      <c r="U132" s="23"/>
      <c r="V132" s="23"/>
    </row>
    <row r="133" spans="1:22" s="24" customFormat="1" ht="23.1" customHeight="1">
      <c r="A133" s="104" t="s">
        <v>19</v>
      </c>
      <c r="B133" s="36" t="e">
        <f>COUNTIF(#REF!,"천")</f>
        <v>#REF!</v>
      </c>
      <c r="C133" s="37" t="s">
        <v>11</v>
      </c>
      <c r="D133" s="213" t="e">
        <f>SUMIF(#REF!,"천",#REF!)</f>
        <v>#REF!</v>
      </c>
      <c r="E133" s="36" t="e">
        <f>COUNTIF(#REF!,"천국")</f>
        <v>#REF!</v>
      </c>
      <c r="F133" s="37" t="s">
        <v>11</v>
      </c>
      <c r="G133" s="213" t="e">
        <f>SUMIF(#REF!,"천국",#REF!)</f>
        <v>#REF!</v>
      </c>
      <c r="H133" s="36" t="e">
        <f>COUNTIF(#REF!,"천공")</f>
        <v>#REF!</v>
      </c>
      <c r="I133" s="37" t="s">
        <v>11</v>
      </c>
      <c r="J133" s="213" t="e">
        <f>SUMIF(#REF!,"천공",#REF!)</f>
        <v>#REF!</v>
      </c>
      <c r="K133" s="36" t="e">
        <f t="shared" si="8"/>
        <v>#REF!</v>
      </c>
      <c r="L133" s="37" t="s">
        <v>11</v>
      </c>
      <c r="M133" s="213" t="e">
        <f t="shared" si="9"/>
        <v>#REF!</v>
      </c>
      <c r="N133" s="39"/>
      <c r="O133" s="23"/>
      <c r="P133" s="23"/>
      <c r="Q133" s="23"/>
      <c r="R133" s="23"/>
      <c r="S133" s="23"/>
      <c r="T133" s="23"/>
      <c r="U133" s="23"/>
      <c r="V133" s="23"/>
    </row>
    <row r="134" spans="1:22" s="24" customFormat="1" ht="23.1" customHeight="1">
      <c r="A134" s="104" t="s">
        <v>20</v>
      </c>
      <c r="B134" s="36" t="e">
        <f>COUNTIF(#REF!,"유")</f>
        <v>#REF!</v>
      </c>
      <c r="C134" s="37" t="s">
        <v>11</v>
      </c>
      <c r="D134" s="213" t="e">
        <f>SUMIF(#REF!,"유",#REF!)</f>
        <v>#REF!</v>
      </c>
      <c r="E134" s="36" t="e">
        <f>COUNTIF(#REF!,"유국")</f>
        <v>#REF!</v>
      </c>
      <c r="F134" s="37" t="s">
        <v>11</v>
      </c>
      <c r="G134" s="213" t="e">
        <f>SUMIF(#REF!,"유국",#REF!)</f>
        <v>#REF!</v>
      </c>
      <c r="H134" s="36" t="e">
        <f>COUNTIF(#REF!,"유공")</f>
        <v>#REF!</v>
      </c>
      <c r="I134" s="37" t="s">
        <v>11</v>
      </c>
      <c r="J134" s="213" t="e">
        <f>SUMIF(#REF!,"유공",#REF!)</f>
        <v>#REF!</v>
      </c>
      <c r="K134" s="36" t="e">
        <f t="shared" si="8"/>
        <v>#REF!</v>
      </c>
      <c r="L134" s="37" t="s">
        <v>11</v>
      </c>
      <c r="M134" s="213" t="e">
        <f t="shared" si="9"/>
        <v>#REF!</v>
      </c>
      <c r="N134" s="39"/>
      <c r="O134" s="23"/>
      <c r="P134" s="23"/>
      <c r="Q134" s="23"/>
      <c r="R134" s="23"/>
      <c r="S134" s="23"/>
      <c r="T134" s="23"/>
      <c r="U134" s="23"/>
      <c r="V134" s="23"/>
    </row>
    <row r="135" spans="1:22" s="24" customFormat="1" ht="23.1" customHeight="1">
      <c r="A135" s="104" t="s">
        <v>21</v>
      </c>
      <c r="B135" s="36" t="e">
        <f>COUNTIF(#REF!,"제")</f>
        <v>#REF!</v>
      </c>
      <c r="C135" s="37" t="s">
        <v>11</v>
      </c>
      <c r="D135" s="213" t="e">
        <f>SUMIF(#REF!,"제",#REF!)</f>
        <v>#REF!</v>
      </c>
      <c r="E135" s="36" t="e">
        <f>COUNTIF(#REF!,"제국")</f>
        <v>#REF!</v>
      </c>
      <c r="F135" s="37" t="s">
        <v>11</v>
      </c>
      <c r="G135" s="213" t="e">
        <f>SUMIF(#REF!,"제국",#REF!)</f>
        <v>#REF!</v>
      </c>
      <c r="H135" s="36" t="e">
        <f>COUNTIF(#REF!,"제공")</f>
        <v>#REF!</v>
      </c>
      <c r="I135" s="37" t="s">
        <v>11</v>
      </c>
      <c r="J135" s="213" t="e">
        <f>SUMIF(#REF!,"제공",#REF!)</f>
        <v>#REF!</v>
      </c>
      <c r="K135" s="36" t="e">
        <f t="shared" si="8"/>
        <v>#REF!</v>
      </c>
      <c r="L135" s="37" t="s">
        <v>11</v>
      </c>
      <c r="M135" s="213" t="e">
        <f t="shared" si="9"/>
        <v>#REF!</v>
      </c>
      <c r="N135" s="39"/>
      <c r="O135" s="23"/>
      <c r="P135" s="23"/>
      <c r="Q135" s="23"/>
      <c r="R135" s="23"/>
      <c r="S135" s="23"/>
      <c r="T135" s="23"/>
      <c r="U135" s="23"/>
      <c r="V135" s="23"/>
    </row>
    <row r="136" spans="1:22" s="24" customFormat="1" ht="23.1" customHeight="1">
      <c r="A136" s="104" t="s">
        <v>22</v>
      </c>
      <c r="B136" s="36" t="e">
        <f>COUNTIF(#REF!,"과")</f>
        <v>#REF!</v>
      </c>
      <c r="C136" s="37" t="s">
        <v>11</v>
      </c>
      <c r="D136" s="213" t="e">
        <f>SUMIF(#REF!,"과",#REF!)</f>
        <v>#REF!</v>
      </c>
      <c r="E136" s="36" t="e">
        <f>COUNTIF(#REF!,"과국")</f>
        <v>#REF!</v>
      </c>
      <c r="F136" s="37" t="s">
        <v>11</v>
      </c>
      <c r="G136" s="213" t="e">
        <f>SUMIF(#REF!,"과국",#REF!)</f>
        <v>#REF!</v>
      </c>
      <c r="H136" s="36" t="e">
        <f>COUNTIF(#REF!,"과공")</f>
        <v>#REF!</v>
      </c>
      <c r="I136" s="37" t="s">
        <v>11</v>
      </c>
      <c r="J136" s="213" t="e">
        <f>SUMIF(#REF!,"과공",#REF!)</f>
        <v>#REF!</v>
      </c>
      <c r="K136" s="36" t="e">
        <f t="shared" si="8"/>
        <v>#REF!</v>
      </c>
      <c r="L136" s="37" t="s">
        <v>11</v>
      </c>
      <c r="M136" s="213" t="e">
        <f t="shared" si="9"/>
        <v>#REF!</v>
      </c>
      <c r="N136" s="39"/>
      <c r="O136" s="23"/>
      <c r="P136" s="23"/>
      <c r="Q136" s="23"/>
      <c r="R136" s="23"/>
      <c r="S136" s="23"/>
      <c r="T136" s="23"/>
      <c r="U136" s="23"/>
      <c r="V136" s="23"/>
    </row>
    <row r="137" spans="1:22" s="24" customFormat="1" ht="23.1" customHeight="1">
      <c r="A137" s="104" t="s">
        <v>23</v>
      </c>
      <c r="B137" s="36" t="e">
        <f>COUNTIF(#REF!,"장")</f>
        <v>#REF!</v>
      </c>
      <c r="C137" s="37" t="s">
        <v>11</v>
      </c>
      <c r="D137" s="213" t="e">
        <f>SUMIF(#REF!,"장",#REF!)</f>
        <v>#REF!</v>
      </c>
      <c r="E137" s="36" t="e">
        <f>COUNTIF(#REF!,"장국")</f>
        <v>#REF!</v>
      </c>
      <c r="F137" s="37" t="s">
        <v>11</v>
      </c>
      <c r="G137" s="213" t="e">
        <f>SUMIF(#REF!,"장국",#REF!)</f>
        <v>#REF!</v>
      </c>
      <c r="H137" s="36" t="e">
        <f>COUNTIF(#REF!,"장공")</f>
        <v>#REF!</v>
      </c>
      <c r="I137" s="37" t="s">
        <v>11</v>
      </c>
      <c r="J137" s="213" t="e">
        <f>SUMIF(#REF!,"장공",#REF!)</f>
        <v>#REF!</v>
      </c>
      <c r="K137" s="36" t="e">
        <f t="shared" si="8"/>
        <v>#REF!</v>
      </c>
      <c r="L137" s="37" t="s">
        <v>11</v>
      </c>
      <c r="M137" s="213" t="e">
        <f t="shared" si="9"/>
        <v>#REF!</v>
      </c>
      <c r="N137" s="39"/>
      <c r="O137" s="23"/>
      <c r="P137" s="23"/>
      <c r="Q137" s="23"/>
      <c r="R137" s="23"/>
      <c r="S137" s="23"/>
      <c r="T137" s="23"/>
      <c r="U137" s="23"/>
      <c r="V137" s="23"/>
    </row>
    <row r="138" spans="1:22" s="24" customFormat="1" ht="23.1" customHeight="1">
      <c r="A138" s="104" t="s">
        <v>24</v>
      </c>
      <c r="B138" s="36" t="e">
        <f>COUNTIF(#REF!,"목")</f>
        <v>#REF!</v>
      </c>
      <c r="C138" s="37" t="s">
        <v>11</v>
      </c>
      <c r="D138" s="213" t="e">
        <f>SUMIF(#REF!,"목",#REF!)</f>
        <v>#REF!</v>
      </c>
      <c r="E138" s="36" t="e">
        <f>COUNTIF(#REF!,"목국")</f>
        <v>#REF!</v>
      </c>
      <c r="F138" s="37" t="s">
        <v>11</v>
      </c>
      <c r="G138" s="213" t="e">
        <f>SUMIF(#REF!,"목국",#REF!)</f>
        <v>#REF!</v>
      </c>
      <c r="H138" s="36" t="e">
        <f>COUNTIF(#REF!,"목공")</f>
        <v>#REF!</v>
      </c>
      <c r="I138" s="37" t="s">
        <v>11</v>
      </c>
      <c r="J138" s="213" t="e">
        <f>SUMIF(#REF!,"목공",#REF!)</f>
        <v>#REF!</v>
      </c>
      <c r="K138" s="36" t="e">
        <f t="shared" si="8"/>
        <v>#REF!</v>
      </c>
      <c r="L138" s="37" t="s">
        <v>11</v>
      </c>
      <c r="M138" s="213" t="e">
        <f t="shared" si="9"/>
        <v>#REF!</v>
      </c>
      <c r="N138" s="39"/>
      <c r="O138" s="23"/>
      <c r="P138" s="23"/>
      <c r="Q138" s="23"/>
      <c r="R138" s="23"/>
      <c r="S138" s="23"/>
      <c r="T138" s="23"/>
      <c r="U138" s="23"/>
      <c r="V138" s="23"/>
    </row>
    <row r="139" spans="1:22" s="24" customFormat="1" ht="23.1" customHeight="1">
      <c r="A139" s="104" t="s">
        <v>25</v>
      </c>
      <c r="B139" s="36" t="e">
        <f>COUNTIF(#REF!,"학")</f>
        <v>#REF!</v>
      </c>
      <c r="C139" s="37" t="s">
        <v>11</v>
      </c>
      <c r="D139" s="213" t="e">
        <f>SUMIF(#REF!,"학",#REF!)</f>
        <v>#REF!</v>
      </c>
      <c r="E139" s="36" t="e">
        <f>COUNTIF(#REF!,"학국")</f>
        <v>#REF!</v>
      </c>
      <c r="F139" s="37" t="s">
        <v>11</v>
      </c>
      <c r="G139" s="213" t="e">
        <f>SUMIF(#REF!,"학국",#REF!)</f>
        <v>#REF!</v>
      </c>
      <c r="H139" s="36" t="e">
        <f>COUNTIF(#REF!,"학공")</f>
        <v>#REF!</v>
      </c>
      <c r="I139" s="37" t="s">
        <v>11</v>
      </c>
      <c r="J139" s="213" t="e">
        <f>SUMIF(#REF!,"학공",#REF!)</f>
        <v>#REF!</v>
      </c>
      <c r="K139" s="36" t="e">
        <f t="shared" si="8"/>
        <v>#REF!</v>
      </c>
      <c r="L139" s="37" t="s">
        <v>11</v>
      </c>
      <c r="M139" s="213" t="e">
        <f t="shared" si="9"/>
        <v>#REF!</v>
      </c>
      <c r="N139" s="39"/>
      <c r="O139" s="23"/>
      <c r="P139" s="23"/>
      <c r="Q139" s="23"/>
      <c r="R139" s="23"/>
      <c r="S139" s="23"/>
      <c r="T139" s="23"/>
      <c r="U139" s="23"/>
      <c r="V139" s="23"/>
    </row>
    <row r="140" spans="1:22" s="24" customFormat="1" ht="23.1" customHeight="1">
      <c r="A140" s="104" t="s">
        <v>26</v>
      </c>
      <c r="B140" s="36" t="e">
        <f>COUNTIF(#REF!,"철")</f>
        <v>#REF!</v>
      </c>
      <c r="C140" s="37" t="s">
        <v>11</v>
      </c>
      <c r="D140" s="213" t="e">
        <f>SUMIF(#REF!,"철",#REF!)</f>
        <v>#REF!</v>
      </c>
      <c r="E140" s="36" t="e">
        <f>COUNTIF(#REF!,"철국")</f>
        <v>#REF!</v>
      </c>
      <c r="F140" s="37" t="s">
        <v>11</v>
      </c>
      <c r="G140" s="213" t="e">
        <f>SUMIF(#REF!,"철국",#REF!)</f>
        <v>#REF!</v>
      </c>
      <c r="H140" s="36" t="e">
        <f>COUNTIF(#REF!,"철공")</f>
        <v>#REF!</v>
      </c>
      <c r="I140" s="37" t="s">
        <v>11</v>
      </c>
      <c r="J140" s="213" t="e">
        <f>SUMIF(#REF!,"철공",#REF!)</f>
        <v>#REF!</v>
      </c>
      <c r="K140" s="36" t="e">
        <f t="shared" si="8"/>
        <v>#REF!</v>
      </c>
      <c r="L140" s="37" t="s">
        <v>11</v>
      </c>
      <c r="M140" s="213" t="e">
        <f t="shared" si="9"/>
        <v>#REF!</v>
      </c>
      <c r="N140" s="39"/>
      <c r="O140" s="23"/>
      <c r="P140" s="23"/>
      <c r="Q140" s="23"/>
      <c r="R140" s="23"/>
      <c r="S140" s="23"/>
      <c r="T140" s="23"/>
      <c r="U140" s="23"/>
      <c r="V140" s="23"/>
    </row>
    <row r="141" spans="1:22" s="24" customFormat="1" ht="23.1" customHeight="1">
      <c r="A141" s="104" t="s">
        <v>27</v>
      </c>
      <c r="B141" s="36" t="e">
        <f>COUNTIF(#REF!,"묘")</f>
        <v>#REF!</v>
      </c>
      <c r="C141" s="37" t="s">
        <v>11</v>
      </c>
      <c r="D141" s="213" t="e">
        <f>SUMIF(#REF!,"묘",#REF!)</f>
        <v>#REF!</v>
      </c>
      <c r="E141" s="36" t="e">
        <f>COUNTIF(#REF!,"묘국")</f>
        <v>#REF!</v>
      </c>
      <c r="F141" s="37" t="s">
        <v>11</v>
      </c>
      <c r="G141" s="213" t="e">
        <f>SUMIF(#REF!,"묘국",#REF!)</f>
        <v>#REF!</v>
      </c>
      <c r="H141" s="36" t="e">
        <f>COUNTIF(#REF!,"묘공")</f>
        <v>#REF!</v>
      </c>
      <c r="I141" s="37" t="s">
        <v>11</v>
      </c>
      <c r="J141" s="213" t="e">
        <f>SUMIF(#REF!,"묘공",#REF!)</f>
        <v>#REF!</v>
      </c>
      <c r="K141" s="36" t="e">
        <f t="shared" si="8"/>
        <v>#REF!</v>
      </c>
      <c r="L141" s="37" t="s">
        <v>11</v>
      </c>
      <c r="M141" s="213" t="e">
        <f t="shared" si="9"/>
        <v>#REF!</v>
      </c>
      <c r="N141" s="39"/>
      <c r="O141" s="23"/>
      <c r="P141" s="23"/>
      <c r="Q141" s="23"/>
      <c r="R141" s="23"/>
      <c r="S141" s="23"/>
      <c r="T141" s="23"/>
      <c r="U141" s="23"/>
      <c r="V141" s="23"/>
    </row>
    <row r="142" spans="1:22" s="24" customFormat="1" ht="23.1" customHeight="1">
      <c r="A142" s="104" t="s">
        <v>28</v>
      </c>
      <c r="B142" s="36" t="e">
        <f>COUNTIF(#REF!,"수")</f>
        <v>#REF!</v>
      </c>
      <c r="C142" s="37" t="s">
        <v>11</v>
      </c>
      <c r="D142" s="213" t="e">
        <f>SUMIF(#REF!,"수",#REF!)</f>
        <v>#REF!</v>
      </c>
      <c r="E142" s="36" t="e">
        <f>COUNTIF(#REF!,"수국")</f>
        <v>#REF!</v>
      </c>
      <c r="F142" s="37" t="s">
        <v>11</v>
      </c>
      <c r="G142" s="213" t="e">
        <f>SUMIF(#REF!,"수국",#REF!)</f>
        <v>#REF!</v>
      </c>
      <c r="H142" s="36" t="e">
        <f>COUNTIF(#REF!,"수공")</f>
        <v>#REF!</v>
      </c>
      <c r="I142" s="37" t="s">
        <v>11</v>
      </c>
      <c r="J142" s="213" t="e">
        <f>SUMIF(#REF!,"수공",#REF!)</f>
        <v>#REF!</v>
      </c>
      <c r="K142" s="36" t="e">
        <f t="shared" si="8"/>
        <v>#REF!</v>
      </c>
      <c r="L142" s="37" t="s">
        <v>11</v>
      </c>
      <c r="M142" s="213" t="e">
        <f t="shared" si="9"/>
        <v>#REF!</v>
      </c>
      <c r="N142" s="39"/>
      <c r="O142" s="23"/>
      <c r="P142" s="23"/>
      <c r="Q142" s="23"/>
      <c r="R142" s="23"/>
      <c r="S142" s="23"/>
      <c r="T142" s="23"/>
      <c r="U142" s="23"/>
      <c r="V142" s="23"/>
    </row>
    <row r="143" spans="1:22" s="24" customFormat="1" ht="23.1" customHeight="1">
      <c r="A143" s="104" t="s">
        <v>29</v>
      </c>
      <c r="B143" s="36" t="e">
        <f>COUNTIF(#REF!,"잡")</f>
        <v>#REF!</v>
      </c>
      <c r="C143" s="37" t="s">
        <v>11</v>
      </c>
      <c r="D143" s="213" t="e">
        <f>SUMIF(#REF!,"잡",#REF!)</f>
        <v>#REF!</v>
      </c>
      <c r="E143" s="36" t="e">
        <f>COUNTIF(#REF!,"잡국")</f>
        <v>#REF!</v>
      </c>
      <c r="F143" s="37" t="s">
        <v>11</v>
      </c>
      <c r="G143" s="213" t="e">
        <f>SUMIF(#REF!,"잡국",#REF!)</f>
        <v>#REF!</v>
      </c>
      <c r="H143" s="36" t="e">
        <f>COUNTIF(#REF!,"잡공")</f>
        <v>#REF!</v>
      </c>
      <c r="I143" s="37" t="s">
        <v>11</v>
      </c>
      <c r="J143" s="213" t="e">
        <f>SUMIF(#REF!,"잡공",#REF!)</f>
        <v>#REF!</v>
      </c>
      <c r="K143" s="36" t="e">
        <f t="shared" si="8"/>
        <v>#REF!</v>
      </c>
      <c r="L143" s="37" t="s">
        <v>11</v>
      </c>
      <c r="M143" s="213" t="e">
        <f t="shared" si="9"/>
        <v>#REF!</v>
      </c>
      <c r="N143" s="39"/>
      <c r="O143" s="23"/>
      <c r="P143" s="23"/>
      <c r="Q143" s="23"/>
      <c r="R143" s="23"/>
      <c r="S143" s="23"/>
      <c r="T143" s="23"/>
      <c r="U143" s="23"/>
      <c r="V143" s="23"/>
    </row>
    <row r="144" spans="1:22" s="24" customFormat="1" ht="23.1" customHeight="1">
      <c r="A144" s="105" t="s">
        <v>30</v>
      </c>
      <c r="B144" s="36" t="e">
        <f>COUNTIF(#REF!,"종")</f>
        <v>#REF!</v>
      </c>
      <c r="C144" s="37" t="s">
        <v>11</v>
      </c>
      <c r="D144" s="213" t="e">
        <f>SUMIF(#REF!,"종",#REF!)</f>
        <v>#REF!</v>
      </c>
      <c r="E144" s="36" t="e">
        <f>COUNTIF(#REF!,"종국")</f>
        <v>#REF!</v>
      </c>
      <c r="F144" s="37" t="s">
        <v>11</v>
      </c>
      <c r="G144" s="213" t="e">
        <f>SUMIF(#REF!,"종국",#REF!)</f>
        <v>#REF!</v>
      </c>
      <c r="H144" s="36" t="e">
        <f>COUNTIF(#REF!,"종공")</f>
        <v>#REF!</v>
      </c>
      <c r="I144" s="37" t="s">
        <v>11</v>
      </c>
      <c r="J144" s="213" t="e">
        <f>SUMIF(#REF!,"종공",#REF!)</f>
        <v>#REF!</v>
      </c>
      <c r="K144" s="36" t="e">
        <f t="shared" si="8"/>
        <v>#REF!</v>
      </c>
      <c r="L144" s="37" t="s">
        <v>11</v>
      </c>
      <c r="M144" s="213" t="e">
        <f t="shared" si="9"/>
        <v>#REF!</v>
      </c>
      <c r="N144" s="39"/>
      <c r="O144" s="23"/>
      <c r="P144" s="23"/>
      <c r="Q144" s="23"/>
      <c r="R144" s="23"/>
      <c r="S144" s="23"/>
      <c r="T144" s="23"/>
      <c r="U144" s="23"/>
      <c r="V144" s="23"/>
    </row>
    <row r="145" spans="1:22" s="24" customFormat="1" ht="23.1" customHeight="1">
      <c r="A145" s="105" t="s">
        <v>31</v>
      </c>
      <c r="B145" s="36" t="e">
        <f>COUNTIF(#REF!,"염")</f>
        <v>#REF!</v>
      </c>
      <c r="C145" s="37" t="s">
        <v>11</v>
      </c>
      <c r="D145" s="213" t="e">
        <f>SUMIF(#REF!,"염",#REF!)</f>
        <v>#REF!</v>
      </c>
      <c r="E145" s="36" t="e">
        <f>COUNTIF(#REF!,"염국")</f>
        <v>#REF!</v>
      </c>
      <c r="F145" s="37" t="s">
        <v>11</v>
      </c>
      <c r="G145" s="213" t="e">
        <f>SUMIF(#REF!,"염국",#REF!)</f>
        <v>#REF!</v>
      </c>
      <c r="H145" s="36" t="e">
        <f>COUNTIF(#REF!,"염공")</f>
        <v>#REF!</v>
      </c>
      <c r="I145" s="37" t="s">
        <v>11</v>
      </c>
      <c r="J145" s="213" t="e">
        <f>SUMIF(#REF!,"염공",#REF!)</f>
        <v>#REF!</v>
      </c>
      <c r="K145" s="36" t="e">
        <f t="shared" si="8"/>
        <v>#REF!</v>
      </c>
      <c r="L145" s="37" t="s">
        <v>11</v>
      </c>
      <c r="M145" s="213" t="e">
        <f t="shared" si="9"/>
        <v>#REF!</v>
      </c>
      <c r="N145" s="39"/>
      <c r="O145" s="23"/>
      <c r="P145" s="23"/>
      <c r="Q145" s="23"/>
      <c r="R145" s="23"/>
      <c r="S145" s="23"/>
      <c r="T145" s="23"/>
      <c r="U145" s="23"/>
      <c r="V145" s="23"/>
    </row>
    <row r="146" spans="1:22" s="24" customFormat="1" ht="23.1" customHeight="1">
      <c r="A146" s="105" t="s">
        <v>32</v>
      </c>
      <c r="B146" s="36" t="e">
        <f>COUNTIF(#REF!,"공")</f>
        <v>#REF!</v>
      </c>
      <c r="C146" s="37" t="s">
        <v>11</v>
      </c>
      <c r="D146" s="213" t="e">
        <f>SUMIF(#REF!,"공",#REF!)</f>
        <v>#REF!</v>
      </c>
      <c r="E146" s="36" t="e">
        <f>COUNTIF(#REF!,"공국")</f>
        <v>#REF!</v>
      </c>
      <c r="F146" s="37" t="s">
        <v>11</v>
      </c>
      <c r="G146" s="213" t="e">
        <f>SUMIF(#REF!,"공국",#REF!)</f>
        <v>#REF!</v>
      </c>
      <c r="H146" s="36" t="e">
        <f>COUNTIF(#REF!,"공공")</f>
        <v>#REF!</v>
      </c>
      <c r="I146" s="37" t="s">
        <v>11</v>
      </c>
      <c r="J146" s="213" t="e">
        <f>SUMIF(#REF!,"공공",#REF!)</f>
        <v>#REF!</v>
      </c>
      <c r="K146" s="36" t="e">
        <f t="shared" si="8"/>
        <v>#REF!</v>
      </c>
      <c r="L146" s="37" t="s">
        <v>11</v>
      </c>
      <c r="M146" s="213" t="e">
        <f t="shared" si="9"/>
        <v>#REF!</v>
      </c>
      <c r="N146" s="39"/>
      <c r="O146" s="23"/>
      <c r="P146" s="23"/>
      <c r="Q146" s="23"/>
      <c r="R146" s="23"/>
      <c r="S146" s="23"/>
      <c r="T146" s="23"/>
      <c r="U146" s="23"/>
      <c r="V146" s="23"/>
    </row>
    <row r="147" spans="1:22" s="24" customFormat="1" ht="23.1" customHeight="1">
      <c r="A147" s="105" t="s">
        <v>33</v>
      </c>
      <c r="B147" s="36" t="e">
        <f>COUNTIF(#REF!,"체")</f>
        <v>#REF!</v>
      </c>
      <c r="C147" s="37" t="s">
        <v>11</v>
      </c>
      <c r="D147" s="213" t="e">
        <f>SUMIF(#REF!,"체",#REF!)</f>
        <v>#REF!</v>
      </c>
      <c r="E147" s="36" t="e">
        <f>COUNTIF(#REF!,"체국")</f>
        <v>#REF!</v>
      </c>
      <c r="F147" s="37" t="s">
        <v>11</v>
      </c>
      <c r="G147" s="213" t="e">
        <f>SUMIF(#REF!,"체국",#REF!)</f>
        <v>#REF!</v>
      </c>
      <c r="H147" s="36" t="e">
        <f>COUNTIF(#REF!,"체공")</f>
        <v>#REF!</v>
      </c>
      <c r="I147" s="37" t="s">
        <v>11</v>
      </c>
      <c r="J147" s="213" t="e">
        <f>SUMIF(#REF!,"체공",#REF!)</f>
        <v>#REF!</v>
      </c>
      <c r="K147" s="36" t="e">
        <f t="shared" si="8"/>
        <v>#REF!</v>
      </c>
      <c r="L147" s="37" t="s">
        <v>11</v>
      </c>
      <c r="M147" s="213" t="e">
        <f t="shared" si="9"/>
        <v>#REF!</v>
      </c>
      <c r="N147" s="39"/>
      <c r="O147" s="23"/>
      <c r="P147" s="23"/>
      <c r="Q147" s="23"/>
      <c r="R147" s="23"/>
      <c r="S147" s="23"/>
      <c r="T147" s="23"/>
      <c r="U147" s="23"/>
      <c r="V147" s="23"/>
    </row>
    <row r="148" spans="1:22" s="24" customFormat="1" ht="23.1" customHeight="1">
      <c r="A148" s="105" t="s">
        <v>34</v>
      </c>
      <c r="B148" s="36" t="e">
        <f>COUNTIF(#REF!,"원")</f>
        <v>#REF!</v>
      </c>
      <c r="C148" s="37" t="s">
        <v>11</v>
      </c>
      <c r="D148" s="213" t="e">
        <f>SUMIF(#REF!,"원",#REF!)</f>
        <v>#REF!</v>
      </c>
      <c r="E148" s="36" t="e">
        <f>COUNTIF(#REF!,"원국")</f>
        <v>#REF!</v>
      </c>
      <c r="F148" s="37" t="s">
        <v>11</v>
      </c>
      <c r="G148" s="213" t="e">
        <f>SUMIF(#REF!,"원국",#REF!)</f>
        <v>#REF!</v>
      </c>
      <c r="H148" s="36" t="e">
        <f>COUNTIF(#REF!,"원공")</f>
        <v>#REF!</v>
      </c>
      <c r="I148" s="37" t="s">
        <v>11</v>
      </c>
      <c r="J148" s="213" t="e">
        <f>SUMIF(#REF!,"원공",#REF!)</f>
        <v>#REF!</v>
      </c>
      <c r="K148" s="36" t="e">
        <f t="shared" si="8"/>
        <v>#REF!</v>
      </c>
      <c r="L148" s="37" t="s">
        <v>11</v>
      </c>
      <c r="M148" s="213" t="e">
        <f t="shared" si="9"/>
        <v>#REF!</v>
      </c>
      <c r="N148" s="39"/>
      <c r="O148" s="23"/>
      <c r="P148" s="23"/>
      <c r="Q148" s="23"/>
      <c r="R148" s="23"/>
      <c r="S148" s="23"/>
      <c r="T148" s="23"/>
      <c r="U148" s="23"/>
      <c r="V148" s="23"/>
    </row>
    <row r="149" spans="1:22" s="24" customFormat="1" ht="23.1" customHeight="1">
      <c r="A149" s="105" t="s">
        <v>66</v>
      </c>
      <c r="B149" s="36" t="e">
        <f>COUNTIF(#REF!,"차")</f>
        <v>#REF!</v>
      </c>
      <c r="C149" s="37" t="s">
        <v>11</v>
      </c>
      <c r="D149" s="213" t="e">
        <f>SUMIF(#REF!,"차",#REF!)</f>
        <v>#REF!</v>
      </c>
      <c r="E149" s="36" t="e">
        <f>COUNTIF(#REF!,"차국")</f>
        <v>#REF!</v>
      </c>
      <c r="F149" s="37" t="s">
        <v>11</v>
      </c>
      <c r="G149" s="213" t="e">
        <f>SUMIF(#REF!,"차국",#REF!)</f>
        <v>#REF!</v>
      </c>
      <c r="H149" s="36" t="e">
        <f>COUNTIF(#REF!,"차공")</f>
        <v>#REF!</v>
      </c>
      <c r="I149" s="37" t="s">
        <v>11</v>
      </c>
      <c r="J149" s="213" t="e">
        <f>SUMIF(#REF!,"차공",#REF!)</f>
        <v>#REF!</v>
      </c>
      <c r="K149" s="36" t="e">
        <f t="shared" si="8"/>
        <v>#REF!</v>
      </c>
      <c r="L149" s="37" t="s">
        <v>11</v>
      </c>
      <c r="M149" s="213" t="e">
        <f t="shared" si="9"/>
        <v>#REF!</v>
      </c>
      <c r="N149" s="39"/>
      <c r="O149" s="23"/>
      <c r="P149" s="23"/>
      <c r="Q149" s="23"/>
      <c r="R149" s="23"/>
      <c r="S149" s="23"/>
      <c r="T149" s="23"/>
      <c r="U149" s="23"/>
      <c r="V149" s="23"/>
    </row>
    <row r="150" spans="1:22" s="24" customFormat="1" ht="23.1" customHeight="1">
      <c r="A150" s="105" t="s">
        <v>75</v>
      </c>
      <c r="B150" s="36" t="e">
        <f>COUNTIF(#REF!,"주")</f>
        <v>#REF!</v>
      </c>
      <c r="C150" s="37" t="s">
        <v>11</v>
      </c>
      <c r="D150" s="213" t="e">
        <f>SUMIF(#REF!,"주",#REF!)</f>
        <v>#REF!</v>
      </c>
      <c r="E150" s="36" t="e">
        <f>COUNTIF(#REF!,"주국")</f>
        <v>#REF!</v>
      </c>
      <c r="F150" s="37" t="s">
        <v>11</v>
      </c>
      <c r="G150" s="213" t="e">
        <f>SUMIF(#REF!,"주국",#REF!)</f>
        <v>#REF!</v>
      </c>
      <c r="H150" s="36" t="e">
        <f>COUNTIF(#REF!,"주공")</f>
        <v>#REF!</v>
      </c>
      <c r="I150" s="37" t="s">
        <v>11</v>
      </c>
      <c r="J150" s="213" t="e">
        <f>SUMIF(#REF!,"주공",#REF!)</f>
        <v>#REF!</v>
      </c>
      <c r="K150" s="36" t="e">
        <f t="shared" si="8"/>
        <v>#REF!</v>
      </c>
      <c r="L150" s="37" t="s">
        <v>11</v>
      </c>
      <c r="M150" s="213" t="e">
        <f t="shared" si="9"/>
        <v>#REF!</v>
      </c>
      <c r="N150" s="39"/>
      <c r="O150" s="23"/>
      <c r="P150" s="23"/>
      <c r="Q150" s="23"/>
      <c r="R150" s="23"/>
      <c r="S150" s="23"/>
      <c r="T150" s="23"/>
      <c r="U150" s="23"/>
      <c r="V150" s="23"/>
    </row>
    <row r="151" spans="1:22" s="24" customFormat="1" ht="23.1" customHeight="1">
      <c r="A151" s="106" t="s">
        <v>68</v>
      </c>
      <c r="B151" s="40" t="e">
        <f>COUNTIF(#REF!,"가")</f>
        <v>#REF!</v>
      </c>
      <c r="C151" s="41" t="s">
        <v>11</v>
      </c>
      <c r="D151" s="214" t="e">
        <f>SUMIF(#REF!,"가",#REF!)</f>
        <v>#REF!</v>
      </c>
      <c r="E151" s="40" t="e">
        <f>COUNTIF(#REF!," 국")</f>
        <v>#REF!</v>
      </c>
      <c r="F151" s="41" t="s">
        <v>11</v>
      </c>
      <c r="G151" s="214" t="e">
        <f>SUMIF(#REF!," 국",#REF!)</f>
        <v>#REF!</v>
      </c>
      <c r="H151" s="40" t="e">
        <f>COUNTIF(#REF!," 공")</f>
        <v>#REF!</v>
      </c>
      <c r="I151" s="41" t="s">
        <v>11</v>
      </c>
      <c r="J151" s="214" t="e">
        <f>SUMIF(#REF!," 공",#REF!)</f>
        <v>#REF!</v>
      </c>
      <c r="K151" s="40" t="e">
        <f t="shared" si="8"/>
        <v>#REF!</v>
      </c>
      <c r="L151" s="41" t="s">
        <v>11</v>
      </c>
      <c r="M151" s="214" t="e">
        <f t="shared" si="9"/>
        <v>#REF!</v>
      </c>
      <c r="N151" s="43"/>
      <c r="O151" s="23"/>
      <c r="P151" s="23"/>
      <c r="Q151" s="23"/>
      <c r="R151" s="23"/>
      <c r="S151" s="23"/>
      <c r="T151" s="23"/>
      <c r="U151" s="23"/>
      <c r="V151" s="23"/>
    </row>
    <row r="152" spans="1:22" s="17" customFormat="1" ht="20.100000000000001" customHeight="1">
      <c r="A152" s="11">
        <f>IF(EXACT(O156,O157),,"검산확인요!!!")</f>
        <v>0</v>
      </c>
      <c r="B152" s="12"/>
      <c r="C152" s="12"/>
      <c r="D152" s="12"/>
      <c r="E152" s="12"/>
      <c r="F152" s="12"/>
      <c r="G152" s="12"/>
      <c r="H152" s="12"/>
      <c r="I152" s="12"/>
      <c r="J152" s="12"/>
      <c r="K152" s="13">
        <f>IF(ISBLANK('6'!K2),,'6'!K2)</f>
        <v>3</v>
      </c>
      <c r="L152" s="14"/>
      <c r="M152" s="15"/>
      <c r="N152" s="16"/>
    </row>
    <row r="153" spans="1:22" s="17" customFormat="1" ht="9.9499999999999993" customHeight="1">
      <c r="A153" s="11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</row>
    <row r="154" spans="1:22" s="24" customFormat="1" ht="27.95" customHeight="1">
      <c r="A154" s="18" t="s">
        <v>9</v>
      </c>
      <c r="B154" s="19" t="s">
        <v>8</v>
      </c>
      <c r="C154" s="20"/>
      <c r="D154" s="21"/>
      <c r="E154" s="19" t="s">
        <v>35</v>
      </c>
      <c r="F154" s="20"/>
      <c r="G154" s="21"/>
      <c r="H154" s="19" t="s">
        <v>44</v>
      </c>
      <c r="I154" s="20"/>
      <c r="J154" s="21"/>
      <c r="K154" s="19" t="s">
        <v>36</v>
      </c>
      <c r="L154" s="20"/>
      <c r="M154" s="21"/>
      <c r="N154" s="22" t="s">
        <v>37</v>
      </c>
      <c r="O154" s="23"/>
      <c r="S154" s="23"/>
      <c r="T154" s="23"/>
      <c r="U154" s="23"/>
      <c r="V154" s="23"/>
    </row>
    <row r="155" spans="1:22" s="24" customFormat="1" ht="27.95" customHeight="1">
      <c r="A155" s="25"/>
      <c r="B155" s="26" t="s">
        <v>10</v>
      </c>
      <c r="C155" s="27" t="s">
        <v>11</v>
      </c>
      <c r="D155" s="28" t="s">
        <v>38</v>
      </c>
      <c r="E155" s="26" t="s">
        <v>10</v>
      </c>
      <c r="F155" s="27" t="s">
        <v>11</v>
      </c>
      <c r="G155" s="28" t="s">
        <v>38</v>
      </c>
      <c r="H155" s="26" t="s">
        <v>10</v>
      </c>
      <c r="I155" s="27" t="s">
        <v>11</v>
      </c>
      <c r="J155" s="28" t="s">
        <v>38</v>
      </c>
      <c r="K155" s="26" t="s">
        <v>10</v>
      </c>
      <c r="L155" s="27" t="s">
        <v>11</v>
      </c>
      <c r="M155" s="28" t="s">
        <v>38</v>
      </c>
      <c r="N155" s="29"/>
      <c r="P155" s="23"/>
      <c r="Q155" s="30" t="s">
        <v>39</v>
      </c>
      <c r="R155" s="30" t="s">
        <v>40</v>
      </c>
      <c r="S155" s="30" t="s">
        <v>41</v>
      </c>
      <c r="T155" s="30" t="s">
        <v>42</v>
      </c>
      <c r="U155" s="23"/>
      <c r="V155" s="23"/>
    </row>
    <row r="156" spans="1:22" s="24" customFormat="1" ht="23.1" customHeight="1">
      <c r="A156" s="103" t="s">
        <v>8</v>
      </c>
      <c r="B156" s="31">
        <f>SUM(B157:B181)</f>
        <v>0</v>
      </c>
      <c r="C156" s="32" t="s">
        <v>11</v>
      </c>
      <c r="D156" s="33">
        <f>SUM(D157:D181)</f>
        <v>0</v>
      </c>
      <c r="E156" s="31">
        <f>SUM(E157:E181)</f>
        <v>0</v>
      </c>
      <c r="F156" s="32" t="s">
        <v>11</v>
      </c>
      <c r="G156" s="33">
        <f>SUM(G157:G181)</f>
        <v>0</v>
      </c>
      <c r="H156" s="31">
        <f>SUM(H157:H181)</f>
        <v>0</v>
      </c>
      <c r="I156" s="32" t="s">
        <v>11</v>
      </c>
      <c r="J156" s="33">
        <f>SUM(J157:J181)</f>
        <v>0</v>
      </c>
      <c r="K156" s="31">
        <f>SUM(K157:K181)</f>
        <v>0</v>
      </c>
      <c r="L156" s="32" t="s">
        <v>11</v>
      </c>
      <c r="M156" s="33">
        <f>SUM(M157:M181)</f>
        <v>0</v>
      </c>
      <c r="N156" s="34"/>
      <c r="O156" s="23" t="str">
        <f>IF(EXACT(Q156,T156),"맞음","틀림")</f>
        <v>맞음</v>
      </c>
      <c r="P156" s="23" t="s">
        <v>10</v>
      </c>
      <c r="Q156" s="35">
        <f>SUM(B157:B181)</f>
        <v>0</v>
      </c>
      <c r="R156" s="35">
        <f>SUM(E157:E181)</f>
        <v>0</v>
      </c>
      <c r="S156" s="35">
        <f>SUM(K157:K181)</f>
        <v>0</v>
      </c>
      <c r="T156" s="35">
        <f>K156+E156</f>
        <v>0</v>
      </c>
      <c r="U156" s="23"/>
      <c r="V156" s="23"/>
    </row>
    <row r="157" spans="1:22" s="24" customFormat="1" ht="23.1" customHeight="1">
      <c r="A157" s="104" t="s">
        <v>13</v>
      </c>
      <c r="B157" s="36">
        <f>COUNTIF('6'!$C$6:$C$529,"전")</f>
        <v>0</v>
      </c>
      <c r="C157" s="37" t="s">
        <v>11</v>
      </c>
      <c r="D157" s="38">
        <f>SUMIF('6'!$C$6:$C$529,"전",'6'!$E$6:$E$529)</f>
        <v>0</v>
      </c>
      <c r="E157" s="36">
        <f>COUNTIF('6'!$N$6:$N$529,"전국")</f>
        <v>0</v>
      </c>
      <c r="F157" s="37" t="s">
        <v>11</v>
      </c>
      <c r="G157" s="38">
        <f>SUMIF('6'!$N$6:$N$529,"전국",'6'!$E$6:$E$529)</f>
        <v>0</v>
      </c>
      <c r="H157" s="36">
        <f>COUNTIF('6'!$N$6:$N$529,"전공")</f>
        <v>0</v>
      </c>
      <c r="I157" s="37" t="s">
        <v>11</v>
      </c>
      <c r="J157" s="38">
        <f>SUMIF('6'!$N$6:$N$529,"전공",'6'!$E$6:$E$529)</f>
        <v>0</v>
      </c>
      <c r="K157" s="36">
        <f t="shared" ref="K157:K181" si="10">SUM(B157-E157-H157)</f>
        <v>0</v>
      </c>
      <c r="L157" s="37" t="s">
        <v>11</v>
      </c>
      <c r="M157" s="38">
        <f t="shared" ref="M157:M181" si="11">SUM(D157-G157-J157)</f>
        <v>0</v>
      </c>
      <c r="N157" s="39"/>
      <c r="O157" s="23" t="str">
        <f>IF(EXACT(Q157,T157),"맞음","틀림")</f>
        <v>맞음</v>
      </c>
      <c r="P157" s="23" t="s">
        <v>43</v>
      </c>
      <c r="Q157" s="35">
        <f>SUM(D157:D181)</f>
        <v>0</v>
      </c>
      <c r="R157" s="35">
        <f>SUM(G157:G181)</f>
        <v>0</v>
      </c>
      <c r="S157" s="35">
        <f>SUM(M157:M181)</f>
        <v>0</v>
      </c>
      <c r="T157" s="35">
        <f>G156+M156</f>
        <v>0</v>
      </c>
      <c r="U157" s="23"/>
      <c r="V157" s="23"/>
    </row>
    <row r="158" spans="1:22" s="24" customFormat="1" ht="23.1" customHeight="1">
      <c r="A158" s="104" t="s">
        <v>14</v>
      </c>
      <c r="B158" s="36">
        <f>COUNTIF('6'!$C$6:$C$529,"답")</f>
        <v>0</v>
      </c>
      <c r="C158" s="37" t="s">
        <v>11</v>
      </c>
      <c r="D158" s="38">
        <f>SUMIF('6'!$C$6:$C$529,"답",'6'!$E$6:$E$529)</f>
        <v>0</v>
      </c>
      <c r="E158" s="36">
        <f>COUNTIF('6'!$N$6:$N$529,"답국")</f>
        <v>0</v>
      </c>
      <c r="F158" s="37" t="s">
        <v>11</v>
      </c>
      <c r="G158" s="38">
        <f>SUMIF('6'!$N$6:$N$529,"답국",'6'!$E$6:$E$529)</f>
        <v>0</v>
      </c>
      <c r="H158" s="36">
        <f>COUNTIF('6'!$N$6:$N$529,"답공")</f>
        <v>0</v>
      </c>
      <c r="I158" s="37" t="s">
        <v>11</v>
      </c>
      <c r="J158" s="38">
        <f>SUMIF('6'!$N$6:$N$529,"답공",'6'!$E$6:$E$529)</f>
        <v>0</v>
      </c>
      <c r="K158" s="36">
        <f t="shared" si="10"/>
        <v>0</v>
      </c>
      <c r="L158" s="37" t="s">
        <v>11</v>
      </c>
      <c r="M158" s="38">
        <f t="shared" si="11"/>
        <v>0</v>
      </c>
      <c r="N158" s="39"/>
      <c r="Q158" s="23"/>
      <c r="S158" s="23"/>
      <c r="U158" s="23"/>
      <c r="V158" s="23"/>
    </row>
    <row r="159" spans="1:22" s="24" customFormat="1" ht="23.1" customHeight="1">
      <c r="A159" s="104" t="s">
        <v>15</v>
      </c>
      <c r="B159" s="36">
        <f>COUNTIF('6'!$C$6:$C$529,"임")</f>
        <v>0</v>
      </c>
      <c r="C159" s="37" t="s">
        <v>11</v>
      </c>
      <c r="D159" s="38">
        <f>SUMIF('6'!$C$6:$C$529,"임",'6'!$E$6:$E$529)</f>
        <v>0</v>
      </c>
      <c r="E159" s="36">
        <f>COUNTIF('6'!$N$6:$N$529,"임국")</f>
        <v>0</v>
      </c>
      <c r="F159" s="37" t="s">
        <v>11</v>
      </c>
      <c r="G159" s="38">
        <f>SUMIF('6'!$N$6:$N$529,"임국",'6'!$E$6:$E$529)</f>
        <v>0</v>
      </c>
      <c r="H159" s="36">
        <f>COUNTIF('6'!$N$6:$N$529,"임공")</f>
        <v>0</v>
      </c>
      <c r="I159" s="37" t="s">
        <v>11</v>
      </c>
      <c r="J159" s="38">
        <f>SUMIF('6'!$N$6:$N$529,"임공",'6'!$E$6:$E$529)</f>
        <v>0</v>
      </c>
      <c r="K159" s="36">
        <f t="shared" si="10"/>
        <v>0</v>
      </c>
      <c r="L159" s="37" t="s">
        <v>11</v>
      </c>
      <c r="M159" s="38">
        <f t="shared" si="11"/>
        <v>0</v>
      </c>
      <c r="N159" s="39"/>
      <c r="Q159" s="23"/>
      <c r="S159" s="23"/>
      <c r="U159" s="23"/>
      <c r="V159" s="23"/>
    </row>
    <row r="160" spans="1:22" s="24" customFormat="1" ht="23.1" customHeight="1">
      <c r="A160" s="104" t="s">
        <v>16</v>
      </c>
      <c r="B160" s="36">
        <f>COUNTIF('6'!$C$6:$C$529,"대")</f>
        <v>0</v>
      </c>
      <c r="C160" s="37" t="s">
        <v>11</v>
      </c>
      <c r="D160" s="38">
        <f>SUMIF('6'!$C$6:$C$529,"대",'6'!$E$6:$E$529)</f>
        <v>0</v>
      </c>
      <c r="E160" s="36">
        <f>COUNTIF('6'!$N$6:$N$529,"대국")</f>
        <v>0</v>
      </c>
      <c r="F160" s="37" t="s">
        <v>11</v>
      </c>
      <c r="G160" s="38">
        <f>SUMIF('6'!$N$6:$N$529,"대국",'6'!$E$6:$E$529)</f>
        <v>0</v>
      </c>
      <c r="H160" s="36">
        <f>COUNTIF('6'!$N$6:$N$529,"대공")</f>
        <v>0</v>
      </c>
      <c r="I160" s="37" t="s">
        <v>11</v>
      </c>
      <c r="J160" s="38">
        <f>SUMIF('6'!$N$6:$N$529,"대공",'6'!$E$6:$E$529)</f>
        <v>0</v>
      </c>
      <c r="K160" s="36">
        <f t="shared" si="10"/>
        <v>0</v>
      </c>
      <c r="L160" s="37" t="s">
        <v>11</v>
      </c>
      <c r="M160" s="38">
        <f t="shared" si="11"/>
        <v>0</v>
      </c>
      <c r="N160" s="39"/>
      <c r="O160" s="23"/>
      <c r="P160" s="23"/>
      <c r="Q160" s="23"/>
      <c r="R160" s="23"/>
      <c r="S160" s="23"/>
      <c r="T160" s="23"/>
      <c r="U160" s="23"/>
      <c r="V160" s="23"/>
    </row>
    <row r="161" spans="1:22" s="24" customFormat="1" ht="23.1" customHeight="1">
      <c r="A161" s="104" t="s">
        <v>17</v>
      </c>
      <c r="B161" s="36">
        <f>COUNTIF('6'!$C$6:$C$529,"도")</f>
        <v>0</v>
      </c>
      <c r="C161" s="37" t="s">
        <v>11</v>
      </c>
      <c r="D161" s="38">
        <f>SUMIF('6'!$C$6:$C$529,"도",'6'!$E$6:$E$529)</f>
        <v>0</v>
      </c>
      <c r="E161" s="36">
        <f>COUNTIF('6'!$N$6:$N$529,"도국")</f>
        <v>0</v>
      </c>
      <c r="F161" s="37" t="s">
        <v>11</v>
      </c>
      <c r="G161" s="38">
        <f>SUMIF('6'!$N$6:$N$529,"도국",'6'!$E$6:$E$529)</f>
        <v>0</v>
      </c>
      <c r="H161" s="36">
        <f>COUNTIF('6'!$N$6:$N$529,"도공")</f>
        <v>0</v>
      </c>
      <c r="I161" s="37" t="s">
        <v>11</v>
      </c>
      <c r="J161" s="38">
        <f>SUMIF('6'!$N$6:$N$529,"도공",'6'!$E$6:$E$529)</f>
        <v>0</v>
      </c>
      <c r="K161" s="36">
        <f t="shared" si="10"/>
        <v>0</v>
      </c>
      <c r="L161" s="37" t="s">
        <v>11</v>
      </c>
      <c r="M161" s="38">
        <f t="shared" si="11"/>
        <v>0</v>
      </c>
      <c r="N161" s="39"/>
      <c r="O161" s="23"/>
      <c r="P161" s="23"/>
      <c r="Q161" s="23"/>
      <c r="R161" s="23"/>
      <c r="S161" s="23"/>
      <c r="T161" s="23"/>
      <c r="U161" s="23"/>
      <c r="V161" s="23"/>
    </row>
    <row r="162" spans="1:22" s="24" customFormat="1" ht="23.1" customHeight="1">
      <c r="A162" s="104" t="s">
        <v>18</v>
      </c>
      <c r="B162" s="36">
        <f>COUNTIF('6'!$C$6:$C$529,"구")</f>
        <v>0</v>
      </c>
      <c r="C162" s="37" t="s">
        <v>11</v>
      </c>
      <c r="D162" s="38">
        <f>SUMIF('6'!$C$6:$C$529,"구",'6'!$E$6:$E$529)</f>
        <v>0</v>
      </c>
      <c r="E162" s="36">
        <f>COUNTIF('6'!$N$6:$N$529,"구국")</f>
        <v>0</v>
      </c>
      <c r="F162" s="37" t="s">
        <v>11</v>
      </c>
      <c r="G162" s="38">
        <f>SUMIF('6'!$N$6:$N$529,"구국",'6'!$E$6:$E$529)</f>
        <v>0</v>
      </c>
      <c r="H162" s="36">
        <f>COUNTIF('6'!$N$6:$N$529,"구공")</f>
        <v>0</v>
      </c>
      <c r="I162" s="37" t="s">
        <v>11</v>
      </c>
      <c r="J162" s="38">
        <f>SUMIF('6'!$N$6:$N$529,"구공",'6'!$E$6:$E$529)</f>
        <v>0</v>
      </c>
      <c r="K162" s="36">
        <f t="shared" si="10"/>
        <v>0</v>
      </c>
      <c r="L162" s="37" t="s">
        <v>11</v>
      </c>
      <c r="M162" s="38">
        <f t="shared" si="11"/>
        <v>0</v>
      </c>
      <c r="N162" s="39"/>
      <c r="O162" s="23"/>
      <c r="P162" s="23"/>
      <c r="Q162" s="23"/>
      <c r="R162" s="23"/>
      <c r="S162" s="23"/>
      <c r="T162" s="23"/>
      <c r="U162" s="23"/>
      <c r="V162" s="23"/>
    </row>
    <row r="163" spans="1:22" s="24" customFormat="1" ht="23.1" customHeight="1">
      <c r="A163" s="104" t="s">
        <v>19</v>
      </c>
      <c r="B163" s="36">
        <f>COUNTIF('6'!$C$6:$C$529,"천")</f>
        <v>0</v>
      </c>
      <c r="C163" s="37" t="s">
        <v>11</v>
      </c>
      <c r="D163" s="38">
        <f>SUMIF('6'!$C$6:$C$529,"천",'6'!$E$6:$E$529)</f>
        <v>0</v>
      </c>
      <c r="E163" s="36">
        <f>COUNTIF('6'!$N$6:$N$529,"천국")</f>
        <v>0</v>
      </c>
      <c r="F163" s="37" t="s">
        <v>11</v>
      </c>
      <c r="G163" s="38">
        <f>SUMIF('6'!$N$6:$N$529,"천국",'6'!$E$6:$E$529)</f>
        <v>0</v>
      </c>
      <c r="H163" s="36">
        <f>COUNTIF('6'!$N$6:$N$529,"천공")</f>
        <v>0</v>
      </c>
      <c r="I163" s="37" t="s">
        <v>11</v>
      </c>
      <c r="J163" s="38">
        <f>SUMIF('6'!$N$6:$N$529,"천공",'6'!$E$6:$E$529)</f>
        <v>0</v>
      </c>
      <c r="K163" s="36">
        <f t="shared" si="10"/>
        <v>0</v>
      </c>
      <c r="L163" s="37" t="s">
        <v>11</v>
      </c>
      <c r="M163" s="38">
        <f t="shared" si="11"/>
        <v>0</v>
      </c>
      <c r="N163" s="39"/>
      <c r="O163" s="23"/>
      <c r="P163" s="23"/>
      <c r="Q163" s="23"/>
      <c r="R163" s="23"/>
      <c r="S163" s="23"/>
      <c r="T163" s="23"/>
      <c r="U163" s="23"/>
      <c r="V163" s="23"/>
    </row>
    <row r="164" spans="1:22" s="24" customFormat="1" ht="23.1" customHeight="1">
      <c r="A164" s="104" t="s">
        <v>20</v>
      </c>
      <c r="B164" s="36">
        <f>COUNTIF('6'!$C$6:$C$529,"유")</f>
        <v>0</v>
      </c>
      <c r="C164" s="37" t="s">
        <v>11</v>
      </c>
      <c r="D164" s="38">
        <f>SUMIF('6'!$C$6:$C$529,"유",'6'!$E$6:$E$529)</f>
        <v>0</v>
      </c>
      <c r="E164" s="36">
        <f>COUNTIF('6'!$N$6:$N$529,"유국")</f>
        <v>0</v>
      </c>
      <c r="F164" s="37" t="s">
        <v>11</v>
      </c>
      <c r="G164" s="38">
        <f>SUMIF('6'!$N$6:$N$529,"유국",'6'!$E$6:$E$529)</f>
        <v>0</v>
      </c>
      <c r="H164" s="36">
        <f>COUNTIF('6'!$N$6:$N$529,"유공")</f>
        <v>0</v>
      </c>
      <c r="I164" s="37" t="s">
        <v>11</v>
      </c>
      <c r="J164" s="38">
        <f>SUMIF('6'!$N$6:$N$529,"유공",'6'!$E$6:$E$529)</f>
        <v>0</v>
      </c>
      <c r="K164" s="36">
        <f t="shared" si="10"/>
        <v>0</v>
      </c>
      <c r="L164" s="37" t="s">
        <v>11</v>
      </c>
      <c r="M164" s="38">
        <f t="shared" si="11"/>
        <v>0</v>
      </c>
      <c r="N164" s="39"/>
      <c r="O164" s="23"/>
      <c r="P164" s="23"/>
      <c r="Q164" s="23"/>
      <c r="R164" s="23"/>
      <c r="S164" s="23"/>
      <c r="T164" s="23"/>
      <c r="U164" s="23"/>
      <c r="V164" s="23"/>
    </row>
    <row r="165" spans="1:22" s="24" customFormat="1" ht="23.1" customHeight="1">
      <c r="A165" s="104" t="s">
        <v>21</v>
      </c>
      <c r="B165" s="36">
        <f>COUNTIF('6'!$C$6:$C$529,"제")</f>
        <v>0</v>
      </c>
      <c r="C165" s="37" t="s">
        <v>11</v>
      </c>
      <c r="D165" s="38">
        <f>SUMIF('6'!$C$6:$C$529,"제",'6'!$E$6:$E$529)</f>
        <v>0</v>
      </c>
      <c r="E165" s="36">
        <f>COUNTIF('6'!$N$6:$N$529,"제국")</f>
        <v>0</v>
      </c>
      <c r="F165" s="37" t="s">
        <v>11</v>
      </c>
      <c r="G165" s="38">
        <f>SUMIF('6'!$N$6:$N$529,"제국",'6'!$E$6:$E$529)</f>
        <v>0</v>
      </c>
      <c r="H165" s="36">
        <f>COUNTIF('6'!$N$6:$N$529,"제공")</f>
        <v>0</v>
      </c>
      <c r="I165" s="37" t="s">
        <v>11</v>
      </c>
      <c r="J165" s="38">
        <f>SUMIF('6'!$N$6:$N$529,"제공",'6'!$E$6:$E$529)</f>
        <v>0</v>
      </c>
      <c r="K165" s="36">
        <f t="shared" si="10"/>
        <v>0</v>
      </c>
      <c r="L165" s="37" t="s">
        <v>11</v>
      </c>
      <c r="M165" s="38">
        <f t="shared" si="11"/>
        <v>0</v>
      </c>
      <c r="N165" s="39"/>
      <c r="O165" s="23"/>
      <c r="P165" s="23"/>
      <c r="Q165" s="23"/>
      <c r="R165" s="23"/>
      <c r="S165" s="23"/>
      <c r="T165" s="23"/>
      <c r="U165" s="23"/>
      <c r="V165" s="23"/>
    </row>
    <row r="166" spans="1:22" s="24" customFormat="1" ht="23.1" customHeight="1">
      <c r="A166" s="104" t="s">
        <v>22</v>
      </c>
      <c r="B166" s="36">
        <f>COUNTIF('6'!$C$6:$C$529,"과")</f>
        <v>0</v>
      </c>
      <c r="C166" s="37" t="s">
        <v>11</v>
      </c>
      <c r="D166" s="38">
        <f>SUMIF('6'!$C$6:$C$529,"과",'6'!$E$6:$E$529)</f>
        <v>0</v>
      </c>
      <c r="E166" s="36">
        <f>COUNTIF('6'!$N$6:$N$529,"과국")</f>
        <v>0</v>
      </c>
      <c r="F166" s="37" t="s">
        <v>11</v>
      </c>
      <c r="G166" s="38">
        <f>SUMIF('6'!$N$6:$N$529,"과국",'6'!$E$6:$E$529)</f>
        <v>0</v>
      </c>
      <c r="H166" s="36">
        <f>COUNTIF('6'!$N$6:$N$529,"과공")</f>
        <v>0</v>
      </c>
      <c r="I166" s="37" t="s">
        <v>11</v>
      </c>
      <c r="J166" s="38">
        <f>SUMIF('6'!$N$6:$N$529,"과공",'6'!$E$6:$E$529)</f>
        <v>0</v>
      </c>
      <c r="K166" s="36">
        <f t="shared" si="10"/>
        <v>0</v>
      </c>
      <c r="L166" s="37" t="s">
        <v>11</v>
      </c>
      <c r="M166" s="38">
        <f t="shared" si="11"/>
        <v>0</v>
      </c>
      <c r="N166" s="39"/>
      <c r="O166" s="23"/>
      <c r="P166" s="23"/>
      <c r="Q166" s="23"/>
      <c r="R166" s="23"/>
      <c r="S166" s="23"/>
      <c r="T166" s="23"/>
      <c r="U166" s="23"/>
      <c r="V166" s="23"/>
    </row>
    <row r="167" spans="1:22" s="24" customFormat="1" ht="23.1" customHeight="1">
      <c r="A167" s="104" t="s">
        <v>23</v>
      </c>
      <c r="B167" s="36">
        <f>COUNTIF('6'!$C$6:$C$529,"장")</f>
        <v>0</v>
      </c>
      <c r="C167" s="37" t="s">
        <v>11</v>
      </c>
      <c r="D167" s="38">
        <f>SUMIF('6'!$C$6:$C$529,"장",'6'!$E$6:$E$529)</f>
        <v>0</v>
      </c>
      <c r="E167" s="36">
        <f>COUNTIF('6'!$N$6:$N$529,"장국")</f>
        <v>0</v>
      </c>
      <c r="F167" s="37" t="s">
        <v>11</v>
      </c>
      <c r="G167" s="38">
        <f>SUMIF('6'!$N$6:$N$529,"장국",'6'!$E$6:$E$529)</f>
        <v>0</v>
      </c>
      <c r="H167" s="36">
        <f>COUNTIF('6'!$N$6:$N$529,"장공")</f>
        <v>0</v>
      </c>
      <c r="I167" s="37" t="s">
        <v>11</v>
      </c>
      <c r="J167" s="38">
        <f>SUMIF('6'!$N$6:$N$529,"장공",'6'!$E$6:$E$529)</f>
        <v>0</v>
      </c>
      <c r="K167" s="36">
        <f t="shared" si="10"/>
        <v>0</v>
      </c>
      <c r="L167" s="37" t="s">
        <v>11</v>
      </c>
      <c r="M167" s="38">
        <f t="shared" si="11"/>
        <v>0</v>
      </c>
      <c r="N167" s="39"/>
      <c r="O167" s="23"/>
      <c r="P167" s="23"/>
      <c r="Q167" s="23"/>
      <c r="R167" s="23"/>
      <c r="S167" s="23"/>
      <c r="T167" s="23"/>
      <c r="U167" s="23"/>
      <c r="V167" s="23"/>
    </row>
    <row r="168" spans="1:22" s="24" customFormat="1" ht="23.1" customHeight="1">
      <c r="A168" s="104" t="s">
        <v>24</v>
      </c>
      <c r="B168" s="36">
        <f>COUNTIF('6'!$C$6:$C$529,"목")</f>
        <v>0</v>
      </c>
      <c r="C168" s="37" t="s">
        <v>11</v>
      </c>
      <c r="D168" s="38">
        <f>SUMIF('6'!$C$6:$C$529,"목",'6'!$E$6:$E$529)</f>
        <v>0</v>
      </c>
      <c r="E168" s="36">
        <f>COUNTIF('6'!$N$6:$N$529,"목국")</f>
        <v>0</v>
      </c>
      <c r="F168" s="37" t="s">
        <v>11</v>
      </c>
      <c r="G168" s="38">
        <f>SUMIF('6'!$N$6:$N$529,"목국",'6'!$E$6:$E$529)</f>
        <v>0</v>
      </c>
      <c r="H168" s="36">
        <f>COUNTIF('6'!$N$6:$N$529,"목공")</f>
        <v>0</v>
      </c>
      <c r="I168" s="37" t="s">
        <v>11</v>
      </c>
      <c r="J168" s="38">
        <f>SUMIF('6'!$N$6:$N$529,"목공",'6'!$E$6:$E$529)</f>
        <v>0</v>
      </c>
      <c r="K168" s="36">
        <f t="shared" si="10"/>
        <v>0</v>
      </c>
      <c r="L168" s="37" t="s">
        <v>11</v>
      </c>
      <c r="M168" s="38">
        <f t="shared" si="11"/>
        <v>0</v>
      </c>
      <c r="N168" s="39"/>
      <c r="O168" s="23"/>
      <c r="P168" s="23"/>
      <c r="Q168" s="23"/>
      <c r="R168" s="23"/>
      <c r="S168" s="23"/>
      <c r="T168" s="23"/>
      <c r="U168" s="23"/>
      <c r="V168" s="23"/>
    </row>
    <row r="169" spans="1:22" s="24" customFormat="1" ht="23.1" customHeight="1">
      <c r="A169" s="104" t="s">
        <v>25</v>
      </c>
      <c r="B169" s="36">
        <f>COUNTIF('6'!$C$6:$C$529,"학")</f>
        <v>0</v>
      </c>
      <c r="C169" s="37" t="s">
        <v>11</v>
      </c>
      <c r="D169" s="38">
        <f>SUMIF('6'!$C$6:$C$529,"학",'6'!$E$6:$E$529)</f>
        <v>0</v>
      </c>
      <c r="E169" s="36">
        <f>COUNTIF('6'!$N$6:$N$529,"학국")</f>
        <v>0</v>
      </c>
      <c r="F169" s="37" t="s">
        <v>11</v>
      </c>
      <c r="G169" s="38">
        <f>SUMIF('6'!$N$6:$N$529,"학국",'6'!$E$6:$E$529)</f>
        <v>0</v>
      </c>
      <c r="H169" s="36">
        <f>COUNTIF('6'!$N$6:$N$529,"학공")</f>
        <v>0</v>
      </c>
      <c r="I169" s="37" t="s">
        <v>11</v>
      </c>
      <c r="J169" s="38">
        <f>SUMIF('6'!$N$6:$N$529,"학공",'6'!$E$6:$E$529)</f>
        <v>0</v>
      </c>
      <c r="K169" s="36">
        <f t="shared" si="10"/>
        <v>0</v>
      </c>
      <c r="L169" s="37" t="s">
        <v>11</v>
      </c>
      <c r="M169" s="38">
        <f t="shared" si="11"/>
        <v>0</v>
      </c>
      <c r="N169" s="39"/>
      <c r="O169" s="23"/>
      <c r="P169" s="23"/>
      <c r="Q169" s="23"/>
      <c r="R169" s="23"/>
      <c r="S169" s="23"/>
      <c r="T169" s="23"/>
      <c r="U169" s="23"/>
      <c r="V169" s="23"/>
    </row>
    <row r="170" spans="1:22" s="24" customFormat="1" ht="23.1" customHeight="1">
      <c r="A170" s="104" t="s">
        <v>26</v>
      </c>
      <c r="B170" s="36">
        <f>COUNTIF('6'!$C$6:$C$529,"철")</f>
        <v>0</v>
      </c>
      <c r="C170" s="37" t="s">
        <v>11</v>
      </c>
      <c r="D170" s="38">
        <f>SUMIF('6'!$C$6:$C$529,"철",'6'!$E$6:$E$529)</f>
        <v>0</v>
      </c>
      <c r="E170" s="36">
        <f>COUNTIF('6'!$N$6:$N$529,"철국")</f>
        <v>0</v>
      </c>
      <c r="F170" s="37" t="s">
        <v>11</v>
      </c>
      <c r="G170" s="38">
        <f>SUMIF('6'!$N$6:$N$529,"철국",'6'!$E$6:$E$529)</f>
        <v>0</v>
      </c>
      <c r="H170" s="36">
        <f>COUNTIF('6'!$N$6:$N$529,"철공")</f>
        <v>0</v>
      </c>
      <c r="I170" s="37" t="s">
        <v>11</v>
      </c>
      <c r="J170" s="38">
        <f>SUMIF('6'!$N$6:$N$529,"철공",'6'!$E$6:$E$529)</f>
        <v>0</v>
      </c>
      <c r="K170" s="36">
        <f t="shared" si="10"/>
        <v>0</v>
      </c>
      <c r="L170" s="37" t="s">
        <v>11</v>
      </c>
      <c r="M170" s="38">
        <f t="shared" si="11"/>
        <v>0</v>
      </c>
      <c r="N170" s="39"/>
      <c r="O170" s="23"/>
      <c r="P170" s="23"/>
      <c r="Q170" s="23"/>
      <c r="R170" s="23"/>
      <c r="S170" s="23"/>
      <c r="T170" s="23"/>
      <c r="U170" s="23"/>
      <c r="V170" s="23"/>
    </row>
    <row r="171" spans="1:22" s="24" customFormat="1" ht="23.1" customHeight="1">
      <c r="A171" s="104" t="s">
        <v>27</v>
      </c>
      <c r="B171" s="36">
        <f>COUNTIF('6'!$C$6:$C$529,"묘")</f>
        <v>0</v>
      </c>
      <c r="C171" s="37" t="s">
        <v>11</v>
      </c>
      <c r="D171" s="38">
        <f>SUMIF('6'!$C$6:$C$529,"묘",'6'!$E$6:$E$529)</f>
        <v>0</v>
      </c>
      <c r="E171" s="36">
        <f>COUNTIF('6'!$N$6:$N$529,"묘국")</f>
        <v>0</v>
      </c>
      <c r="F171" s="37" t="s">
        <v>11</v>
      </c>
      <c r="G171" s="38">
        <f>SUMIF('6'!$N$6:$N$529,"묘국",'6'!$E$6:$E$529)</f>
        <v>0</v>
      </c>
      <c r="H171" s="36">
        <f>COUNTIF('6'!$N$6:$N$529,"묘공")</f>
        <v>0</v>
      </c>
      <c r="I171" s="37" t="s">
        <v>11</v>
      </c>
      <c r="J171" s="38">
        <f>SUMIF('6'!$N$6:$N$529,"묘공",'6'!$E$6:$E$529)</f>
        <v>0</v>
      </c>
      <c r="K171" s="36">
        <f t="shared" si="10"/>
        <v>0</v>
      </c>
      <c r="L171" s="37" t="s">
        <v>11</v>
      </c>
      <c r="M171" s="38">
        <f t="shared" si="11"/>
        <v>0</v>
      </c>
      <c r="N171" s="39"/>
      <c r="O171" s="23"/>
      <c r="P171" s="23"/>
      <c r="Q171" s="23"/>
      <c r="R171" s="23"/>
      <c r="S171" s="23"/>
      <c r="T171" s="23"/>
      <c r="U171" s="23"/>
      <c r="V171" s="23"/>
    </row>
    <row r="172" spans="1:22" s="24" customFormat="1" ht="23.1" customHeight="1">
      <c r="A172" s="104" t="s">
        <v>28</v>
      </c>
      <c r="B172" s="36">
        <f>COUNTIF('6'!$C$6:$C$529,"수")</f>
        <v>0</v>
      </c>
      <c r="C172" s="37" t="s">
        <v>11</v>
      </c>
      <c r="D172" s="38">
        <f>SUMIF('6'!$C$6:$C$529,"수",'6'!$E$6:$E$529)</f>
        <v>0</v>
      </c>
      <c r="E172" s="36">
        <f>COUNTIF('6'!$N$6:$N$529,"수국")</f>
        <v>0</v>
      </c>
      <c r="F172" s="37" t="s">
        <v>11</v>
      </c>
      <c r="G172" s="38">
        <f>SUMIF('6'!$N$6:$N$529,"수국",'6'!$E$6:$E$529)</f>
        <v>0</v>
      </c>
      <c r="H172" s="36">
        <f>COUNTIF('6'!$N$6:$N$529,"수공")</f>
        <v>0</v>
      </c>
      <c r="I172" s="37" t="s">
        <v>11</v>
      </c>
      <c r="J172" s="38">
        <f>SUMIF('6'!$N$6:$N$529,"수공",'6'!$E$6:$E$529)</f>
        <v>0</v>
      </c>
      <c r="K172" s="36">
        <f t="shared" si="10"/>
        <v>0</v>
      </c>
      <c r="L172" s="37" t="s">
        <v>11</v>
      </c>
      <c r="M172" s="38">
        <f t="shared" si="11"/>
        <v>0</v>
      </c>
      <c r="N172" s="39"/>
      <c r="O172" s="23"/>
      <c r="P172" s="23"/>
      <c r="Q172" s="23"/>
      <c r="R172" s="23"/>
      <c r="S172" s="23"/>
      <c r="T172" s="23"/>
      <c r="U172" s="23"/>
      <c r="V172" s="23"/>
    </row>
    <row r="173" spans="1:22" s="24" customFormat="1" ht="23.1" customHeight="1">
      <c r="A173" s="104" t="s">
        <v>29</v>
      </c>
      <c r="B173" s="36">
        <f>COUNTIF('6'!$C$6:$C$529,"잡")</f>
        <v>0</v>
      </c>
      <c r="C173" s="37" t="s">
        <v>11</v>
      </c>
      <c r="D173" s="38">
        <f>SUMIF('6'!$C$6:$C$529,"잡",'6'!$E$6:$E$529)</f>
        <v>0</v>
      </c>
      <c r="E173" s="36">
        <f>COUNTIF('6'!$N$6:$N$529,"잡국")</f>
        <v>0</v>
      </c>
      <c r="F173" s="37" t="s">
        <v>11</v>
      </c>
      <c r="G173" s="38">
        <f>SUMIF('6'!$N$6:$N$529,"잡국",'6'!$E$6:$E$529)</f>
        <v>0</v>
      </c>
      <c r="H173" s="36">
        <f>COUNTIF('6'!$N$6:$N$529,"잡공")</f>
        <v>0</v>
      </c>
      <c r="I173" s="37" t="s">
        <v>11</v>
      </c>
      <c r="J173" s="38">
        <f>SUMIF('6'!$N$6:$N$529,"잡공",'6'!$E$6:$E$529)</f>
        <v>0</v>
      </c>
      <c r="K173" s="36">
        <f t="shared" si="10"/>
        <v>0</v>
      </c>
      <c r="L173" s="37" t="s">
        <v>11</v>
      </c>
      <c r="M173" s="38">
        <f t="shared" si="11"/>
        <v>0</v>
      </c>
      <c r="N173" s="39"/>
      <c r="O173" s="23"/>
      <c r="P173" s="23"/>
      <c r="Q173" s="23"/>
      <c r="R173" s="23"/>
      <c r="S173" s="23"/>
      <c r="T173" s="23"/>
      <c r="U173" s="23"/>
      <c r="V173" s="23"/>
    </row>
    <row r="174" spans="1:22" s="24" customFormat="1" ht="23.1" customHeight="1">
      <c r="A174" s="105" t="s">
        <v>30</v>
      </c>
      <c r="B174" s="36">
        <f>COUNTIF('6'!$C$6:$C$529,"종")</f>
        <v>0</v>
      </c>
      <c r="C174" s="37" t="s">
        <v>11</v>
      </c>
      <c r="D174" s="38">
        <f>SUMIF('6'!$C$6:$C$529,"종",'6'!$E$6:$E$529)</f>
        <v>0</v>
      </c>
      <c r="E174" s="36">
        <f>COUNTIF('6'!$N$6:$N$529,"종국")</f>
        <v>0</v>
      </c>
      <c r="F174" s="37" t="s">
        <v>11</v>
      </c>
      <c r="G174" s="38">
        <f>SUMIF('6'!$N$6:$N$529,"종국",'6'!$E$6:$E$529)</f>
        <v>0</v>
      </c>
      <c r="H174" s="36">
        <f>COUNTIF('6'!$N$6:$N$529,"종공")</f>
        <v>0</v>
      </c>
      <c r="I174" s="37" t="s">
        <v>11</v>
      </c>
      <c r="J174" s="38">
        <f>SUMIF('6'!$N$6:$N$529,"종공",'6'!$E$6:$E$529)</f>
        <v>0</v>
      </c>
      <c r="K174" s="36">
        <f t="shared" si="10"/>
        <v>0</v>
      </c>
      <c r="L174" s="37" t="s">
        <v>11</v>
      </c>
      <c r="M174" s="38">
        <f t="shared" si="11"/>
        <v>0</v>
      </c>
      <c r="N174" s="39"/>
      <c r="O174" s="23"/>
      <c r="P174" s="23"/>
      <c r="Q174" s="23"/>
      <c r="R174" s="23"/>
      <c r="S174" s="23"/>
      <c r="T174" s="23"/>
      <c r="U174" s="23"/>
      <c r="V174" s="23"/>
    </row>
    <row r="175" spans="1:22" s="24" customFormat="1" ht="23.1" customHeight="1">
      <c r="A175" s="105" t="s">
        <v>31</v>
      </c>
      <c r="B175" s="36">
        <f>COUNTIF('6'!$C$6:$C$529,"염")</f>
        <v>0</v>
      </c>
      <c r="C175" s="37" t="s">
        <v>11</v>
      </c>
      <c r="D175" s="38">
        <f>SUMIF('6'!$C$6:$C$529,"염",'6'!$E$6:$E$529)</f>
        <v>0</v>
      </c>
      <c r="E175" s="36">
        <f>COUNTIF('6'!$N$6:$N$529,"염국")</f>
        <v>0</v>
      </c>
      <c r="F175" s="37" t="s">
        <v>11</v>
      </c>
      <c r="G175" s="38">
        <f>SUMIF('6'!$N$6:$N$529,"염국",'6'!$E$6:$E$529)</f>
        <v>0</v>
      </c>
      <c r="H175" s="36">
        <f>COUNTIF('6'!$N$6:$N$529,"염공")</f>
        <v>0</v>
      </c>
      <c r="I175" s="37" t="s">
        <v>11</v>
      </c>
      <c r="J175" s="38">
        <f>SUMIF('6'!$N$6:$N$529,"염공",'6'!$E$6:$E$529)</f>
        <v>0</v>
      </c>
      <c r="K175" s="36">
        <f t="shared" si="10"/>
        <v>0</v>
      </c>
      <c r="L175" s="37" t="s">
        <v>11</v>
      </c>
      <c r="M175" s="38">
        <f t="shared" si="11"/>
        <v>0</v>
      </c>
      <c r="N175" s="39"/>
      <c r="O175" s="23"/>
      <c r="P175" s="23"/>
      <c r="Q175" s="23"/>
      <c r="R175" s="23"/>
      <c r="S175" s="23"/>
      <c r="T175" s="23"/>
      <c r="U175" s="23"/>
      <c r="V175" s="23"/>
    </row>
    <row r="176" spans="1:22" s="24" customFormat="1" ht="23.1" customHeight="1">
      <c r="A176" s="105" t="s">
        <v>32</v>
      </c>
      <c r="B176" s="36">
        <f>COUNTIF('6'!$C$6:$C$529,"공")</f>
        <v>0</v>
      </c>
      <c r="C176" s="37" t="s">
        <v>11</v>
      </c>
      <c r="D176" s="38">
        <f>SUMIF('6'!$C$6:$C$529,"공",'6'!$E$6:$E$529)</f>
        <v>0</v>
      </c>
      <c r="E176" s="36">
        <f>COUNTIF('6'!$N$6:$N$529,"공국")</f>
        <v>0</v>
      </c>
      <c r="F176" s="37" t="s">
        <v>11</v>
      </c>
      <c r="G176" s="38">
        <f>SUMIF('6'!$N$6:$N$529,"공국",'6'!$E$6:$E$529)</f>
        <v>0</v>
      </c>
      <c r="H176" s="36">
        <f>COUNTIF('6'!$N$6:$N$529,"공공")</f>
        <v>0</v>
      </c>
      <c r="I176" s="37" t="s">
        <v>11</v>
      </c>
      <c r="J176" s="38">
        <f>SUMIF('6'!$N$6:$N$529,"공공",'6'!$E$6:$E$529)</f>
        <v>0</v>
      </c>
      <c r="K176" s="36">
        <f t="shared" si="10"/>
        <v>0</v>
      </c>
      <c r="L176" s="37" t="s">
        <v>11</v>
      </c>
      <c r="M176" s="38">
        <f t="shared" si="11"/>
        <v>0</v>
      </c>
      <c r="N176" s="39"/>
      <c r="O176" s="23"/>
      <c r="P176" s="23"/>
      <c r="Q176" s="23"/>
      <c r="R176" s="23"/>
      <c r="S176" s="23"/>
      <c r="T176" s="23"/>
      <c r="U176" s="23"/>
      <c r="V176" s="23"/>
    </row>
    <row r="177" spans="1:22" s="24" customFormat="1" ht="23.1" customHeight="1">
      <c r="A177" s="105" t="s">
        <v>33</v>
      </c>
      <c r="B177" s="36">
        <f>COUNTIF('6'!$C$6:$C$529,"체")</f>
        <v>0</v>
      </c>
      <c r="C177" s="37" t="s">
        <v>11</v>
      </c>
      <c r="D177" s="38">
        <f>SUMIF('6'!$C$6:$C$529,"체",'6'!$E$6:$E$529)</f>
        <v>0</v>
      </c>
      <c r="E177" s="36">
        <f>COUNTIF('6'!$N$6:$N$529,"체국")</f>
        <v>0</v>
      </c>
      <c r="F177" s="37" t="s">
        <v>11</v>
      </c>
      <c r="G177" s="38">
        <f>SUMIF('6'!$N$6:$N$529,"체국",'6'!$E$6:$E$529)</f>
        <v>0</v>
      </c>
      <c r="H177" s="36">
        <f>COUNTIF('6'!$N$6:$N$529,"체공")</f>
        <v>0</v>
      </c>
      <c r="I177" s="37" t="s">
        <v>11</v>
      </c>
      <c r="J177" s="38">
        <f>SUMIF('6'!$N$6:$N$529,"체공",'6'!$E$6:$E$529)</f>
        <v>0</v>
      </c>
      <c r="K177" s="36">
        <f t="shared" si="10"/>
        <v>0</v>
      </c>
      <c r="L177" s="37" t="s">
        <v>11</v>
      </c>
      <c r="M177" s="38">
        <f t="shared" si="11"/>
        <v>0</v>
      </c>
      <c r="N177" s="39"/>
      <c r="O177" s="23"/>
      <c r="P177" s="23"/>
      <c r="Q177" s="23"/>
      <c r="R177" s="23"/>
      <c r="S177" s="23"/>
      <c r="T177" s="23"/>
      <c r="U177" s="23"/>
      <c r="V177" s="23"/>
    </row>
    <row r="178" spans="1:22" s="24" customFormat="1" ht="23.1" customHeight="1">
      <c r="A178" s="105" t="s">
        <v>34</v>
      </c>
      <c r="B178" s="36">
        <f>COUNTIF('6'!$C$6:$C$529,"원")</f>
        <v>0</v>
      </c>
      <c r="C178" s="37" t="s">
        <v>11</v>
      </c>
      <c r="D178" s="38">
        <f>SUMIF('6'!$C$6:$C$529,"원",'6'!$E$6:$E$529)</f>
        <v>0</v>
      </c>
      <c r="E178" s="36">
        <f>COUNTIF('6'!$N$6:$N$529,"원국")</f>
        <v>0</v>
      </c>
      <c r="F178" s="37" t="s">
        <v>11</v>
      </c>
      <c r="G178" s="38">
        <f>SUMIF('6'!$N$6:$N$529,"원국",'6'!$E$6:$E$529)</f>
        <v>0</v>
      </c>
      <c r="H178" s="36">
        <f>COUNTIF('6'!$N$6:$N$529,"원공")</f>
        <v>0</v>
      </c>
      <c r="I178" s="37" t="s">
        <v>11</v>
      </c>
      <c r="J178" s="38">
        <f>SUMIF('6'!$N$6:$N$529,"원공",'6'!$E$6:$E$529)</f>
        <v>0</v>
      </c>
      <c r="K178" s="36">
        <f t="shared" si="10"/>
        <v>0</v>
      </c>
      <c r="L178" s="37" t="s">
        <v>11</v>
      </c>
      <c r="M178" s="38">
        <f t="shared" si="11"/>
        <v>0</v>
      </c>
      <c r="N178" s="39"/>
      <c r="O178" s="23"/>
      <c r="P178" s="23"/>
      <c r="Q178" s="23"/>
      <c r="R178" s="23"/>
      <c r="S178" s="23"/>
      <c r="T178" s="23"/>
      <c r="U178" s="23"/>
      <c r="V178" s="23"/>
    </row>
    <row r="179" spans="1:22" s="24" customFormat="1" ht="23.1" customHeight="1">
      <c r="A179" s="105" t="s">
        <v>66</v>
      </c>
      <c r="B179" s="36">
        <f>COUNTIF('6'!$C$6:$C$529,"차")</f>
        <v>0</v>
      </c>
      <c r="C179" s="37" t="s">
        <v>11</v>
      </c>
      <c r="D179" s="38">
        <f>SUMIF('6'!$C$6:$C$529,"차",'6'!$E$6:$E$529)</f>
        <v>0</v>
      </c>
      <c r="E179" s="36">
        <f>COUNTIF('6'!$N$6:$N$529,"차국")</f>
        <v>0</v>
      </c>
      <c r="F179" s="37" t="s">
        <v>11</v>
      </c>
      <c r="G179" s="38">
        <f>SUMIF('6'!$N$6:$N$529,"차국",'6'!$E$6:$E$529)</f>
        <v>0</v>
      </c>
      <c r="H179" s="36">
        <f>COUNTIF('6'!$N$6:$N$529,"차공")</f>
        <v>0</v>
      </c>
      <c r="I179" s="37" t="s">
        <v>11</v>
      </c>
      <c r="J179" s="38">
        <f>SUMIF('6'!$N$6:$N$529,"차공",'6'!$E$6:$E$529)</f>
        <v>0</v>
      </c>
      <c r="K179" s="36">
        <f t="shared" si="10"/>
        <v>0</v>
      </c>
      <c r="L179" s="37" t="s">
        <v>11</v>
      </c>
      <c r="M179" s="38">
        <f t="shared" si="11"/>
        <v>0</v>
      </c>
      <c r="N179" s="39"/>
      <c r="O179" s="23"/>
      <c r="P179" s="23"/>
      <c r="Q179" s="23"/>
      <c r="R179" s="23"/>
      <c r="S179" s="23"/>
      <c r="T179" s="23"/>
      <c r="U179" s="23"/>
      <c r="V179" s="23"/>
    </row>
    <row r="180" spans="1:22" s="24" customFormat="1" ht="23.1" customHeight="1">
      <c r="A180" s="105" t="s">
        <v>67</v>
      </c>
      <c r="B180" s="36">
        <f>COUNTIF('6'!$C$6:$C$529,"주")</f>
        <v>0</v>
      </c>
      <c r="C180" s="37" t="s">
        <v>11</v>
      </c>
      <c r="D180" s="38">
        <f>SUMIF('6'!$C$6:$C$529,"주",'6'!$E$6:$E$529)</f>
        <v>0</v>
      </c>
      <c r="E180" s="36">
        <f>COUNTIF('6'!$N$6:$N$529,"주국")</f>
        <v>0</v>
      </c>
      <c r="F180" s="37" t="s">
        <v>11</v>
      </c>
      <c r="G180" s="38">
        <f>SUMIF('6'!$N$6:$N$529,"주국",'6'!$E$6:$E$529)</f>
        <v>0</v>
      </c>
      <c r="H180" s="36">
        <f>COUNTIF('6'!$N$6:$N$529,"주공")</f>
        <v>0</v>
      </c>
      <c r="I180" s="37" t="s">
        <v>11</v>
      </c>
      <c r="J180" s="38">
        <f>SUMIF('6'!$N$6:$N$529,"주공",'6'!$E$6:$E$529)</f>
        <v>0</v>
      </c>
      <c r="K180" s="36">
        <f t="shared" si="10"/>
        <v>0</v>
      </c>
      <c r="L180" s="37" t="s">
        <v>11</v>
      </c>
      <c r="M180" s="38">
        <f t="shared" si="11"/>
        <v>0</v>
      </c>
      <c r="N180" s="39"/>
      <c r="O180" s="23"/>
      <c r="P180" s="23"/>
      <c r="Q180" s="23"/>
      <c r="R180" s="23"/>
      <c r="S180" s="23"/>
      <c r="T180" s="23"/>
      <c r="U180" s="23"/>
      <c r="V180" s="23"/>
    </row>
    <row r="181" spans="1:22" s="24" customFormat="1" ht="23.1" customHeight="1">
      <c r="A181" s="106" t="s">
        <v>68</v>
      </c>
      <c r="B181" s="40">
        <f>COUNTIF('6'!$C$6:$C$529," ")</f>
        <v>0</v>
      </c>
      <c r="C181" s="41" t="s">
        <v>11</v>
      </c>
      <c r="D181" s="42">
        <f>SUMIF('6'!$C$6:$C$529," ",'6'!$E$6:$E$529)</f>
        <v>0</v>
      </c>
      <c r="E181" s="40">
        <f>COUNTIF('6'!$N$6:$N$529," 국")</f>
        <v>0</v>
      </c>
      <c r="F181" s="41" t="s">
        <v>11</v>
      </c>
      <c r="G181" s="42">
        <f>SUMIF('6'!$N$6:$N$529," 국",'6'!$E$6:$E$529)</f>
        <v>0</v>
      </c>
      <c r="H181" s="40">
        <f>COUNTIF('6'!$N$6:$N$529," 공")</f>
        <v>0</v>
      </c>
      <c r="I181" s="41" t="s">
        <v>11</v>
      </c>
      <c r="J181" s="42">
        <f>SUMIF('6'!$N$6:$N$529," 공",'6'!$E$6:$E$529)</f>
        <v>0</v>
      </c>
      <c r="K181" s="40">
        <f t="shared" si="10"/>
        <v>0</v>
      </c>
      <c r="L181" s="41" t="s">
        <v>11</v>
      </c>
      <c r="M181" s="42">
        <f t="shared" si="11"/>
        <v>0</v>
      </c>
      <c r="N181" s="43"/>
      <c r="O181" s="23"/>
      <c r="P181" s="23"/>
      <c r="Q181" s="23"/>
      <c r="R181" s="23"/>
      <c r="S181" s="23"/>
      <c r="T181" s="23"/>
      <c r="U181" s="23"/>
      <c r="V181" s="23"/>
    </row>
    <row r="182" spans="1:22" s="17" customFormat="1" ht="20.100000000000001" customHeight="1">
      <c r="A182" s="11">
        <f>IF(EXACT(O186,O187),,"검산확인요!!!")</f>
        <v>0</v>
      </c>
      <c r="B182" s="12"/>
      <c r="C182" s="12"/>
      <c r="D182" s="12"/>
      <c r="E182" s="12"/>
      <c r="F182" s="12"/>
      <c r="G182" s="12"/>
      <c r="H182" s="12"/>
      <c r="I182" s="12"/>
      <c r="J182" s="12"/>
      <c r="K182" s="13">
        <f>IF(ISBLANK('7'!K2),,'7'!K2)</f>
        <v>3</v>
      </c>
      <c r="L182" s="14"/>
      <c r="M182" s="15"/>
      <c r="N182" s="16"/>
    </row>
    <row r="183" spans="1:22" s="17" customFormat="1" ht="9.9499999999999993" customHeight="1">
      <c r="A183" s="11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</row>
    <row r="184" spans="1:22" s="24" customFormat="1" ht="27.95" customHeight="1">
      <c r="A184" s="18" t="s">
        <v>9</v>
      </c>
      <c r="B184" s="19" t="s">
        <v>8</v>
      </c>
      <c r="C184" s="20"/>
      <c r="D184" s="21"/>
      <c r="E184" s="19" t="s">
        <v>35</v>
      </c>
      <c r="F184" s="20"/>
      <c r="G184" s="21"/>
      <c r="H184" s="19" t="s">
        <v>44</v>
      </c>
      <c r="I184" s="20"/>
      <c r="J184" s="21"/>
      <c r="K184" s="19" t="s">
        <v>36</v>
      </c>
      <c r="L184" s="20"/>
      <c r="M184" s="21"/>
      <c r="N184" s="22" t="s">
        <v>37</v>
      </c>
      <c r="O184" s="23"/>
      <c r="S184" s="23"/>
      <c r="T184" s="23"/>
      <c r="U184" s="23"/>
      <c r="V184" s="23"/>
    </row>
    <row r="185" spans="1:22" s="24" customFormat="1" ht="27.95" customHeight="1">
      <c r="A185" s="25"/>
      <c r="B185" s="26" t="s">
        <v>10</v>
      </c>
      <c r="C185" s="27" t="s">
        <v>11</v>
      </c>
      <c r="D185" s="28" t="s">
        <v>38</v>
      </c>
      <c r="E185" s="26" t="s">
        <v>10</v>
      </c>
      <c r="F185" s="27" t="s">
        <v>11</v>
      </c>
      <c r="G185" s="28" t="s">
        <v>38</v>
      </c>
      <c r="H185" s="26" t="s">
        <v>10</v>
      </c>
      <c r="I185" s="27" t="s">
        <v>11</v>
      </c>
      <c r="J185" s="28" t="s">
        <v>38</v>
      </c>
      <c r="K185" s="26" t="s">
        <v>10</v>
      </c>
      <c r="L185" s="27" t="s">
        <v>11</v>
      </c>
      <c r="M185" s="28" t="s">
        <v>38</v>
      </c>
      <c r="N185" s="29"/>
      <c r="P185" s="23"/>
      <c r="Q185" s="30" t="s">
        <v>39</v>
      </c>
      <c r="R185" s="30" t="s">
        <v>40</v>
      </c>
      <c r="S185" s="30" t="s">
        <v>41</v>
      </c>
      <c r="T185" s="30" t="s">
        <v>42</v>
      </c>
      <c r="U185" s="23"/>
      <c r="V185" s="23"/>
    </row>
    <row r="186" spans="1:22" s="24" customFormat="1" ht="23.1" customHeight="1">
      <c r="A186" s="103" t="s">
        <v>8</v>
      </c>
      <c r="B186" s="31">
        <f>SUM(B187:B211)</f>
        <v>0</v>
      </c>
      <c r="C186" s="32" t="s">
        <v>11</v>
      </c>
      <c r="D186" s="33">
        <f>SUM(D187:D211)</f>
        <v>0</v>
      </c>
      <c r="E186" s="31">
        <f>SUM(E187:E211)</f>
        <v>0</v>
      </c>
      <c r="F186" s="32" t="s">
        <v>11</v>
      </c>
      <c r="G186" s="33">
        <f>SUM(G187:G211)</f>
        <v>0</v>
      </c>
      <c r="H186" s="31">
        <f>SUM(H187:H211)</f>
        <v>0</v>
      </c>
      <c r="I186" s="32" t="s">
        <v>11</v>
      </c>
      <c r="J186" s="33">
        <f>SUM(J187:J211)</f>
        <v>0</v>
      </c>
      <c r="K186" s="31">
        <f>SUM(K187:K211)</f>
        <v>0</v>
      </c>
      <c r="L186" s="32" t="s">
        <v>11</v>
      </c>
      <c r="M186" s="33">
        <f>SUM(M187:M211)</f>
        <v>0</v>
      </c>
      <c r="N186" s="34"/>
      <c r="O186" s="23" t="str">
        <f>IF(EXACT(Q186,T186),"맞음","틀림")</f>
        <v>맞음</v>
      </c>
      <c r="P186" s="23" t="s">
        <v>10</v>
      </c>
      <c r="Q186" s="35">
        <f>SUM(B187:B211)</f>
        <v>0</v>
      </c>
      <c r="R186" s="35">
        <f>SUM(E187:E211)</f>
        <v>0</v>
      </c>
      <c r="S186" s="35">
        <f>SUM(K187:K211)</f>
        <v>0</v>
      </c>
      <c r="T186" s="35">
        <f>K186+E186</f>
        <v>0</v>
      </c>
      <c r="U186" s="23"/>
      <c r="V186" s="23"/>
    </row>
    <row r="187" spans="1:22" s="24" customFormat="1" ht="23.1" customHeight="1">
      <c r="A187" s="104" t="s">
        <v>13</v>
      </c>
      <c r="B187" s="36">
        <f>COUNTIF('7'!$C$6:$C$529,"전")</f>
        <v>0</v>
      </c>
      <c r="C187" s="37" t="s">
        <v>11</v>
      </c>
      <c r="D187" s="38">
        <f>SUMIF('7'!$C$6:$C$529,"전",'7'!$E$6:$E$529)</f>
        <v>0</v>
      </c>
      <c r="E187" s="36">
        <f>COUNTIF('7'!$N$6:$N$529,"전국")</f>
        <v>0</v>
      </c>
      <c r="F187" s="37" t="s">
        <v>11</v>
      </c>
      <c r="G187" s="38">
        <f>SUMIF('7'!$N$6:$N$529,"전국",'7'!$E$6:$E$529)</f>
        <v>0</v>
      </c>
      <c r="H187" s="36">
        <f>COUNTIF('7'!$N$6:$N$529,"전공")</f>
        <v>0</v>
      </c>
      <c r="I187" s="37" t="s">
        <v>11</v>
      </c>
      <c r="J187" s="38">
        <f>SUMIF('7'!$N$6:$N$529,"전공",'7'!$E$6:$E$529)</f>
        <v>0</v>
      </c>
      <c r="K187" s="36">
        <f t="shared" ref="K187:K211" si="12">SUM(B187-E187-H187)</f>
        <v>0</v>
      </c>
      <c r="L187" s="37" t="s">
        <v>11</v>
      </c>
      <c r="M187" s="38">
        <f t="shared" ref="M187:M211" si="13">SUM(D187-G187-J187)</f>
        <v>0</v>
      </c>
      <c r="N187" s="39"/>
      <c r="O187" s="23" t="str">
        <f>IF(EXACT(Q187,T187),"맞음","틀림")</f>
        <v>맞음</v>
      </c>
      <c r="P187" s="23" t="s">
        <v>43</v>
      </c>
      <c r="Q187" s="35">
        <f>SUM(D187:D211)</f>
        <v>0</v>
      </c>
      <c r="R187" s="35">
        <f>SUM(G187:G211)</f>
        <v>0</v>
      </c>
      <c r="S187" s="35">
        <f>SUM(M187:M211)</f>
        <v>0</v>
      </c>
      <c r="T187" s="35">
        <f>G186+M186</f>
        <v>0</v>
      </c>
      <c r="U187" s="23"/>
      <c r="V187" s="23"/>
    </row>
    <row r="188" spans="1:22" s="24" customFormat="1" ht="23.1" customHeight="1">
      <c r="A188" s="104" t="s">
        <v>14</v>
      </c>
      <c r="B188" s="36">
        <f>COUNTIF('7'!$C$6:$C$529,"답")</f>
        <v>0</v>
      </c>
      <c r="C188" s="37" t="s">
        <v>11</v>
      </c>
      <c r="D188" s="38">
        <f>SUMIF('7'!$C$6:$C$529,"답",'7'!$E$6:$E$529)</f>
        <v>0</v>
      </c>
      <c r="E188" s="36">
        <f>COUNTIF('7'!$N$6:$N$529,"답국")</f>
        <v>0</v>
      </c>
      <c r="F188" s="37" t="s">
        <v>11</v>
      </c>
      <c r="G188" s="38">
        <f>SUMIF('7'!$N$6:$N$529,"답국",'7'!$E$6:$E$529)</f>
        <v>0</v>
      </c>
      <c r="H188" s="36">
        <f>COUNTIF('7'!$N$6:$N$529,"답공")</f>
        <v>0</v>
      </c>
      <c r="I188" s="37" t="s">
        <v>11</v>
      </c>
      <c r="J188" s="38">
        <f>SUMIF('7'!$N$6:$N$529,"답공",'7'!$E$6:$E$529)</f>
        <v>0</v>
      </c>
      <c r="K188" s="36">
        <f t="shared" si="12"/>
        <v>0</v>
      </c>
      <c r="L188" s="37" t="s">
        <v>11</v>
      </c>
      <c r="M188" s="38">
        <f t="shared" si="13"/>
        <v>0</v>
      </c>
      <c r="N188" s="39"/>
      <c r="Q188" s="23"/>
      <c r="S188" s="23"/>
      <c r="U188" s="23"/>
      <c r="V188" s="23"/>
    </row>
    <row r="189" spans="1:22" s="24" customFormat="1" ht="23.1" customHeight="1">
      <c r="A189" s="104" t="s">
        <v>15</v>
      </c>
      <c r="B189" s="36">
        <f>COUNTIF('7'!$C$6:$C$529,"임")</f>
        <v>0</v>
      </c>
      <c r="C189" s="37" t="s">
        <v>11</v>
      </c>
      <c r="D189" s="38">
        <f>SUMIF('7'!$C$6:$C$529,"임",'7'!$E$6:$E$529)</f>
        <v>0</v>
      </c>
      <c r="E189" s="36">
        <f>COUNTIF('7'!$N$6:$N$529,"임국")</f>
        <v>0</v>
      </c>
      <c r="F189" s="37" t="s">
        <v>11</v>
      </c>
      <c r="G189" s="38">
        <f>SUMIF('7'!$N$6:$N$529,"임국",'7'!$E$6:$E$529)</f>
        <v>0</v>
      </c>
      <c r="H189" s="36">
        <f>COUNTIF('7'!$N$6:$N$529,"임공")</f>
        <v>0</v>
      </c>
      <c r="I189" s="37" t="s">
        <v>11</v>
      </c>
      <c r="J189" s="38">
        <f>SUMIF('7'!$N$6:$N$529,"임공",'7'!$E$6:$E$529)</f>
        <v>0</v>
      </c>
      <c r="K189" s="36">
        <f t="shared" si="12"/>
        <v>0</v>
      </c>
      <c r="L189" s="37" t="s">
        <v>11</v>
      </c>
      <c r="M189" s="38">
        <f t="shared" si="13"/>
        <v>0</v>
      </c>
      <c r="N189" s="39"/>
      <c r="Q189" s="23"/>
      <c r="S189" s="23"/>
      <c r="U189" s="23"/>
      <c r="V189" s="23"/>
    </row>
    <row r="190" spans="1:22" s="24" customFormat="1" ht="23.1" customHeight="1">
      <c r="A190" s="104" t="s">
        <v>16</v>
      </c>
      <c r="B190" s="36">
        <f>COUNTIF('7'!$C$6:$C$529,"대")</f>
        <v>0</v>
      </c>
      <c r="C190" s="37" t="s">
        <v>11</v>
      </c>
      <c r="D190" s="38">
        <f>SUMIF('7'!$C$6:$C$529,"대",'7'!$E$6:$E$529)</f>
        <v>0</v>
      </c>
      <c r="E190" s="36">
        <f>COUNTIF('7'!$N$6:$N$529,"대국")</f>
        <v>0</v>
      </c>
      <c r="F190" s="37" t="s">
        <v>11</v>
      </c>
      <c r="G190" s="38">
        <f>SUMIF('7'!$N$6:$N$529,"대국",'7'!$E$6:$E$529)</f>
        <v>0</v>
      </c>
      <c r="H190" s="36">
        <f>COUNTIF('7'!$N$6:$N$529,"대공")</f>
        <v>0</v>
      </c>
      <c r="I190" s="37" t="s">
        <v>11</v>
      </c>
      <c r="J190" s="38">
        <f>SUMIF('7'!$N$6:$N$529,"대공",'7'!$E$6:$E$529)</f>
        <v>0</v>
      </c>
      <c r="K190" s="36">
        <f t="shared" si="12"/>
        <v>0</v>
      </c>
      <c r="L190" s="37" t="s">
        <v>11</v>
      </c>
      <c r="M190" s="38">
        <f t="shared" si="13"/>
        <v>0</v>
      </c>
      <c r="N190" s="39"/>
      <c r="O190" s="23"/>
      <c r="P190" s="23"/>
      <c r="Q190" s="23"/>
      <c r="R190" s="23"/>
      <c r="S190" s="23"/>
      <c r="T190" s="23"/>
      <c r="U190" s="23"/>
      <c r="V190" s="23"/>
    </row>
    <row r="191" spans="1:22" s="24" customFormat="1" ht="23.1" customHeight="1">
      <c r="A191" s="104" t="s">
        <v>17</v>
      </c>
      <c r="B191" s="36">
        <f>COUNTIF('7'!$C$6:$C$529,"도")</f>
        <v>0</v>
      </c>
      <c r="C191" s="37" t="s">
        <v>11</v>
      </c>
      <c r="D191" s="38">
        <f>SUMIF('7'!$C$6:$C$529,"도",'7'!$E$6:$E$529)</f>
        <v>0</v>
      </c>
      <c r="E191" s="36">
        <f>COUNTIF('7'!$N$6:$N$529,"도국")</f>
        <v>0</v>
      </c>
      <c r="F191" s="37" t="s">
        <v>11</v>
      </c>
      <c r="G191" s="38">
        <f>SUMIF('7'!$N$6:$N$529,"도국",'7'!$E$6:$E$529)</f>
        <v>0</v>
      </c>
      <c r="H191" s="36">
        <f>COUNTIF('7'!$N$6:$N$529,"도공")</f>
        <v>0</v>
      </c>
      <c r="I191" s="37" t="s">
        <v>11</v>
      </c>
      <c r="J191" s="38">
        <f>SUMIF('7'!$N$6:$N$529,"도공",'7'!$E$6:$E$529)</f>
        <v>0</v>
      </c>
      <c r="K191" s="36">
        <f t="shared" si="12"/>
        <v>0</v>
      </c>
      <c r="L191" s="37" t="s">
        <v>11</v>
      </c>
      <c r="M191" s="38">
        <f t="shared" si="13"/>
        <v>0</v>
      </c>
      <c r="N191" s="39"/>
      <c r="O191" s="23"/>
      <c r="P191" s="23"/>
      <c r="Q191" s="23"/>
      <c r="R191" s="23"/>
      <c r="S191" s="23"/>
      <c r="T191" s="23"/>
      <c r="U191" s="23"/>
      <c r="V191" s="23"/>
    </row>
    <row r="192" spans="1:22" s="24" customFormat="1" ht="23.1" customHeight="1">
      <c r="A192" s="104" t="s">
        <v>18</v>
      </c>
      <c r="B192" s="36">
        <f>COUNTIF('7'!$C$6:$C$529,"구")</f>
        <v>0</v>
      </c>
      <c r="C192" s="37" t="s">
        <v>11</v>
      </c>
      <c r="D192" s="38">
        <f>SUMIF('7'!$C$6:$C$529,"구",'7'!$E$6:$E$529)</f>
        <v>0</v>
      </c>
      <c r="E192" s="36">
        <f>COUNTIF('7'!$N$6:$N$529,"구국")</f>
        <v>0</v>
      </c>
      <c r="F192" s="37" t="s">
        <v>11</v>
      </c>
      <c r="G192" s="38">
        <f>SUMIF('7'!$N$6:$N$529,"구국",'7'!$E$6:$E$529)</f>
        <v>0</v>
      </c>
      <c r="H192" s="36">
        <f>COUNTIF('7'!$N$6:$N$529,"구공")</f>
        <v>0</v>
      </c>
      <c r="I192" s="37" t="s">
        <v>11</v>
      </c>
      <c r="J192" s="38">
        <f>SUMIF('7'!$N$6:$N$529,"구공",'7'!$E$6:$E$529)</f>
        <v>0</v>
      </c>
      <c r="K192" s="36">
        <f t="shared" si="12"/>
        <v>0</v>
      </c>
      <c r="L192" s="37" t="s">
        <v>11</v>
      </c>
      <c r="M192" s="38">
        <f t="shared" si="13"/>
        <v>0</v>
      </c>
      <c r="N192" s="39"/>
      <c r="O192" s="23"/>
      <c r="P192" s="23"/>
      <c r="Q192" s="23"/>
      <c r="R192" s="23"/>
      <c r="S192" s="23"/>
      <c r="T192" s="23"/>
      <c r="U192" s="23"/>
      <c r="V192" s="23"/>
    </row>
    <row r="193" spans="1:22" s="24" customFormat="1" ht="23.1" customHeight="1">
      <c r="A193" s="104" t="s">
        <v>19</v>
      </c>
      <c r="B193" s="36">
        <f>COUNTIF('7'!$C$6:$C$529,"천")</f>
        <v>0</v>
      </c>
      <c r="C193" s="37" t="s">
        <v>11</v>
      </c>
      <c r="D193" s="38">
        <f>SUMIF('7'!$C$6:$C$529,"천",'7'!$E$6:$E$529)</f>
        <v>0</v>
      </c>
      <c r="E193" s="36">
        <f>COUNTIF('7'!$N$6:$N$529,"천국")</f>
        <v>0</v>
      </c>
      <c r="F193" s="37" t="s">
        <v>11</v>
      </c>
      <c r="G193" s="38">
        <f>SUMIF('7'!$N$6:$N$529,"천국",'7'!$E$6:$E$529)</f>
        <v>0</v>
      </c>
      <c r="H193" s="36">
        <f>COUNTIF('7'!$N$6:$N$529,"천공")</f>
        <v>0</v>
      </c>
      <c r="I193" s="37" t="s">
        <v>11</v>
      </c>
      <c r="J193" s="38">
        <f>SUMIF('7'!$N$6:$N$529,"천공",'7'!$E$6:$E$529)</f>
        <v>0</v>
      </c>
      <c r="K193" s="36">
        <f t="shared" si="12"/>
        <v>0</v>
      </c>
      <c r="L193" s="37" t="s">
        <v>11</v>
      </c>
      <c r="M193" s="38">
        <f t="shared" si="13"/>
        <v>0</v>
      </c>
      <c r="N193" s="39"/>
      <c r="O193" s="23"/>
      <c r="P193" s="23"/>
      <c r="Q193" s="23"/>
      <c r="R193" s="23"/>
      <c r="S193" s="23"/>
      <c r="T193" s="23"/>
      <c r="U193" s="23"/>
      <c r="V193" s="23"/>
    </row>
    <row r="194" spans="1:22" s="24" customFormat="1" ht="23.1" customHeight="1">
      <c r="A194" s="104" t="s">
        <v>20</v>
      </c>
      <c r="B194" s="36">
        <f>COUNTIF('7'!$C$6:$C$529,"유")</f>
        <v>0</v>
      </c>
      <c r="C194" s="37" t="s">
        <v>11</v>
      </c>
      <c r="D194" s="38">
        <f>SUMIF('7'!$C$6:$C$529,"유",'7'!$E$6:$E$529)</f>
        <v>0</v>
      </c>
      <c r="E194" s="36">
        <f>COUNTIF('7'!$N$6:$N$529,"유국")</f>
        <v>0</v>
      </c>
      <c r="F194" s="37" t="s">
        <v>11</v>
      </c>
      <c r="G194" s="38">
        <f>SUMIF('7'!$N$6:$N$529,"유국",'7'!$E$6:$E$529)</f>
        <v>0</v>
      </c>
      <c r="H194" s="36">
        <f>COUNTIF('7'!$N$6:$N$529,"유공")</f>
        <v>0</v>
      </c>
      <c r="I194" s="37" t="s">
        <v>11</v>
      </c>
      <c r="J194" s="38">
        <f>SUMIF('7'!$N$6:$N$529,"유공",'7'!$E$6:$E$529)</f>
        <v>0</v>
      </c>
      <c r="K194" s="36">
        <f t="shared" si="12"/>
        <v>0</v>
      </c>
      <c r="L194" s="37" t="s">
        <v>11</v>
      </c>
      <c r="M194" s="38">
        <f t="shared" si="13"/>
        <v>0</v>
      </c>
      <c r="N194" s="39"/>
      <c r="O194" s="23"/>
      <c r="P194" s="23"/>
      <c r="Q194" s="23"/>
      <c r="R194" s="23"/>
      <c r="S194" s="23"/>
      <c r="T194" s="23"/>
      <c r="U194" s="23"/>
      <c r="V194" s="23"/>
    </row>
    <row r="195" spans="1:22" s="24" customFormat="1" ht="23.1" customHeight="1">
      <c r="A195" s="104" t="s">
        <v>21</v>
      </c>
      <c r="B195" s="36">
        <f>COUNTIF('7'!$C$6:$C$529,"제")</f>
        <v>0</v>
      </c>
      <c r="C195" s="37" t="s">
        <v>11</v>
      </c>
      <c r="D195" s="38">
        <f>SUMIF('7'!$C$6:$C$529,"제",'7'!$E$6:$E$529)</f>
        <v>0</v>
      </c>
      <c r="E195" s="36">
        <f>COUNTIF('7'!$N$6:$N$529,"제국")</f>
        <v>0</v>
      </c>
      <c r="F195" s="37" t="s">
        <v>11</v>
      </c>
      <c r="G195" s="38">
        <f>SUMIF('7'!$N$6:$N$529,"제국",'7'!$E$6:$E$529)</f>
        <v>0</v>
      </c>
      <c r="H195" s="36">
        <f>COUNTIF('7'!$N$6:$N$529,"제공")</f>
        <v>0</v>
      </c>
      <c r="I195" s="37" t="s">
        <v>11</v>
      </c>
      <c r="J195" s="38">
        <f>SUMIF('7'!$N$6:$N$529,"제공",'7'!$E$6:$E$529)</f>
        <v>0</v>
      </c>
      <c r="K195" s="36">
        <f t="shared" si="12"/>
        <v>0</v>
      </c>
      <c r="L195" s="37" t="s">
        <v>11</v>
      </c>
      <c r="M195" s="38">
        <f t="shared" si="13"/>
        <v>0</v>
      </c>
      <c r="N195" s="39"/>
      <c r="O195" s="23"/>
      <c r="P195" s="23"/>
      <c r="Q195" s="23"/>
      <c r="R195" s="23"/>
      <c r="S195" s="23"/>
      <c r="T195" s="23"/>
      <c r="U195" s="23"/>
      <c r="V195" s="23"/>
    </row>
    <row r="196" spans="1:22" s="24" customFormat="1" ht="23.1" customHeight="1">
      <c r="A196" s="104" t="s">
        <v>22</v>
      </c>
      <c r="B196" s="36">
        <f>COUNTIF('7'!$C$6:$C$529,"과")</f>
        <v>0</v>
      </c>
      <c r="C196" s="37" t="s">
        <v>11</v>
      </c>
      <c r="D196" s="38">
        <f>SUMIF('7'!$C$6:$C$529,"과",'7'!$E$6:$E$529)</f>
        <v>0</v>
      </c>
      <c r="E196" s="36">
        <f>COUNTIF('7'!$N$6:$N$529,"과국")</f>
        <v>0</v>
      </c>
      <c r="F196" s="37" t="s">
        <v>11</v>
      </c>
      <c r="G196" s="38">
        <f>SUMIF('7'!$N$6:$N$529,"과국",'7'!$E$6:$E$529)</f>
        <v>0</v>
      </c>
      <c r="H196" s="36">
        <f>COUNTIF('7'!$N$6:$N$529,"과공")</f>
        <v>0</v>
      </c>
      <c r="I196" s="37" t="s">
        <v>11</v>
      </c>
      <c r="J196" s="38">
        <f>SUMIF('7'!$N$6:$N$529,"과공",'7'!$E$6:$E$529)</f>
        <v>0</v>
      </c>
      <c r="K196" s="36">
        <f t="shared" si="12"/>
        <v>0</v>
      </c>
      <c r="L196" s="37" t="s">
        <v>11</v>
      </c>
      <c r="M196" s="38">
        <f t="shared" si="13"/>
        <v>0</v>
      </c>
      <c r="N196" s="39"/>
      <c r="O196" s="23"/>
      <c r="P196" s="23"/>
      <c r="Q196" s="23"/>
      <c r="R196" s="23"/>
      <c r="S196" s="23"/>
      <c r="T196" s="23"/>
      <c r="U196" s="23"/>
      <c r="V196" s="23"/>
    </row>
    <row r="197" spans="1:22" s="24" customFormat="1" ht="23.1" customHeight="1">
      <c r="A197" s="104" t="s">
        <v>23</v>
      </c>
      <c r="B197" s="36">
        <f>COUNTIF('7'!$C$6:$C$529,"장")</f>
        <v>0</v>
      </c>
      <c r="C197" s="37" t="s">
        <v>11</v>
      </c>
      <c r="D197" s="38">
        <f>SUMIF('7'!$C$6:$C$529,"장",'7'!$E$6:$E$529)</f>
        <v>0</v>
      </c>
      <c r="E197" s="36">
        <f>COUNTIF('7'!$N$6:$N$529,"장국")</f>
        <v>0</v>
      </c>
      <c r="F197" s="37" t="s">
        <v>11</v>
      </c>
      <c r="G197" s="38">
        <f>SUMIF('7'!$N$6:$N$529,"장국",'7'!$E$6:$E$529)</f>
        <v>0</v>
      </c>
      <c r="H197" s="36">
        <f>COUNTIF('7'!$N$6:$N$529,"장공")</f>
        <v>0</v>
      </c>
      <c r="I197" s="37" t="s">
        <v>11</v>
      </c>
      <c r="J197" s="38">
        <f>SUMIF('7'!$N$6:$N$529,"장공",'7'!$E$6:$E$529)</f>
        <v>0</v>
      </c>
      <c r="K197" s="36">
        <f t="shared" si="12"/>
        <v>0</v>
      </c>
      <c r="L197" s="37" t="s">
        <v>11</v>
      </c>
      <c r="M197" s="38">
        <f t="shared" si="13"/>
        <v>0</v>
      </c>
      <c r="N197" s="39"/>
      <c r="O197" s="23"/>
      <c r="P197" s="23"/>
      <c r="Q197" s="23"/>
      <c r="R197" s="23"/>
      <c r="S197" s="23"/>
      <c r="T197" s="23"/>
      <c r="U197" s="23"/>
      <c r="V197" s="23"/>
    </row>
    <row r="198" spans="1:22" s="24" customFormat="1" ht="23.1" customHeight="1">
      <c r="A198" s="104" t="s">
        <v>24</v>
      </c>
      <c r="B198" s="36">
        <f>COUNTIF('7'!$C$6:$C$529,"목")</f>
        <v>0</v>
      </c>
      <c r="C198" s="37" t="s">
        <v>11</v>
      </c>
      <c r="D198" s="38">
        <f>SUMIF('7'!$C$6:$C$529,"목",'7'!$E$6:$E$529)</f>
        <v>0</v>
      </c>
      <c r="E198" s="36">
        <f>COUNTIF('7'!$N$6:$N$529,"목국")</f>
        <v>0</v>
      </c>
      <c r="F198" s="37" t="s">
        <v>11</v>
      </c>
      <c r="G198" s="38">
        <f>SUMIF('7'!$N$6:$N$529,"목국",'7'!$E$6:$E$529)</f>
        <v>0</v>
      </c>
      <c r="H198" s="36">
        <f>COUNTIF('7'!$N$6:$N$529,"목공")</f>
        <v>0</v>
      </c>
      <c r="I198" s="37" t="s">
        <v>11</v>
      </c>
      <c r="J198" s="38">
        <f>SUMIF('7'!$N$6:$N$529,"목공",'7'!$E$6:$E$529)</f>
        <v>0</v>
      </c>
      <c r="K198" s="36">
        <f t="shared" si="12"/>
        <v>0</v>
      </c>
      <c r="L198" s="37" t="s">
        <v>11</v>
      </c>
      <c r="M198" s="38">
        <f t="shared" si="13"/>
        <v>0</v>
      </c>
      <c r="N198" s="39"/>
      <c r="O198" s="23"/>
      <c r="P198" s="23"/>
      <c r="Q198" s="23"/>
      <c r="R198" s="23"/>
      <c r="S198" s="23"/>
      <c r="T198" s="23"/>
      <c r="U198" s="23"/>
      <c r="V198" s="23"/>
    </row>
    <row r="199" spans="1:22" s="24" customFormat="1" ht="23.1" customHeight="1">
      <c r="A199" s="104" t="s">
        <v>25</v>
      </c>
      <c r="B199" s="36">
        <f>COUNTIF('7'!$C$6:$C$529,"학")</f>
        <v>0</v>
      </c>
      <c r="C199" s="37" t="s">
        <v>11</v>
      </c>
      <c r="D199" s="38">
        <f>SUMIF('7'!$C$6:$C$529,"학",'7'!$E$6:$E$529)</f>
        <v>0</v>
      </c>
      <c r="E199" s="36">
        <f>COUNTIF('7'!$N$6:$N$529,"학국")</f>
        <v>0</v>
      </c>
      <c r="F199" s="37" t="s">
        <v>11</v>
      </c>
      <c r="G199" s="38">
        <f>SUMIF('7'!$N$6:$N$529,"학국",'7'!$E$6:$E$529)</f>
        <v>0</v>
      </c>
      <c r="H199" s="36">
        <f>COUNTIF('7'!$N$6:$N$529,"학공")</f>
        <v>0</v>
      </c>
      <c r="I199" s="37" t="s">
        <v>11</v>
      </c>
      <c r="J199" s="38">
        <f>SUMIF('7'!$N$6:$N$529,"학공",'7'!$E$6:$E$529)</f>
        <v>0</v>
      </c>
      <c r="K199" s="36">
        <f t="shared" si="12"/>
        <v>0</v>
      </c>
      <c r="L199" s="37" t="s">
        <v>11</v>
      </c>
      <c r="M199" s="38">
        <f t="shared" si="13"/>
        <v>0</v>
      </c>
      <c r="N199" s="39"/>
      <c r="O199" s="23"/>
      <c r="P199" s="23"/>
      <c r="Q199" s="23"/>
      <c r="R199" s="23"/>
      <c r="S199" s="23"/>
      <c r="T199" s="23"/>
      <c r="U199" s="23"/>
      <c r="V199" s="23"/>
    </row>
    <row r="200" spans="1:22" s="24" customFormat="1" ht="23.1" customHeight="1">
      <c r="A200" s="104" t="s">
        <v>26</v>
      </c>
      <c r="B200" s="36">
        <f>COUNTIF('7'!$C$6:$C$529,"철")</f>
        <v>0</v>
      </c>
      <c r="C200" s="37" t="s">
        <v>11</v>
      </c>
      <c r="D200" s="38">
        <f>SUMIF('7'!$C$6:$C$529,"철",'7'!$E$6:$E$529)</f>
        <v>0</v>
      </c>
      <c r="E200" s="36">
        <f>COUNTIF('7'!$N$6:$N$529,"철국")</f>
        <v>0</v>
      </c>
      <c r="F200" s="37" t="s">
        <v>11</v>
      </c>
      <c r="G200" s="38">
        <f>SUMIF('7'!$N$6:$N$529,"철국",'7'!$E$6:$E$529)</f>
        <v>0</v>
      </c>
      <c r="H200" s="36">
        <f>COUNTIF('7'!$N$6:$N$529,"철공")</f>
        <v>0</v>
      </c>
      <c r="I200" s="37" t="s">
        <v>11</v>
      </c>
      <c r="J200" s="38">
        <f>SUMIF('7'!$N$6:$N$529,"철공",'7'!$E$6:$E$529)</f>
        <v>0</v>
      </c>
      <c r="K200" s="36">
        <f t="shared" si="12"/>
        <v>0</v>
      </c>
      <c r="L200" s="37" t="s">
        <v>11</v>
      </c>
      <c r="M200" s="38">
        <f t="shared" si="13"/>
        <v>0</v>
      </c>
      <c r="N200" s="39"/>
      <c r="O200" s="23"/>
      <c r="P200" s="23"/>
      <c r="Q200" s="23"/>
      <c r="R200" s="23"/>
      <c r="S200" s="23"/>
      <c r="T200" s="23"/>
      <c r="U200" s="23"/>
      <c r="V200" s="23"/>
    </row>
    <row r="201" spans="1:22" s="24" customFormat="1" ht="23.1" customHeight="1">
      <c r="A201" s="104" t="s">
        <v>27</v>
      </c>
      <c r="B201" s="36">
        <f>COUNTIF('7'!$C$6:$C$529,"묘")</f>
        <v>0</v>
      </c>
      <c r="C201" s="37" t="s">
        <v>11</v>
      </c>
      <c r="D201" s="38">
        <f>SUMIF('7'!$C$6:$C$529,"묘",'7'!$E$6:$E$529)</f>
        <v>0</v>
      </c>
      <c r="E201" s="36">
        <f>COUNTIF('7'!$N$6:$N$529,"묘국")</f>
        <v>0</v>
      </c>
      <c r="F201" s="37" t="s">
        <v>11</v>
      </c>
      <c r="G201" s="38">
        <f>SUMIF('7'!$N$6:$N$529,"묘국",'7'!$E$6:$E$529)</f>
        <v>0</v>
      </c>
      <c r="H201" s="36">
        <f>COUNTIF('7'!$N$6:$N$529,"묘공")</f>
        <v>0</v>
      </c>
      <c r="I201" s="37" t="s">
        <v>11</v>
      </c>
      <c r="J201" s="38">
        <f>SUMIF('7'!$N$6:$N$529,"묘공",'7'!$E$6:$E$529)</f>
        <v>0</v>
      </c>
      <c r="K201" s="36">
        <f t="shared" si="12"/>
        <v>0</v>
      </c>
      <c r="L201" s="37" t="s">
        <v>11</v>
      </c>
      <c r="M201" s="38">
        <f t="shared" si="13"/>
        <v>0</v>
      </c>
      <c r="N201" s="39"/>
      <c r="O201" s="23"/>
      <c r="P201" s="23"/>
      <c r="Q201" s="23"/>
      <c r="R201" s="23"/>
      <c r="S201" s="23"/>
      <c r="T201" s="23"/>
      <c r="U201" s="23"/>
      <c r="V201" s="23"/>
    </row>
    <row r="202" spans="1:22" s="24" customFormat="1" ht="23.1" customHeight="1">
      <c r="A202" s="104" t="s">
        <v>28</v>
      </c>
      <c r="B202" s="36">
        <f>COUNTIF('7'!$C$6:$C$529,"수")</f>
        <v>0</v>
      </c>
      <c r="C202" s="37" t="s">
        <v>11</v>
      </c>
      <c r="D202" s="38">
        <f>SUMIF('7'!$C$6:$C$529,"수",'7'!$E$6:$E$529)</f>
        <v>0</v>
      </c>
      <c r="E202" s="36">
        <f>COUNTIF('7'!$N$6:$N$529,"수국")</f>
        <v>0</v>
      </c>
      <c r="F202" s="37" t="s">
        <v>11</v>
      </c>
      <c r="G202" s="38">
        <f>SUMIF('7'!$N$6:$N$529,"수국",'7'!$E$6:$E$529)</f>
        <v>0</v>
      </c>
      <c r="H202" s="36">
        <f>COUNTIF('7'!$N$6:$N$529,"수공")</f>
        <v>0</v>
      </c>
      <c r="I202" s="37" t="s">
        <v>11</v>
      </c>
      <c r="J202" s="38">
        <f>SUMIF('7'!$N$6:$N$529,"수공",'7'!$E$6:$E$529)</f>
        <v>0</v>
      </c>
      <c r="K202" s="36">
        <f t="shared" si="12"/>
        <v>0</v>
      </c>
      <c r="L202" s="37" t="s">
        <v>11</v>
      </c>
      <c r="M202" s="38">
        <f t="shared" si="13"/>
        <v>0</v>
      </c>
      <c r="N202" s="39"/>
      <c r="O202" s="23"/>
      <c r="P202" s="23"/>
      <c r="Q202" s="23"/>
      <c r="R202" s="23"/>
      <c r="S202" s="23"/>
      <c r="T202" s="23"/>
      <c r="U202" s="23"/>
      <c r="V202" s="23"/>
    </row>
    <row r="203" spans="1:22" s="24" customFormat="1" ht="23.1" customHeight="1">
      <c r="A203" s="104" t="s">
        <v>29</v>
      </c>
      <c r="B203" s="36">
        <f>COUNTIF('7'!$C$6:$C$529,"잡")</f>
        <v>0</v>
      </c>
      <c r="C203" s="37" t="s">
        <v>11</v>
      </c>
      <c r="D203" s="38">
        <f>SUMIF('7'!$C$6:$C$529,"잡",'7'!$E$6:$E$529)</f>
        <v>0</v>
      </c>
      <c r="E203" s="36">
        <f>COUNTIF('7'!$N$6:$N$529,"잡국")</f>
        <v>0</v>
      </c>
      <c r="F203" s="37" t="s">
        <v>11</v>
      </c>
      <c r="G203" s="38">
        <f>SUMIF('7'!$N$6:$N$529,"잡국",'7'!$E$6:$E$529)</f>
        <v>0</v>
      </c>
      <c r="H203" s="36">
        <f>COUNTIF('7'!$N$6:$N$529,"잡공")</f>
        <v>0</v>
      </c>
      <c r="I203" s="37" t="s">
        <v>11</v>
      </c>
      <c r="J203" s="38">
        <f>SUMIF('7'!$N$6:$N$529,"잡공",'7'!$E$6:$E$529)</f>
        <v>0</v>
      </c>
      <c r="K203" s="36">
        <f t="shared" si="12"/>
        <v>0</v>
      </c>
      <c r="L203" s="37" t="s">
        <v>11</v>
      </c>
      <c r="M203" s="38">
        <f t="shared" si="13"/>
        <v>0</v>
      </c>
      <c r="N203" s="39"/>
      <c r="O203" s="23"/>
      <c r="P203" s="23"/>
      <c r="Q203" s="23"/>
      <c r="R203" s="23"/>
      <c r="S203" s="23"/>
      <c r="T203" s="23"/>
      <c r="U203" s="23"/>
      <c r="V203" s="23"/>
    </row>
    <row r="204" spans="1:22" s="24" customFormat="1" ht="23.1" customHeight="1">
      <c r="A204" s="105" t="s">
        <v>30</v>
      </c>
      <c r="B204" s="36">
        <f>COUNTIF('7'!$C$6:$C$529,"종")</f>
        <v>0</v>
      </c>
      <c r="C204" s="37" t="s">
        <v>11</v>
      </c>
      <c r="D204" s="38">
        <f>SUMIF('7'!$C$6:$C$529,"종",'7'!$E$6:$E$529)</f>
        <v>0</v>
      </c>
      <c r="E204" s="36">
        <f>COUNTIF('7'!$N$6:$N$529,"종국")</f>
        <v>0</v>
      </c>
      <c r="F204" s="37" t="s">
        <v>11</v>
      </c>
      <c r="G204" s="38">
        <f>SUMIF('7'!$N$6:$N$529,"종국",'7'!$E$6:$E$529)</f>
        <v>0</v>
      </c>
      <c r="H204" s="36">
        <f>COUNTIF('7'!$N$6:$N$529,"종공")</f>
        <v>0</v>
      </c>
      <c r="I204" s="37" t="s">
        <v>11</v>
      </c>
      <c r="J204" s="38">
        <f>SUMIF('7'!$N$6:$N$529,"종공",'7'!$E$6:$E$529)</f>
        <v>0</v>
      </c>
      <c r="K204" s="36">
        <f t="shared" si="12"/>
        <v>0</v>
      </c>
      <c r="L204" s="37" t="s">
        <v>11</v>
      </c>
      <c r="M204" s="38">
        <f t="shared" si="13"/>
        <v>0</v>
      </c>
      <c r="N204" s="39"/>
      <c r="O204" s="23"/>
      <c r="P204" s="23"/>
      <c r="Q204" s="23"/>
      <c r="R204" s="23"/>
      <c r="S204" s="23"/>
      <c r="T204" s="23"/>
      <c r="U204" s="23"/>
      <c r="V204" s="23"/>
    </row>
    <row r="205" spans="1:22" s="24" customFormat="1" ht="23.1" customHeight="1">
      <c r="A205" s="105" t="s">
        <v>31</v>
      </c>
      <c r="B205" s="36">
        <f>COUNTIF('7'!$C$6:$C$529,"염")</f>
        <v>0</v>
      </c>
      <c r="C205" s="37" t="s">
        <v>11</v>
      </c>
      <c r="D205" s="38">
        <f>SUMIF('7'!$C$6:$C$529,"염",'7'!$E$6:$E$529)</f>
        <v>0</v>
      </c>
      <c r="E205" s="36">
        <f>COUNTIF('7'!$N$6:$N$529,"염국")</f>
        <v>0</v>
      </c>
      <c r="F205" s="37" t="s">
        <v>11</v>
      </c>
      <c r="G205" s="38">
        <f>SUMIF('7'!$N$6:$N$529,"염국",'7'!$E$6:$E$529)</f>
        <v>0</v>
      </c>
      <c r="H205" s="36">
        <f>COUNTIF('7'!$N$6:$N$529,"염공")</f>
        <v>0</v>
      </c>
      <c r="I205" s="37" t="s">
        <v>11</v>
      </c>
      <c r="J205" s="38">
        <f>SUMIF('7'!$N$6:$N$529,"염공",'7'!$E$6:$E$529)</f>
        <v>0</v>
      </c>
      <c r="K205" s="36">
        <f t="shared" si="12"/>
        <v>0</v>
      </c>
      <c r="L205" s="37" t="s">
        <v>11</v>
      </c>
      <c r="M205" s="38">
        <f t="shared" si="13"/>
        <v>0</v>
      </c>
      <c r="N205" s="39"/>
      <c r="O205" s="23"/>
      <c r="P205" s="23"/>
      <c r="Q205" s="23"/>
      <c r="R205" s="23"/>
      <c r="S205" s="23"/>
      <c r="T205" s="23"/>
      <c r="U205" s="23"/>
      <c r="V205" s="23"/>
    </row>
    <row r="206" spans="1:22" s="24" customFormat="1" ht="23.1" customHeight="1">
      <c r="A206" s="105" t="s">
        <v>32</v>
      </c>
      <c r="B206" s="36">
        <f>COUNTIF('7'!$C$6:$C$529,"공")</f>
        <v>0</v>
      </c>
      <c r="C206" s="37" t="s">
        <v>11</v>
      </c>
      <c r="D206" s="38">
        <f>SUMIF('7'!$C$6:$C$529,"공",'7'!$E$6:$E$529)</f>
        <v>0</v>
      </c>
      <c r="E206" s="36">
        <f>COUNTIF('7'!$N$6:$N$529,"공국")</f>
        <v>0</v>
      </c>
      <c r="F206" s="37" t="s">
        <v>11</v>
      </c>
      <c r="G206" s="38">
        <f>SUMIF('7'!$N$6:$N$529,"공국",'7'!$E$6:$E$529)</f>
        <v>0</v>
      </c>
      <c r="H206" s="36">
        <f>COUNTIF('7'!$N$6:$N$529,"공공")</f>
        <v>0</v>
      </c>
      <c r="I206" s="37" t="s">
        <v>11</v>
      </c>
      <c r="J206" s="38">
        <f>SUMIF('7'!$N$6:$N$529,"공공",'7'!$E$6:$E$529)</f>
        <v>0</v>
      </c>
      <c r="K206" s="36">
        <f t="shared" si="12"/>
        <v>0</v>
      </c>
      <c r="L206" s="37" t="s">
        <v>11</v>
      </c>
      <c r="M206" s="38">
        <f t="shared" si="13"/>
        <v>0</v>
      </c>
      <c r="N206" s="39"/>
      <c r="O206" s="23"/>
      <c r="P206" s="23"/>
      <c r="Q206" s="23"/>
      <c r="R206" s="23"/>
      <c r="S206" s="23"/>
      <c r="T206" s="23"/>
      <c r="U206" s="23"/>
      <c r="V206" s="23"/>
    </row>
    <row r="207" spans="1:22" s="24" customFormat="1" ht="23.1" customHeight="1">
      <c r="A207" s="105" t="s">
        <v>33</v>
      </c>
      <c r="B207" s="36">
        <f>COUNTIF('7'!$C$6:$C$529,"체")</f>
        <v>0</v>
      </c>
      <c r="C207" s="37" t="s">
        <v>11</v>
      </c>
      <c r="D207" s="38">
        <f>SUMIF('7'!$C$6:$C$529,"체",'7'!$E$6:$E$529)</f>
        <v>0</v>
      </c>
      <c r="E207" s="36">
        <f>COUNTIF('7'!$N$6:$N$529,"체국")</f>
        <v>0</v>
      </c>
      <c r="F207" s="37" t="s">
        <v>11</v>
      </c>
      <c r="G207" s="38">
        <f>SUMIF('7'!$N$6:$N$529,"체국",'7'!$E$6:$E$529)</f>
        <v>0</v>
      </c>
      <c r="H207" s="36">
        <f>COUNTIF('7'!$N$6:$N$529,"체공")</f>
        <v>0</v>
      </c>
      <c r="I207" s="37" t="s">
        <v>11</v>
      </c>
      <c r="J207" s="38">
        <f>SUMIF('7'!$N$6:$N$529,"체공",'7'!$E$6:$E$529)</f>
        <v>0</v>
      </c>
      <c r="K207" s="36">
        <f t="shared" si="12"/>
        <v>0</v>
      </c>
      <c r="L207" s="37" t="s">
        <v>11</v>
      </c>
      <c r="M207" s="38">
        <f t="shared" si="13"/>
        <v>0</v>
      </c>
      <c r="N207" s="39"/>
      <c r="O207" s="23"/>
      <c r="P207" s="23"/>
      <c r="Q207" s="23"/>
      <c r="R207" s="23"/>
      <c r="S207" s="23"/>
      <c r="T207" s="23"/>
      <c r="U207" s="23"/>
      <c r="V207" s="23"/>
    </row>
    <row r="208" spans="1:22" s="24" customFormat="1" ht="23.1" customHeight="1">
      <c r="A208" s="105" t="s">
        <v>34</v>
      </c>
      <c r="B208" s="36">
        <f>COUNTIF('7'!$C$6:$C$529,"원")</f>
        <v>0</v>
      </c>
      <c r="C208" s="37" t="s">
        <v>11</v>
      </c>
      <c r="D208" s="38">
        <f>SUMIF('7'!$C$6:$C$529,"원",'7'!$E$6:$E$529)</f>
        <v>0</v>
      </c>
      <c r="E208" s="36">
        <f>COUNTIF('7'!$N$6:$N$529,"원국")</f>
        <v>0</v>
      </c>
      <c r="F208" s="37" t="s">
        <v>11</v>
      </c>
      <c r="G208" s="38">
        <f>SUMIF('7'!$N$6:$N$529,"원국",'7'!$E$6:$E$529)</f>
        <v>0</v>
      </c>
      <c r="H208" s="36">
        <f>COUNTIF('7'!$N$6:$N$529,"원공")</f>
        <v>0</v>
      </c>
      <c r="I208" s="37" t="s">
        <v>11</v>
      </c>
      <c r="J208" s="38">
        <f>SUMIF('7'!$N$6:$N$529,"원공",'7'!$E$6:$E$529)</f>
        <v>0</v>
      </c>
      <c r="K208" s="36">
        <f t="shared" si="12"/>
        <v>0</v>
      </c>
      <c r="L208" s="37" t="s">
        <v>11</v>
      </c>
      <c r="M208" s="38">
        <f t="shared" si="13"/>
        <v>0</v>
      </c>
      <c r="N208" s="39"/>
      <c r="O208" s="23"/>
      <c r="P208" s="23"/>
      <c r="Q208" s="23"/>
      <c r="R208" s="23"/>
      <c r="S208" s="23"/>
      <c r="T208" s="23"/>
      <c r="U208" s="23"/>
      <c r="V208" s="23"/>
    </row>
    <row r="209" spans="1:22" s="24" customFormat="1" ht="23.1" customHeight="1">
      <c r="A209" s="105" t="s">
        <v>66</v>
      </c>
      <c r="B209" s="36">
        <f>COUNTIF('7'!$C$6:$C$529,"차")</f>
        <v>0</v>
      </c>
      <c r="C209" s="37" t="s">
        <v>11</v>
      </c>
      <c r="D209" s="38">
        <f>SUMIF('7'!$C$6:$C$529,"차",'7'!$E$6:$E$529)</f>
        <v>0</v>
      </c>
      <c r="E209" s="36">
        <f>COUNTIF('7'!$N$6:$N$529,"차국")</f>
        <v>0</v>
      </c>
      <c r="F209" s="37" t="s">
        <v>11</v>
      </c>
      <c r="G209" s="38">
        <f>SUMIF('7'!$N$6:$N$529,"차국",'7'!$E$6:$E$529)</f>
        <v>0</v>
      </c>
      <c r="H209" s="36">
        <f>COUNTIF('7'!$N$6:$N$529,"차공")</f>
        <v>0</v>
      </c>
      <c r="I209" s="37" t="s">
        <v>11</v>
      </c>
      <c r="J209" s="38">
        <f>SUMIF('7'!$N$6:$N$529,"차공",'7'!$E$6:$E$529)</f>
        <v>0</v>
      </c>
      <c r="K209" s="36">
        <f t="shared" si="12"/>
        <v>0</v>
      </c>
      <c r="L209" s="37" t="s">
        <v>11</v>
      </c>
      <c r="M209" s="38">
        <f t="shared" si="13"/>
        <v>0</v>
      </c>
      <c r="N209" s="39"/>
      <c r="O209" s="23"/>
      <c r="P209" s="23"/>
      <c r="Q209" s="23"/>
      <c r="R209" s="23"/>
      <c r="S209" s="23"/>
      <c r="T209" s="23"/>
      <c r="U209" s="23"/>
      <c r="V209" s="23"/>
    </row>
    <row r="210" spans="1:22" s="24" customFormat="1" ht="23.1" customHeight="1">
      <c r="A210" s="105" t="s">
        <v>67</v>
      </c>
      <c r="B210" s="36">
        <f>COUNTIF('7'!$C$6:$C$529,"주")</f>
        <v>0</v>
      </c>
      <c r="C210" s="37" t="s">
        <v>11</v>
      </c>
      <c r="D210" s="38">
        <f>SUMIF('7'!$C$6:$C$529,"주",'7'!$E$6:$E$529)</f>
        <v>0</v>
      </c>
      <c r="E210" s="36">
        <f>COUNTIF('7'!$N$6:$N$529,"주국")</f>
        <v>0</v>
      </c>
      <c r="F210" s="37" t="s">
        <v>11</v>
      </c>
      <c r="G210" s="38">
        <f>SUMIF('7'!$N$6:$N$529,"주국",'7'!$E$6:$E$529)</f>
        <v>0</v>
      </c>
      <c r="H210" s="36">
        <f>COUNTIF('7'!$N$6:$N$529,"주공")</f>
        <v>0</v>
      </c>
      <c r="I210" s="37" t="s">
        <v>11</v>
      </c>
      <c r="J210" s="38">
        <f>SUMIF('7'!$N$6:$N$529,"주공",'7'!$E$6:$E$529)</f>
        <v>0</v>
      </c>
      <c r="K210" s="36">
        <f t="shared" si="12"/>
        <v>0</v>
      </c>
      <c r="L210" s="37" t="s">
        <v>11</v>
      </c>
      <c r="M210" s="38">
        <f t="shared" si="13"/>
        <v>0</v>
      </c>
      <c r="N210" s="39"/>
      <c r="O210" s="23"/>
      <c r="P210" s="23"/>
      <c r="Q210" s="23"/>
      <c r="R210" s="23"/>
      <c r="S210" s="23"/>
      <c r="T210" s="23"/>
      <c r="U210" s="23"/>
      <c r="V210" s="23"/>
    </row>
    <row r="211" spans="1:22" s="24" customFormat="1" ht="23.1" customHeight="1">
      <c r="A211" s="106" t="s">
        <v>68</v>
      </c>
      <c r="B211" s="40">
        <f>COUNTIF('7'!$C$6:$C$529," ")</f>
        <v>0</v>
      </c>
      <c r="C211" s="41" t="s">
        <v>11</v>
      </c>
      <c r="D211" s="42">
        <f>SUMIF('7'!$C$6:$C$529," ",'7'!$E$6:$E$529)</f>
        <v>0</v>
      </c>
      <c r="E211" s="40">
        <f>COUNTIF('7'!$N$6:$N$529," 국")</f>
        <v>0</v>
      </c>
      <c r="F211" s="41" t="s">
        <v>11</v>
      </c>
      <c r="G211" s="42">
        <f>SUMIF('7'!$N$6:$N$529," 국",'7'!$E$6:$E$529)</f>
        <v>0</v>
      </c>
      <c r="H211" s="40">
        <f>COUNTIF('7'!$N$6:$N$529," 공")</f>
        <v>0</v>
      </c>
      <c r="I211" s="41" t="s">
        <v>11</v>
      </c>
      <c r="J211" s="42">
        <f>SUMIF('7'!$N$6:$N$529," 공",'7'!$E$6:$E$529)</f>
        <v>0</v>
      </c>
      <c r="K211" s="40">
        <f t="shared" si="12"/>
        <v>0</v>
      </c>
      <c r="L211" s="41" t="s">
        <v>11</v>
      </c>
      <c r="M211" s="42">
        <f t="shared" si="13"/>
        <v>0</v>
      </c>
      <c r="N211" s="43"/>
      <c r="O211" s="23"/>
      <c r="P211" s="23"/>
      <c r="Q211" s="23"/>
      <c r="R211" s="23"/>
      <c r="S211" s="23"/>
      <c r="T211" s="23"/>
      <c r="U211" s="23"/>
      <c r="V211" s="23"/>
    </row>
    <row r="212" spans="1:22" s="17" customFormat="1" ht="20.100000000000001" customHeight="1">
      <c r="A212" s="11">
        <f>IF(EXACT(O216,O217),,"검산확인요!!!")</f>
        <v>0</v>
      </c>
      <c r="B212" s="12"/>
      <c r="C212" s="12"/>
      <c r="D212" s="12"/>
      <c r="E212" s="12"/>
      <c r="F212" s="12"/>
      <c r="G212" s="12"/>
      <c r="H212" s="12"/>
      <c r="I212" s="12"/>
      <c r="J212" s="12"/>
      <c r="K212" s="13">
        <f>IF(ISBLANK('8'!K2),,'8'!K2)</f>
        <v>3</v>
      </c>
      <c r="L212" s="14"/>
      <c r="M212" s="15"/>
      <c r="N212" s="16"/>
    </row>
    <row r="213" spans="1:22" s="17" customFormat="1" ht="9.9499999999999993" customHeight="1">
      <c r="A213" s="11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</row>
    <row r="214" spans="1:22" s="24" customFormat="1" ht="27.95" customHeight="1">
      <c r="A214" s="18" t="s">
        <v>9</v>
      </c>
      <c r="B214" s="19" t="s">
        <v>8</v>
      </c>
      <c r="C214" s="20"/>
      <c r="D214" s="21"/>
      <c r="E214" s="19" t="s">
        <v>35</v>
      </c>
      <c r="F214" s="20"/>
      <c r="G214" s="21"/>
      <c r="H214" s="19" t="s">
        <v>44</v>
      </c>
      <c r="I214" s="20"/>
      <c r="J214" s="21"/>
      <c r="K214" s="19" t="s">
        <v>36</v>
      </c>
      <c r="L214" s="20"/>
      <c r="M214" s="21"/>
      <c r="N214" s="22" t="s">
        <v>37</v>
      </c>
      <c r="O214" s="23"/>
      <c r="S214" s="23"/>
      <c r="T214" s="23"/>
      <c r="U214" s="23"/>
      <c r="V214" s="23"/>
    </row>
    <row r="215" spans="1:22" s="24" customFormat="1" ht="27.95" customHeight="1">
      <c r="A215" s="25"/>
      <c r="B215" s="26" t="s">
        <v>10</v>
      </c>
      <c r="C215" s="27" t="s">
        <v>11</v>
      </c>
      <c r="D215" s="28" t="s">
        <v>38</v>
      </c>
      <c r="E215" s="26" t="s">
        <v>10</v>
      </c>
      <c r="F215" s="27" t="s">
        <v>11</v>
      </c>
      <c r="G215" s="28" t="s">
        <v>38</v>
      </c>
      <c r="H215" s="26" t="s">
        <v>10</v>
      </c>
      <c r="I215" s="27" t="s">
        <v>11</v>
      </c>
      <c r="J215" s="28" t="s">
        <v>38</v>
      </c>
      <c r="K215" s="26" t="s">
        <v>10</v>
      </c>
      <c r="L215" s="27" t="s">
        <v>11</v>
      </c>
      <c r="M215" s="28" t="s">
        <v>38</v>
      </c>
      <c r="N215" s="29"/>
      <c r="P215" s="23"/>
      <c r="Q215" s="30" t="s">
        <v>39</v>
      </c>
      <c r="R215" s="30" t="s">
        <v>40</v>
      </c>
      <c r="S215" s="30" t="s">
        <v>41</v>
      </c>
      <c r="T215" s="30" t="s">
        <v>42</v>
      </c>
      <c r="U215" s="23"/>
      <c r="V215" s="23"/>
    </row>
    <row r="216" spans="1:22" s="24" customFormat="1" ht="23.1" customHeight="1">
      <c r="A216" s="103" t="s">
        <v>8</v>
      </c>
      <c r="B216" s="31">
        <f>SUM(B217:B241)</f>
        <v>0</v>
      </c>
      <c r="C216" s="32" t="s">
        <v>11</v>
      </c>
      <c r="D216" s="33">
        <f>SUM(D217:D241)</f>
        <v>0</v>
      </c>
      <c r="E216" s="31">
        <f>SUM(E217:E241)</f>
        <v>0</v>
      </c>
      <c r="F216" s="32" t="s">
        <v>11</v>
      </c>
      <c r="G216" s="33">
        <f>SUM(G217:G241)</f>
        <v>0</v>
      </c>
      <c r="H216" s="31">
        <f>SUM(H217:H241)</f>
        <v>0</v>
      </c>
      <c r="I216" s="32" t="s">
        <v>11</v>
      </c>
      <c r="J216" s="33">
        <f>SUM(J217:J241)</f>
        <v>0</v>
      </c>
      <c r="K216" s="31">
        <f>SUM(K217:K241)</f>
        <v>0</v>
      </c>
      <c r="L216" s="32" t="s">
        <v>11</v>
      </c>
      <c r="M216" s="33">
        <f>SUM(M217:M241)</f>
        <v>0</v>
      </c>
      <c r="N216" s="34"/>
      <c r="O216" s="23" t="str">
        <f>IF(EXACT(Q216,T216),"맞음","틀림")</f>
        <v>맞음</v>
      </c>
      <c r="P216" s="23" t="s">
        <v>10</v>
      </c>
      <c r="Q216" s="35">
        <f>SUM(B217:B241)</f>
        <v>0</v>
      </c>
      <c r="R216" s="35">
        <f>SUM(E217:E241)</f>
        <v>0</v>
      </c>
      <c r="S216" s="35">
        <f>SUM(K217:K241)</f>
        <v>0</v>
      </c>
      <c r="T216" s="35">
        <f>K216+E216</f>
        <v>0</v>
      </c>
      <c r="U216" s="23"/>
      <c r="V216" s="23"/>
    </row>
    <row r="217" spans="1:22" s="24" customFormat="1" ht="23.1" customHeight="1">
      <c r="A217" s="104" t="s">
        <v>13</v>
      </c>
      <c r="B217" s="36">
        <f>COUNTIF('8'!$C$6:$C$529,"전")</f>
        <v>0</v>
      </c>
      <c r="C217" s="37" t="s">
        <v>11</v>
      </c>
      <c r="D217" s="38">
        <f>SUMIF('8'!$C$6:$C$529,"전",'8'!$E$6:$E$529)</f>
        <v>0</v>
      </c>
      <c r="E217" s="36">
        <f>COUNTIF('8'!$N$6:$N$529,"전국")</f>
        <v>0</v>
      </c>
      <c r="F217" s="37" t="s">
        <v>11</v>
      </c>
      <c r="G217" s="38">
        <f>SUMIF('8'!$N$6:$N$529,"전국",'8'!$E$6:$E$529)</f>
        <v>0</v>
      </c>
      <c r="H217" s="36">
        <f>COUNTIF('8'!$N$6:$N$529,"전공")</f>
        <v>0</v>
      </c>
      <c r="I217" s="37" t="s">
        <v>11</v>
      </c>
      <c r="J217" s="38">
        <f>SUMIF('8'!$N$6:$N$529,"전공",'8'!$E$6:$E$529)</f>
        <v>0</v>
      </c>
      <c r="K217" s="36">
        <f t="shared" ref="K217:K241" si="14">SUM(B217-E217-H217)</f>
        <v>0</v>
      </c>
      <c r="L217" s="37" t="s">
        <v>11</v>
      </c>
      <c r="M217" s="38">
        <f t="shared" ref="M217:M241" si="15">SUM(D217-G217-J217)</f>
        <v>0</v>
      </c>
      <c r="N217" s="39"/>
      <c r="O217" s="23" t="str">
        <f>IF(EXACT(Q217,T217),"맞음","틀림")</f>
        <v>맞음</v>
      </c>
      <c r="P217" s="23" t="s">
        <v>43</v>
      </c>
      <c r="Q217" s="35">
        <f>SUM(D217:D241)</f>
        <v>0</v>
      </c>
      <c r="R217" s="35">
        <f>SUM(G217:G241)</f>
        <v>0</v>
      </c>
      <c r="S217" s="35">
        <f>SUM(M217:M241)</f>
        <v>0</v>
      </c>
      <c r="T217" s="35">
        <f>G216+M216</f>
        <v>0</v>
      </c>
      <c r="U217" s="23"/>
      <c r="V217" s="23"/>
    </row>
    <row r="218" spans="1:22" s="24" customFormat="1" ht="23.1" customHeight="1">
      <c r="A218" s="104" t="s">
        <v>14</v>
      </c>
      <c r="B218" s="36">
        <f>COUNTIF('8'!$C$6:$C$529,"답")</f>
        <v>0</v>
      </c>
      <c r="C218" s="37" t="s">
        <v>11</v>
      </c>
      <c r="D218" s="38">
        <f>SUMIF('8'!$C$6:$C$529,"답",'8'!$E$6:$E$529)</f>
        <v>0</v>
      </c>
      <c r="E218" s="36">
        <f>COUNTIF('8'!$N$6:$N$529,"답국")</f>
        <v>0</v>
      </c>
      <c r="F218" s="37" t="s">
        <v>11</v>
      </c>
      <c r="G218" s="38">
        <f>SUMIF('8'!$N$6:$N$529,"답국",'8'!$E$6:$E$529)</f>
        <v>0</v>
      </c>
      <c r="H218" s="36">
        <f>COUNTIF('8'!$N$6:$N$529,"답공")</f>
        <v>0</v>
      </c>
      <c r="I218" s="37" t="s">
        <v>11</v>
      </c>
      <c r="J218" s="38">
        <f>SUMIF('8'!$N$6:$N$529,"답공",'8'!$E$6:$E$529)</f>
        <v>0</v>
      </c>
      <c r="K218" s="36">
        <f t="shared" si="14"/>
        <v>0</v>
      </c>
      <c r="L218" s="37" t="s">
        <v>11</v>
      </c>
      <c r="M218" s="38">
        <f t="shared" si="15"/>
        <v>0</v>
      </c>
      <c r="N218" s="39"/>
      <c r="Q218" s="23"/>
      <c r="S218" s="23"/>
      <c r="U218" s="23"/>
      <c r="V218" s="23"/>
    </row>
    <row r="219" spans="1:22" s="24" customFormat="1" ht="23.1" customHeight="1">
      <c r="A219" s="104" t="s">
        <v>15</v>
      </c>
      <c r="B219" s="36">
        <f>COUNTIF('8'!$C$6:$C$529,"임")</f>
        <v>0</v>
      </c>
      <c r="C219" s="37" t="s">
        <v>11</v>
      </c>
      <c r="D219" s="38">
        <f>SUMIF('8'!$C$6:$C$529,"임",'8'!$E$6:$E$529)</f>
        <v>0</v>
      </c>
      <c r="E219" s="36">
        <f>COUNTIF('8'!$N$6:$N$529,"임국")</f>
        <v>0</v>
      </c>
      <c r="F219" s="37" t="s">
        <v>11</v>
      </c>
      <c r="G219" s="38">
        <f>SUMIF('8'!$N$6:$N$529,"임국",'8'!$E$6:$E$529)</f>
        <v>0</v>
      </c>
      <c r="H219" s="36">
        <f>COUNTIF('8'!$N$6:$N$529,"임공")</f>
        <v>0</v>
      </c>
      <c r="I219" s="37" t="s">
        <v>11</v>
      </c>
      <c r="J219" s="38">
        <f>SUMIF('8'!$N$6:$N$529,"임공",'8'!$E$6:$E$529)</f>
        <v>0</v>
      </c>
      <c r="K219" s="36">
        <f t="shared" si="14"/>
        <v>0</v>
      </c>
      <c r="L219" s="37" t="s">
        <v>11</v>
      </c>
      <c r="M219" s="38">
        <f t="shared" si="15"/>
        <v>0</v>
      </c>
      <c r="N219" s="39"/>
      <c r="Q219" s="23"/>
      <c r="S219" s="23"/>
      <c r="U219" s="23"/>
      <c r="V219" s="23"/>
    </row>
    <row r="220" spans="1:22" s="24" customFormat="1" ht="23.1" customHeight="1">
      <c r="A220" s="104" t="s">
        <v>16</v>
      </c>
      <c r="B220" s="36">
        <f>COUNTIF('8'!$C$6:$C$529,"대")</f>
        <v>0</v>
      </c>
      <c r="C220" s="37" t="s">
        <v>11</v>
      </c>
      <c r="D220" s="38">
        <f>SUMIF('8'!$C$6:$C$529,"대",'8'!$E$6:$E$529)</f>
        <v>0</v>
      </c>
      <c r="E220" s="36">
        <f>COUNTIF('8'!$N$6:$N$529,"대국")</f>
        <v>0</v>
      </c>
      <c r="F220" s="37" t="s">
        <v>11</v>
      </c>
      <c r="G220" s="38">
        <f>SUMIF('8'!$N$6:$N$529,"대국",'8'!$E$6:$E$529)</f>
        <v>0</v>
      </c>
      <c r="H220" s="36">
        <f>COUNTIF('8'!$N$6:$N$529,"대공")</f>
        <v>0</v>
      </c>
      <c r="I220" s="37" t="s">
        <v>11</v>
      </c>
      <c r="J220" s="38">
        <f>SUMIF('8'!$N$6:$N$529,"대공",'8'!$E$6:$E$529)</f>
        <v>0</v>
      </c>
      <c r="K220" s="36">
        <f t="shared" si="14"/>
        <v>0</v>
      </c>
      <c r="L220" s="37" t="s">
        <v>11</v>
      </c>
      <c r="M220" s="38">
        <f t="shared" si="15"/>
        <v>0</v>
      </c>
      <c r="N220" s="39"/>
      <c r="O220" s="23"/>
      <c r="P220" s="23"/>
      <c r="Q220" s="23"/>
      <c r="R220" s="23"/>
      <c r="S220" s="23"/>
      <c r="T220" s="23"/>
      <c r="U220" s="23"/>
      <c r="V220" s="23"/>
    </row>
    <row r="221" spans="1:22" s="24" customFormat="1" ht="23.1" customHeight="1">
      <c r="A221" s="104" t="s">
        <v>17</v>
      </c>
      <c r="B221" s="36">
        <f>COUNTIF('8'!$C$6:$C$529,"도")</f>
        <v>0</v>
      </c>
      <c r="C221" s="37" t="s">
        <v>11</v>
      </c>
      <c r="D221" s="38">
        <f>SUMIF('8'!$C$6:$C$529,"도",'8'!$E$6:$E$529)</f>
        <v>0</v>
      </c>
      <c r="E221" s="36">
        <f>COUNTIF('8'!$N$6:$N$529,"도국")</f>
        <v>0</v>
      </c>
      <c r="F221" s="37" t="s">
        <v>11</v>
      </c>
      <c r="G221" s="38">
        <f>SUMIF('8'!$N$6:$N$529,"도국",'8'!$E$6:$E$529)</f>
        <v>0</v>
      </c>
      <c r="H221" s="36">
        <f>COUNTIF('8'!$N$6:$N$529,"도공")</f>
        <v>0</v>
      </c>
      <c r="I221" s="37" t="s">
        <v>11</v>
      </c>
      <c r="J221" s="38">
        <f>SUMIF('8'!$N$6:$N$529,"도공",'8'!$E$6:$E$529)</f>
        <v>0</v>
      </c>
      <c r="K221" s="36">
        <f t="shared" si="14"/>
        <v>0</v>
      </c>
      <c r="L221" s="37" t="s">
        <v>11</v>
      </c>
      <c r="M221" s="38">
        <f t="shared" si="15"/>
        <v>0</v>
      </c>
      <c r="N221" s="39"/>
      <c r="O221" s="23"/>
      <c r="P221" s="23"/>
      <c r="Q221" s="23"/>
      <c r="R221" s="23"/>
      <c r="S221" s="23"/>
      <c r="T221" s="23"/>
      <c r="U221" s="23"/>
      <c r="V221" s="23"/>
    </row>
    <row r="222" spans="1:22" s="24" customFormat="1" ht="23.1" customHeight="1">
      <c r="A222" s="104" t="s">
        <v>18</v>
      </c>
      <c r="B222" s="36">
        <f>COUNTIF('8'!$C$6:$C$529,"구")</f>
        <v>0</v>
      </c>
      <c r="C222" s="37" t="s">
        <v>11</v>
      </c>
      <c r="D222" s="38">
        <f>SUMIF('8'!$C$6:$C$529,"구",'8'!$E$6:$E$529)</f>
        <v>0</v>
      </c>
      <c r="E222" s="36">
        <f>COUNTIF('8'!$N$6:$N$529,"구국")</f>
        <v>0</v>
      </c>
      <c r="F222" s="37" t="s">
        <v>11</v>
      </c>
      <c r="G222" s="38">
        <f>SUMIF('8'!$N$6:$N$529,"구국",'8'!$E$6:$E$529)</f>
        <v>0</v>
      </c>
      <c r="H222" s="36">
        <f>COUNTIF('8'!$N$6:$N$529,"구공")</f>
        <v>0</v>
      </c>
      <c r="I222" s="37" t="s">
        <v>11</v>
      </c>
      <c r="J222" s="38">
        <f>SUMIF('8'!$N$6:$N$529,"구공",'8'!$E$6:$E$529)</f>
        <v>0</v>
      </c>
      <c r="K222" s="36">
        <f t="shared" si="14"/>
        <v>0</v>
      </c>
      <c r="L222" s="37" t="s">
        <v>11</v>
      </c>
      <c r="M222" s="38">
        <f t="shared" si="15"/>
        <v>0</v>
      </c>
      <c r="N222" s="39"/>
      <c r="O222" s="23"/>
      <c r="P222" s="23"/>
      <c r="Q222" s="23"/>
      <c r="R222" s="23"/>
      <c r="S222" s="23"/>
      <c r="T222" s="23"/>
      <c r="U222" s="23"/>
      <c r="V222" s="23"/>
    </row>
    <row r="223" spans="1:22" s="24" customFormat="1" ht="23.1" customHeight="1">
      <c r="A223" s="104" t="s">
        <v>19</v>
      </c>
      <c r="B223" s="36">
        <f>COUNTIF('8'!$C$6:$C$529,"천")</f>
        <v>0</v>
      </c>
      <c r="C223" s="37" t="s">
        <v>11</v>
      </c>
      <c r="D223" s="38">
        <f>SUMIF('8'!$C$6:$C$529,"천",'8'!$E$6:$E$529)</f>
        <v>0</v>
      </c>
      <c r="E223" s="36">
        <f>COUNTIF('8'!$N$6:$N$529,"천국")</f>
        <v>0</v>
      </c>
      <c r="F223" s="37" t="s">
        <v>11</v>
      </c>
      <c r="G223" s="38">
        <f>SUMIF('8'!$N$6:$N$529,"천국",'8'!$E$6:$E$529)</f>
        <v>0</v>
      </c>
      <c r="H223" s="36">
        <f>COUNTIF('8'!$N$6:$N$529,"천공")</f>
        <v>0</v>
      </c>
      <c r="I223" s="37" t="s">
        <v>11</v>
      </c>
      <c r="J223" s="38">
        <f>SUMIF('8'!$N$6:$N$529,"천공",'8'!$E$6:$E$529)</f>
        <v>0</v>
      </c>
      <c r="K223" s="36">
        <f t="shared" si="14"/>
        <v>0</v>
      </c>
      <c r="L223" s="37" t="s">
        <v>11</v>
      </c>
      <c r="M223" s="38">
        <f t="shared" si="15"/>
        <v>0</v>
      </c>
      <c r="N223" s="39"/>
      <c r="O223" s="23"/>
      <c r="P223" s="23"/>
      <c r="Q223" s="23"/>
      <c r="R223" s="23"/>
      <c r="S223" s="23"/>
      <c r="T223" s="23"/>
      <c r="U223" s="23"/>
      <c r="V223" s="23"/>
    </row>
    <row r="224" spans="1:22" s="24" customFormat="1" ht="23.1" customHeight="1">
      <c r="A224" s="104" t="s">
        <v>20</v>
      </c>
      <c r="B224" s="36">
        <f>COUNTIF('8'!$C$6:$C$529,"유")</f>
        <v>0</v>
      </c>
      <c r="C224" s="37" t="s">
        <v>11</v>
      </c>
      <c r="D224" s="38">
        <f>SUMIF('8'!$C$6:$C$529,"유",'8'!$E$6:$E$529)</f>
        <v>0</v>
      </c>
      <c r="E224" s="36">
        <f>COUNTIF('8'!$N$6:$N$529,"유국")</f>
        <v>0</v>
      </c>
      <c r="F224" s="37" t="s">
        <v>11</v>
      </c>
      <c r="G224" s="38">
        <f>SUMIF('8'!$N$6:$N$529,"유국",'8'!$E$6:$E$529)</f>
        <v>0</v>
      </c>
      <c r="H224" s="36">
        <f>COUNTIF('8'!$N$6:$N$529,"유공")</f>
        <v>0</v>
      </c>
      <c r="I224" s="37" t="s">
        <v>11</v>
      </c>
      <c r="J224" s="38">
        <f>SUMIF('8'!$N$6:$N$529,"유공",'8'!$E$6:$E$529)</f>
        <v>0</v>
      </c>
      <c r="K224" s="36">
        <f t="shared" si="14"/>
        <v>0</v>
      </c>
      <c r="L224" s="37" t="s">
        <v>11</v>
      </c>
      <c r="M224" s="38">
        <f t="shared" si="15"/>
        <v>0</v>
      </c>
      <c r="N224" s="39"/>
      <c r="O224" s="23"/>
      <c r="P224" s="23"/>
      <c r="Q224" s="23"/>
      <c r="R224" s="23"/>
      <c r="S224" s="23"/>
      <c r="T224" s="23"/>
      <c r="U224" s="23"/>
      <c r="V224" s="23"/>
    </row>
    <row r="225" spans="1:22" s="24" customFormat="1" ht="23.1" customHeight="1">
      <c r="A225" s="104" t="s">
        <v>21</v>
      </c>
      <c r="B225" s="36">
        <f>COUNTIF('8'!$C$6:$C$529,"제")</f>
        <v>0</v>
      </c>
      <c r="C225" s="37" t="s">
        <v>11</v>
      </c>
      <c r="D225" s="38">
        <f>SUMIF('8'!$C$6:$C$529,"제",'8'!$E$6:$E$529)</f>
        <v>0</v>
      </c>
      <c r="E225" s="36">
        <f>COUNTIF('8'!$N$6:$N$529,"제국")</f>
        <v>0</v>
      </c>
      <c r="F225" s="37" t="s">
        <v>11</v>
      </c>
      <c r="G225" s="38">
        <f>SUMIF('8'!$N$6:$N$529,"제국",'8'!$E$6:$E$529)</f>
        <v>0</v>
      </c>
      <c r="H225" s="36">
        <f>COUNTIF('8'!$N$6:$N$529,"제공")</f>
        <v>0</v>
      </c>
      <c r="I225" s="37" t="s">
        <v>11</v>
      </c>
      <c r="J225" s="38">
        <f>SUMIF('8'!$N$6:$N$529,"제공",'8'!$E$6:$E$529)</f>
        <v>0</v>
      </c>
      <c r="K225" s="36">
        <f t="shared" si="14"/>
        <v>0</v>
      </c>
      <c r="L225" s="37" t="s">
        <v>11</v>
      </c>
      <c r="M225" s="38">
        <f t="shared" si="15"/>
        <v>0</v>
      </c>
      <c r="N225" s="39"/>
      <c r="O225" s="23"/>
      <c r="P225" s="23"/>
      <c r="Q225" s="23"/>
      <c r="R225" s="23"/>
      <c r="S225" s="23"/>
      <c r="T225" s="23"/>
      <c r="U225" s="23"/>
      <c r="V225" s="23"/>
    </row>
    <row r="226" spans="1:22" s="24" customFormat="1" ht="23.1" customHeight="1">
      <c r="A226" s="104" t="s">
        <v>22</v>
      </c>
      <c r="B226" s="36">
        <f>COUNTIF('8'!$C$6:$C$529,"과")</f>
        <v>0</v>
      </c>
      <c r="C226" s="37" t="s">
        <v>11</v>
      </c>
      <c r="D226" s="38">
        <f>SUMIF('8'!$C$6:$C$529,"과",'8'!$E$6:$E$529)</f>
        <v>0</v>
      </c>
      <c r="E226" s="36">
        <f>COUNTIF('8'!$N$6:$N$529,"과국")</f>
        <v>0</v>
      </c>
      <c r="F226" s="37" t="s">
        <v>11</v>
      </c>
      <c r="G226" s="38">
        <f>SUMIF('8'!$N$6:$N$529,"과국",'8'!$E$6:$E$529)</f>
        <v>0</v>
      </c>
      <c r="H226" s="36">
        <f>COUNTIF('8'!$N$6:$N$529,"과공")</f>
        <v>0</v>
      </c>
      <c r="I226" s="37" t="s">
        <v>11</v>
      </c>
      <c r="J226" s="38">
        <f>SUMIF('8'!$N$6:$N$529,"과공",'8'!$E$6:$E$529)</f>
        <v>0</v>
      </c>
      <c r="K226" s="36">
        <f t="shared" si="14"/>
        <v>0</v>
      </c>
      <c r="L226" s="37" t="s">
        <v>11</v>
      </c>
      <c r="M226" s="38">
        <f t="shared" si="15"/>
        <v>0</v>
      </c>
      <c r="N226" s="39"/>
      <c r="O226" s="23"/>
      <c r="P226" s="23"/>
      <c r="Q226" s="23"/>
      <c r="R226" s="23"/>
      <c r="S226" s="23"/>
      <c r="T226" s="23"/>
      <c r="U226" s="23"/>
      <c r="V226" s="23"/>
    </row>
    <row r="227" spans="1:22" s="24" customFormat="1" ht="23.1" customHeight="1">
      <c r="A227" s="104" t="s">
        <v>23</v>
      </c>
      <c r="B227" s="36">
        <f>COUNTIF('8'!$C$6:$C$529,"장")</f>
        <v>0</v>
      </c>
      <c r="C227" s="37" t="s">
        <v>11</v>
      </c>
      <c r="D227" s="38">
        <f>SUMIF('8'!$C$6:$C$529,"장",'8'!$E$6:$E$529)</f>
        <v>0</v>
      </c>
      <c r="E227" s="36">
        <f>COUNTIF('8'!$N$6:$N$529,"장국")</f>
        <v>0</v>
      </c>
      <c r="F227" s="37" t="s">
        <v>11</v>
      </c>
      <c r="G227" s="38">
        <f>SUMIF('8'!$N$6:$N$529,"장국",'8'!$E$6:$E$529)</f>
        <v>0</v>
      </c>
      <c r="H227" s="36">
        <f>COUNTIF('8'!$N$6:$N$529,"장공")</f>
        <v>0</v>
      </c>
      <c r="I227" s="37" t="s">
        <v>11</v>
      </c>
      <c r="J227" s="38">
        <f>SUMIF('8'!$N$6:$N$529,"장공",'8'!$E$6:$E$529)</f>
        <v>0</v>
      </c>
      <c r="K227" s="36">
        <f t="shared" si="14"/>
        <v>0</v>
      </c>
      <c r="L227" s="37" t="s">
        <v>11</v>
      </c>
      <c r="M227" s="38">
        <f t="shared" si="15"/>
        <v>0</v>
      </c>
      <c r="N227" s="39"/>
      <c r="O227" s="23"/>
      <c r="P227" s="23"/>
      <c r="Q227" s="23"/>
      <c r="R227" s="23"/>
      <c r="S227" s="23"/>
      <c r="T227" s="23"/>
      <c r="U227" s="23"/>
      <c r="V227" s="23"/>
    </row>
    <row r="228" spans="1:22" s="24" customFormat="1" ht="23.1" customHeight="1">
      <c r="A228" s="104" t="s">
        <v>24</v>
      </c>
      <c r="B228" s="36">
        <f>COUNTIF('8'!$C$6:$C$529,"목")</f>
        <v>0</v>
      </c>
      <c r="C228" s="37" t="s">
        <v>11</v>
      </c>
      <c r="D228" s="38">
        <f>SUMIF('8'!$C$6:$C$529,"목",'8'!$E$6:$E$529)</f>
        <v>0</v>
      </c>
      <c r="E228" s="36">
        <f>COUNTIF('8'!$N$6:$N$529,"목국")</f>
        <v>0</v>
      </c>
      <c r="F228" s="37" t="s">
        <v>11</v>
      </c>
      <c r="G228" s="38">
        <f>SUMIF('8'!$N$6:$N$529,"목국",'8'!$E$6:$E$529)</f>
        <v>0</v>
      </c>
      <c r="H228" s="36">
        <f>COUNTIF('8'!$N$6:$N$529,"목공")</f>
        <v>0</v>
      </c>
      <c r="I228" s="37" t="s">
        <v>11</v>
      </c>
      <c r="J228" s="38">
        <f>SUMIF('8'!$N$6:$N$529,"목공",'8'!$E$6:$E$529)</f>
        <v>0</v>
      </c>
      <c r="K228" s="36">
        <f t="shared" si="14"/>
        <v>0</v>
      </c>
      <c r="L228" s="37" t="s">
        <v>11</v>
      </c>
      <c r="M228" s="38">
        <f t="shared" si="15"/>
        <v>0</v>
      </c>
      <c r="N228" s="39"/>
      <c r="O228" s="23"/>
      <c r="P228" s="23"/>
      <c r="Q228" s="23"/>
      <c r="R228" s="23"/>
      <c r="S228" s="23"/>
      <c r="T228" s="23"/>
      <c r="U228" s="23"/>
      <c r="V228" s="23"/>
    </row>
    <row r="229" spans="1:22" s="24" customFormat="1" ht="23.1" customHeight="1">
      <c r="A229" s="104" t="s">
        <v>25</v>
      </c>
      <c r="B229" s="36">
        <f>COUNTIF('8'!$C$6:$C$529,"학")</f>
        <v>0</v>
      </c>
      <c r="C229" s="37" t="s">
        <v>11</v>
      </c>
      <c r="D229" s="38">
        <f>SUMIF('8'!$C$6:$C$529,"학",'8'!$E$6:$E$529)</f>
        <v>0</v>
      </c>
      <c r="E229" s="36">
        <f>COUNTIF('8'!$N$6:$N$529,"학국")</f>
        <v>0</v>
      </c>
      <c r="F229" s="37" t="s">
        <v>11</v>
      </c>
      <c r="G229" s="38">
        <f>SUMIF('8'!$N$6:$N$529,"학국",'8'!$E$6:$E$529)</f>
        <v>0</v>
      </c>
      <c r="H229" s="36">
        <f>COUNTIF('8'!$N$6:$N$529,"학공")</f>
        <v>0</v>
      </c>
      <c r="I229" s="37" t="s">
        <v>11</v>
      </c>
      <c r="J229" s="38">
        <f>SUMIF('8'!$N$6:$N$529,"학공",'8'!$E$6:$E$529)</f>
        <v>0</v>
      </c>
      <c r="K229" s="36">
        <f t="shared" si="14"/>
        <v>0</v>
      </c>
      <c r="L229" s="37" t="s">
        <v>11</v>
      </c>
      <c r="M229" s="38">
        <f t="shared" si="15"/>
        <v>0</v>
      </c>
      <c r="N229" s="39"/>
      <c r="O229" s="23"/>
      <c r="P229" s="23"/>
      <c r="Q229" s="23"/>
      <c r="R229" s="23"/>
      <c r="S229" s="23"/>
      <c r="T229" s="23"/>
      <c r="U229" s="23"/>
      <c r="V229" s="23"/>
    </row>
    <row r="230" spans="1:22" s="24" customFormat="1" ht="23.1" customHeight="1">
      <c r="A230" s="104" t="s">
        <v>26</v>
      </c>
      <c r="B230" s="36">
        <f>COUNTIF('8'!$C$6:$C$529,"철")</f>
        <v>0</v>
      </c>
      <c r="C230" s="37" t="s">
        <v>11</v>
      </c>
      <c r="D230" s="38">
        <f>SUMIF('8'!$C$6:$C$529,"철",'8'!$E$6:$E$529)</f>
        <v>0</v>
      </c>
      <c r="E230" s="36">
        <f>COUNTIF('8'!$N$6:$N$529,"철국")</f>
        <v>0</v>
      </c>
      <c r="F230" s="37" t="s">
        <v>11</v>
      </c>
      <c r="G230" s="38">
        <f>SUMIF('8'!$N$6:$N$529,"철국",'8'!$E$6:$E$529)</f>
        <v>0</v>
      </c>
      <c r="H230" s="36">
        <f>COUNTIF('8'!$N$6:$N$529,"철공")</f>
        <v>0</v>
      </c>
      <c r="I230" s="37" t="s">
        <v>11</v>
      </c>
      <c r="J230" s="38">
        <f>SUMIF('8'!$N$6:$N$529,"철공",'8'!$E$6:$E$529)</f>
        <v>0</v>
      </c>
      <c r="K230" s="36">
        <f t="shared" si="14"/>
        <v>0</v>
      </c>
      <c r="L230" s="37" t="s">
        <v>11</v>
      </c>
      <c r="M230" s="38">
        <f t="shared" si="15"/>
        <v>0</v>
      </c>
      <c r="N230" s="39"/>
      <c r="O230" s="23"/>
      <c r="P230" s="23"/>
      <c r="Q230" s="23"/>
      <c r="R230" s="23"/>
      <c r="S230" s="23"/>
      <c r="T230" s="23"/>
      <c r="U230" s="23"/>
      <c r="V230" s="23"/>
    </row>
    <row r="231" spans="1:22" s="24" customFormat="1" ht="23.1" customHeight="1">
      <c r="A231" s="104" t="s">
        <v>27</v>
      </c>
      <c r="B231" s="36">
        <f>COUNTIF('8'!$C$6:$C$529,"묘")</f>
        <v>0</v>
      </c>
      <c r="C231" s="37" t="s">
        <v>11</v>
      </c>
      <c r="D231" s="38">
        <f>SUMIF('8'!$C$6:$C$529,"묘",'8'!$E$6:$E$529)</f>
        <v>0</v>
      </c>
      <c r="E231" s="36">
        <f>COUNTIF('8'!$N$6:$N$529,"묘국")</f>
        <v>0</v>
      </c>
      <c r="F231" s="37" t="s">
        <v>11</v>
      </c>
      <c r="G231" s="38">
        <f>SUMIF('8'!$N$6:$N$529,"묘국",'8'!$E$6:$E$529)</f>
        <v>0</v>
      </c>
      <c r="H231" s="36">
        <f>COUNTIF('8'!$N$6:$N$529,"묘공")</f>
        <v>0</v>
      </c>
      <c r="I231" s="37" t="s">
        <v>11</v>
      </c>
      <c r="J231" s="38">
        <f>SUMIF('8'!$N$6:$N$529,"묘공",'8'!$E$6:$E$529)</f>
        <v>0</v>
      </c>
      <c r="K231" s="36">
        <f t="shared" si="14"/>
        <v>0</v>
      </c>
      <c r="L231" s="37" t="s">
        <v>11</v>
      </c>
      <c r="M231" s="38">
        <f t="shared" si="15"/>
        <v>0</v>
      </c>
      <c r="N231" s="39"/>
      <c r="O231" s="23"/>
      <c r="P231" s="23"/>
      <c r="Q231" s="23"/>
      <c r="R231" s="23"/>
      <c r="S231" s="23"/>
      <c r="T231" s="23"/>
      <c r="U231" s="23"/>
      <c r="V231" s="23"/>
    </row>
    <row r="232" spans="1:22" s="24" customFormat="1" ht="23.1" customHeight="1">
      <c r="A232" s="104" t="s">
        <v>28</v>
      </c>
      <c r="B232" s="36">
        <f>COUNTIF('8'!$C$6:$C$529,"수")</f>
        <v>0</v>
      </c>
      <c r="C232" s="37" t="s">
        <v>11</v>
      </c>
      <c r="D232" s="38">
        <f>SUMIF('8'!$C$6:$C$529,"수",'8'!$E$6:$E$529)</f>
        <v>0</v>
      </c>
      <c r="E232" s="36">
        <f>COUNTIF('8'!$N$6:$N$529,"수국")</f>
        <v>0</v>
      </c>
      <c r="F232" s="37" t="s">
        <v>11</v>
      </c>
      <c r="G232" s="38">
        <f>SUMIF('8'!$N$6:$N$529,"수국",'8'!$E$6:$E$529)</f>
        <v>0</v>
      </c>
      <c r="H232" s="36">
        <f>COUNTIF('8'!$N$6:$N$529,"수공")</f>
        <v>0</v>
      </c>
      <c r="I232" s="37" t="s">
        <v>11</v>
      </c>
      <c r="J232" s="38">
        <f>SUMIF('8'!$N$6:$N$529,"수공",'8'!$E$6:$E$529)</f>
        <v>0</v>
      </c>
      <c r="K232" s="36">
        <f t="shared" si="14"/>
        <v>0</v>
      </c>
      <c r="L232" s="37" t="s">
        <v>11</v>
      </c>
      <c r="M232" s="38">
        <f t="shared" si="15"/>
        <v>0</v>
      </c>
      <c r="N232" s="39"/>
      <c r="O232" s="23"/>
      <c r="P232" s="23"/>
      <c r="Q232" s="23"/>
      <c r="R232" s="23"/>
      <c r="S232" s="23"/>
      <c r="T232" s="23"/>
      <c r="U232" s="23"/>
      <c r="V232" s="23"/>
    </row>
    <row r="233" spans="1:22" s="24" customFormat="1" ht="23.1" customHeight="1">
      <c r="A233" s="104" t="s">
        <v>29</v>
      </c>
      <c r="B233" s="36">
        <f>COUNTIF('8'!$C$6:$C$529,"잡")</f>
        <v>0</v>
      </c>
      <c r="C233" s="37" t="s">
        <v>11</v>
      </c>
      <c r="D233" s="38">
        <f>SUMIF('8'!$C$6:$C$529,"잡",'8'!$E$6:$E$529)</f>
        <v>0</v>
      </c>
      <c r="E233" s="36">
        <f>COUNTIF('8'!$N$6:$N$529,"잡국")</f>
        <v>0</v>
      </c>
      <c r="F233" s="37" t="s">
        <v>11</v>
      </c>
      <c r="G233" s="38">
        <f>SUMIF('8'!$N$6:$N$529,"잡국",'8'!$E$6:$E$529)</f>
        <v>0</v>
      </c>
      <c r="H233" s="36">
        <f>COUNTIF('8'!$N$6:$N$529,"잡공")</f>
        <v>0</v>
      </c>
      <c r="I233" s="37" t="s">
        <v>11</v>
      </c>
      <c r="J233" s="38">
        <f>SUMIF('8'!$N$6:$N$529,"잡공",'8'!$E$6:$E$529)</f>
        <v>0</v>
      </c>
      <c r="K233" s="36">
        <f t="shared" si="14"/>
        <v>0</v>
      </c>
      <c r="L233" s="37" t="s">
        <v>11</v>
      </c>
      <c r="M233" s="38">
        <f t="shared" si="15"/>
        <v>0</v>
      </c>
      <c r="N233" s="39"/>
      <c r="O233" s="23"/>
      <c r="P233" s="23"/>
      <c r="Q233" s="23"/>
      <c r="R233" s="23"/>
      <c r="S233" s="23"/>
      <c r="T233" s="23"/>
      <c r="U233" s="23"/>
      <c r="V233" s="23"/>
    </row>
    <row r="234" spans="1:22" s="24" customFormat="1" ht="23.1" customHeight="1">
      <c r="A234" s="105" t="s">
        <v>30</v>
      </c>
      <c r="B234" s="36">
        <f>COUNTIF('8'!$C$6:$C$529,"종")</f>
        <v>0</v>
      </c>
      <c r="C234" s="37" t="s">
        <v>11</v>
      </c>
      <c r="D234" s="38">
        <f>SUMIF('8'!$C$6:$C$529,"종",'8'!$E$6:$E$529)</f>
        <v>0</v>
      </c>
      <c r="E234" s="36">
        <f>COUNTIF('8'!$N$6:$N$529,"종국")</f>
        <v>0</v>
      </c>
      <c r="F234" s="37" t="s">
        <v>11</v>
      </c>
      <c r="G234" s="38">
        <f>SUMIF('8'!$N$6:$N$529,"종국",'8'!$E$6:$E$529)</f>
        <v>0</v>
      </c>
      <c r="H234" s="36">
        <f>COUNTIF('8'!$N$6:$N$529,"종공")</f>
        <v>0</v>
      </c>
      <c r="I234" s="37" t="s">
        <v>11</v>
      </c>
      <c r="J234" s="38">
        <f>SUMIF('8'!$N$6:$N$529,"종공",'8'!$E$6:$E$529)</f>
        <v>0</v>
      </c>
      <c r="K234" s="36">
        <f t="shared" si="14"/>
        <v>0</v>
      </c>
      <c r="L234" s="37" t="s">
        <v>11</v>
      </c>
      <c r="M234" s="38">
        <f t="shared" si="15"/>
        <v>0</v>
      </c>
      <c r="N234" s="39"/>
      <c r="O234" s="23"/>
      <c r="P234" s="23"/>
      <c r="Q234" s="23"/>
      <c r="R234" s="23"/>
      <c r="S234" s="23"/>
      <c r="T234" s="23"/>
      <c r="U234" s="23"/>
      <c r="V234" s="23"/>
    </row>
    <row r="235" spans="1:22" s="24" customFormat="1" ht="23.1" customHeight="1">
      <c r="A235" s="105" t="s">
        <v>31</v>
      </c>
      <c r="B235" s="36">
        <f>COUNTIF('8'!$C$6:$C$529,"염")</f>
        <v>0</v>
      </c>
      <c r="C235" s="37" t="s">
        <v>11</v>
      </c>
      <c r="D235" s="38">
        <f>SUMIF('8'!$C$6:$C$529,"염",'8'!$E$6:$E$529)</f>
        <v>0</v>
      </c>
      <c r="E235" s="36">
        <f>COUNTIF('8'!$N$6:$N$529,"염국")</f>
        <v>0</v>
      </c>
      <c r="F235" s="37" t="s">
        <v>11</v>
      </c>
      <c r="G235" s="38">
        <f>SUMIF('8'!$N$6:$N$529,"염국",'8'!$E$6:$E$529)</f>
        <v>0</v>
      </c>
      <c r="H235" s="36">
        <f>COUNTIF('8'!$N$6:$N$529,"염공")</f>
        <v>0</v>
      </c>
      <c r="I235" s="37" t="s">
        <v>11</v>
      </c>
      <c r="J235" s="38">
        <f>SUMIF('8'!$N$6:$N$529,"염공",'8'!$E$6:$E$529)</f>
        <v>0</v>
      </c>
      <c r="K235" s="36">
        <f t="shared" si="14"/>
        <v>0</v>
      </c>
      <c r="L235" s="37" t="s">
        <v>11</v>
      </c>
      <c r="M235" s="38">
        <f t="shared" si="15"/>
        <v>0</v>
      </c>
      <c r="N235" s="39"/>
      <c r="O235" s="23"/>
      <c r="P235" s="23"/>
      <c r="Q235" s="23"/>
      <c r="R235" s="23"/>
      <c r="S235" s="23"/>
      <c r="T235" s="23"/>
      <c r="U235" s="23"/>
      <c r="V235" s="23"/>
    </row>
    <row r="236" spans="1:22" s="24" customFormat="1" ht="23.1" customHeight="1">
      <c r="A236" s="105" t="s">
        <v>32</v>
      </c>
      <c r="B236" s="36">
        <f>COUNTIF('8'!$C$6:$C$529,"공")</f>
        <v>0</v>
      </c>
      <c r="C236" s="37" t="s">
        <v>11</v>
      </c>
      <c r="D236" s="38">
        <f>SUMIF('8'!$C$6:$C$529,"공",'8'!$E$6:$E$529)</f>
        <v>0</v>
      </c>
      <c r="E236" s="36">
        <f>COUNTIF('8'!$N$6:$N$529,"공국")</f>
        <v>0</v>
      </c>
      <c r="F236" s="37" t="s">
        <v>11</v>
      </c>
      <c r="G236" s="38">
        <f>SUMIF('8'!$N$6:$N$529,"공국",'8'!$E$6:$E$529)</f>
        <v>0</v>
      </c>
      <c r="H236" s="36">
        <f>COUNTIF('8'!$N$6:$N$529,"공공")</f>
        <v>0</v>
      </c>
      <c r="I236" s="37" t="s">
        <v>11</v>
      </c>
      <c r="J236" s="38">
        <f>SUMIF('8'!$N$6:$N$529,"공공",'8'!$E$6:$E$529)</f>
        <v>0</v>
      </c>
      <c r="K236" s="36">
        <f t="shared" si="14"/>
        <v>0</v>
      </c>
      <c r="L236" s="37" t="s">
        <v>11</v>
      </c>
      <c r="M236" s="38">
        <f t="shared" si="15"/>
        <v>0</v>
      </c>
      <c r="N236" s="39"/>
      <c r="O236" s="23"/>
      <c r="P236" s="23"/>
      <c r="Q236" s="23"/>
      <c r="R236" s="23"/>
      <c r="S236" s="23"/>
      <c r="T236" s="23"/>
      <c r="U236" s="23"/>
      <c r="V236" s="23"/>
    </row>
    <row r="237" spans="1:22" s="24" customFormat="1" ht="23.1" customHeight="1">
      <c r="A237" s="105" t="s">
        <v>33</v>
      </c>
      <c r="B237" s="36">
        <f>COUNTIF('8'!$C$6:$C$529,"체")</f>
        <v>0</v>
      </c>
      <c r="C237" s="37" t="s">
        <v>11</v>
      </c>
      <c r="D237" s="38">
        <f>SUMIF('8'!$C$6:$C$529,"체",'8'!$E$6:$E$529)</f>
        <v>0</v>
      </c>
      <c r="E237" s="36">
        <f>COUNTIF('8'!$N$6:$N$529,"체국")</f>
        <v>0</v>
      </c>
      <c r="F237" s="37" t="s">
        <v>11</v>
      </c>
      <c r="G237" s="38">
        <f>SUMIF('8'!$N$6:$N$529,"체국",'8'!$E$6:$E$529)</f>
        <v>0</v>
      </c>
      <c r="H237" s="36">
        <f>COUNTIF('8'!$N$6:$N$529,"체공")</f>
        <v>0</v>
      </c>
      <c r="I237" s="37" t="s">
        <v>11</v>
      </c>
      <c r="J237" s="38">
        <f>SUMIF('8'!$N$6:$N$529,"체공",'8'!$E$6:$E$529)</f>
        <v>0</v>
      </c>
      <c r="K237" s="36">
        <f t="shared" si="14"/>
        <v>0</v>
      </c>
      <c r="L237" s="37" t="s">
        <v>11</v>
      </c>
      <c r="M237" s="38">
        <f t="shared" si="15"/>
        <v>0</v>
      </c>
      <c r="N237" s="39"/>
      <c r="O237" s="23"/>
      <c r="P237" s="23"/>
      <c r="Q237" s="23"/>
      <c r="R237" s="23"/>
      <c r="S237" s="23"/>
      <c r="T237" s="23"/>
      <c r="U237" s="23"/>
      <c r="V237" s="23"/>
    </row>
    <row r="238" spans="1:22" s="24" customFormat="1" ht="23.1" customHeight="1">
      <c r="A238" s="105" t="s">
        <v>34</v>
      </c>
      <c r="B238" s="36">
        <f>COUNTIF('8'!$C$6:$C$529,"원")</f>
        <v>0</v>
      </c>
      <c r="C238" s="37" t="s">
        <v>11</v>
      </c>
      <c r="D238" s="38">
        <f>SUMIF('8'!$C$6:$C$529,"원",'8'!$E$6:$E$529)</f>
        <v>0</v>
      </c>
      <c r="E238" s="36">
        <f>COUNTIF('8'!$N$6:$N$529,"원국")</f>
        <v>0</v>
      </c>
      <c r="F238" s="37" t="s">
        <v>11</v>
      </c>
      <c r="G238" s="38">
        <f>SUMIF('8'!$N$6:$N$529,"원국",'8'!$E$6:$E$529)</f>
        <v>0</v>
      </c>
      <c r="H238" s="36">
        <f>COUNTIF('8'!$N$6:$N$529,"원공")</f>
        <v>0</v>
      </c>
      <c r="I238" s="37" t="s">
        <v>11</v>
      </c>
      <c r="J238" s="38">
        <f>SUMIF('8'!$N$6:$N$529,"원공",'8'!$E$6:$E$529)</f>
        <v>0</v>
      </c>
      <c r="K238" s="36">
        <f t="shared" si="14"/>
        <v>0</v>
      </c>
      <c r="L238" s="37" t="s">
        <v>11</v>
      </c>
      <c r="M238" s="38">
        <f t="shared" si="15"/>
        <v>0</v>
      </c>
      <c r="N238" s="39"/>
      <c r="O238" s="23"/>
      <c r="P238" s="23"/>
      <c r="Q238" s="23"/>
      <c r="R238" s="23"/>
      <c r="S238" s="23"/>
      <c r="T238" s="23"/>
      <c r="U238" s="23"/>
      <c r="V238" s="23"/>
    </row>
    <row r="239" spans="1:22" s="24" customFormat="1" ht="23.1" customHeight="1">
      <c r="A239" s="105" t="s">
        <v>66</v>
      </c>
      <c r="B239" s="36">
        <f>COUNTIF('8'!$C$6:$C$529,"차")</f>
        <v>0</v>
      </c>
      <c r="C239" s="37" t="s">
        <v>11</v>
      </c>
      <c r="D239" s="38">
        <f>SUMIF('8'!$C$6:$C$529,"차",'8'!$E$6:$E$529)</f>
        <v>0</v>
      </c>
      <c r="E239" s="36">
        <f>COUNTIF('8'!$N$6:$N$529,"차국")</f>
        <v>0</v>
      </c>
      <c r="F239" s="37" t="s">
        <v>11</v>
      </c>
      <c r="G239" s="38">
        <f>SUMIF('8'!$N$6:$N$529,"차국",'8'!$E$6:$E$529)</f>
        <v>0</v>
      </c>
      <c r="H239" s="36">
        <f>COUNTIF('8'!$N$6:$N$529,"차공")</f>
        <v>0</v>
      </c>
      <c r="I239" s="37" t="s">
        <v>11</v>
      </c>
      <c r="J239" s="38">
        <f>SUMIF('8'!$N$6:$N$529,"차공",'8'!$E$6:$E$529)</f>
        <v>0</v>
      </c>
      <c r="K239" s="36">
        <f t="shared" si="14"/>
        <v>0</v>
      </c>
      <c r="L239" s="37" t="s">
        <v>11</v>
      </c>
      <c r="M239" s="38">
        <f t="shared" si="15"/>
        <v>0</v>
      </c>
      <c r="N239" s="39"/>
      <c r="O239" s="23"/>
      <c r="P239" s="23"/>
      <c r="Q239" s="23"/>
      <c r="R239" s="23"/>
      <c r="S239" s="23"/>
      <c r="T239" s="23"/>
      <c r="U239" s="23"/>
      <c r="V239" s="23"/>
    </row>
    <row r="240" spans="1:22" s="24" customFormat="1" ht="23.1" customHeight="1">
      <c r="A240" s="105" t="s">
        <v>67</v>
      </c>
      <c r="B240" s="36">
        <f>COUNTIF('8'!$C$6:$C$529,"주")</f>
        <v>0</v>
      </c>
      <c r="C240" s="37" t="s">
        <v>11</v>
      </c>
      <c r="D240" s="38">
        <f>SUMIF('8'!$C$6:$C$529,"주",'8'!$E$6:$E$529)</f>
        <v>0</v>
      </c>
      <c r="E240" s="36">
        <f>COUNTIF('8'!$N$6:$N$529,"주국")</f>
        <v>0</v>
      </c>
      <c r="F240" s="37" t="s">
        <v>11</v>
      </c>
      <c r="G240" s="38">
        <f>SUMIF('8'!$N$6:$N$529,"주국",'8'!$E$6:$E$529)</f>
        <v>0</v>
      </c>
      <c r="H240" s="36">
        <f>COUNTIF('8'!$N$6:$N$529,"주공")</f>
        <v>0</v>
      </c>
      <c r="I240" s="37" t="s">
        <v>11</v>
      </c>
      <c r="J240" s="38">
        <f>SUMIF('8'!$N$6:$N$529,"주공",'8'!$E$6:$E$529)</f>
        <v>0</v>
      </c>
      <c r="K240" s="36">
        <f t="shared" si="14"/>
        <v>0</v>
      </c>
      <c r="L240" s="37" t="s">
        <v>11</v>
      </c>
      <c r="M240" s="38">
        <f t="shared" si="15"/>
        <v>0</v>
      </c>
      <c r="N240" s="39"/>
      <c r="O240" s="23"/>
      <c r="P240" s="23"/>
      <c r="Q240" s="23"/>
      <c r="R240" s="23"/>
      <c r="S240" s="23"/>
      <c r="T240" s="23"/>
      <c r="U240" s="23"/>
      <c r="V240" s="23"/>
    </row>
    <row r="241" spans="1:22" s="24" customFormat="1" ht="23.1" customHeight="1">
      <c r="A241" s="106" t="s">
        <v>68</v>
      </c>
      <c r="B241" s="40">
        <f>COUNTIF('8'!$C$6:$C$529," ")</f>
        <v>0</v>
      </c>
      <c r="C241" s="41" t="s">
        <v>11</v>
      </c>
      <c r="D241" s="42">
        <f>SUMIF('8'!$C$6:$C$529," ",'8'!$E$6:$E$529)</f>
        <v>0</v>
      </c>
      <c r="E241" s="40">
        <f>COUNTIF('8'!$N$6:$N$529," 국")</f>
        <v>0</v>
      </c>
      <c r="F241" s="41" t="s">
        <v>11</v>
      </c>
      <c r="G241" s="42">
        <f>SUMIF('8'!$N$6:$N$529," 국",'8'!$E$6:$E$529)</f>
        <v>0</v>
      </c>
      <c r="H241" s="40">
        <f>COUNTIF('8'!$N$6:$N$529," 공")</f>
        <v>0</v>
      </c>
      <c r="I241" s="41" t="s">
        <v>11</v>
      </c>
      <c r="J241" s="42">
        <f>SUMIF('8'!$N$6:$N$529," 공",'8'!$E$6:$E$529)</f>
        <v>0</v>
      </c>
      <c r="K241" s="40">
        <f t="shared" si="14"/>
        <v>0</v>
      </c>
      <c r="L241" s="41" t="s">
        <v>11</v>
      </c>
      <c r="M241" s="42">
        <f t="shared" si="15"/>
        <v>0</v>
      </c>
      <c r="N241" s="43"/>
      <c r="O241" s="23"/>
      <c r="P241" s="23"/>
      <c r="Q241" s="23"/>
      <c r="R241" s="23"/>
      <c r="S241" s="23"/>
      <c r="T241" s="23"/>
      <c r="U241" s="23"/>
      <c r="V241" s="23"/>
    </row>
    <row r="242" spans="1:22" s="17" customFormat="1" ht="20.100000000000001" customHeight="1">
      <c r="A242" s="11">
        <f>IF(EXACT(O246,O247),,"검산확인요!!!")</f>
        <v>0</v>
      </c>
      <c r="B242" s="12"/>
      <c r="C242" s="12"/>
      <c r="D242" s="12"/>
      <c r="E242" s="12"/>
      <c r="F242" s="12"/>
      <c r="G242" s="12"/>
      <c r="H242" s="12"/>
      <c r="I242" s="12"/>
      <c r="J242" s="12"/>
      <c r="K242" s="13">
        <f>IF(ISBLANK('9'!K2),,'9'!K2)</f>
        <v>3</v>
      </c>
      <c r="L242" s="14"/>
      <c r="M242" s="15"/>
      <c r="N242" s="16"/>
    </row>
    <row r="243" spans="1:22" s="17" customFormat="1" ht="9.9499999999999993" customHeight="1">
      <c r="A243" s="11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</row>
    <row r="244" spans="1:22" s="24" customFormat="1" ht="27.95" customHeight="1">
      <c r="A244" s="18" t="s">
        <v>9</v>
      </c>
      <c r="B244" s="19" t="s">
        <v>8</v>
      </c>
      <c r="C244" s="20"/>
      <c r="D244" s="21"/>
      <c r="E244" s="19" t="s">
        <v>35</v>
      </c>
      <c r="F244" s="20"/>
      <c r="G244" s="21"/>
      <c r="H244" s="19" t="s">
        <v>44</v>
      </c>
      <c r="I244" s="20"/>
      <c r="J244" s="21"/>
      <c r="K244" s="19" t="s">
        <v>36</v>
      </c>
      <c r="L244" s="20"/>
      <c r="M244" s="21"/>
      <c r="N244" s="22" t="s">
        <v>37</v>
      </c>
      <c r="O244" s="23"/>
      <c r="S244" s="23"/>
      <c r="T244" s="23"/>
      <c r="U244" s="23"/>
      <c r="V244" s="23"/>
    </row>
    <row r="245" spans="1:22" s="24" customFormat="1" ht="27.95" customHeight="1">
      <c r="A245" s="25"/>
      <c r="B245" s="26" t="s">
        <v>10</v>
      </c>
      <c r="C245" s="27" t="s">
        <v>11</v>
      </c>
      <c r="D245" s="28" t="s">
        <v>38</v>
      </c>
      <c r="E245" s="26" t="s">
        <v>10</v>
      </c>
      <c r="F245" s="27" t="s">
        <v>11</v>
      </c>
      <c r="G245" s="28" t="s">
        <v>38</v>
      </c>
      <c r="H245" s="26" t="s">
        <v>10</v>
      </c>
      <c r="I245" s="27" t="s">
        <v>11</v>
      </c>
      <c r="J245" s="28" t="s">
        <v>38</v>
      </c>
      <c r="K245" s="26" t="s">
        <v>10</v>
      </c>
      <c r="L245" s="27" t="s">
        <v>11</v>
      </c>
      <c r="M245" s="28" t="s">
        <v>38</v>
      </c>
      <c r="N245" s="29"/>
      <c r="P245" s="23"/>
      <c r="Q245" s="30" t="s">
        <v>39</v>
      </c>
      <c r="R245" s="30" t="s">
        <v>40</v>
      </c>
      <c r="S245" s="30" t="s">
        <v>41</v>
      </c>
      <c r="T245" s="30" t="s">
        <v>42</v>
      </c>
      <c r="U245" s="23"/>
      <c r="V245" s="23"/>
    </row>
    <row r="246" spans="1:22" s="24" customFormat="1" ht="23.1" customHeight="1">
      <c r="A246" s="103" t="s">
        <v>8</v>
      </c>
      <c r="B246" s="31">
        <f>SUM(B247:B271)</f>
        <v>0</v>
      </c>
      <c r="C246" s="32" t="s">
        <v>11</v>
      </c>
      <c r="D246" s="33">
        <f>SUM(D247:D271)</f>
        <v>0</v>
      </c>
      <c r="E246" s="31">
        <f>SUM(E247:E271)</f>
        <v>0</v>
      </c>
      <c r="F246" s="32" t="s">
        <v>11</v>
      </c>
      <c r="G246" s="33">
        <f>SUM(G247:G271)</f>
        <v>0</v>
      </c>
      <c r="H246" s="31">
        <f>SUM(H247:H271)</f>
        <v>0</v>
      </c>
      <c r="I246" s="32" t="s">
        <v>11</v>
      </c>
      <c r="J246" s="33">
        <f>SUM(J247:J271)</f>
        <v>0</v>
      </c>
      <c r="K246" s="31">
        <f>SUM(K247:K271)</f>
        <v>0</v>
      </c>
      <c r="L246" s="32" t="s">
        <v>11</v>
      </c>
      <c r="M246" s="33">
        <f>SUM(M247:M271)</f>
        <v>0</v>
      </c>
      <c r="N246" s="34"/>
      <c r="O246" s="23" t="str">
        <f>IF(EXACT(Q246,T246),"맞음","틀림")</f>
        <v>맞음</v>
      </c>
      <c r="P246" s="23" t="s">
        <v>10</v>
      </c>
      <c r="Q246" s="35">
        <f>SUM(B247:B271)</f>
        <v>0</v>
      </c>
      <c r="R246" s="35">
        <f>SUM(E247:E271)</f>
        <v>0</v>
      </c>
      <c r="S246" s="35">
        <f>SUM(K247:K271)</f>
        <v>0</v>
      </c>
      <c r="T246" s="35">
        <f>K246+E246</f>
        <v>0</v>
      </c>
      <c r="U246" s="23"/>
      <c r="V246" s="23"/>
    </row>
    <row r="247" spans="1:22" s="24" customFormat="1" ht="23.1" customHeight="1">
      <c r="A247" s="104" t="s">
        <v>13</v>
      </c>
      <c r="B247" s="36">
        <f>COUNTIF('9'!$C$6:$C$529,"전")</f>
        <v>0</v>
      </c>
      <c r="C247" s="37" t="s">
        <v>11</v>
      </c>
      <c r="D247" s="38">
        <f>SUMIF('9'!$C$6:$C$529,"전",'9'!$E$6:$E$529)</f>
        <v>0</v>
      </c>
      <c r="E247" s="36">
        <f>COUNTIF('9'!$N$6:$N$529,"전국")</f>
        <v>0</v>
      </c>
      <c r="F247" s="37" t="s">
        <v>11</v>
      </c>
      <c r="G247" s="38">
        <f>SUMIF('9'!$N$6:$N$529,"전국",'9'!$E$6:$E$529)</f>
        <v>0</v>
      </c>
      <c r="H247" s="36">
        <f>COUNTIF('9'!$N$6:$N$529,"전공")</f>
        <v>0</v>
      </c>
      <c r="I247" s="37" t="s">
        <v>11</v>
      </c>
      <c r="J247" s="38">
        <f>SUMIF('9'!$N$6:$N$529,"전공",'9'!$E$6:$E$529)</f>
        <v>0</v>
      </c>
      <c r="K247" s="36">
        <f t="shared" ref="K247:K271" si="16">SUM(B247-E247-H247)</f>
        <v>0</v>
      </c>
      <c r="L247" s="37" t="s">
        <v>11</v>
      </c>
      <c r="M247" s="38">
        <f t="shared" ref="M247:M271" si="17">SUM(D247-G247-J247)</f>
        <v>0</v>
      </c>
      <c r="N247" s="39"/>
      <c r="O247" s="23" t="str">
        <f>IF(EXACT(Q247,T247),"맞음","틀림")</f>
        <v>맞음</v>
      </c>
      <c r="P247" s="23" t="s">
        <v>43</v>
      </c>
      <c r="Q247" s="35">
        <f>SUM(D247:D271)</f>
        <v>0</v>
      </c>
      <c r="R247" s="35">
        <f>SUM(G247:G271)</f>
        <v>0</v>
      </c>
      <c r="S247" s="35">
        <f>SUM(M247:M271)</f>
        <v>0</v>
      </c>
      <c r="T247" s="35">
        <f>G246+M246</f>
        <v>0</v>
      </c>
      <c r="U247" s="23"/>
      <c r="V247" s="23"/>
    </row>
    <row r="248" spans="1:22" s="24" customFormat="1" ht="23.1" customHeight="1">
      <c r="A248" s="104" t="s">
        <v>14</v>
      </c>
      <c r="B248" s="36">
        <f>COUNTIF('9'!$C$6:$C$529,"답")</f>
        <v>0</v>
      </c>
      <c r="C248" s="37" t="s">
        <v>11</v>
      </c>
      <c r="D248" s="38">
        <f>SUMIF('9'!$C$6:$C$529,"답",'9'!$E$6:$E$529)</f>
        <v>0</v>
      </c>
      <c r="E248" s="36">
        <f>COUNTIF('9'!$N$6:$N$529,"답국")</f>
        <v>0</v>
      </c>
      <c r="F248" s="37" t="s">
        <v>11</v>
      </c>
      <c r="G248" s="38">
        <f>SUMIF('9'!$N$6:$N$529,"답국",'9'!$E$6:$E$529)</f>
        <v>0</v>
      </c>
      <c r="H248" s="36">
        <f>COUNTIF('9'!$N$6:$N$529,"답공")</f>
        <v>0</v>
      </c>
      <c r="I248" s="37" t="s">
        <v>11</v>
      </c>
      <c r="J248" s="38">
        <f>SUMIF('9'!$N$6:$N$529,"답공",'9'!$E$6:$E$529)</f>
        <v>0</v>
      </c>
      <c r="K248" s="36">
        <f t="shared" si="16"/>
        <v>0</v>
      </c>
      <c r="L248" s="37" t="s">
        <v>11</v>
      </c>
      <c r="M248" s="38">
        <f t="shared" si="17"/>
        <v>0</v>
      </c>
      <c r="N248" s="39"/>
      <c r="Q248" s="23"/>
      <c r="S248" s="23"/>
      <c r="U248" s="23"/>
      <c r="V248" s="23"/>
    </row>
    <row r="249" spans="1:22" s="24" customFormat="1" ht="23.1" customHeight="1">
      <c r="A249" s="104" t="s">
        <v>15</v>
      </c>
      <c r="B249" s="36">
        <f>COUNTIF('9'!$C$6:$C$529,"임")</f>
        <v>0</v>
      </c>
      <c r="C249" s="37" t="s">
        <v>11</v>
      </c>
      <c r="D249" s="38">
        <f>SUMIF('9'!$C$6:$C$529,"임",'9'!$E$6:$E$529)</f>
        <v>0</v>
      </c>
      <c r="E249" s="36">
        <f>COUNTIF('9'!$N$6:$N$529,"임국")</f>
        <v>0</v>
      </c>
      <c r="F249" s="37" t="s">
        <v>11</v>
      </c>
      <c r="G249" s="38">
        <f>SUMIF('9'!$N$6:$N$529,"임국",'9'!$E$6:$E$529)</f>
        <v>0</v>
      </c>
      <c r="H249" s="36">
        <f>COUNTIF('9'!$N$6:$N$529,"임공")</f>
        <v>0</v>
      </c>
      <c r="I249" s="37" t="s">
        <v>11</v>
      </c>
      <c r="J249" s="38">
        <f>SUMIF('9'!$N$6:$N$529,"임공",'9'!$E$6:$E$529)</f>
        <v>0</v>
      </c>
      <c r="K249" s="36">
        <f t="shared" si="16"/>
        <v>0</v>
      </c>
      <c r="L249" s="37" t="s">
        <v>11</v>
      </c>
      <c r="M249" s="38">
        <f t="shared" si="17"/>
        <v>0</v>
      </c>
      <c r="N249" s="39"/>
      <c r="Q249" s="23"/>
      <c r="S249" s="23"/>
      <c r="U249" s="23"/>
      <c r="V249" s="23"/>
    </row>
    <row r="250" spans="1:22" s="24" customFormat="1" ht="23.1" customHeight="1">
      <c r="A250" s="104" t="s">
        <v>16</v>
      </c>
      <c r="B250" s="36">
        <f>COUNTIF('9'!$C$6:$C$529,"대")</f>
        <v>0</v>
      </c>
      <c r="C250" s="37" t="s">
        <v>11</v>
      </c>
      <c r="D250" s="38">
        <f>SUMIF('9'!$C$6:$C$529,"대",'9'!$E$6:$E$529)</f>
        <v>0</v>
      </c>
      <c r="E250" s="36">
        <f>COUNTIF('9'!$N$6:$N$529,"대국")</f>
        <v>0</v>
      </c>
      <c r="F250" s="37" t="s">
        <v>11</v>
      </c>
      <c r="G250" s="38">
        <f>SUMIF('9'!$N$6:$N$529,"대국",'9'!$E$6:$E$529)</f>
        <v>0</v>
      </c>
      <c r="H250" s="36">
        <f>COUNTIF('9'!$N$6:$N$529,"대공")</f>
        <v>0</v>
      </c>
      <c r="I250" s="37" t="s">
        <v>11</v>
      </c>
      <c r="J250" s="38">
        <f>SUMIF('9'!$N$6:$N$529,"대공",'9'!$E$6:$E$529)</f>
        <v>0</v>
      </c>
      <c r="K250" s="36">
        <f t="shared" si="16"/>
        <v>0</v>
      </c>
      <c r="L250" s="37" t="s">
        <v>11</v>
      </c>
      <c r="M250" s="38">
        <f t="shared" si="17"/>
        <v>0</v>
      </c>
      <c r="N250" s="39"/>
      <c r="O250" s="23"/>
      <c r="P250" s="23"/>
      <c r="Q250" s="23"/>
      <c r="R250" s="23"/>
      <c r="S250" s="23"/>
      <c r="T250" s="23"/>
      <c r="U250" s="23"/>
      <c r="V250" s="23"/>
    </row>
    <row r="251" spans="1:22" s="24" customFormat="1" ht="23.1" customHeight="1">
      <c r="A251" s="104" t="s">
        <v>17</v>
      </c>
      <c r="B251" s="36">
        <f>COUNTIF('9'!$C$6:$C$529,"도")</f>
        <v>0</v>
      </c>
      <c r="C251" s="37" t="s">
        <v>11</v>
      </c>
      <c r="D251" s="38">
        <f>SUMIF('9'!$C$6:$C$529,"도",'9'!$E$6:$E$529)</f>
        <v>0</v>
      </c>
      <c r="E251" s="36">
        <f>COUNTIF('9'!$N$6:$N$529,"도국")</f>
        <v>0</v>
      </c>
      <c r="F251" s="37" t="s">
        <v>11</v>
      </c>
      <c r="G251" s="38">
        <f>SUMIF('9'!$N$6:$N$529,"도국",'9'!$E$6:$E$529)</f>
        <v>0</v>
      </c>
      <c r="H251" s="36">
        <f>COUNTIF('9'!$N$6:$N$529,"도공")</f>
        <v>0</v>
      </c>
      <c r="I251" s="37" t="s">
        <v>11</v>
      </c>
      <c r="J251" s="38">
        <f>SUMIF('9'!$N$6:$N$529,"도공",'9'!$E$6:$E$529)</f>
        <v>0</v>
      </c>
      <c r="K251" s="36">
        <f t="shared" si="16"/>
        <v>0</v>
      </c>
      <c r="L251" s="37" t="s">
        <v>11</v>
      </c>
      <c r="M251" s="38">
        <f t="shared" si="17"/>
        <v>0</v>
      </c>
      <c r="N251" s="39"/>
      <c r="O251" s="23"/>
      <c r="P251" s="23"/>
      <c r="Q251" s="23"/>
      <c r="R251" s="23"/>
      <c r="S251" s="23"/>
      <c r="T251" s="23"/>
      <c r="U251" s="23"/>
      <c r="V251" s="23"/>
    </row>
    <row r="252" spans="1:22" s="24" customFormat="1" ht="23.1" customHeight="1">
      <c r="A252" s="104" t="s">
        <v>18</v>
      </c>
      <c r="B252" s="36">
        <f>COUNTIF('9'!$C$6:$C$529,"구")</f>
        <v>0</v>
      </c>
      <c r="C252" s="37" t="s">
        <v>11</v>
      </c>
      <c r="D252" s="38">
        <f>SUMIF('9'!$C$6:$C$529,"구",'9'!$E$6:$E$529)</f>
        <v>0</v>
      </c>
      <c r="E252" s="36">
        <f>COUNTIF('9'!$N$6:$N$529,"구국")</f>
        <v>0</v>
      </c>
      <c r="F252" s="37" t="s">
        <v>11</v>
      </c>
      <c r="G252" s="38">
        <f>SUMIF('9'!$N$6:$N$529,"구국",'9'!$E$6:$E$529)</f>
        <v>0</v>
      </c>
      <c r="H252" s="36">
        <f>COUNTIF('9'!$N$6:$N$529,"구공")</f>
        <v>0</v>
      </c>
      <c r="I252" s="37" t="s">
        <v>11</v>
      </c>
      <c r="J252" s="38">
        <f>SUMIF('9'!$N$6:$N$529,"구공",'9'!$E$6:$E$529)</f>
        <v>0</v>
      </c>
      <c r="K252" s="36">
        <f t="shared" si="16"/>
        <v>0</v>
      </c>
      <c r="L252" s="37" t="s">
        <v>11</v>
      </c>
      <c r="M252" s="38">
        <f t="shared" si="17"/>
        <v>0</v>
      </c>
      <c r="N252" s="39"/>
      <c r="O252" s="23"/>
      <c r="P252" s="23"/>
      <c r="Q252" s="23"/>
      <c r="R252" s="23"/>
      <c r="S252" s="23"/>
      <c r="T252" s="23"/>
      <c r="U252" s="23"/>
      <c r="V252" s="23"/>
    </row>
    <row r="253" spans="1:22" s="24" customFormat="1" ht="23.1" customHeight="1">
      <c r="A253" s="104" t="s">
        <v>19</v>
      </c>
      <c r="B253" s="36">
        <f>COUNTIF('9'!$C$6:$C$529,"천")</f>
        <v>0</v>
      </c>
      <c r="C253" s="37" t="s">
        <v>11</v>
      </c>
      <c r="D253" s="38">
        <f>SUMIF('9'!$C$6:$C$529,"천",'9'!$E$6:$E$529)</f>
        <v>0</v>
      </c>
      <c r="E253" s="36">
        <f>COUNTIF('9'!$N$6:$N$529,"천국")</f>
        <v>0</v>
      </c>
      <c r="F253" s="37" t="s">
        <v>11</v>
      </c>
      <c r="G253" s="38">
        <f>SUMIF('9'!$N$6:$N$529,"천국",'9'!$E$6:$E$529)</f>
        <v>0</v>
      </c>
      <c r="H253" s="36">
        <f>COUNTIF('9'!$N$6:$N$529,"천공")</f>
        <v>0</v>
      </c>
      <c r="I253" s="37" t="s">
        <v>11</v>
      </c>
      <c r="J253" s="38">
        <f>SUMIF('9'!$N$6:$N$529,"천공",'9'!$E$6:$E$529)</f>
        <v>0</v>
      </c>
      <c r="K253" s="36">
        <f t="shared" si="16"/>
        <v>0</v>
      </c>
      <c r="L253" s="37" t="s">
        <v>11</v>
      </c>
      <c r="M253" s="38">
        <f t="shared" si="17"/>
        <v>0</v>
      </c>
      <c r="N253" s="39"/>
      <c r="O253" s="23"/>
      <c r="P253" s="23"/>
      <c r="Q253" s="23"/>
      <c r="R253" s="23"/>
      <c r="S253" s="23"/>
      <c r="T253" s="23"/>
      <c r="U253" s="23"/>
      <c r="V253" s="23"/>
    </row>
    <row r="254" spans="1:22" s="24" customFormat="1" ht="23.1" customHeight="1">
      <c r="A254" s="104" t="s">
        <v>20</v>
      </c>
      <c r="B254" s="36">
        <f>COUNTIF('9'!$C$6:$C$529,"유")</f>
        <v>0</v>
      </c>
      <c r="C254" s="37" t="s">
        <v>11</v>
      </c>
      <c r="D254" s="38">
        <f>SUMIF('9'!$C$6:$C$529,"유",'9'!$E$6:$E$529)</f>
        <v>0</v>
      </c>
      <c r="E254" s="36">
        <f>COUNTIF('9'!$N$6:$N$529,"유국")</f>
        <v>0</v>
      </c>
      <c r="F254" s="37" t="s">
        <v>11</v>
      </c>
      <c r="G254" s="38">
        <f>SUMIF('9'!$N$6:$N$529,"유국",'9'!$E$6:$E$529)</f>
        <v>0</v>
      </c>
      <c r="H254" s="36">
        <f>COUNTIF('9'!$N$6:$N$529,"유공")</f>
        <v>0</v>
      </c>
      <c r="I254" s="37" t="s">
        <v>11</v>
      </c>
      <c r="J254" s="38">
        <f>SUMIF('9'!$N$6:$N$529,"유공",'9'!$E$6:$E$529)</f>
        <v>0</v>
      </c>
      <c r="K254" s="36">
        <f t="shared" si="16"/>
        <v>0</v>
      </c>
      <c r="L254" s="37" t="s">
        <v>11</v>
      </c>
      <c r="M254" s="38">
        <f t="shared" si="17"/>
        <v>0</v>
      </c>
      <c r="N254" s="39"/>
      <c r="O254" s="23"/>
      <c r="P254" s="23"/>
      <c r="Q254" s="23"/>
      <c r="R254" s="23"/>
      <c r="S254" s="23"/>
      <c r="T254" s="23"/>
      <c r="U254" s="23"/>
      <c r="V254" s="23"/>
    </row>
    <row r="255" spans="1:22" s="24" customFormat="1" ht="23.1" customHeight="1">
      <c r="A255" s="104" t="s">
        <v>21</v>
      </c>
      <c r="B255" s="36">
        <f>COUNTIF('9'!$C$6:$C$529,"제")</f>
        <v>0</v>
      </c>
      <c r="C255" s="37" t="s">
        <v>11</v>
      </c>
      <c r="D255" s="38">
        <f>SUMIF('9'!$C$6:$C$529,"제",'9'!$E$6:$E$529)</f>
        <v>0</v>
      </c>
      <c r="E255" s="36">
        <f>COUNTIF('9'!$N$6:$N$529,"제국")</f>
        <v>0</v>
      </c>
      <c r="F255" s="37" t="s">
        <v>11</v>
      </c>
      <c r="G255" s="38">
        <f>SUMIF('9'!$N$6:$N$529,"제국",'9'!$E$6:$E$529)</f>
        <v>0</v>
      </c>
      <c r="H255" s="36">
        <f>COUNTIF('9'!$N$6:$N$529,"제공")</f>
        <v>0</v>
      </c>
      <c r="I255" s="37" t="s">
        <v>11</v>
      </c>
      <c r="J255" s="38">
        <f>SUMIF('9'!$N$6:$N$529,"제공",'9'!$E$6:$E$529)</f>
        <v>0</v>
      </c>
      <c r="K255" s="36">
        <f t="shared" si="16"/>
        <v>0</v>
      </c>
      <c r="L255" s="37" t="s">
        <v>11</v>
      </c>
      <c r="M255" s="38">
        <f t="shared" si="17"/>
        <v>0</v>
      </c>
      <c r="N255" s="39"/>
      <c r="O255" s="23"/>
      <c r="P255" s="23"/>
      <c r="Q255" s="23"/>
      <c r="R255" s="23"/>
      <c r="S255" s="23"/>
      <c r="T255" s="23"/>
      <c r="U255" s="23"/>
      <c r="V255" s="23"/>
    </row>
    <row r="256" spans="1:22" s="24" customFormat="1" ht="23.1" customHeight="1">
      <c r="A256" s="104" t="s">
        <v>22</v>
      </c>
      <c r="B256" s="36">
        <f>COUNTIF('9'!$C$6:$C$529,"과")</f>
        <v>0</v>
      </c>
      <c r="C256" s="37" t="s">
        <v>11</v>
      </c>
      <c r="D256" s="38">
        <f>SUMIF('9'!$C$6:$C$529,"과",'9'!$E$6:$E$529)</f>
        <v>0</v>
      </c>
      <c r="E256" s="36">
        <f>COUNTIF('9'!$N$6:$N$529,"과국")</f>
        <v>0</v>
      </c>
      <c r="F256" s="37" t="s">
        <v>11</v>
      </c>
      <c r="G256" s="38">
        <f>SUMIF('9'!$N$6:$N$529,"과국",'9'!$E$6:$E$529)</f>
        <v>0</v>
      </c>
      <c r="H256" s="36">
        <f>COUNTIF('9'!$N$6:$N$529,"과공")</f>
        <v>0</v>
      </c>
      <c r="I256" s="37" t="s">
        <v>11</v>
      </c>
      <c r="J256" s="38">
        <f>SUMIF('9'!$N$6:$N$529,"과공",'9'!$E$6:$E$529)</f>
        <v>0</v>
      </c>
      <c r="K256" s="36">
        <f t="shared" si="16"/>
        <v>0</v>
      </c>
      <c r="L256" s="37" t="s">
        <v>11</v>
      </c>
      <c r="M256" s="38">
        <f t="shared" si="17"/>
        <v>0</v>
      </c>
      <c r="N256" s="39"/>
      <c r="O256" s="23"/>
      <c r="P256" s="23"/>
      <c r="Q256" s="23"/>
      <c r="R256" s="23"/>
      <c r="S256" s="23"/>
      <c r="T256" s="23"/>
      <c r="U256" s="23"/>
      <c r="V256" s="23"/>
    </row>
    <row r="257" spans="1:22" s="24" customFormat="1" ht="23.1" customHeight="1">
      <c r="A257" s="104" t="s">
        <v>23</v>
      </c>
      <c r="B257" s="36">
        <f>COUNTIF('9'!$C$6:$C$529,"장")</f>
        <v>0</v>
      </c>
      <c r="C257" s="37" t="s">
        <v>11</v>
      </c>
      <c r="D257" s="38">
        <f>SUMIF('9'!$C$6:$C$529,"장",'9'!$E$6:$E$529)</f>
        <v>0</v>
      </c>
      <c r="E257" s="36">
        <f>COUNTIF('9'!$N$6:$N$529,"장국")</f>
        <v>0</v>
      </c>
      <c r="F257" s="37" t="s">
        <v>11</v>
      </c>
      <c r="G257" s="38">
        <f>SUMIF('9'!$N$6:$N$529,"장국",'9'!$E$6:$E$529)</f>
        <v>0</v>
      </c>
      <c r="H257" s="36">
        <f>COUNTIF('9'!$N$6:$N$529,"장공")</f>
        <v>0</v>
      </c>
      <c r="I257" s="37" t="s">
        <v>11</v>
      </c>
      <c r="J257" s="38">
        <f>SUMIF('9'!$N$6:$N$529,"장공",'9'!$E$6:$E$529)</f>
        <v>0</v>
      </c>
      <c r="K257" s="36">
        <f t="shared" si="16"/>
        <v>0</v>
      </c>
      <c r="L257" s="37" t="s">
        <v>11</v>
      </c>
      <c r="M257" s="38">
        <f t="shared" si="17"/>
        <v>0</v>
      </c>
      <c r="N257" s="39"/>
      <c r="O257" s="23"/>
      <c r="P257" s="23"/>
      <c r="Q257" s="23"/>
      <c r="R257" s="23"/>
      <c r="S257" s="23"/>
      <c r="T257" s="23"/>
      <c r="U257" s="23"/>
      <c r="V257" s="23"/>
    </row>
    <row r="258" spans="1:22" s="24" customFormat="1" ht="23.1" customHeight="1">
      <c r="A258" s="104" t="s">
        <v>24</v>
      </c>
      <c r="B258" s="36">
        <f>COUNTIF('9'!$C$6:$C$529,"목")</f>
        <v>0</v>
      </c>
      <c r="C258" s="37" t="s">
        <v>11</v>
      </c>
      <c r="D258" s="38">
        <f>SUMIF('9'!$C$6:$C$529,"목",'9'!$E$6:$E$529)</f>
        <v>0</v>
      </c>
      <c r="E258" s="36">
        <f>COUNTIF('9'!$N$6:$N$529,"목국")</f>
        <v>0</v>
      </c>
      <c r="F258" s="37" t="s">
        <v>11</v>
      </c>
      <c r="G258" s="38">
        <f>SUMIF('9'!$N$6:$N$529,"목국",'9'!$E$6:$E$529)</f>
        <v>0</v>
      </c>
      <c r="H258" s="36">
        <f>COUNTIF('9'!$N$6:$N$529,"목공")</f>
        <v>0</v>
      </c>
      <c r="I258" s="37" t="s">
        <v>11</v>
      </c>
      <c r="J258" s="38">
        <f>SUMIF('9'!$N$6:$N$529,"목공",'9'!$E$6:$E$529)</f>
        <v>0</v>
      </c>
      <c r="K258" s="36">
        <f t="shared" si="16"/>
        <v>0</v>
      </c>
      <c r="L258" s="37" t="s">
        <v>11</v>
      </c>
      <c r="M258" s="38">
        <f t="shared" si="17"/>
        <v>0</v>
      </c>
      <c r="N258" s="39"/>
      <c r="O258" s="23"/>
      <c r="P258" s="23"/>
      <c r="Q258" s="23"/>
      <c r="R258" s="23"/>
      <c r="S258" s="23"/>
      <c r="T258" s="23"/>
      <c r="U258" s="23"/>
      <c r="V258" s="23"/>
    </row>
    <row r="259" spans="1:22" s="24" customFormat="1" ht="23.1" customHeight="1">
      <c r="A259" s="104" t="s">
        <v>25</v>
      </c>
      <c r="B259" s="36">
        <f>COUNTIF('9'!$C$6:$C$529,"학")</f>
        <v>0</v>
      </c>
      <c r="C259" s="37" t="s">
        <v>11</v>
      </c>
      <c r="D259" s="38">
        <f>SUMIF('9'!$C$6:$C$529,"학",'9'!$E$6:$E$529)</f>
        <v>0</v>
      </c>
      <c r="E259" s="36">
        <f>COUNTIF('9'!$N$6:$N$529,"학국")</f>
        <v>0</v>
      </c>
      <c r="F259" s="37" t="s">
        <v>11</v>
      </c>
      <c r="G259" s="38">
        <f>SUMIF('9'!$N$6:$N$529,"학국",'9'!$E$6:$E$529)</f>
        <v>0</v>
      </c>
      <c r="H259" s="36">
        <f>COUNTIF('9'!$N$6:$N$529,"학공")</f>
        <v>0</v>
      </c>
      <c r="I259" s="37" t="s">
        <v>11</v>
      </c>
      <c r="J259" s="38">
        <f>SUMIF('9'!$N$6:$N$529,"학공",'9'!$E$6:$E$529)</f>
        <v>0</v>
      </c>
      <c r="K259" s="36">
        <f t="shared" si="16"/>
        <v>0</v>
      </c>
      <c r="L259" s="37" t="s">
        <v>11</v>
      </c>
      <c r="M259" s="38">
        <f t="shared" si="17"/>
        <v>0</v>
      </c>
      <c r="N259" s="39"/>
      <c r="O259" s="23"/>
      <c r="P259" s="23"/>
      <c r="Q259" s="23"/>
      <c r="R259" s="23"/>
      <c r="S259" s="23"/>
      <c r="T259" s="23"/>
      <c r="U259" s="23"/>
      <c r="V259" s="23"/>
    </row>
    <row r="260" spans="1:22" s="24" customFormat="1" ht="23.1" customHeight="1">
      <c r="A260" s="104" t="s">
        <v>26</v>
      </c>
      <c r="B260" s="36">
        <f>COUNTIF('9'!$C$6:$C$529,"철")</f>
        <v>0</v>
      </c>
      <c r="C260" s="37" t="s">
        <v>11</v>
      </c>
      <c r="D260" s="38">
        <f>SUMIF('9'!$C$6:$C$529,"철",'9'!$E$6:$E$529)</f>
        <v>0</v>
      </c>
      <c r="E260" s="36">
        <f>COUNTIF('9'!$N$6:$N$529,"철국")</f>
        <v>0</v>
      </c>
      <c r="F260" s="37" t="s">
        <v>11</v>
      </c>
      <c r="G260" s="38">
        <f>SUMIF('9'!$N$6:$N$529,"철국",'9'!$E$6:$E$529)</f>
        <v>0</v>
      </c>
      <c r="H260" s="36">
        <f>COUNTIF('9'!$N$6:$N$529,"철공")</f>
        <v>0</v>
      </c>
      <c r="I260" s="37" t="s">
        <v>11</v>
      </c>
      <c r="J260" s="38">
        <f>SUMIF('9'!$N$6:$N$529,"철공",'9'!$E$6:$E$529)</f>
        <v>0</v>
      </c>
      <c r="K260" s="36">
        <f t="shared" si="16"/>
        <v>0</v>
      </c>
      <c r="L260" s="37" t="s">
        <v>11</v>
      </c>
      <c r="M260" s="38">
        <f t="shared" si="17"/>
        <v>0</v>
      </c>
      <c r="N260" s="39"/>
      <c r="O260" s="23"/>
      <c r="P260" s="23"/>
      <c r="Q260" s="23"/>
      <c r="R260" s="23"/>
      <c r="S260" s="23"/>
      <c r="T260" s="23"/>
      <c r="U260" s="23"/>
      <c r="V260" s="23"/>
    </row>
    <row r="261" spans="1:22" s="24" customFormat="1" ht="23.1" customHeight="1">
      <c r="A261" s="104" t="s">
        <v>27</v>
      </c>
      <c r="B261" s="36">
        <f>COUNTIF('9'!$C$6:$C$529,"묘")</f>
        <v>0</v>
      </c>
      <c r="C261" s="37" t="s">
        <v>11</v>
      </c>
      <c r="D261" s="38">
        <f>SUMIF('9'!$C$6:$C$529,"묘",'9'!$E$6:$E$529)</f>
        <v>0</v>
      </c>
      <c r="E261" s="36">
        <f>COUNTIF('9'!$N$6:$N$529,"묘국")</f>
        <v>0</v>
      </c>
      <c r="F261" s="37" t="s">
        <v>11</v>
      </c>
      <c r="G261" s="38">
        <f>SUMIF('9'!$N$6:$N$529,"묘국",'9'!$E$6:$E$529)</f>
        <v>0</v>
      </c>
      <c r="H261" s="36">
        <f>COUNTIF('9'!$N$6:$N$529,"묘공")</f>
        <v>0</v>
      </c>
      <c r="I261" s="37" t="s">
        <v>11</v>
      </c>
      <c r="J261" s="38">
        <f>SUMIF('9'!$N$6:$N$529,"묘공",'9'!$E$6:$E$529)</f>
        <v>0</v>
      </c>
      <c r="K261" s="36">
        <f t="shared" si="16"/>
        <v>0</v>
      </c>
      <c r="L261" s="37" t="s">
        <v>11</v>
      </c>
      <c r="M261" s="38">
        <f t="shared" si="17"/>
        <v>0</v>
      </c>
      <c r="N261" s="39"/>
      <c r="O261" s="23"/>
      <c r="P261" s="23"/>
      <c r="Q261" s="23"/>
      <c r="R261" s="23"/>
      <c r="S261" s="23"/>
      <c r="T261" s="23"/>
      <c r="U261" s="23"/>
      <c r="V261" s="23"/>
    </row>
    <row r="262" spans="1:22" s="24" customFormat="1" ht="23.1" customHeight="1">
      <c r="A262" s="104" t="s">
        <v>28</v>
      </c>
      <c r="B262" s="36">
        <f>COUNTIF('9'!$C$6:$C$529,"수")</f>
        <v>0</v>
      </c>
      <c r="C262" s="37" t="s">
        <v>11</v>
      </c>
      <c r="D262" s="38">
        <f>SUMIF('9'!$C$6:$C$529,"수",'9'!$E$6:$E$529)</f>
        <v>0</v>
      </c>
      <c r="E262" s="36">
        <f>COUNTIF('9'!$N$6:$N$529,"수국")</f>
        <v>0</v>
      </c>
      <c r="F262" s="37" t="s">
        <v>11</v>
      </c>
      <c r="G262" s="38">
        <f>SUMIF('9'!$N$6:$N$529,"수국",'9'!$E$6:$E$529)</f>
        <v>0</v>
      </c>
      <c r="H262" s="36">
        <f>COUNTIF('9'!$N$6:$N$529,"수공")</f>
        <v>0</v>
      </c>
      <c r="I262" s="37" t="s">
        <v>11</v>
      </c>
      <c r="J262" s="38">
        <f>SUMIF('9'!$N$6:$N$529,"수공",'9'!$E$6:$E$529)</f>
        <v>0</v>
      </c>
      <c r="K262" s="36">
        <f t="shared" si="16"/>
        <v>0</v>
      </c>
      <c r="L262" s="37" t="s">
        <v>11</v>
      </c>
      <c r="M262" s="38">
        <f t="shared" si="17"/>
        <v>0</v>
      </c>
      <c r="N262" s="39"/>
      <c r="O262" s="23"/>
      <c r="P262" s="23"/>
      <c r="Q262" s="23"/>
      <c r="R262" s="23"/>
      <c r="S262" s="23"/>
      <c r="T262" s="23"/>
      <c r="U262" s="23"/>
      <c r="V262" s="23"/>
    </row>
    <row r="263" spans="1:22" s="24" customFormat="1" ht="23.1" customHeight="1">
      <c r="A263" s="104" t="s">
        <v>29</v>
      </c>
      <c r="B263" s="36">
        <f>COUNTIF('9'!$C$6:$C$529,"잡")</f>
        <v>0</v>
      </c>
      <c r="C263" s="37" t="s">
        <v>11</v>
      </c>
      <c r="D263" s="38">
        <f>SUMIF('9'!$C$6:$C$529,"잡",'9'!$E$6:$E$529)</f>
        <v>0</v>
      </c>
      <c r="E263" s="36">
        <f>COUNTIF('9'!$N$6:$N$529,"잡국")</f>
        <v>0</v>
      </c>
      <c r="F263" s="37" t="s">
        <v>11</v>
      </c>
      <c r="G263" s="38">
        <f>SUMIF('9'!$N$6:$N$529,"잡국",'9'!$E$6:$E$529)</f>
        <v>0</v>
      </c>
      <c r="H263" s="36">
        <f>COUNTIF('9'!$N$6:$N$529,"잡공")</f>
        <v>0</v>
      </c>
      <c r="I263" s="37" t="s">
        <v>11</v>
      </c>
      <c r="J263" s="38">
        <f>SUMIF('9'!$N$6:$N$529,"잡공",'9'!$E$6:$E$529)</f>
        <v>0</v>
      </c>
      <c r="K263" s="36">
        <f t="shared" si="16"/>
        <v>0</v>
      </c>
      <c r="L263" s="37" t="s">
        <v>11</v>
      </c>
      <c r="M263" s="38">
        <f t="shared" si="17"/>
        <v>0</v>
      </c>
      <c r="N263" s="39"/>
      <c r="O263" s="23"/>
      <c r="P263" s="23"/>
      <c r="Q263" s="23"/>
      <c r="R263" s="23"/>
      <c r="S263" s="23"/>
      <c r="T263" s="23"/>
      <c r="U263" s="23"/>
      <c r="V263" s="23"/>
    </row>
    <row r="264" spans="1:22" s="24" customFormat="1" ht="23.1" customHeight="1">
      <c r="A264" s="105" t="s">
        <v>30</v>
      </c>
      <c r="B264" s="36">
        <f>COUNTIF('9'!$C$6:$C$529,"종")</f>
        <v>0</v>
      </c>
      <c r="C264" s="37" t="s">
        <v>11</v>
      </c>
      <c r="D264" s="38">
        <f>SUMIF('9'!$C$6:$C$529,"종",'9'!$E$6:$E$529)</f>
        <v>0</v>
      </c>
      <c r="E264" s="36">
        <f>COUNTIF('9'!$N$6:$N$529,"종국")</f>
        <v>0</v>
      </c>
      <c r="F264" s="37" t="s">
        <v>11</v>
      </c>
      <c r="G264" s="38">
        <f>SUMIF('9'!$N$6:$N$529,"종국",'9'!$E$6:$E$529)</f>
        <v>0</v>
      </c>
      <c r="H264" s="36">
        <f>COUNTIF('9'!$N$6:$N$529,"종공")</f>
        <v>0</v>
      </c>
      <c r="I264" s="37" t="s">
        <v>11</v>
      </c>
      <c r="J264" s="38">
        <f>SUMIF('9'!$N$6:$N$529,"종공",'9'!$E$6:$E$529)</f>
        <v>0</v>
      </c>
      <c r="K264" s="36">
        <f t="shared" si="16"/>
        <v>0</v>
      </c>
      <c r="L264" s="37" t="s">
        <v>11</v>
      </c>
      <c r="M264" s="38">
        <f t="shared" si="17"/>
        <v>0</v>
      </c>
      <c r="N264" s="39"/>
      <c r="O264" s="23"/>
      <c r="P264" s="23"/>
      <c r="Q264" s="23"/>
      <c r="R264" s="23"/>
      <c r="S264" s="23"/>
      <c r="T264" s="23"/>
      <c r="U264" s="23"/>
      <c r="V264" s="23"/>
    </row>
    <row r="265" spans="1:22" s="24" customFormat="1" ht="23.1" customHeight="1">
      <c r="A265" s="105" t="s">
        <v>31</v>
      </c>
      <c r="B265" s="36">
        <f>COUNTIF('9'!$C$6:$C$529,"염")</f>
        <v>0</v>
      </c>
      <c r="C265" s="37" t="s">
        <v>11</v>
      </c>
      <c r="D265" s="38">
        <f>SUMIF('9'!$C$6:$C$529,"염",'9'!$E$6:$E$529)</f>
        <v>0</v>
      </c>
      <c r="E265" s="36">
        <f>COUNTIF('9'!$N$6:$N$529,"염국")</f>
        <v>0</v>
      </c>
      <c r="F265" s="37" t="s">
        <v>11</v>
      </c>
      <c r="G265" s="38">
        <f>SUMIF('9'!$N$6:$N$529,"염국",'9'!$E$6:$E$529)</f>
        <v>0</v>
      </c>
      <c r="H265" s="36">
        <f>COUNTIF('9'!$N$6:$N$529,"염공")</f>
        <v>0</v>
      </c>
      <c r="I265" s="37" t="s">
        <v>11</v>
      </c>
      <c r="J265" s="38">
        <f>SUMIF('9'!$N$6:$N$529,"염공",'9'!$E$6:$E$529)</f>
        <v>0</v>
      </c>
      <c r="K265" s="36">
        <f t="shared" si="16"/>
        <v>0</v>
      </c>
      <c r="L265" s="37" t="s">
        <v>11</v>
      </c>
      <c r="M265" s="38">
        <f t="shared" si="17"/>
        <v>0</v>
      </c>
      <c r="N265" s="39"/>
      <c r="O265" s="23"/>
      <c r="P265" s="23"/>
      <c r="Q265" s="23"/>
      <c r="R265" s="23"/>
      <c r="S265" s="23"/>
      <c r="T265" s="23"/>
      <c r="U265" s="23"/>
      <c r="V265" s="23"/>
    </row>
    <row r="266" spans="1:22" s="24" customFormat="1" ht="23.1" customHeight="1">
      <c r="A266" s="105" t="s">
        <v>32</v>
      </c>
      <c r="B266" s="36">
        <f>COUNTIF('9'!$C$6:$C$529,"공")</f>
        <v>0</v>
      </c>
      <c r="C266" s="37" t="s">
        <v>11</v>
      </c>
      <c r="D266" s="38">
        <f>SUMIF('9'!$C$6:$C$529,"공",'9'!$E$6:$E$529)</f>
        <v>0</v>
      </c>
      <c r="E266" s="36">
        <f>COUNTIF('9'!$N$6:$N$529,"공국")</f>
        <v>0</v>
      </c>
      <c r="F266" s="37" t="s">
        <v>11</v>
      </c>
      <c r="G266" s="38">
        <f>SUMIF('9'!$N$6:$N$529,"공국",'9'!$E$6:$E$529)</f>
        <v>0</v>
      </c>
      <c r="H266" s="36">
        <f>COUNTIF('9'!$N$6:$N$529,"공공")</f>
        <v>0</v>
      </c>
      <c r="I266" s="37" t="s">
        <v>11</v>
      </c>
      <c r="J266" s="38">
        <f>SUMIF('9'!$N$6:$N$529,"공공",'9'!$E$6:$E$529)</f>
        <v>0</v>
      </c>
      <c r="K266" s="36">
        <f t="shared" si="16"/>
        <v>0</v>
      </c>
      <c r="L266" s="37" t="s">
        <v>11</v>
      </c>
      <c r="M266" s="38">
        <f t="shared" si="17"/>
        <v>0</v>
      </c>
      <c r="N266" s="39"/>
      <c r="O266" s="23"/>
      <c r="P266" s="23"/>
      <c r="Q266" s="23"/>
      <c r="R266" s="23"/>
      <c r="S266" s="23"/>
      <c r="T266" s="23"/>
      <c r="U266" s="23"/>
      <c r="V266" s="23"/>
    </row>
    <row r="267" spans="1:22" s="24" customFormat="1" ht="23.1" customHeight="1">
      <c r="A267" s="105" t="s">
        <v>33</v>
      </c>
      <c r="B267" s="36">
        <f>COUNTIF('9'!$C$6:$C$529,"체")</f>
        <v>0</v>
      </c>
      <c r="C267" s="37" t="s">
        <v>11</v>
      </c>
      <c r="D267" s="38">
        <f>SUMIF('9'!$C$6:$C$529,"체",'9'!$E$6:$E$529)</f>
        <v>0</v>
      </c>
      <c r="E267" s="36">
        <f>COUNTIF('9'!$N$6:$N$529,"체국")</f>
        <v>0</v>
      </c>
      <c r="F267" s="37" t="s">
        <v>11</v>
      </c>
      <c r="G267" s="38">
        <f>SUMIF('9'!$N$6:$N$529,"체국",'9'!$E$6:$E$529)</f>
        <v>0</v>
      </c>
      <c r="H267" s="36">
        <f>COUNTIF('9'!$N$6:$N$529,"체공")</f>
        <v>0</v>
      </c>
      <c r="I267" s="37" t="s">
        <v>11</v>
      </c>
      <c r="J267" s="38">
        <f>SUMIF('9'!$N$6:$N$529,"체공",'9'!$E$6:$E$529)</f>
        <v>0</v>
      </c>
      <c r="K267" s="36">
        <f t="shared" si="16"/>
        <v>0</v>
      </c>
      <c r="L267" s="37" t="s">
        <v>11</v>
      </c>
      <c r="M267" s="38">
        <f t="shared" si="17"/>
        <v>0</v>
      </c>
      <c r="N267" s="39"/>
      <c r="O267" s="23"/>
      <c r="P267" s="23"/>
      <c r="Q267" s="23"/>
      <c r="R267" s="23"/>
      <c r="S267" s="23"/>
      <c r="T267" s="23"/>
      <c r="U267" s="23"/>
      <c r="V267" s="23"/>
    </row>
    <row r="268" spans="1:22" s="24" customFormat="1" ht="23.1" customHeight="1">
      <c r="A268" s="105" t="s">
        <v>34</v>
      </c>
      <c r="B268" s="36">
        <f>COUNTIF('9'!$C$6:$C$529,"원")</f>
        <v>0</v>
      </c>
      <c r="C268" s="37" t="s">
        <v>11</v>
      </c>
      <c r="D268" s="38">
        <f>SUMIF('9'!$C$6:$C$529,"원",'9'!$E$6:$E$529)</f>
        <v>0</v>
      </c>
      <c r="E268" s="36">
        <f>COUNTIF('9'!$N$6:$N$529,"원국")</f>
        <v>0</v>
      </c>
      <c r="F268" s="37" t="s">
        <v>11</v>
      </c>
      <c r="G268" s="38">
        <f>SUMIF('9'!$N$6:$N$529,"원국",'9'!$E$6:$E$529)</f>
        <v>0</v>
      </c>
      <c r="H268" s="36">
        <f>COUNTIF('9'!$N$6:$N$529,"원공")</f>
        <v>0</v>
      </c>
      <c r="I268" s="37" t="s">
        <v>11</v>
      </c>
      <c r="J268" s="38">
        <f>SUMIF('9'!$N$6:$N$529,"원공",'9'!$E$6:$E$529)</f>
        <v>0</v>
      </c>
      <c r="K268" s="36">
        <f t="shared" si="16"/>
        <v>0</v>
      </c>
      <c r="L268" s="37" t="s">
        <v>11</v>
      </c>
      <c r="M268" s="38">
        <f t="shared" si="17"/>
        <v>0</v>
      </c>
      <c r="N268" s="39"/>
      <c r="O268" s="23"/>
      <c r="P268" s="23"/>
      <c r="Q268" s="23"/>
      <c r="R268" s="23"/>
      <c r="S268" s="23"/>
      <c r="T268" s="23"/>
      <c r="U268" s="23"/>
      <c r="V268" s="23"/>
    </row>
    <row r="269" spans="1:22" s="24" customFormat="1" ht="23.1" customHeight="1">
      <c r="A269" s="105" t="s">
        <v>66</v>
      </c>
      <c r="B269" s="36">
        <f>COUNTIF('9'!$C$6:$C$529,"차")</f>
        <v>0</v>
      </c>
      <c r="C269" s="37" t="s">
        <v>11</v>
      </c>
      <c r="D269" s="38">
        <f>SUMIF('9'!$C$6:$C$529,"차",'9'!$E$6:$E$529)</f>
        <v>0</v>
      </c>
      <c r="E269" s="36">
        <f>COUNTIF('9'!$N$6:$N$529,"차국")</f>
        <v>0</v>
      </c>
      <c r="F269" s="37" t="s">
        <v>11</v>
      </c>
      <c r="G269" s="38">
        <f>SUMIF('9'!$N$6:$N$529,"차국",'9'!$E$6:$E$529)</f>
        <v>0</v>
      </c>
      <c r="H269" s="36">
        <f>COUNTIF('9'!$N$6:$N$529,"차공")</f>
        <v>0</v>
      </c>
      <c r="I269" s="37" t="s">
        <v>11</v>
      </c>
      <c r="J269" s="38">
        <f>SUMIF('9'!$N$6:$N$529,"차공",'9'!$E$6:$E$529)</f>
        <v>0</v>
      </c>
      <c r="K269" s="36">
        <f t="shared" si="16"/>
        <v>0</v>
      </c>
      <c r="L269" s="37" t="s">
        <v>11</v>
      </c>
      <c r="M269" s="38">
        <f t="shared" si="17"/>
        <v>0</v>
      </c>
      <c r="N269" s="39"/>
      <c r="O269" s="23"/>
      <c r="P269" s="23"/>
      <c r="Q269" s="23"/>
      <c r="R269" s="23"/>
      <c r="S269" s="23"/>
      <c r="T269" s="23"/>
      <c r="U269" s="23"/>
      <c r="V269" s="23"/>
    </row>
    <row r="270" spans="1:22" s="24" customFormat="1" ht="23.1" customHeight="1">
      <c r="A270" s="105" t="s">
        <v>67</v>
      </c>
      <c r="B270" s="36">
        <f>COUNTIF('9'!$C$6:$C$529,"주")</f>
        <v>0</v>
      </c>
      <c r="C270" s="37" t="s">
        <v>11</v>
      </c>
      <c r="D270" s="38">
        <f>SUMIF('9'!$C$6:$C$529,"주",'9'!$E$6:$E$529)</f>
        <v>0</v>
      </c>
      <c r="E270" s="36">
        <f>COUNTIF('9'!$N$6:$N$529,"주국")</f>
        <v>0</v>
      </c>
      <c r="F270" s="37" t="s">
        <v>11</v>
      </c>
      <c r="G270" s="38">
        <f>SUMIF('9'!$N$6:$N$529,"주국",'9'!$E$6:$E$529)</f>
        <v>0</v>
      </c>
      <c r="H270" s="36">
        <f>COUNTIF('9'!$N$6:$N$529,"주공")</f>
        <v>0</v>
      </c>
      <c r="I270" s="37" t="s">
        <v>11</v>
      </c>
      <c r="J270" s="38">
        <f>SUMIF('9'!$N$6:$N$529,"주공",'9'!$E$6:$E$529)</f>
        <v>0</v>
      </c>
      <c r="K270" s="36">
        <f t="shared" si="16"/>
        <v>0</v>
      </c>
      <c r="L270" s="37" t="s">
        <v>11</v>
      </c>
      <c r="M270" s="38">
        <f t="shared" si="17"/>
        <v>0</v>
      </c>
      <c r="N270" s="39"/>
      <c r="O270" s="23"/>
      <c r="P270" s="23"/>
      <c r="Q270" s="23"/>
      <c r="R270" s="23"/>
      <c r="S270" s="23"/>
      <c r="T270" s="23"/>
      <c r="U270" s="23"/>
      <c r="V270" s="23"/>
    </row>
    <row r="271" spans="1:22" s="24" customFormat="1" ht="23.1" customHeight="1">
      <c r="A271" s="106" t="s">
        <v>68</v>
      </c>
      <c r="B271" s="40">
        <f>COUNTIF('9'!$C$6:$C$529," ")</f>
        <v>0</v>
      </c>
      <c r="C271" s="41" t="s">
        <v>11</v>
      </c>
      <c r="D271" s="42">
        <f>SUMIF('9'!$C$6:$C$529," ",'9'!$E$6:$E$529)</f>
        <v>0</v>
      </c>
      <c r="E271" s="40">
        <f>COUNTIF('9'!$N$6:$N$529," 국")</f>
        <v>0</v>
      </c>
      <c r="F271" s="41" t="s">
        <v>11</v>
      </c>
      <c r="G271" s="42">
        <f>SUMIF('9'!$N$6:$N$529," 국",'9'!$E$6:$E$529)</f>
        <v>0</v>
      </c>
      <c r="H271" s="40">
        <f>COUNTIF('9'!$N$6:$N$529," 공")</f>
        <v>0</v>
      </c>
      <c r="I271" s="41" t="s">
        <v>11</v>
      </c>
      <c r="J271" s="42">
        <f>SUMIF('9'!$N$6:$N$529," 공",'9'!$E$6:$E$529)</f>
        <v>0</v>
      </c>
      <c r="K271" s="40">
        <f t="shared" si="16"/>
        <v>0</v>
      </c>
      <c r="L271" s="41" t="s">
        <v>11</v>
      </c>
      <c r="M271" s="42">
        <f t="shared" si="17"/>
        <v>0</v>
      </c>
      <c r="N271" s="43"/>
      <c r="O271" s="23"/>
      <c r="P271" s="23"/>
      <c r="Q271" s="23"/>
      <c r="R271" s="23"/>
      <c r="S271" s="23"/>
      <c r="T271" s="23"/>
      <c r="U271" s="23"/>
      <c r="V271" s="23"/>
    </row>
    <row r="272" spans="1:22" s="17" customFormat="1" ht="20.100000000000001" customHeight="1">
      <c r="A272" s="11">
        <f>IF(EXACT(O276,O277),,"검산확인요!!!")</f>
        <v>0</v>
      </c>
      <c r="B272" s="12"/>
      <c r="C272" s="12"/>
      <c r="D272" s="12"/>
      <c r="E272" s="12"/>
      <c r="F272" s="12"/>
      <c r="G272" s="12"/>
      <c r="H272" s="12"/>
      <c r="I272" s="12"/>
      <c r="J272" s="12"/>
      <c r="K272" s="13">
        <f>IF(ISBLANK('10'!K2),,'10'!K2)</f>
        <v>3</v>
      </c>
      <c r="L272" s="14"/>
      <c r="M272" s="15"/>
      <c r="N272" s="16"/>
    </row>
    <row r="273" spans="1:22" s="17" customFormat="1" ht="9.9499999999999993" customHeight="1">
      <c r="A273" s="11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</row>
    <row r="274" spans="1:22" s="24" customFormat="1" ht="27.95" customHeight="1">
      <c r="A274" s="18" t="s">
        <v>9</v>
      </c>
      <c r="B274" s="19" t="s">
        <v>8</v>
      </c>
      <c r="C274" s="20"/>
      <c r="D274" s="21"/>
      <c r="E274" s="19" t="s">
        <v>35</v>
      </c>
      <c r="F274" s="20"/>
      <c r="G274" s="21"/>
      <c r="H274" s="19" t="s">
        <v>44</v>
      </c>
      <c r="I274" s="20"/>
      <c r="J274" s="21"/>
      <c r="K274" s="19" t="s">
        <v>36</v>
      </c>
      <c r="L274" s="20"/>
      <c r="M274" s="21"/>
      <c r="N274" s="22" t="s">
        <v>37</v>
      </c>
      <c r="O274" s="23"/>
      <c r="S274" s="23"/>
      <c r="T274" s="23"/>
      <c r="U274" s="23"/>
      <c r="V274" s="23"/>
    </row>
    <row r="275" spans="1:22" s="24" customFormat="1" ht="27.95" customHeight="1">
      <c r="A275" s="25"/>
      <c r="B275" s="26" t="s">
        <v>10</v>
      </c>
      <c r="C275" s="27" t="s">
        <v>11</v>
      </c>
      <c r="D275" s="28" t="s">
        <v>38</v>
      </c>
      <c r="E275" s="26" t="s">
        <v>10</v>
      </c>
      <c r="F275" s="27" t="s">
        <v>11</v>
      </c>
      <c r="G275" s="28" t="s">
        <v>38</v>
      </c>
      <c r="H275" s="26" t="s">
        <v>10</v>
      </c>
      <c r="I275" s="27" t="s">
        <v>11</v>
      </c>
      <c r="J275" s="28" t="s">
        <v>38</v>
      </c>
      <c r="K275" s="26" t="s">
        <v>10</v>
      </c>
      <c r="L275" s="27" t="s">
        <v>11</v>
      </c>
      <c r="M275" s="28" t="s">
        <v>38</v>
      </c>
      <c r="N275" s="29"/>
      <c r="P275" s="23"/>
      <c r="Q275" s="30" t="s">
        <v>39</v>
      </c>
      <c r="R275" s="30" t="s">
        <v>40</v>
      </c>
      <c r="S275" s="30" t="s">
        <v>41</v>
      </c>
      <c r="T275" s="30" t="s">
        <v>42</v>
      </c>
      <c r="U275" s="23"/>
      <c r="V275" s="23"/>
    </row>
    <row r="276" spans="1:22" s="24" customFormat="1" ht="23.1" customHeight="1">
      <c r="A276" s="103" t="s">
        <v>8</v>
      </c>
      <c r="B276" s="31">
        <f>SUM(B277:B301)</f>
        <v>0</v>
      </c>
      <c r="C276" s="32" t="s">
        <v>11</v>
      </c>
      <c r="D276" s="33">
        <f>SUM(D277:D301)</f>
        <v>0</v>
      </c>
      <c r="E276" s="31">
        <f>SUM(E277:E301)</f>
        <v>0</v>
      </c>
      <c r="F276" s="32" t="s">
        <v>11</v>
      </c>
      <c r="G276" s="33">
        <f>SUM(G277:G301)</f>
        <v>0</v>
      </c>
      <c r="H276" s="31">
        <f>SUM(H277:H301)</f>
        <v>0</v>
      </c>
      <c r="I276" s="32" t="s">
        <v>11</v>
      </c>
      <c r="J276" s="33">
        <f>SUM(J277:J301)</f>
        <v>0</v>
      </c>
      <c r="K276" s="31">
        <f>SUM(K277:K301)</f>
        <v>0</v>
      </c>
      <c r="L276" s="32" t="s">
        <v>11</v>
      </c>
      <c r="M276" s="33">
        <f>SUM(M277:M301)</f>
        <v>0</v>
      </c>
      <c r="N276" s="34"/>
      <c r="O276" s="23" t="str">
        <f>IF(EXACT(Q276,T276),"맞음","틀림")</f>
        <v>맞음</v>
      </c>
      <c r="P276" s="23" t="s">
        <v>10</v>
      </c>
      <c r="Q276" s="35">
        <f>SUM(B277:B301)</f>
        <v>0</v>
      </c>
      <c r="R276" s="35">
        <f>SUM(E277:E301)</f>
        <v>0</v>
      </c>
      <c r="S276" s="35">
        <f>SUM(K277:K301)</f>
        <v>0</v>
      </c>
      <c r="T276" s="35">
        <f>K276+E276</f>
        <v>0</v>
      </c>
      <c r="U276" s="23"/>
      <c r="V276" s="23"/>
    </row>
    <row r="277" spans="1:22" s="24" customFormat="1" ht="23.1" customHeight="1">
      <c r="A277" s="104" t="s">
        <v>13</v>
      </c>
      <c r="B277" s="36">
        <f>COUNTIF('10'!$C$6:$C$529,"전")</f>
        <v>0</v>
      </c>
      <c r="C277" s="37" t="s">
        <v>11</v>
      </c>
      <c r="D277" s="38">
        <f>SUMIF('10'!$C$6:$C$529,"전",'10'!$E$6:$E$529)</f>
        <v>0</v>
      </c>
      <c r="E277" s="36">
        <f>COUNTIF('10'!$N$6:$N$529,"전국")</f>
        <v>0</v>
      </c>
      <c r="F277" s="37" t="s">
        <v>11</v>
      </c>
      <c r="G277" s="38">
        <f>SUMIF('10'!$N$6:$N$529,"전국",'10'!$E$6:$E$529)</f>
        <v>0</v>
      </c>
      <c r="H277" s="36">
        <f>COUNTIF('10'!$N$6:$N$529,"전공")</f>
        <v>0</v>
      </c>
      <c r="I277" s="37" t="s">
        <v>11</v>
      </c>
      <c r="J277" s="38">
        <f>SUMIF('10'!$N$6:$N$529,"전공",'10'!$E$6:$E$529)</f>
        <v>0</v>
      </c>
      <c r="K277" s="36">
        <f t="shared" ref="K277:K301" si="18">SUM(B277-E277-H277)</f>
        <v>0</v>
      </c>
      <c r="L277" s="37" t="s">
        <v>11</v>
      </c>
      <c r="M277" s="38">
        <f t="shared" ref="M277:M301" si="19">SUM(D277-G277-J277)</f>
        <v>0</v>
      </c>
      <c r="N277" s="39"/>
      <c r="O277" s="23" t="str">
        <f>IF(EXACT(Q277,T277),"맞음","틀림")</f>
        <v>맞음</v>
      </c>
      <c r="P277" s="23" t="s">
        <v>43</v>
      </c>
      <c r="Q277" s="35">
        <f>SUM(D277:D301)</f>
        <v>0</v>
      </c>
      <c r="R277" s="35">
        <f>SUM(G277:G301)</f>
        <v>0</v>
      </c>
      <c r="S277" s="35">
        <f>SUM(M277:M301)</f>
        <v>0</v>
      </c>
      <c r="T277" s="35">
        <f>G276+M276</f>
        <v>0</v>
      </c>
      <c r="U277" s="23"/>
      <c r="V277" s="23"/>
    </row>
    <row r="278" spans="1:22" s="24" customFormat="1" ht="23.1" customHeight="1">
      <c r="A278" s="104" t="s">
        <v>14</v>
      </c>
      <c r="B278" s="36">
        <f>COUNTIF('10'!$C$6:$C$529,"답")</f>
        <v>0</v>
      </c>
      <c r="C278" s="37" t="s">
        <v>11</v>
      </c>
      <c r="D278" s="38">
        <f>SUMIF('10'!$C$6:$C$529,"답",'10'!$E$6:$E$529)</f>
        <v>0</v>
      </c>
      <c r="E278" s="36">
        <f>COUNTIF('10'!$N$6:$N$529,"답국")</f>
        <v>0</v>
      </c>
      <c r="F278" s="37" t="s">
        <v>11</v>
      </c>
      <c r="G278" s="38">
        <f>SUMIF('10'!$N$6:$N$529,"답국",'10'!$E$6:$E$529)</f>
        <v>0</v>
      </c>
      <c r="H278" s="36">
        <f>COUNTIF('10'!$N$6:$N$529,"답공")</f>
        <v>0</v>
      </c>
      <c r="I278" s="37" t="s">
        <v>11</v>
      </c>
      <c r="J278" s="38">
        <f>SUMIF('10'!$N$6:$N$529,"답공",'10'!$E$6:$E$529)</f>
        <v>0</v>
      </c>
      <c r="K278" s="36">
        <f t="shared" si="18"/>
        <v>0</v>
      </c>
      <c r="L278" s="37" t="s">
        <v>11</v>
      </c>
      <c r="M278" s="38">
        <f t="shared" si="19"/>
        <v>0</v>
      </c>
      <c r="N278" s="39"/>
      <c r="Q278" s="23"/>
      <c r="S278" s="23"/>
      <c r="U278" s="23"/>
      <c r="V278" s="23"/>
    </row>
    <row r="279" spans="1:22" s="24" customFormat="1" ht="23.1" customHeight="1">
      <c r="A279" s="104" t="s">
        <v>15</v>
      </c>
      <c r="B279" s="36">
        <f>COUNTIF('10'!$C$6:$C$529,"임")</f>
        <v>0</v>
      </c>
      <c r="C279" s="37" t="s">
        <v>11</v>
      </c>
      <c r="D279" s="38">
        <f>SUMIF('10'!$C$6:$C$529,"임",'10'!$E$6:$E$529)</f>
        <v>0</v>
      </c>
      <c r="E279" s="36">
        <f>COUNTIF('10'!$N$6:$N$529,"임국")</f>
        <v>0</v>
      </c>
      <c r="F279" s="37" t="s">
        <v>11</v>
      </c>
      <c r="G279" s="38">
        <f>SUMIF('10'!$N$6:$N$529,"임국",'10'!$E$6:$E$529)</f>
        <v>0</v>
      </c>
      <c r="H279" s="36">
        <f>COUNTIF('10'!$N$6:$N$529,"임공")</f>
        <v>0</v>
      </c>
      <c r="I279" s="37" t="s">
        <v>11</v>
      </c>
      <c r="J279" s="38">
        <f>SUMIF('10'!$N$6:$N$529,"임공",'10'!$E$6:$E$529)</f>
        <v>0</v>
      </c>
      <c r="K279" s="36">
        <f t="shared" si="18"/>
        <v>0</v>
      </c>
      <c r="L279" s="37" t="s">
        <v>11</v>
      </c>
      <c r="M279" s="38">
        <f t="shared" si="19"/>
        <v>0</v>
      </c>
      <c r="N279" s="39"/>
      <c r="Q279" s="23"/>
      <c r="S279" s="23"/>
      <c r="U279" s="23"/>
      <c r="V279" s="23"/>
    </row>
    <row r="280" spans="1:22" s="24" customFormat="1" ht="23.1" customHeight="1">
      <c r="A280" s="104" t="s">
        <v>16</v>
      </c>
      <c r="B280" s="36">
        <f>COUNTIF('10'!$C$6:$C$529,"대")</f>
        <v>0</v>
      </c>
      <c r="C280" s="37" t="s">
        <v>11</v>
      </c>
      <c r="D280" s="38">
        <f>SUMIF('10'!$C$6:$C$529,"대",'10'!$E$6:$E$529)</f>
        <v>0</v>
      </c>
      <c r="E280" s="36">
        <f>COUNTIF('10'!$N$6:$N$529,"대국")</f>
        <v>0</v>
      </c>
      <c r="F280" s="37" t="s">
        <v>11</v>
      </c>
      <c r="G280" s="38">
        <f>SUMIF('10'!$N$6:$N$529,"대국",'10'!$E$6:$E$529)</f>
        <v>0</v>
      </c>
      <c r="H280" s="36">
        <f>COUNTIF('10'!$N$6:$N$529,"대공")</f>
        <v>0</v>
      </c>
      <c r="I280" s="37" t="s">
        <v>11</v>
      </c>
      <c r="J280" s="38">
        <f>SUMIF('10'!$N$6:$N$529,"대공",'10'!$E$6:$E$529)</f>
        <v>0</v>
      </c>
      <c r="K280" s="36">
        <f t="shared" si="18"/>
        <v>0</v>
      </c>
      <c r="L280" s="37" t="s">
        <v>11</v>
      </c>
      <c r="M280" s="38">
        <f t="shared" si="19"/>
        <v>0</v>
      </c>
      <c r="N280" s="39"/>
      <c r="O280" s="23"/>
      <c r="P280" s="23"/>
      <c r="Q280" s="23"/>
      <c r="R280" s="23"/>
      <c r="S280" s="23"/>
      <c r="T280" s="23"/>
      <c r="U280" s="23"/>
      <c r="V280" s="23"/>
    </row>
    <row r="281" spans="1:22" s="24" customFormat="1" ht="23.1" customHeight="1">
      <c r="A281" s="104" t="s">
        <v>17</v>
      </c>
      <c r="B281" s="36">
        <f>COUNTIF('10'!$C$6:$C$529,"도")</f>
        <v>0</v>
      </c>
      <c r="C281" s="37" t="s">
        <v>11</v>
      </c>
      <c r="D281" s="38">
        <f>SUMIF('10'!$C$6:$C$529,"도",'10'!$E$6:$E$529)</f>
        <v>0</v>
      </c>
      <c r="E281" s="36">
        <f>COUNTIF('10'!$N$6:$N$529,"도국")</f>
        <v>0</v>
      </c>
      <c r="F281" s="37" t="s">
        <v>11</v>
      </c>
      <c r="G281" s="38">
        <f>SUMIF('10'!$N$6:$N$529,"도국",'10'!$E$6:$E$529)</f>
        <v>0</v>
      </c>
      <c r="H281" s="36">
        <f>COUNTIF('10'!$N$6:$N$529,"도공")</f>
        <v>0</v>
      </c>
      <c r="I281" s="37" t="s">
        <v>11</v>
      </c>
      <c r="J281" s="38">
        <f>SUMIF('10'!$N$6:$N$529,"도공",'10'!$E$6:$E$529)</f>
        <v>0</v>
      </c>
      <c r="K281" s="36">
        <f t="shared" si="18"/>
        <v>0</v>
      </c>
      <c r="L281" s="37" t="s">
        <v>11</v>
      </c>
      <c r="M281" s="38">
        <f t="shared" si="19"/>
        <v>0</v>
      </c>
      <c r="N281" s="39"/>
      <c r="O281" s="23"/>
      <c r="P281" s="23"/>
      <c r="Q281" s="23"/>
      <c r="R281" s="23"/>
      <c r="S281" s="23"/>
      <c r="T281" s="23"/>
      <c r="U281" s="23"/>
      <c r="V281" s="23"/>
    </row>
    <row r="282" spans="1:22" s="24" customFormat="1" ht="23.1" customHeight="1">
      <c r="A282" s="104" t="s">
        <v>18</v>
      </c>
      <c r="B282" s="36">
        <f>COUNTIF('10'!$C$6:$C$529,"구")</f>
        <v>0</v>
      </c>
      <c r="C282" s="37" t="s">
        <v>11</v>
      </c>
      <c r="D282" s="38">
        <f>SUMIF('10'!$C$6:$C$529,"구",'10'!$E$6:$E$529)</f>
        <v>0</v>
      </c>
      <c r="E282" s="36">
        <f>COUNTIF('10'!$N$6:$N$529,"구국")</f>
        <v>0</v>
      </c>
      <c r="F282" s="37" t="s">
        <v>11</v>
      </c>
      <c r="G282" s="38">
        <f>SUMIF('10'!$N$6:$N$529,"구국",'10'!$E$6:$E$529)</f>
        <v>0</v>
      </c>
      <c r="H282" s="36">
        <f>COUNTIF('10'!$N$6:$N$529,"구공")</f>
        <v>0</v>
      </c>
      <c r="I282" s="37" t="s">
        <v>11</v>
      </c>
      <c r="J282" s="38">
        <f>SUMIF('10'!$N$6:$N$529,"구공",'10'!$E$6:$E$529)</f>
        <v>0</v>
      </c>
      <c r="K282" s="36">
        <f t="shared" si="18"/>
        <v>0</v>
      </c>
      <c r="L282" s="37" t="s">
        <v>11</v>
      </c>
      <c r="M282" s="38">
        <f t="shared" si="19"/>
        <v>0</v>
      </c>
      <c r="N282" s="39"/>
      <c r="O282" s="23"/>
      <c r="P282" s="23"/>
      <c r="Q282" s="23"/>
      <c r="R282" s="23"/>
      <c r="S282" s="23"/>
      <c r="T282" s="23"/>
      <c r="U282" s="23"/>
      <c r="V282" s="23"/>
    </row>
    <row r="283" spans="1:22" s="24" customFormat="1" ht="23.1" customHeight="1">
      <c r="A283" s="104" t="s">
        <v>19</v>
      </c>
      <c r="B283" s="36">
        <f>COUNTIF('10'!$C$6:$C$529,"천")</f>
        <v>0</v>
      </c>
      <c r="C283" s="37" t="s">
        <v>11</v>
      </c>
      <c r="D283" s="38">
        <f>SUMIF('10'!$C$6:$C$529,"천",'10'!$E$6:$E$529)</f>
        <v>0</v>
      </c>
      <c r="E283" s="36">
        <f>COUNTIF('10'!$N$6:$N$529,"천국")</f>
        <v>0</v>
      </c>
      <c r="F283" s="37" t="s">
        <v>11</v>
      </c>
      <c r="G283" s="38">
        <f>SUMIF('10'!$N$6:$N$529,"천국",'10'!$E$6:$E$529)</f>
        <v>0</v>
      </c>
      <c r="H283" s="36">
        <f>COUNTIF('10'!$N$6:$N$529,"천공")</f>
        <v>0</v>
      </c>
      <c r="I283" s="37" t="s">
        <v>11</v>
      </c>
      <c r="J283" s="38">
        <f>SUMIF('10'!$N$6:$N$529,"천공",'10'!$E$6:$E$529)</f>
        <v>0</v>
      </c>
      <c r="K283" s="36">
        <f t="shared" si="18"/>
        <v>0</v>
      </c>
      <c r="L283" s="37" t="s">
        <v>11</v>
      </c>
      <c r="M283" s="38">
        <f t="shared" si="19"/>
        <v>0</v>
      </c>
      <c r="N283" s="39"/>
      <c r="O283" s="23"/>
      <c r="P283" s="23"/>
      <c r="Q283" s="23"/>
      <c r="R283" s="23"/>
      <c r="S283" s="23"/>
      <c r="T283" s="23"/>
      <c r="U283" s="23"/>
      <c r="V283" s="23"/>
    </row>
    <row r="284" spans="1:22" s="24" customFormat="1" ht="23.1" customHeight="1">
      <c r="A284" s="104" t="s">
        <v>20</v>
      </c>
      <c r="B284" s="36">
        <f>COUNTIF('10'!$C$6:$C$529,"유")</f>
        <v>0</v>
      </c>
      <c r="C284" s="37" t="s">
        <v>11</v>
      </c>
      <c r="D284" s="38">
        <f>SUMIF('10'!$C$6:$C$529,"유",'10'!$E$6:$E$529)</f>
        <v>0</v>
      </c>
      <c r="E284" s="36">
        <f>COUNTIF('10'!$N$6:$N$529,"유국")</f>
        <v>0</v>
      </c>
      <c r="F284" s="37" t="s">
        <v>11</v>
      </c>
      <c r="G284" s="38">
        <f>SUMIF('10'!$N$6:$N$529,"유국",'10'!$E$6:$E$529)</f>
        <v>0</v>
      </c>
      <c r="H284" s="36">
        <f>COUNTIF('10'!$N$6:$N$529,"유공")</f>
        <v>0</v>
      </c>
      <c r="I284" s="37" t="s">
        <v>11</v>
      </c>
      <c r="J284" s="38">
        <f>SUMIF('10'!$N$6:$N$529,"유공",'10'!$E$6:$E$529)</f>
        <v>0</v>
      </c>
      <c r="K284" s="36">
        <f t="shared" si="18"/>
        <v>0</v>
      </c>
      <c r="L284" s="37" t="s">
        <v>11</v>
      </c>
      <c r="M284" s="38">
        <f t="shared" si="19"/>
        <v>0</v>
      </c>
      <c r="N284" s="39"/>
      <c r="O284" s="23"/>
      <c r="P284" s="23"/>
      <c r="Q284" s="23"/>
      <c r="R284" s="23"/>
      <c r="S284" s="23"/>
      <c r="T284" s="23"/>
      <c r="U284" s="23"/>
      <c r="V284" s="23"/>
    </row>
    <row r="285" spans="1:22" s="24" customFormat="1" ht="23.1" customHeight="1">
      <c r="A285" s="104" t="s">
        <v>21</v>
      </c>
      <c r="B285" s="36">
        <f>COUNTIF('10'!$C$6:$C$529,"제")</f>
        <v>0</v>
      </c>
      <c r="C285" s="37" t="s">
        <v>11</v>
      </c>
      <c r="D285" s="38">
        <f>SUMIF('10'!$C$6:$C$529,"제",'10'!$E$6:$E$529)</f>
        <v>0</v>
      </c>
      <c r="E285" s="36">
        <f>COUNTIF('10'!$N$6:$N$529,"제국")</f>
        <v>0</v>
      </c>
      <c r="F285" s="37" t="s">
        <v>11</v>
      </c>
      <c r="G285" s="38">
        <f>SUMIF('10'!$N$6:$N$529,"제국",'10'!$E$6:$E$529)</f>
        <v>0</v>
      </c>
      <c r="H285" s="36">
        <f>COUNTIF('10'!$N$6:$N$529,"제공")</f>
        <v>0</v>
      </c>
      <c r="I285" s="37" t="s">
        <v>11</v>
      </c>
      <c r="J285" s="38">
        <f>SUMIF('10'!$N$6:$N$529,"제공",'10'!$E$6:$E$529)</f>
        <v>0</v>
      </c>
      <c r="K285" s="36">
        <f t="shared" si="18"/>
        <v>0</v>
      </c>
      <c r="L285" s="37" t="s">
        <v>11</v>
      </c>
      <c r="M285" s="38">
        <f t="shared" si="19"/>
        <v>0</v>
      </c>
      <c r="N285" s="39"/>
      <c r="O285" s="23"/>
      <c r="P285" s="23"/>
      <c r="Q285" s="23"/>
      <c r="R285" s="23"/>
      <c r="S285" s="23"/>
      <c r="T285" s="23"/>
      <c r="U285" s="23"/>
      <c r="V285" s="23"/>
    </row>
    <row r="286" spans="1:22" s="24" customFormat="1" ht="23.1" customHeight="1">
      <c r="A286" s="104" t="s">
        <v>22</v>
      </c>
      <c r="B286" s="36">
        <f>COUNTIF('10'!$C$6:$C$529,"과")</f>
        <v>0</v>
      </c>
      <c r="C286" s="37" t="s">
        <v>11</v>
      </c>
      <c r="D286" s="38">
        <f>SUMIF('10'!$C$6:$C$529,"과",'10'!$E$6:$E$529)</f>
        <v>0</v>
      </c>
      <c r="E286" s="36">
        <f>COUNTIF('10'!$N$6:$N$529,"과국")</f>
        <v>0</v>
      </c>
      <c r="F286" s="37" t="s">
        <v>11</v>
      </c>
      <c r="G286" s="38">
        <f>SUMIF('10'!$N$6:$N$529,"과국",'10'!$E$6:$E$529)</f>
        <v>0</v>
      </c>
      <c r="H286" s="36">
        <f>COUNTIF('10'!$N$6:$N$529,"과공")</f>
        <v>0</v>
      </c>
      <c r="I286" s="37" t="s">
        <v>11</v>
      </c>
      <c r="J286" s="38">
        <f>SUMIF('10'!$N$6:$N$529,"과공",'10'!$E$6:$E$529)</f>
        <v>0</v>
      </c>
      <c r="K286" s="36">
        <f t="shared" si="18"/>
        <v>0</v>
      </c>
      <c r="L286" s="37" t="s">
        <v>11</v>
      </c>
      <c r="M286" s="38">
        <f t="shared" si="19"/>
        <v>0</v>
      </c>
      <c r="N286" s="39"/>
      <c r="O286" s="23"/>
      <c r="P286" s="23"/>
      <c r="Q286" s="23"/>
      <c r="R286" s="23"/>
      <c r="S286" s="23"/>
      <c r="T286" s="23"/>
      <c r="U286" s="23"/>
      <c r="V286" s="23"/>
    </row>
    <row r="287" spans="1:22" s="24" customFormat="1" ht="23.1" customHeight="1">
      <c r="A287" s="104" t="s">
        <v>23</v>
      </c>
      <c r="B287" s="36">
        <f>COUNTIF('10'!$C$6:$C$529,"장")</f>
        <v>0</v>
      </c>
      <c r="C287" s="37" t="s">
        <v>11</v>
      </c>
      <c r="D287" s="38">
        <f>SUMIF('10'!$C$6:$C$529,"장",'10'!$E$6:$E$529)</f>
        <v>0</v>
      </c>
      <c r="E287" s="36">
        <f>COUNTIF('10'!$N$6:$N$529,"장국")</f>
        <v>0</v>
      </c>
      <c r="F287" s="37" t="s">
        <v>11</v>
      </c>
      <c r="G287" s="38">
        <f>SUMIF('10'!$N$6:$N$529,"장국",'10'!$E$6:$E$529)</f>
        <v>0</v>
      </c>
      <c r="H287" s="36">
        <f>COUNTIF('10'!$N$6:$N$529,"장공")</f>
        <v>0</v>
      </c>
      <c r="I287" s="37" t="s">
        <v>11</v>
      </c>
      <c r="J287" s="38">
        <f>SUMIF('10'!$N$6:$N$529,"장공",'10'!$E$6:$E$529)</f>
        <v>0</v>
      </c>
      <c r="K287" s="36">
        <f t="shared" si="18"/>
        <v>0</v>
      </c>
      <c r="L287" s="37" t="s">
        <v>11</v>
      </c>
      <c r="M287" s="38">
        <f t="shared" si="19"/>
        <v>0</v>
      </c>
      <c r="N287" s="39"/>
      <c r="O287" s="23"/>
      <c r="P287" s="23"/>
      <c r="Q287" s="23"/>
      <c r="R287" s="23"/>
      <c r="S287" s="23"/>
      <c r="T287" s="23"/>
      <c r="U287" s="23"/>
      <c r="V287" s="23"/>
    </row>
    <row r="288" spans="1:22" s="24" customFormat="1" ht="23.1" customHeight="1">
      <c r="A288" s="104" t="s">
        <v>24</v>
      </c>
      <c r="B288" s="36">
        <f>COUNTIF('10'!$C$6:$C$529,"목")</f>
        <v>0</v>
      </c>
      <c r="C288" s="37" t="s">
        <v>11</v>
      </c>
      <c r="D288" s="38">
        <f>SUMIF('10'!$C$6:$C$529,"목",'10'!$E$6:$E$529)</f>
        <v>0</v>
      </c>
      <c r="E288" s="36">
        <f>COUNTIF('10'!$N$6:$N$529,"목국")</f>
        <v>0</v>
      </c>
      <c r="F288" s="37" t="s">
        <v>11</v>
      </c>
      <c r="G288" s="38">
        <f>SUMIF('10'!$N$6:$N$529,"목국",'10'!$E$6:$E$529)</f>
        <v>0</v>
      </c>
      <c r="H288" s="36">
        <f>COUNTIF('10'!$N$6:$N$529,"목공")</f>
        <v>0</v>
      </c>
      <c r="I288" s="37" t="s">
        <v>11</v>
      </c>
      <c r="J288" s="38">
        <f>SUMIF('10'!$N$6:$N$529,"목공",'10'!$E$6:$E$529)</f>
        <v>0</v>
      </c>
      <c r="K288" s="36">
        <f t="shared" si="18"/>
        <v>0</v>
      </c>
      <c r="L288" s="37" t="s">
        <v>11</v>
      </c>
      <c r="M288" s="38">
        <f t="shared" si="19"/>
        <v>0</v>
      </c>
      <c r="N288" s="39"/>
      <c r="O288" s="23"/>
      <c r="P288" s="23"/>
      <c r="Q288" s="23"/>
      <c r="R288" s="23"/>
      <c r="S288" s="23"/>
      <c r="T288" s="23"/>
      <c r="U288" s="23"/>
      <c r="V288" s="23"/>
    </row>
    <row r="289" spans="1:22" s="24" customFormat="1" ht="23.1" customHeight="1">
      <c r="A289" s="104" t="s">
        <v>25</v>
      </c>
      <c r="B289" s="36">
        <f>COUNTIF('10'!$C$6:$C$529,"학")</f>
        <v>0</v>
      </c>
      <c r="C289" s="37" t="s">
        <v>11</v>
      </c>
      <c r="D289" s="38">
        <f>SUMIF('10'!$C$6:$C$529,"학",'10'!$E$6:$E$529)</f>
        <v>0</v>
      </c>
      <c r="E289" s="36">
        <f>COUNTIF('10'!$N$6:$N$529,"학국")</f>
        <v>0</v>
      </c>
      <c r="F289" s="37" t="s">
        <v>11</v>
      </c>
      <c r="G289" s="38">
        <f>SUMIF('10'!$N$6:$N$529,"학국",'10'!$E$6:$E$529)</f>
        <v>0</v>
      </c>
      <c r="H289" s="36">
        <f>COUNTIF('10'!$N$6:$N$529,"학공")</f>
        <v>0</v>
      </c>
      <c r="I289" s="37" t="s">
        <v>11</v>
      </c>
      <c r="J289" s="38">
        <f>SUMIF('10'!$N$6:$N$529,"학공",'10'!$E$6:$E$529)</f>
        <v>0</v>
      </c>
      <c r="K289" s="36">
        <f t="shared" si="18"/>
        <v>0</v>
      </c>
      <c r="L289" s="37" t="s">
        <v>11</v>
      </c>
      <c r="M289" s="38">
        <f t="shared" si="19"/>
        <v>0</v>
      </c>
      <c r="N289" s="39"/>
      <c r="O289" s="23"/>
      <c r="P289" s="23"/>
      <c r="Q289" s="23"/>
      <c r="R289" s="23"/>
      <c r="S289" s="23"/>
      <c r="T289" s="23"/>
      <c r="U289" s="23"/>
      <c r="V289" s="23"/>
    </row>
    <row r="290" spans="1:22" s="24" customFormat="1" ht="23.1" customHeight="1">
      <c r="A290" s="104" t="s">
        <v>26</v>
      </c>
      <c r="B290" s="36">
        <f>COUNTIF('10'!$C$6:$C$529,"철")</f>
        <v>0</v>
      </c>
      <c r="C290" s="37" t="s">
        <v>11</v>
      </c>
      <c r="D290" s="38">
        <f>SUMIF('10'!$C$6:$C$529,"철",'10'!$E$6:$E$529)</f>
        <v>0</v>
      </c>
      <c r="E290" s="36">
        <f>COUNTIF('10'!$N$6:$N$529,"철국")</f>
        <v>0</v>
      </c>
      <c r="F290" s="37" t="s">
        <v>11</v>
      </c>
      <c r="G290" s="38">
        <f>SUMIF('10'!$N$6:$N$529,"철국",'10'!$E$6:$E$529)</f>
        <v>0</v>
      </c>
      <c r="H290" s="36">
        <f>COUNTIF('10'!$N$6:$N$529,"철공")</f>
        <v>0</v>
      </c>
      <c r="I290" s="37" t="s">
        <v>11</v>
      </c>
      <c r="J290" s="38">
        <f>SUMIF('10'!$N$6:$N$529,"철공",'10'!$E$6:$E$529)</f>
        <v>0</v>
      </c>
      <c r="K290" s="36">
        <f t="shared" si="18"/>
        <v>0</v>
      </c>
      <c r="L290" s="37" t="s">
        <v>11</v>
      </c>
      <c r="M290" s="38">
        <f t="shared" si="19"/>
        <v>0</v>
      </c>
      <c r="N290" s="39"/>
      <c r="O290" s="23"/>
      <c r="P290" s="23"/>
      <c r="Q290" s="23"/>
      <c r="R290" s="23"/>
      <c r="S290" s="23"/>
      <c r="T290" s="23"/>
      <c r="U290" s="23"/>
      <c r="V290" s="23"/>
    </row>
    <row r="291" spans="1:22" s="24" customFormat="1" ht="23.1" customHeight="1">
      <c r="A291" s="104" t="s">
        <v>27</v>
      </c>
      <c r="B291" s="36">
        <f>COUNTIF('10'!$C$6:$C$529,"묘")</f>
        <v>0</v>
      </c>
      <c r="C291" s="37" t="s">
        <v>11</v>
      </c>
      <c r="D291" s="38">
        <f>SUMIF('10'!$C$6:$C$529,"묘",'10'!$E$6:$E$529)</f>
        <v>0</v>
      </c>
      <c r="E291" s="36">
        <f>COUNTIF('10'!$N$6:$N$529,"묘국")</f>
        <v>0</v>
      </c>
      <c r="F291" s="37" t="s">
        <v>11</v>
      </c>
      <c r="G291" s="38">
        <f>SUMIF('10'!$N$6:$N$529,"묘국",'10'!$E$6:$E$529)</f>
        <v>0</v>
      </c>
      <c r="H291" s="36">
        <f>COUNTIF('10'!$N$6:$N$529,"묘공")</f>
        <v>0</v>
      </c>
      <c r="I291" s="37" t="s">
        <v>11</v>
      </c>
      <c r="J291" s="38">
        <f>SUMIF('10'!$N$6:$N$529,"묘공",'10'!$E$6:$E$529)</f>
        <v>0</v>
      </c>
      <c r="K291" s="36">
        <f t="shared" si="18"/>
        <v>0</v>
      </c>
      <c r="L291" s="37" t="s">
        <v>11</v>
      </c>
      <c r="M291" s="38">
        <f t="shared" si="19"/>
        <v>0</v>
      </c>
      <c r="N291" s="39"/>
      <c r="O291" s="23"/>
      <c r="P291" s="23"/>
      <c r="Q291" s="23"/>
      <c r="R291" s="23"/>
      <c r="S291" s="23"/>
      <c r="T291" s="23"/>
      <c r="U291" s="23"/>
      <c r="V291" s="23"/>
    </row>
    <row r="292" spans="1:22" s="24" customFormat="1" ht="23.1" customHeight="1">
      <c r="A292" s="104" t="s">
        <v>28</v>
      </c>
      <c r="B292" s="36">
        <f>COUNTIF('10'!$C$6:$C$529,"수")</f>
        <v>0</v>
      </c>
      <c r="C292" s="37" t="s">
        <v>11</v>
      </c>
      <c r="D292" s="38">
        <f>SUMIF('10'!$C$6:$C$529,"수",'10'!$E$6:$E$529)</f>
        <v>0</v>
      </c>
      <c r="E292" s="36">
        <f>COUNTIF('10'!$N$6:$N$529,"수국")</f>
        <v>0</v>
      </c>
      <c r="F292" s="37" t="s">
        <v>11</v>
      </c>
      <c r="G292" s="38">
        <f>SUMIF('10'!$N$6:$N$529,"수국",'10'!$E$6:$E$529)</f>
        <v>0</v>
      </c>
      <c r="H292" s="36">
        <f>COUNTIF('10'!$N$6:$N$529,"수공")</f>
        <v>0</v>
      </c>
      <c r="I292" s="37" t="s">
        <v>11</v>
      </c>
      <c r="J292" s="38">
        <f>SUMIF('10'!$N$6:$N$529,"수공",'10'!$E$6:$E$529)</f>
        <v>0</v>
      </c>
      <c r="K292" s="36">
        <f t="shared" si="18"/>
        <v>0</v>
      </c>
      <c r="L292" s="37" t="s">
        <v>11</v>
      </c>
      <c r="M292" s="38">
        <f t="shared" si="19"/>
        <v>0</v>
      </c>
      <c r="N292" s="39"/>
      <c r="O292" s="23"/>
      <c r="P292" s="23"/>
      <c r="Q292" s="23"/>
      <c r="R292" s="23"/>
      <c r="S292" s="23"/>
      <c r="T292" s="23"/>
      <c r="U292" s="23"/>
      <c r="V292" s="23"/>
    </row>
    <row r="293" spans="1:22" s="24" customFormat="1" ht="23.1" customHeight="1">
      <c r="A293" s="104" t="s">
        <v>29</v>
      </c>
      <c r="B293" s="36">
        <f>COUNTIF('10'!$C$6:$C$529,"잡")</f>
        <v>0</v>
      </c>
      <c r="C293" s="37" t="s">
        <v>11</v>
      </c>
      <c r="D293" s="38">
        <f>SUMIF('10'!$C$6:$C$529,"잡",'10'!$E$6:$E$529)</f>
        <v>0</v>
      </c>
      <c r="E293" s="36">
        <f>COUNTIF('10'!$N$6:$N$529,"잡국")</f>
        <v>0</v>
      </c>
      <c r="F293" s="37" t="s">
        <v>11</v>
      </c>
      <c r="G293" s="38">
        <f>SUMIF('10'!$N$6:$N$529,"잡국",'10'!$E$6:$E$529)</f>
        <v>0</v>
      </c>
      <c r="H293" s="36">
        <f>COUNTIF('10'!$N$6:$N$529,"잡공")</f>
        <v>0</v>
      </c>
      <c r="I293" s="37" t="s">
        <v>11</v>
      </c>
      <c r="J293" s="38">
        <f>SUMIF('10'!$N$6:$N$529,"잡공",'10'!$E$6:$E$529)</f>
        <v>0</v>
      </c>
      <c r="K293" s="36">
        <f t="shared" si="18"/>
        <v>0</v>
      </c>
      <c r="L293" s="37" t="s">
        <v>11</v>
      </c>
      <c r="M293" s="38">
        <f t="shared" si="19"/>
        <v>0</v>
      </c>
      <c r="N293" s="39"/>
      <c r="O293" s="23"/>
      <c r="P293" s="23"/>
      <c r="Q293" s="23"/>
      <c r="R293" s="23"/>
      <c r="S293" s="23"/>
      <c r="T293" s="23"/>
      <c r="U293" s="23"/>
      <c r="V293" s="23"/>
    </row>
    <row r="294" spans="1:22" s="24" customFormat="1" ht="23.1" customHeight="1">
      <c r="A294" s="105" t="s">
        <v>30</v>
      </c>
      <c r="B294" s="36">
        <f>COUNTIF('10'!$C$6:$C$529,"종")</f>
        <v>0</v>
      </c>
      <c r="C294" s="37" t="s">
        <v>11</v>
      </c>
      <c r="D294" s="38">
        <f>SUMIF('10'!$C$6:$C$529,"종",'10'!$E$6:$E$529)</f>
        <v>0</v>
      </c>
      <c r="E294" s="36">
        <f>COUNTIF('10'!$N$6:$N$529,"종국")</f>
        <v>0</v>
      </c>
      <c r="F294" s="37" t="s">
        <v>11</v>
      </c>
      <c r="G294" s="38">
        <f>SUMIF('10'!$N$6:$N$529,"종국",'10'!$E$6:$E$529)</f>
        <v>0</v>
      </c>
      <c r="H294" s="36">
        <f>COUNTIF('10'!$N$6:$N$529,"종공")</f>
        <v>0</v>
      </c>
      <c r="I294" s="37" t="s">
        <v>11</v>
      </c>
      <c r="J294" s="38">
        <f>SUMIF('10'!$N$6:$N$529,"종공",'10'!$E$6:$E$529)</f>
        <v>0</v>
      </c>
      <c r="K294" s="36">
        <f t="shared" si="18"/>
        <v>0</v>
      </c>
      <c r="L294" s="37" t="s">
        <v>11</v>
      </c>
      <c r="M294" s="38">
        <f t="shared" si="19"/>
        <v>0</v>
      </c>
      <c r="N294" s="39"/>
      <c r="O294" s="23"/>
      <c r="P294" s="23"/>
      <c r="Q294" s="23"/>
      <c r="R294" s="23"/>
      <c r="S294" s="23"/>
      <c r="T294" s="23"/>
      <c r="U294" s="23"/>
      <c r="V294" s="23"/>
    </row>
    <row r="295" spans="1:22" s="24" customFormat="1" ht="23.1" customHeight="1">
      <c r="A295" s="105" t="s">
        <v>31</v>
      </c>
      <c r="B295" s="36">
        <f>COUNTIF('10'!$C$6:$C$529,"염")</f>
        <v>0</v>
      </c>
      <c r="C295" s="37" t="s">
        <v>11</v>
      </c>
      <c r="D295" s="38">
        <f>SUMIF('10'!$C$6:$C$529,"염",'10'!$E$6:$E$529)</f>
        <v>0</v>
      </c>
      <c r="E295" s="36">
        <f>COUNTIF('10'!$N$6:$N$529,"염국")</f>
        <v>0</v>
      </c>
      <c r="F295" s="37" t="s">
        <v>11</v>
      </c>
      <c r="G295" s="38">
        <f>SUMIF('10'!$N$6:$N$529,"염국",'10'!$E$6:$E$529)</f>
        <v>0</v>
      </c>
      <c r="H295" s="36">
        <f>COUNTIF('10'!$N$6:$N$529,"염공")</f>
        <v>0</v>
      </c>
      <c r="I295" s="37" t="s">
        <v>11</v>
      </c>
      <c r="J295" s="38">
        <f>SUMIF('10'!$N$6:$N$529,"염공",'10'!$E$6:$E$529)</f>
        <v>0</v>
      </c>
      <c r="K295" s="36">
        <f t="shared" si="18"/>
        <v>0</v>
      </c>
      <c r="L295" s="37" t="s">
        <v>11</v>
      </c>
      <c r="M295" s="38">
        <f t="shared" si="19"/>
        <v>0</v>
      </c>
      <c r="N295" s="39"/>
      <c r="O295" s="23"/>
      <c r="P295" s="23"/>
      <c r="Q295" s="23"/>
      <c r="R295" s="23"/>
      <c r="S295" s="23"/>
      <c r="T295" s="23"/>
      <c r="U295" s="23"/>
      <c r="V295" s="23"/>
    </row>
    <row r="296" spans="1:22" s="24" customFormat="1" ht="23.1" customHeight="1">
      <c r="A296" s="105" t="s">
        <v>32</v>
      </c>
      <c r="B296" s="36">
        <f>COUNTIF('10'!$C$6:$C$529,"공")</f>
        <v>0</v>
      </c>
      <c r="C296" s="37" t="s">
        <v>11</v>
      </c>
      <c r="D296" s="38">
        <f>SUMIF('10'!$C$6:$C$529,"공",'10'!$E$6:$E$529)</f>
        <v>0</v>
      </c>
      <c r="E296" s="36">
        <f>COUNTIF('10'!$N$6:$N$529,"공국")</f>
        <v>0</v>
      </c>
      <c r="F296" s="37" t="s">
        <v>11</v>
      </c>
      <c r="G296" s="38">
        <f>SUMIF('10'!$N$6:$N$529,"공국",'10'!$E$6:$E$529)</f>
        <v>0</v>
      </c>
      <c r="H296" s="36">
        <f>COUNTIF('10'!$N$6:$N$529,"공공")</f>
        <v>0</v>
      </c>
      <c r="I296" s="37" t="s">
        <v>11</v>
      </c>
      <c r="J296" s="38">
        <f>SUMIF('10'!$N$6:$N$529,"공공",'10'!$E$6:$E$529)</f>
        <v>0</v>
      </c>
      <c r="K296" s="36">
        <f t="shared" si="18"/>
        <v>0</v>
      </c>
      <c r="L296" s="37" t="s">
        <v>11</v>
      </c>
      <c r="M296" s="38">
        <f t="shared" si="19"/>
        <v>0</v>
      </c>
      <c r="N296" s="39"/>
      <c r="O296" s="23"/>
      <c r="P296" s="23"/>
      <c r="Q296" s="23"/>
      <c r="R296" s="23"/>
      <c r="S296" s="23"/>
      <c r="T296" s="23"/>
      <c r="U296" s="23"/>
      <c r="V296" s="23"/>
    </row>
    <row r="297" spans="1:22" s="24" customFormat="1" ht="23.1" customHeight="1">
      <c r="A297" s="105" t="s">
        <v>33</v>
      </c>
      <c r="B297" s="36">
        <f>COUNTIF('10'!$C$6:$C$529,"체")</f>
        <v>0</v>
      </c>
      <c r="C297" s="37" t="s">
        <v>11</v>
      </c>
      <c r="D297" s="38">
        <f>SUMIF('10'!$C$6:$C$529,"체",'10'!$E$6:$E$529)</f>
        <v>0</v>
      </c>
      <c r="E297" s="36">
        <f>COUNTIF('10'!$N$6:$N$529,"체국")</f>
        <v>0</v>
      </c>
      <c r="F297" s="37" t="s">
        <v>11</v>
      </c>
      <c r="G297" s="38">
        <f>SUMIF('10'!$N$6:$N$529,"체국",'10'!$E$6:$E$529)</f>
        <v>0</v>
      </c>
      <c r="H297" s="36">
        <f>COUNTIF('10'!$N$6:$N$529,"체공")</f>
        <v>0</v>
      </c>
      <c r="I297" s="37" t="s">
        <v>11</v>
      </c>
      <c r="J297" s="38">
        <f>SUMIF('10'!$N$6:$N$529,"체공",'10'!$E$6:$E$529)</f>
        <v>0</v>
      </c>
      <c r="K297" s="36">
        <f t="shared" si="18"/>
        <v>0</v>
      </c>
      <c r="L297" s="37" t="s">
        <v>11</v>
      </c>
      <c r="M297" s="38">
        <f t="shared" si="19"/>
        <v>0</v>
      </c>
      <c r="N297" s="39"/>
      <c r="O297" s="23"/>
      <c r="P297" s="23"/>
      <c r="Q297" s="23"/>
      <c r="R297" s="23"/>
      <c r="S297" s="23"/>
      <c r="T297" s="23"/>
      <c r="U297" s="23"/>
      <c r="V297" s="23"/>
    </row>
    <row r="298" spans="1:22" s="24" customFormat="1" ht="23.1" customHeight="1">
      <c r="A298" s="105" t="s">
        <v>34</v>
      </c>
      <c r="B298" s="36">
        <f>COUNTIF('10'!$C$6:$C$529,"원")</f>
        <v>0</v>
      </c>
      <c r="C298" s="37" t="s">
        <v>11</v>
      </c>
      <c r="D298" s="38">
        <f>SUMIF('10'!$C$6:$C$529,"원",'10'!$E$6:$E$529)</f>
        <v>0</v>
      </c>
      <c r="E298" s="36">
        <f>COUNTIF('10'!$N$6:$N$529,"원국")</f>
        <v>0</v>
      </c>
      <c r="F298" s="37" t="s">
        <v>11</v>
      </c>
      <c r="G298" s="38">
        <f>SUMIF('10'!$N$6:$N$529,"원국",'10'!$E$6:$E$529)</f>
        <v>0</v>
      </c>
      <c r="H298" s="36">
        <f>COUNTIF('10'!$N$6:$N$529,"원공")</f>
        <v>0</v>
      </c>
      <c r="I298" s="37" t="s">
        <v>11</v>
      </c>
      <c r="J298" s="38">
        <f>SUMIF('10'!$N$6:$N$529,"원공",'10'!$E$6:$E$529)</f>
        <v>0</v>
      </c>
      <c r="K298" s="36">
        <f t="shared" si="18"/>
        <v>0</v>
      </c>
      <c r="L298" s="37" t="s">
        <v>11</v>
      </c>
      <c r="M298" s="38">
        <f t="shared" si="19"/>
        <v>0</v>
      </c>
      <c r="N298" s="39"/>
      <c r="O298" s="23"/>
      <c r="P298" s="23"/>
      <c r="Q298" s="23"/>
      <c r="R298" s="23"/>
      <c r="S298" s="23"/>
      <c r="T298" s="23"/>
      <c r="U298" s="23"/>
      <c r="V298" s="23"/>
    </row>
    <row r="299" spans="1:22" s="24" customFormat="1" ht="23.1" customHeight="1">
      <c r="A299" s="105" t="s">
        <v>66</v>
      </c>
      <c r="B299" s="36">
        <f>COUNTIF('10'!$C$6:$C$529,"차")</f>
        <v>0</v>
      </c>
      <c r="C299" s="37" t="s">
        <v>11</v>
      </c>
      <c r="D299" s="38">
        <f>SUMIF('10'!$C$6:$C$529,"차",'10'!$E$6:$E$529)</f>
        <v>0</v>
      </c>
      <c r="E299" s="36">
        <f>COUNTIF('10'!$N$6:$N$529,"차국")</f>
        <v>0</v>
      </c>
      <c r="F299" s="37" t="s">
        <v>11</v>
      </c>
      <c r="G299" s="38">
        <f>SUMIF('10'!$N$6:$N$529,"차국",'10'!$E$6:$E$529)</f>
        <v>0</v>
      </c>
      <c r="H299" s="36">
        <f>COUNTIF('10'!$N$6:$N$529,"차공")</f>
        <v>0</v>
      </c>
      <c r="I299" s="37" t="s">
        <v>11</v>
      </c>
      <c r="J299" s="38">
        <f>SUMIF('10'!$N$6:$N$529,"차공",'10'!$E$6:$E$529)</f>
        <v>0</v>
      </c>
      <c r="K299" s="36">
        <f t="shared" si="18"/>
        <v>0</v>
      </c>
      <c r="L299" s="37" t="s">
        <v>11</v>
      </c>
      <c r="M299" s="38">
        <f t="shared" si="19"/>
        <v>0</v>
      </c>
      <c r="N299" s="39"/>
      <c r="O299" s="23"/>
      <c r="P299" s="23"/>
      <c r="Q299" s="23"/>
      <c r="R299" s="23"/>
      <c r="S299" s="23"/>
      <c r="T299" s="23"/>
      <c r="U299" s="23"/>
      <c r="V299" s="23"/>
    </row>
    <row r="300" spans="1:22" s="24" customFormat="1" ht="23.1" customHeight="1">
      <c r="A300" s="105" t="s">
        <v>67</v>
      </c>
      <c r="B300" s="36">
        <f>COUNTIF('10'!$C$6:$C$529,"주")</f>
        <v>0</v>
      </c>
      <c r="C300" s="37" t="s">
        <v>11</v>
      </c>
      <c r="D300" s="38">
        <f>SUMIF('10'!$C$6:$C$529,"주",'10'!$E$6:$E$529)</f>
        <v>0</v>
      </c>
      <c r="E300" s="36">
        <f>COUNTIF('10'!$N$6:$N$529,"주국")</f>
        <v>0</v>
      </c>
      <c r="F300" s="37" t="s">
        <v>11</v>
      </c>
      <c r="G300" s="38">
        <f>SUMIF('10'!$N$6:$N$529,"주국",'10'!$E$6:$E$529)</f>
        <v>0</v>
      </c>
      <c r="H300" s="36">
        <f>COUNTIF('10'!$N$6:$N$529,"주공")</f>
        <v>0</v>
      </c>
      <c r="I300" s="37" t="s">
        <v>11</v>
      </c>
      <c r="J300" s="38">
        <f>SUMIF('10'!$N$6:$N$529,"주공",'10'!$E$6:$E$529)</f>
        <v>0</v>
      </c>
      <c r="K300" s="36">
        <f t="shared" si="18"/>
        <v>0</v>
      </c>
      <c r="L300" s="37" t="s">
        <v>11</v>
      </c>
      <c r="M300" s="38">
        <f t="shared" si="19"/>
        <v>0</v>
      </c>
      <c r="N300" s="39"/>
      <c r="O300" s="23"/>
      <c r="P300" s="23"/>
      <c r="Q300" s="23"/>
      <c r="R300" s="23"/>
      <c r="S300" s="23"/>
      <c r="T300" s="23"/>
      <c r="U300" s="23"/>
      <c r="V300" s="23"/>
    </row>
    <row r="301" spans="1:22" s="24" customFormat="1" ht="23.1" customHeight="1">
      <c r="A301" s="106" t="s">
        <v>68</v>
      </c>
      <c r="B301" s="40">
        <f>COUNTIF('10'!$C$6:$C$529," ")</f>
        <v>0</v>
      </c>
      <c r="C301" s="41" t="s">
        <v>11</v>
      </c>
      <c r="D301" s="42">
        <f>SUMIF('10'!$C$6:$C$529," ",'10'!$E$6:$E$529)</f>
        <v>0</v>
      </c>
      <c r="E301" s="40">
        <f>COUNTIF('10'!$N$6:$N$529," 국")</f>
        <v>0</v>
      </c>
      <c r="F301" s="41" t="s">
        <v>11</v>
      </c>
      <c r="G301" s="42">
        <f>SUMIF('10'!$N$6:$N$529," 국",'10'!$E$6:$E$529)</f>
        <v>0</v>
      </c>
      <c r="H301" s="40">
        <f>COUNTIF('10'!$N$6:$N$529," 공")</f>
        <v>0</v>
      </c>
      <c r="I301" s="41" t="s">
        <v>11</v>
      </c>
      <c r="J301" s="42">
        <f>SUMIF('10'!$N$6:$N$529," 공",'10'!$E$6:$E$529)</f>
        <v>0</v>
      </c>
      <c r="K301" s="40">
        <f t="shared" si="18"/>
        <v>0</v>
      </c>
      <c r="L301" s="41" t="s">
        <v>11</v>
      </c>
      <c r="M301" s="42">
        <f t="shared" si="19"/>
        <v>0</v>
      </c>
      <c r="N301" s="43"/>
      <c r="O301" s="23"/>
      <c r="P301" s="23"/>
      <c r="Q301" s="23"/>
      <c r="R301" s="23"/>
      <c r="S301" s="23"/>
      <c r="T301" s="23"/>
      <c r="U301" s="23"/>
      <c r="V301" s="23"/>
    </row>
    <row r="302" spans="1:22">
      <c r="N302" s="100"/>
    </row>
    <row r="303" spans="1:22">
      <c r="N303" s="100"/>
    </row>
    <row r="304" spans="1:22">
      <c r="N304" s="100"/>
    </row>
    <row r="305" spans="1:14">
      <c r="N305" s="100"/>
    </row>
    <row r="306" spans="1:14">
      <c r="N306" s="100"/>
    </row>
    <row r="307" spans="1:14">
      <c r="A307" s="101"/>
      <c r="B307" s="102"/>
      <c r="C307" s="102"/>
      <c r="D307" s="102"/>
      <c r="E307" s="102"/>
      <c r="F307" s="102"/>
      <c r="G307" s="102"/>
      <c r="H307" s="102"/>
      <c r="I307" s="102"/>
      <c r="J307" s="102"/>
      <c r="K307" s="102"/>
      <c r="L307" s="102"/>
      <c r="M307" s="102"/>
      <c r="N307" s="102"/>
    </row>
    <row r="308" spans="1:14">
      <c r="A308" s="101"/>
      <c r="B308" s="102"/>
      <c r="C308" s="102"/>
      <c r="D308" s="102"/>
      <c r="E308" s="102"/>
      <c r="F308" s="102"/>
      <c r="G308" s="102"/>
      <c r="H308" s="102"/>
      <c r="I308" s="102"/>
      <c r="J308" s="102"/>
      <c r="K308" s="102"/>
      <c r="L308" s="102"/>
      <c r="M308" s="102"/>
      <c r="N308" s="102"/>
    </row>
    <row r="309" spans="1:14">
      <c r="A309" s="101"/>
      <c r="B309" s="102"/>
      <c r="C309" s="102"/>
      <c r="D309" s="102"/>
      <c r="E309" s="102"/>
      <c r="F309" s="102"/>
      <c r="G309" s="102"/>
      <c r="H309" s="102"/>
      <c r="I309" s="102"/>
      <c r="J309" s="102"/>
      <c r="K309" s="102"/>
      <c r="L309" s="102"/>
      <c r="M309" s="102"/>
      <c r="N309" s="102"/>
    </row>
    <row r="310" spans="1:14">
      <c r="A310" s="101"/>
      <c r="B310" s="102"/>
      <c r="C310" s="102"/>
      <c r="D310" s="102"/>
      <c r="E310" s="102"/>
      <c r="F310" s="102"/>
      <c r="G310" s="102"/>
      <c r="H310" s="102"/>
      <c r="I310" s="102"/>
      <c r="J310" s="102"/>
      <c r="K310" s="102"/>
      <c r="L310" s="102"/>
      <c r="M310" s="102"/>
      <c r="N310" s="102"/>
    </row>
    <row r="311" spans="1:14">
      <c r="A311" s="101"/>
      <c r="B311" s="102"/>
      <c r="C311" s="102"/>
      <c r="D311" s="102"/>
      <c r="E311" s="102"/>
      <c r="F311" s="102"/>
      <c r="G311" s="102"/>
      <c r="H311" s="102"/>
      <c r="I311" s="102"/>
      <c r="J311" s="102"/>
      <c r="K311" s="102"/>
      <c r="L311" s="102"/>
      <c r="M311" s="102"/>
      <c r="N311" s="102"/>
    </row>
    <row r="312" spans="1:14">
      <c r="A312" s="101"/>
      <c r="B312" s="102"/>
      <c r="C312" s="102"/>
      <c r="D312" s="102"/>
      <c r="E312" s="102"/>
      <c r="F312" s="102"/>
      <c r="G312" s="102"/>
      <c r="H312" s="102"/>
      <c r="I312" s="102"/>
      <c r="J312" s="102"/>
      <c r="K312" s="102"/>
      <c r="L312" s="102"/>
      <c r="M312" s="102"/>
      <c r="N312" s="102"/>
    </row>
    <row r="313" spans="1:14">
      <c r="A313" s="101"/>
      <c r="B313" s="102"/>
      <c r="C313" s="102"/>
      <c r="D313" s="102"/>
      <c r="E313" s="102"/>
      <c r="F313" s="102"/>
      <c r="G313" s="102"/>
      <c r="H313" s="102"/>
      <c r="I313" s="102"/>
      <c r="J313" s="102"/>
      <c r="K313" s="102"/>
      <c r="L313" s="102"/>
      <c r="M313" s="102"/>
      <c r="N313" s="102"/>
    </row>
    <row r="314" spans="1:14">
      <c r="A314" s="101"/>
      <c r="B314" s="102"/>
      <c r="C314" s="102"/>
      <c r="D314" s="102"/>
      <c r="E314" s="102"/>
      <c r="F314" s="102"/>
      <c r="G314" s="102"/>
      <c r="H314" s="102"/>
      <c r="I314" s="102"/>
      <c r="J314" s="102"/>
      <c r="K314" s="102"/>
      <c r="L314" s="102"/>
      <c r="M314" s="102"/>
      <c r="N314" s="102"/>
    </row>
    <row r="315" spans="1:14">
      <c r="A315" s="101"/>
      <c r="B315" s="102"/>
      <c r="C315" s="102"/>
      <c r="D315" s="102"/>
      <c r="E315" s="102"/>
      <c r="F315" s="102"/>
      <c r="G315" s="102"/>
      <c r="H315" s="102"/>
      <c r="I315" s="102"/>
      <c r="J315" s="102"/>
      <c r="K315" s="102"/>
      <c r="L315" s="102"/>
      <c r="M315" s="102"/>
      <c r="N315" s="102"/>
    </row>
    <row r="316" spans="1:14">
      <c r="A316" s="101"/>
      <c r="B316" s="102"/>
      <c r="C316" s="102"/>
      <c r="D316" s="102"/>
      <c r="E316" s="102"/>
      <c r="F316" s="102"/>
      <c r="G316" s="102"/>
      <c r="H316" s="102"/>
      <c r="I316" s="102"/>
      <c r="J316" s="102"/>
      <c r="K316" s="102"/>
      <c r="L316" s="102"/>
      <c r="M316" s="102"/>
      <c r="N316" s="102"/>
    </row>
    <row r="317" spans="1:14">
      <c r="A317" s="101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  <c r="L317" s="102"/>
      <c r="M317" s="102"/>
      <c r="N317" s="102"/>
    </row>
    <row r="318" spans="1:14">
      <c r="A318" s="101"/>
      <c r="B318" s="102"/>
      <c r="C318" s="102"/>
      <c r="D318" s="102"/>
      <c r="E318" s="102"/>
      <c r="F318" s="102"/>
      <c r="G318" s="102"/>
      <c r="H318" s="102"/>
      <c r="I318" s="102"/>
      <c r="J318" s="102"/>
      <c r="K318" s="102"/>
      <c r="L318" s="102"/>
      <c r="M318" s="102"/>
      <c r="N318" s="102"/>
    </row>
    <row r="319" spans="1:14">
      <c r="A319" s="101"/>
      <c r="B319" s="102"/>
      <c r="C319" s="102"/>
      <c r="D319" s="102"/>
      <c r="E319" s="102"/>
      <c r="F319" s="102"/>
      <c r="G319" s="102"/>
      <c r="H319" s="102"/>
      <c r="I319" s="102"/>
      <c r="J319" s="102"/>
      <c r="K319" s="102"/>
      <c r="L319" s="102"/>
      <c r="M319" s="102"/>
      <c r="N319" s="102"/>
    </row>
    <row r="320" spans="1:14">
      <c r="A320" s="101"/>
      <c r="B320" s="102"/>
      <c r="C320" s="102"/>
      <c r="D320" s="102"/>
      <c r="E320" s="102"/>
      <c r="F320" s="102"/>
      <c r="G320" s="102"/>
      <c r="H320" s="102"/>
      <c r="I320" s="102"/>
      <c r="J320" s="102"/>
      <c r="K320" s="102"/>
      <c r="L320" s="102"/>
      <c r="M320" s="102"/>
      <c r="N320" s="102"/>
    </row>
    <row r="321" spans="1:14">
      <c r="A321" s="101"/>
      <c r="B321" s="102"/>
      <c r="C321" s="102"/>
      <c r="D321" s="102"/>
      <c r="E321" s="102"/>
      <c r="F321" s="102"/>
      <c r="G321" s="102"/>
      <c r="H321" s="102"/>
      <c r="I321" s="102"/>
      <c r="J321" s="102"/>
      <c r="K321" s="102"/>
      <c r="L321" s="102"/>
      <c r="M321" s="102"/>
      <c r="N321" s="102"/>
    </row>
    <row r="322" spans="1:14">
      <c r="N322" s="100"/>
    </row>
    <row r="323" spans="1:14">
      <c r="N323" s="100"/>
    </row>
    <row r="324" spans="1:14">
      <c r="N324" s="100"/>
    </row>
    <row r="325" spans="1:14">
      <c r="N325" s="100"/>
    </row>
    <row r="326" spans="1:14">
      <c r="N326" s="100"/>
    </row>
    <row r="327" spans="1:14">
      <c r="N327" s="100"/>
    </row>
    <row r="328" spans="1:14">
      <c r="A328" s="101"/>
      <c r="B328" s="102"/>
      <c r="C328" s="102"/>
      <c r="D328" s="102"/>
      <c r="E328" s="102"/>
      <c r="F328" s="102"/>
      <c r="G328" s="102"/>
      <c r="H328" s="102"/>
      <c r="I328" s="102"/>
      <c r="J328" s="102"/>
      <c r="K328" s="102"/>
      <c r="L328" s="102"/>
      <c r="M328" s="102"/>
      <c r="N328" s="102"/>
    </row>
    <row r="329" spans="1:14">
      <c r="A329" s="101"/>
      <c r="B329" s="102"/>
      <c r="C329" s="102"/>
      <c r="D329" s="102"/>
      <c r="E329" s="102"/>
      <c r="F329" s="102"/>
      <c r="G329" s="102"/>
      <c r="H329" s="102"/>
      <c r="I329" s="102"/>
      <c r="J329" s="102"/>
      <c r="K329" s="102"/>
      <c r="L329" s="102"/>
      <c r="M329" s="102"/>
      <c r="N329" s="102"/>
    </row>
    <row r="330" spans="1:14">
      <c r="A330" s="101"/>
      <c r="B330" s="102"/>
      <c r="C330" s="102"/>
      <c r="D330" s="102"/>
      <c r="E330" s="102"/>
      <c r="F330" s="102"/>
      <c r="G330" s="102"/>
      <c r="H330" s="102"/>
      <c r="I330" s="102"/>
      <c r="J330" s="102"/>
      <c r="K330" s="102"/>
      <c r="L330" s="102"/>
      <c r="M330" s="102"/>
      <c r="N330" s="102"/>
    </row>
    <row r="331" spans="1:14">
      <c r="A331" s="101"/>
      <c r="B331" s="102"/>
      <c r="C331" s="102"/>
      <c r="D331" s="102"/>
      <c r="E331" s="102"/>
      <c r="F331" s="102"/>
      <c r="G331" s="102"/>
      <c r="H331" s="102"/>
      <c r="I331" s="102"/>
      <c r="J331" s="102"/>
      <c r="K331" s="102"/>
      <c r="L331" s="102"/>
      <c r="M331" s="102"/>
      <c r="N331" s="102"/>
    </row>
    <row r="332" spans="1:14">
      <c r="A332" s="101"/>
      <c r="B332" s="102"/>
      <c r="C332" s="102"/>
      <c r="D332" s="102"/>
      <c r="E332" s="102"/>
      <c r="F332" s="102"/>
      <c r="G332" s="102"/>
      <c r="H332" s="102"/>
      <c r="I332" s="102"/>
      <c r="J332" s="102"/>
      <c r="K332" s="102"/>
      <c r="L332" s="102"/>
      <c r="M332" s="102"/>
      <c r="N332" s="102"/>
    </row>
    <row r="333" spans="1:14">
      <c r="A333" s="101"/>
      <c r="B333" s="102"/>
      <c r="C333" s="102"/>
      <c r="D333" s="102"/>
      <c r="E333" s="102"/>
      <c r="F333" s="102"/>
      <c r="G333" s="102"/>
      <c r="H333" s="102"/>
      <c r="I333" s="102"/>
      <c r="J333" s="102"/>
      <c r="K333" s="102"/>
      <c r="L333" s="102"/>
      <c r="M333" s="102"/>
      <c r="N333" s="102"/>
    </row>
    <row r="334" spans="1:14">
      <c r="A334" s="101"/>
      <c r="B334" s="102"/>
      <c r="C334" s="102"/>
      <c r="D334" s="102"/>
      <c r="E334" s="102"/>
      <c r="F334" s="102"/>
      <c r="G334" s="102"/>
      <c r="H334" s="102"/>
      <c r="I334" s="102"/>
      <c r="J334" s="102"/>
      <c r="K334" s="102"/>
      <c r="L334" s="102"/>
      <c r="M334" s="102"/>
      <c r="N334" s="102"/>
    </row>
    <row r="335" spans="1:14">
      <c r="A335" s="101"/>
      <c r="B335" s="102"/>
      <c r="C335" s="102"/>
      <c r="D335" s="102"/>
      <c r="E335" s="102"/>
      <c r="F335" s="102"/>
      <c r="G335" s="102"/>
      <c r="H335" s="102"/>
      <c r="I335" s="102"/>
      <c r="J335" s="102"/>
      <c r="K335" s="102"/>
      <c r="L335" s="102"/>
      <c r="M335" s="102"/>
      <c r="N335" s="102"/>
    </row>
    <row r="336" spans="1:14">
      <c r="A336" s="101"/>
      <c r="B336" s="102"/>
      <c r="C336" s="102"/>
      <c r="D336" s="102"/>
      <c r="E336" s="102"/>
      <c r="F336" s="102"/>
      <c r="G336" s="102"/>
      <c r="H336" s="102"/>
      <c r="I336" s="102"/>
      <c r="J336" s="102"/>
      <c r="K336" s="102"/>
      <c r="L336" s="102"/>
      <c r="M336" s="102"/>
      <c r="N336" s="102"/>
    </row>
    <row r="337" spans="1:14">
      <c r="A337" s="101"/>
      <c r="B337" s="102"/>
      <c r="C337" s="102"/>
      <c r="D337" s="102"/>
      <c r="E337" s="102"/>
      <c r="F337" s="102"/>
      <c r="G337" s="102"/>
      <c r="H337" s="102"/>
      <c r="I337" s="102"/>
      <c r="J337" s="102"/>
      <c r="K337" s="102"/>
      <c r="L337" s="102"/>
      <c r="M337" s="102"/>
      <c r="N337" s="102"/>
    </row>
    <row r="338" spans="1:14">
      <c r="A338" s="101"/>
      <c r="B338" s="102"/>
      <c r="C338" s="102"/>
      <c r="D338" s="102"/>
      <c r="E338" s="102"/>
      <c r="F338" s="102"/>
      <c r="G338" s="102"/>
      <c r="H338" s="102"/>
      <c r="I338" s="102"/>
      <c r="J338" s="102"/>
      <c r="K338" s="102"/>
      <c r="L338" s="102"/>
      <c r="M338" s="102"/>
      <c r="N338" s="102"/>
    </row>
    <row r="339" spans="1:14">
      <c r="A339" s="101"/>
      <c r="B339" s="102"/>
      <c r="C339" s="102"/>
      <c r="D339" s="102"/>
      <c r="E339" s="102"/>
      <c r="F339" s="102"/>
      <c r="G339" s="102"/>
      <c r="H339" s="102"/>
      <c r="I339" s="102"/>
      <c r="J339" s="102"/>
      <c r="K339" s="102"/>
      <c r="L339" s="102"/>
      <c r="M339" s="102"/>
      <c r="N339" s="102"/>
    </row>
    <row r="340" spans="1:14">
      <c r="A340" s="101"/>
      <c r="B340" s="102"/>
      <c r="C340" s="102"/>
      <c r="D340" s="102"/>
      <c r="E340" s="102"/>
      <c r="F340" s="102"/>
      <c r="G340" s="102"/>
      <c r="H340" s="102"/>
      <c r="I340" s="102"/>
      <c r="J340" s="102"/>
      <c r="K340" s="102"/>
      <c r="L340" s="102"/>
      <c r="M340" s="102"/>
      <c r="N340" s="102"/>
    </row>
    <row r="341" spans="1:14">
      <c r="A341" s="101"/>
      <c r="B341" s="102"/>
      <c r="C341" s="102"/>
      <c r="D341" s="102"/>
      <c r="E341" s="102"/>
      <c r="F341" s="102"/>
      <c r="G341" s="102"/>
      <c r="H341" s="102"/>
      <c r="I341" s="102"/>
      <c r="J341" s="102"/>
      <c r="K341" s="102"/>
      <c r="L341" s="102"/>
      <c r="M341" s="102"/>
      <c r="N341" s="102"/>
    </row>
    <row r="342" spans="1:14">
      <c r="A342" s="101"/>
      <c r="B342" s="102"/>
      <c r="C342" s="102"/>
      <c r="D342" s="102"/>
      <c r="E342" s="102"/>
      <c r="F342" s="102"/>
      <c r="G342" s="102"/>
      <c r="H342" s="102"/>
      <c r="I342" s="102"/>
      <c r="J342" s="102"/>
      <c r="K342" s="102"/>
      <c r="L342" s="102"/>
      <c r="M342" s="102"/>
      <c r="N342" s="102"/>
    </row>
    <row r="343" spans="1:14">
      <c r="N343" s="100"/>
    </row>
    <row r="344" spans="1:14">
      <c r="N344" s="100"/>
    </row>
    <row r="345" spans="1:14">
      <c r="N345" s="100"/>
    </row>
    <row r="346" spans="1:14">
      <c r="N346" s="100"/>
    </row>
    <row r="347" spans="1:14">
      <c r="N347" s="100"/>
    </row>
    <row r="348" spans="1:14">
      <c r="N348" s="100"/>
    </row>
    <row r="349" spans="1:14">
      <c r="A349" s="101"/>
      <c r="B349" s="102"/>
      <c r="C349" s="102"/>
      <c r="D349" s="102"/>
      <c r="E349" s="102"/>
      <c r="F349" s="102"/>
      <c r="G349" s="102"/>
      <c r="H349" s="102"/>
      <c r="I349" s="102"/>
      <c r="J349" s="102"/>
      <c r="K349" s="102"/>
      <c r="L349" s="102"/>
      <c r="M349" s="102"/>
      <c r="N349" s="102"/>
    </row>
    <row r="350" spans="1:14">
      <c r="A350" s="101"/>
      <c r="B350" s="102"/>
      <c r="C350" s="102"/>
      <c r="D350" s="102"/>
      <c r="E350" s="102"/>
      <c r="F350" s="102"/>
      <c r="G350" s="102"/>
      <c r="H350" s="102"/>
      <c r="I350" s="102"/>
      <c r="J350" s="102"/>
      <c r="K350" s="102"/>
      <c r="L350" s="102"/>
      <c r="M350" s="102"/>
      <c r="N350" s="102"/>
    </row>
    <row r="351" spans="1:14">
      <c r="A351" s="101"/>
      <c r="B351" s="102"/>
      <c r="C351" s="102"/>
      <c r="D351" s="102"/>
      <c r="E351" s="102"/>
      <c r="F351" s="102"/>
      <c r="G351" s="102"/>
      <c r="H351" s="102"/>
      <c r="I351" s="102"/>
      <c r="J351" s="102"/>
      <c r="K351" s="102"/>
      <c r="L351" s="102"/>
      <c r="M351" s="102"/>
      <c r="N351" s="102"/>
    </row>
    <row r="352" spans="1:14">
      <c r="A352" s="101"/>
      <c r="B352" s="102"/>
      <c r="C352" s="102"/>
      <c r="D352" s="102"/>
      <c r="E352" s="102"/>
      <c r="F352" s="102"/>
      <c r="G352" s="102"/>
      <c r="H352" s="102"/>
      <c r="I352" s="102"/>
      <c r="J352" s="102"/>
      <c r="K352" s="102"/>
      <c r="L352" s="102"/>
      <c r="M352" s="102"/>
      <c r="N352" s="102"/>
    </row>
    <row r="353" spans="1:14">
      <c r="A353" s="101"/>
      <c r="B353" s="102"/>
      <c r="C353" s="102"/>
      <c r="D353" s="102"/>
      <c r="E353" s="102"/>
      <c r="F353" s="102"/>
      <c r="G353" s="102"/>
      <c r="H353" s="102"/>
      <c r="I353" s="102"/>
      <c r="J353" s="102"/>
      <c r="K353" s="102"/>
      <c r="L353" s="102"/>
      <c r="M353" s="102"/>
      <c r="N353" s="102"/>
    </row>
    <row r="354" spans="1:14">
      <c r="A354" s="101"/>
      <c r="B354" s="102"/>
      <c r="C354" s="102"/>
      <c r="D354" s="102"/>
      <c r="E354" s="102"/>
      <c r="F354" s="102"/>
      <c r="G354" s="102"/>
      <c r="H354" s="102"/>
      <c r="I354" s="102"/>
      <c r="J354" s="102"/>
      <c r="K354" s="102"/>
      <c r="L354" s="102"/>
      <c r="M354" s="102"/>
      <c r="N354" s="102"/>
    </row>
    <row r="355" spans="1:14">
      <c r="A355" s="101"/>
      <c r="B355" s="102"/>
      <c r="C355" s="102"/>
      <c r="D355" s="102"/>
      <c r="E355" s="102"/>
      <c r="F355" s="102"/>
      <c r="G355" s="102"/>
      <c r="H355" s="102"/>
      <c r="I355" s="102"/>
      <c r="J355" s="102"/>
      <c r="K355" s="102"/>
      <c r="L355" s="102"/>
      <c r="M355" s="102"/>
      <c r="N355" s="102"/>
    </row>
    <row r="356" spans="1:14">
      <c r="A356" s="101"/>
      <c r="B356" s="102"/>
      <c r="C356" s="102"/>
      <c r="D356" s="102"/>
      <c r="E356" s="102"/>
      <c r="F356" s="102"/>
      <c r="G356" s="102"/>
      <c r="H356" s="102"/>
      <c r="I356" s="102"/>
      <c r="J356" s="102"/>
      <c r="K356" s="102"/>
      <c r="L356" s="102"/>
      <c r="M356" s="102"/>
      <c r="N356" s="102"/>
    </row>
    <row r="357" spans="1:14">
      <c r="A357" s="101"/>
      <c r="B357" s="102"/>
      <c r="C357" s="102"/>
      <c r="D357" s="102"/>
      <c r="E357" s="102"/>
      <c r="F357" s="102"/>
      <c r="G357" s="102"/>
      <c r="H357" s="102"/>
      <c r="I357" s="102"/>
      <c r="J357" s="102"/>
      <c r="K357" s="102"/>
      <c r="L357" s="102"/>
      <c r="M357" s="102"/>
      <c r="N357" s="102"/>
    </row>
    <row r="358" spans="1:14">
      <c r="A358" s="101"/>
      <c r="B358" s="102"/>
      <c r="C358" s="102"/>
      <c r="D358" s="102"/>
      <c r="E358" s="102"/>
      <c r="F358" s="102"/>
      <c r="G358" s="102"/>
      <c r="H358" s="102"/>
      <c r="I358" s="102"/>
      <c r="J358" s="102"/>
      <c r="K358" s="102"/>
      <c r="L358" s="102"/>
      <c r="M358" s="102"/>
      <c r="N358" s="102"/>
    </row>
    <row r="359" spans="1:14">
      <c r="A359" s="101"/>
      <c r="B359" s="102"/>
      <c r="C359" s="102"/>
      <c r="D359" s="102"/>
      <c r="E359" s="102"/>
      <c r="F359" s="102"/>
      <c r="G359" s="102"/>
      <c r="H359" s="102"/>
      <c r="I359" s="102"/>
      <c r="J359" s="102"/>
      <c r="K359" s="102"/>
      <c r="L359" s="102"/>
      <c r="M359" s="102"/>
      <c r="N359" s="102"/>
    </row>
    <row r="360" spans="1:14">
      <c r="A360" s="101"/>
      <c r="B360" s="102"/>
      <c r="C360" s="102"/>
      <c r="D360" s="102"/>
      <c r="E360" s="102"/>
      <c r="F360" s="102"/>
      <c r="G360" s="102"/>
      <c r="H360" s="102"/>
      <c r="I360" s="102"/>
      <c r="J360" s="102"/>
      <c r="K360" s="102"/>
      <c r="L360" s="102"/>
      <c r="M360" s="102"/>
      <c r="N360" s="102"/>
    </row>
    <row r="361" spans="1:14">
      <c r="A361" s="101"/>
      <c r="B361" s="102"/>
      <c r="C361" s="102"/>
      <c r="D361" s="102"/>
      <c r="E361" s="102"/>
      <c r="F361" s="102"/>
      <c r="G361" s="102"/>
      <c r="H361" s="102"/>
      <c r="I361" s="102"/>
      <c r="J361" s="102"/>
      <c r="K361" s="102"/>
      <c r="L361" s="102"/>
      <c r="M361" s="102"/>
      <c r="N361" s="102"/>
    </row>
    <row r="362" spans="1:14">
      <c r="A362" s="101"/>
      <c r="B362" s="102"/>
      <c r="C362" s="102"/>
      <c r="D362" s="102"/>
      <c r="E362" s="102"/>
      <c r="F362" s="102"/>
      <c r="G362" s="102"/>
      <c r="H362" s="102"/>
      <c r="I362" s="102"/>
      <c r="J362" s="102"/>
      <c r="K362" s="102"/>
      <c r="L362" s="102"/>
      <c r="M362" s="102"/>
      <c r="N362" s="102"/>
    </row>
    <row r="363" spans="1:14">
      <c r="A363" s="101"/>
      <c r="B363" s="102"/>
      <c r="C363" s="102"/>
      <c r="D363" s="102"/>
      <c r="E363" s="102"/>
      <c r="F363" s="102"/>
      <c r="G363" s="102"/>
      <c r="H363" s="102"/>
      <c r="I363" s="102"/>
      <c r="J363" s="102"/>
      <c r="K363" s="102"/>
      <c r="L363" s="102"/>
      <c r="M363" s="102"/>
      <c r="N363" s="102"/>
    </row>
    <row r="364" spans="1:14">
      <c r="N364" s="100"/>
    </row>
    <row r="365" spans="1:14">
      <c r="N365" s="100"/>
    </row>
    <row r="366" spans="1:14">
      <c r="N366" s="100"/>
    </row>
    <row r="367" spans="1:14">
      <c r="N367" s="100"/>
    </row>
    <row r="368" spans="1:14">
      <c r="N368" s="100"/>
    </row>
    <row r="369" spans="14:14">
      <c r="N369" s="100"/>
    </row>
  </sheetData>
  <mergeCells count="4">
    <mergeCell ref="B94:D94"/>
    <mergeCell ref="B4:D4"/>
    <mergeCell ref="B64:D64"/>
    <mergeCell ref="B34:D34"/>
  </mergeCells>
  <phoneticPr fontId="5" type="noConversion"/>
  <printOptions horizontalCentered="1" verticalCentered="1"/>
  <pageMargins left="0.39370078740157483" right="0.39370078740157483" top="0.78740157480314965" bottom="0.39370078740157483" header="0.39370078740157483" footer="0.19685039370078741"/>
  <pageSetup paperSize="9" scale="85" orientation="portrait" horizontalDpi="4294967293" r:id="rId1"/>
  <headerFooter alignWithMargins="0"/>
  <rowBreaks count="9" manualBreakCount="9">
    <brk id="31" max="13" man="1"/>
    <brk id="61" max="13" man="1"/>
    <brk id="91" max="13" man="1"/>
    <brk id="121" max="13" man="1"/>
    <brk id="151" max="13" man="1"/>
    <brk id="181" max="13" man="1"/>
    <brk id="211" max="13" man="1"/>
    <brk id="241" max="13" man="1"/>
    <brk id="271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X609"/>
  <sheetViews>
    <sheetView showGridLines="0" showZeros="0" view="pageBreakPreview" zoomScale="115" zoomScaleNormal="100" zoomScaleSheetLayoutView="115" workbookViewId="0">
      <selection activeCell="E9" sqref="E9"/>
    </sheetView>
  </sheetViews>
  <sheetFormatPr defaultRowHeight="11.25"/>
  <cols>
    <col min="1" max="1" width="4.33203125" style="241" customWidth="1"/>
    <col min="2" max="3" width="6.33203125" style="311" customWidth="1"/>
    <col min="4" max="4" width="3.77734375" style="241" customWidth="1"/>
    <col min="5" max="5" width="7.77734375" style="312" customWidth="1"/>
    <col min="6" max="6" width="7.77734375" style="313" customWidth="1"/>
    <col min="7" max="7" width="8.33203125" style="314" customWidth="1"/>
    <col min="8" max="8" width="17.44140625" style="241" customWidth="1"/>
    <col min="9" max="9" width="7.77734375" style="241" customWidth="1"/>
    <col min="10" max="10" width="13.88671875" style="241" customWidth="1"/>
    <col min="11" max="12" width="6.77734375" style="241" customWidth="1"/>
    <col min="13" max="13" width="20.77734375" style="315" customWidth="1"/>
    <col min="14" max="14" width="9.77734375" style="317" customWidth="1"/>
    <col min="15" max="20" width="9.77734375" style="241" customWidth="1"/>
    <col min="21" max="21" width="10.77734375" style="241" customWidth="1"/>
    <col min="22" max="16384" width="8.88671875" style="241"/>
  </cols>
  <sheetData>
    <row r="1" spans="1:21" ht="30" customHeight="1">
      <c r="A1" s="232" t="s">
        <v>64</v>
      </c>
      <c r="B1" s="233"/>
      <c r="C1" s="233"/>
      <c r="D1" s="234"/>
      <c r="E1" s="235"/>
      <c r="F1" s="236"/>
      <c r="G1" s="234"/>
      <c r="H1" s="234"/>
      <c r="I1" s="234"/>
      <c r="J1" s="234"/>
      <c r="K1" s="237"/>
      <c r="L1" s="237"/>
      <c r="M1" s="238"/>
      <c r="N1" s="239"/>
      <c r="O1" s="240"/>
      <c r="P1" s="240"/>
      <c r="Q1" s="240"/>
      <c r="R1" s="240"/>
      <c r="S1" s="240"/>
      <c r="T1" s="240"/>
      <c r="U1" s="240"/>
    </row>
    <row r="2" spans="1:21" ht="19.899999999999999" customHeight="1">
      <c r="A2" s="242"/>
      <c r="B2" s="243"/>
      <c r="C2" s="243"/>
      <c r="D2" s="240"/>
      <c r="E2" s="244"/>
      <c r="F2" s="245"/>
      <c r="G2" s="246"/>
      <c r="H2" s="247"/>
      <c r="I2" s="248" t="s">
        <v>74</v>
      </c>
      <c r="J2" s="249"/>
      <c r="K2" s="250"/>
      <c r="L2" s="250"/>
      <c r="M2" s="246"/>
      <c r="N2" s="239"/>
      <c r="O2" s="240"/>
      <c r="P2" s="240"/>
      <c r="Q2" s="240"/>
      <c r="R2" s="240"/>
      <c r="S2" s="240"/>
      <c r="T2" s="240"/>
      <c r="U2" s="240"/>
    </row>
    <row r="3" spans="1:21" ht="10.15" customHeight="1">
      <c r="A3" s="251"/>
      <c r="B3" s="252"/>
      <c r="C3" s="252"/>
      <c r="D3" s="253"/>
      <c r="E3" s="254"/>
      <c r="F3" s="255"/>
      <c r="G3" s="256"/>
      <c r="H3" s="253"/>
      <c r="I3" s="253"/>
      <c r="J3" s="253"/>
      <c r="K3" s="253"/>
      <c r="L3" s="257"/>
      <c r="M3" s="258"/>
      <c r="N3" s="239"/>
      <c r="O3" s="240"/>
      <c r="P3" s="240"/>
      <c r="Q3" s="240"/>
      <c r="R3" s="240"/>
      <c r="S3" s="240"/>
      <c r="T3" s="240"/>
      <c r="U3" s="240"/>
    </row>
    <row r="4" spans="1:21" ht="30" customHeight="1">
      <c r="A4" s="107" t="s">
        <v>45</v>
      </c>
      <c r="B4" s="367" t="s">
        <v>46</v>
      </c>
      <c r="C4" s="368"/>
      <c r="D4" s="369" t="s">
        <v>47</v>
      </c>
      <c r="E4" s="206" t="s">
        <v>48</v>
      </c>
      <c r="F4" s="323" t="s">
        <v>49</v>
      </c>
      <c r="G4" s="367" t="s">
        <v>296</v>
      </c>
      <c r="H4" s="368"/>
      <c r="I4" s="231" t="s">
        <v>52</v>
      </c>
      <c r="J4" s="58"/>
      <c r="K4" s="60"/>
      <c r="L4" s="371" t="s">
        <v>37</v>
      </c>
      <c r="M4" s="363" t="s">
        <v>37</v>
      </c>
      <c r="N4" s="365" t="s">
        <v>76</v>
      </c>
      <c r="O4" s="240"/>
      <c r="P4" s="259"/>
      <c r="Q4" s="259"/>
      <c r="R4" s="259"/>
      <c r="S4" s="259"/>
      <c r="T4" s="259"/>
      <c r="U4" s="259"/>
    </row>
    <row r="5" spans="1:21" ht="30" customHeight="1">
      <c r="A5" s="62" t="s">
        <v>53</v>
      </c>
      <c r="B5" s="65" t="s">
        <v>301</v>
      </c>
      <c r="C5" s="65" t="s">
        <v>302</v>
      </c>
      <c r="D5" s="370"/>
      <c r="E5" s="208" t="s">
        <v>65</v>
      </c>
      <c r="F5" s="65" t="s">
        <v>293</v>
      </c>
      <c r="G5" s="65" t="s">
        <v>55</v>
      </c>
      <c r="H5" s="64" t="s">
        <v>56</v>
      </c>
      <c r="I5" s="65" t="s">
        <v>55</v>
      </c>
      <c r="J5" s="65" t="s">
        <v>56</v>
      </c>
      <c r="K5" s="66" t="s">
        <v>57</v>
      </c>
      <c r="L5" s="372"/>
      <c r="M5" s="364"/>
      <c r="N5" s="366"/>
      <c r="O5" s="259"/>
      <c r="P5" s="260"/>
      <c r="Q5" s="260"/>
      <c r="R5" s="260"/>
      <c r="S5" s="260"/>
      <c r="T5" s="260"/>
      <c r="U5" s="240"/>
    </row>
    <row r="6" spans="1:21" ht="30" customHeight="1">
      <c r="A6" s="202">
        <v>1</v>
      </c>
      <c r="B6" s="202" t="s">
        <v>103</v>
      </c>
      <c r="C6" s="202"/>
      <c r="D6" s="202" t="s">
        <v>87</v>
      </c>
      <c r="E6" s="207">
        <v>9821</v>
      </c>
      <c r="F6" s="207">
        <v>22</v>
      </c>
      <c r="G6" s="203" t="s">
        <v>98</v>
      </c>
      <c r="H6" s="203" t="s">
        <v>101</v>
      </c>
      <c r="I6" s="203"/>
      <c r="J6" s="203"/>
      <c r="K6" s="203"/>
      <c r="L6" s="280"/>
      <c r="M6" s="264" t="str">
        <f>CONCATENATE(D6,G6)</f>
        <v>구국</v>
      </c>
      <c r="N6" s="265"/>
      <c r="O6" s="266"/>
      <c r="P6" s="266"/>
      <c r="Q6" s="266"/>
      <c r="R6" s="266"/>
      <c r="S6" s="266"/>
      <c r="T6" s="266"/>
      <c r="U6" s="266"/>
    </row>
    <row r="7" spans="1:21" ht="30" customHeight="1">
      <c r="A7" s="202">
        <v>2</v>
      </c>
      <c r="B7" s="202" t="s">
        <v>104</v>
      </c>
      <c r="C7" s="202"/>
      <c r="D7" s="202" t="s">
        <v>89</v>
      </c>
      <c r="E7" s="207">
        <v>10</v>
      </c>
      <c r="F7" s="207">
        <v>10</v>
      </c>
      <c r="G7" s="203" t="s">
        <v>0</v>
      </c>
      <c r="H7" s="203" t="s">
        <v>7</v>
      </c>
      <c r="I7" s="203"/>
      <c r="J7" s="203"/>
      <c r="K7" s="203"/>
      <c r="L7" s="280"/>
      <c r="M7" s="264" t="str">
        <f t="shared" ref="M7:M71" si="0">CONCATENATE(D7,G7)</f>
        <v>답공</v>
      </c>
      <c r="N7" s="265"/>
      <c r="O7" s="266"/>
      <c r="P7" s="266"/>
      <c r="Q7" s="266"/>
      <c r="R7" s="266"/>
      <c r="S7" s="266"/>
      <c r="T7" s="266"/>
      <c r="U7" s="266"/>
    </row>
    <row r="8" spans="1:21" ht="30" customHeight="1">
      <c r="A8" s="202">
        <v>3</v>
      </c>
      <c r="B8" s="202" t="s">
        <v>751</v>
      </c>
      <c r="C8" s="202"/>
      <c r="D8" s="202" t="s">
        <v>90</v>
      </c>
      <c r="E8" s="207">
        <v>34</v>
      </c>
      <c r="F8" s="207">
        <v>34</v>
      </c>
      <c r="G8" s="203" t="s">
        <v>106</v>
      </c>
      <c r="H8" s="203" t="s">
        <v>752</v>
      </c>
      <c r="I8" s="203"/>
      <c r="J8" s="203"/>
      <c r="K8" s="203"/>
      <c r="L8" s="280"/>
      <c r="M8" s="264" t="str">
        <f t="shared" si="0"/>
        <v>대이태식</v>
      </c>
      <c r="N8" s="265"/>
      <c r="O8" s="266"/>
      <c r="P8" s="266"/>
      <c r="Q8" s="266"/>
      <c r="R8" s="266"/>
      <c r="S8" s="266"/>
      <c r="T8" s="266"/>
      <c r="U8" s="266"/>
    </row>
    <row r="9" spans="1:21" ht="30" customHeight="1">
      <c r="A9" s="202">
        <v>4</v>
      </c>
      <c r="B9" s="202" t="s">
        <v>1195</v>
      </c>
      <c r="C9" s="202"/>
      <c r="D9" s="202" t="s">
        <v>85</v>
      </c>
      <c r="E9" s="207">
        <v>1401</v>
      </c>
      <c r="F9" s="207">
        <v>152</v>
      </c>
      <c r="G9" s="203" t="s">
        <v>0</v>
      </c>
      <c r="H9" s="203" t="s">
        <v>7</v>
      </c>
      <c r="I9" s="203"/>
      <c r="J9" s="203"/>
      <c r="K9" s="203"/>
      <c r="L9" s="280"/>
      <c r="M9" s="264" t="str">
        <f t="shared" si="0"/>
        <v>전공</v>
      </c>
      <c r="N9" s="265"/>
      <c r="O9" s="266"/>
      <c r="P9" s="266"/>
      <c r="Q9" s="266"/>
      <c r="R9" s="266"/>
      <c r="S9" s="266"/>
      <c r="T9" s="266"/>
      <c r="U9" s="266"/>
    </row>
    <row r="10" spans="1:21" ht="30" customHeight="1">
      <c r="A10" s="202">
        <v>5</v>
      </c>
      <c r="B10" s="202" t="s">
        <v>1196</v>
      </c>
      <c r="C10" s="202"/>
      <c r="D10" s="202" t="s">
        <v>1197</v>
      </c>
      <c r="E10" s="207">
        <v>81</v>
      </c>
      <c r="F10" s="207">
        <v>26</v>
      </c>
      <c r="G10" s="203" t="s">
        <v>753</v>
      </c>
      <c r="H10" s="203" t="s">
        <v>2</v>
      </c>
      <c r="I10" s="203"/>
      <c r="J10" s="203"/>
      <c r="K10" s="203"/>
      <c r="L10" s="280"/>
      <c r="M10" s="264" t="str">
        <f t="shared" si="0"/>
        <v>전강모훈</v>
      </c>
      <c r="N10" s="265"/>
      <c r="O10" s="266"/>
      <c r="P10" s="266"/>
      <c r="Q10" s="266"/>
      <c r="R10" s="266"/>
      <c r="S10" s="266"/>
      <c r="T10" s="266"/>
      <c r="U10" s="266"/>
    </row>
    <row r="11" spans="1:21" ht="30" customHeight="1">
      <c r="A11" s="202">
        <v>6</v>
      </c>
      <c r="B11" s="202" t="s">
        <v>108</v>
      </c>
      <c r="C11" s="202"/>
      <c r="D11" s="202" t="s">
        <v>90</v>
      </c>
      <c r="E11" s="207">
        <v>1532</v>
      </c>
      <c r="F11" s="207">
        <v>233</v>
      </c>
      <c r="G11" s="203" t="s">
        <v>753</v>
      </c>
      <c r="H11" s="203" t="s">
        <v>2</v>
      </c>
      <c r="I11" s="203"/>
      <c r="J11" s="203"/>
      <c r="K11" s="203"/>
      <c r="L11" s="280"/>
      <c r="M11" s="264" t="str">
        <f t="shared" si="0"/>
        <v>대강모훈</v>
      </c>
      <c r="N11" s="265"/>
      <c r="O11" s="266"/>
      <c r="P11" s="266"/>
      <c r="Q11" s="266"/>
      <c r="R11" s="266"/>
      <c r="S11" s="266"/>
      <c r="T11" s="266"/>
      <c r="U11" s="266"/>
    </row>
    <row r="12" spans="1:21" ht="30" customHeight="1">
      <c r="A12" s="202">
        <v>7</v>
      </c>
      <c r="B12" s="202" t="s">
        <v>720</v>
      </c>
      <c r="C12" s="202"/>
      <c r="D12" s="202" t="s">
        <v>85</v>
      </c>
      <c r="E12" s="207">
        <v>2297</v>
      </c>
      <c r="F12" s="207">
        <v>2297</v>
      </c>
      <c r="G12" s="203" t="s">
        <v>0</v>
      </c>
      <c r="H12" s="203" t="s">
        <v>7</v>
      </c>
      <c r="I12" s="203"/>
      <c r="J12" s="203"/>
      <c r="K12" s="203"/>
      <c r="L12" s="280"/>
      <c r="M12" s="264" t="str">
        <f t="shared" si="0"/>
        <v>전공</v>
      </c>
      <c r="N12" s="267"/>
      <c r="O12" s="266"/>
      <c r="P12" s="266"/>
      <c r="Q12" s="266"/>
      <c r="R12" s="266"/>
      <c r="S12" s="266"/>
      <c r="T12" s="266"/>
      <c r="U12" s="268"/>
    </row>
    <row r="13" spans="1:21" ht="30" customHeight="1">
      <c r="A13" s="202">
        <v>8</v>
      </c>
      <c r="B13" s="202" t="s">
        <v>721</v>
      </c>
      <c r="C13" s="202"/>
      <c r="D13" s="202" t="s">
        <v>382</v>
      </c>
      <c r="E13" s="207">
        <v>1007</v>
      </c>
      <c r="F13" s="207">
        <v>1007</v>
      </c>
      <c r="G13" s="203" t="s">
        <v>0</v>
      </c>
      <c r="H13" s="203" t="s">
        <v>7</v>
      </c>
      <c r="I13" s="203"/>
      <c r="J13" s="203"/>
      <c r="K13" s="203"/>
      <c r="L13" s="280"/>
      <c r="M13" s="264" t="str">
        <f t="shared" si="0"/>
        <v>유공</v>
      </c>
      <c r="N13" s="267"/>
      <c r="O13" s="266"/>
      <c r="P13" s="266"/>
      <c r="Q13" s="266"/>
      <c r="R13" s="266"/>
      <c r="S13" s="266"/>
      <c r="T13" s="266"/>
      <c r="U13" s="268"/>
    </row>
    <row r="14" spans="1:21" ht="30" customHeight="1">
      <c r="A14" s="202">
        <v>9</v>
      </c>
      <c r="B14" s="202" t="s">
        <v>722</v>
      </c>
      <c r="C14" s="202"/>
      <c r="D14" s="202" t="s">
        <v>382</v>
      </c>
      <c r="E14" s="207">
        <v>594</v>
      </c>
      <c r="F14" s="207">
        <v>594</v>
      </c>
      <c r="G14" s="203" t="s">
        <v>0</v>
      </c>
      <c r="H14" s="203" t="s">
        <v>7</v>
      </c>
      <c r="I14" s="203"/>
      <c r="J14" s="203"/>
      <c r="K14" s="203"/>
      <c r="L14" s="280"/>
      <c r="M14" s="264" t="str">
        <f t="shared" si="0"/>
        <v>유공</v>
      </c>
      <c r="N14" s="267"/>
      <c r="O14" s="266"/>
      <c r="P14" s="266"/>
      <c r="Q14" s="266"/>
      <c r="R14" s="266"/>
      <c r="S14" s="266"/>
      <c r="T14" s="266"/>
      <c r="U14" s="268"/>
    </row>
    <row r="15" spans="1:21" ht="30" customHeight="1">
      <c r="A15" s="202">
        <v>10</v>
      </c>
      <c r="B15" s="202" t="s">
        <v>111</v>
      </c>
      <c r="C15" s="202"/>
      <c r="D15" s="202" t="s">
        <v>87</v>
      </c>
      <c r="E15" s="207">
        <v>10</v>
      </c>
      <c r="F15" s="207">
        <v>10</v>
      </c>
      <c r="G15" s="203" t="s">
        <v>98</v>
      </c>
      <c r="H15" s="203" t="s">
        <v>101</v>
      </c>
      <c r="I15" s="203"/>
      <c r="J15" s="203"/>
      <c r="K15" s="203"/>
      <c r="L15" s="280"/>
      <c r="M15" s="264" t="str">
        <f t="shared" si="0"/>
        <v>구국</v>
      </c>
      <c r="N15" s="267"/>
      <c r="O15" s="266"/>
      <c r="P15" s="266"/>
      <c r="Q15" s="266"/>
      <c r="R15" s="266"/>
      <c r="S15" s="266"/>
      <c r="T15" s="266"/>
      <c r="U15" s="268"/>
    </row>
    <row r="16" spans="1:21" ht="30" customHeight="1">
      <c r="A16" s="202">
        <v>11</v>
      </c>
      <c r="B16" s="202" t="s">
        <v>112</v>
      </c>
      <c r="C16" s="202"/>
      <c r="D16" s="202" t="s">
        <v>382</v>
      </c>
      <c r="E16" s="207">
        <v>61</v>
      </c>
      <c r="F16" s="207">
        <v>59</v>
      </c>
      <c r="G16" s="203" t="s">
        <v>110</v>
      </c>
      <c r="H16" s="203" t="s">
        <v>276</v>
      </c>
      <c r="I16" s="203"/>
      <c r="J16" s="203"/>
      <c r="K16" s="203"/>
      <c r="L16" s="280"/>
      <c r="M16" s="264" t="str">
        <f t="shared" si="0"/>
        <v>유강선모</v>
      </c>
      <c r="N16" s="267"/>
      <c r="O16" s="266"/>
      <c r="P16" s="266"/>
      <c r="Q16" s="266"/>
      <c r="R16" s="266"/>
      <c r="S16" s="266"/>
      <c r="T16" s="266"/>
      <c r="U16" s="268"/>
    </row>
    <row r="17" spans="1:21" ht="30" customHeight="1">
      <c r="A17" s="202">
        <v>12</v>
      </c>
      <c r="B17" s="202" t="s">
        <v>113</v>
      </c>
      <c r="C17" s="202"/>
      <c r="D17" s="202" t="s">
        <v>87</v>
      </c>
      <c r="E17" s="207">
        <v>574.29999999999995</v>
      </c>
      <c r="F17" s="207">
        <v>574.29999999999995</v>
      </c>
      <c r="G17" s="203" t="s">
        <v>98</v>
      </c>
      <c r="H17" s="203" t="s">
        <v>101</v>
      </c>
      <c r="I17" s="203"/>
      <c r="J17" s="203"/>
      <c r="K17" s="203"/>
      <c r="L17" s="280"/>
      <c r="M17" s="264" t="str">
        <f t="shared" si="0"/>
        <v>구국</v>
      </c>
      <c r="N17" s="267"/>
      <c r="O17" s="266"/>
      <c r="P17" s="266"/>
      <c r="Q17" s="266"/>
      <c r="R17" s="266"/>
      <c r="S17" s="266"/>
      <c r="T17" s="266"/>
      <c r="U17" s="268"/>
    </row>
    <row r="18" spans="1:21" ht="30" customHeight="1">
      <c r="A18" s="202">
        <v>13</v>
      </c>
      <c r="B18" s="202" t="s">
        <v>114</v>
      </c>
      <c r="C18" s="202"/>
      <c r="D18" s="202" t="s">
        <v>382</v>
      </c>
      <c r="E18" s="207">
        <v>134</v>
      </c>
      <c r="F18" s="207">
        <v>134</v>
      </c>
      <c r="G18" s="203" t="s">
        <v>754</v>
      </c>
      <c r="H18" s="203" t="s">
        <v>3</v>
      </c>
      <c r="I18" s="203"/>
      <c r="J18" s="203"/>
      <c r="K18" s="203"/>
      <c r="L18" s="280"/>
      <c r="M18" s="264" t="str">
        <f t="shared" si="0"/>
        <v>유대두리 저수지 수리계</v>
      </c>
      <c r="N18" s="267"/>
      <c r="O18" s="266"/>
      <c r="P18" s="266"/>
      <c r="Q18" s="266"/>
      <c r="R18" s="266"/>
      <c r="S18" s="266"/>
      <c r="T18" s="266"/>
      <c r="U18" s="268"/>
    </row>
    <row r="19" spans="1:21" ht="30" customHeight="1">
      <c r="A19" s="202">
        <v>14</v>
      </c>
      <c r="B19" s="202" t="s">
        <v>709</v>
      </c>
      <c r="C19" s="202"/>
      <c r="D19" s="202" t="s">
        <v>89</v>
      </c>
      <c r="E19" s="207">
        <v>1514.1</v>
      </c>
      <c r="F19" s="207">
        <v>1514.1</v>
      </c>
      <c r="G19" s="203" t="s">
        <v>755</v>
      </c>
      <c r="H19" s="203" t="s">
        <v>142</v>
      </c>
      <c r="I19" s="203"/>
      <c r="J19" s="203"/>
      <c r="K19" s="203"/>
      <c r="L19" s="280"/>
      <c r="M19" s="264" t="str">
        <f t="shared" si="0"/>
        <v>답우제수</v>
      </c>
      <c r="N19" s="267"/>
      <c r="O19" s="266"/>
      <c r="P19" s="266"/>
      <c r="Q19" s="266"/>
      <c r="R19" s="266"/>
      <c r="S19" s="266"/>
      <c r="T19" s="266"/>
      <c r="U19" s="268"/>
    </row>
    <row r="20" spans="1:21" ht="30" customHeight="1">
      <c r="A20" s="202">
        <v>15</v>
      </c>
      <c r="B20" s="202" t="s">
        <v>711</v>
      </c>
      <c r="C20" s="202"/>
      <c r="D20" s="202" t="s">
        <v>89</v>
      </c>
      <c r="E20" s="207">
        <v>1813.3</v>
      </c>
      <c r="F20" s="207">
        <v>1813.3</v>
      </c>
      <c r="G20" s="203" t="s">
        <v>141</v>
      </c>
      <c r="H20" s="203" t="s">
        <v>756</v>
      </c>
      <c r="I20" s="203"/>
      <c r="J20" s="203"/>
      <c r="K20" s="203"/>
      <c r="L20" s="280"/>
      <c r="M20" s="264" t="str">
        <f t="shared" si="0"/>
        <v>답이형구</v>
      </c>
      <c r="N20" s="267"/>
      <c r="O20" s="266"/>
      <c r="P20" s="266"/>
      <c r="Q20" s="266"/>
      <c r="R20" s="266"/>
      <c r="S20" s="266"/>
      <c r="T20" s="266"/>
      <c r="U20" s="268"/>
    </row>
    <row r="21" spans="1:21" ht="30" customHeight="1">
      <c r="A21" s="202">
        <v>16</v>
      </c>
      <c r="B21" s="202" t="s">
        <v>115</v>
      </c>
      <c r="C21" s="202"/>
      <c r="D21" s="202" t="s">
        <v>87</v>
      </c>
      <c r="E21" s="207">
        <v>189.2</v>
      </c>
      <c r="F21" s="207">
        <v>189.2</v>
      </c>
      <c r="G21" s="203" t="s">
        <v>98</v>
      </c>
      <c r="H21" s="203" t="s">
        <v>101</v>
      </c>
      <c r="I21" s="203"/>
      <c r="J21" s="203"/>
      <c r="K21" s="203"/>
      <c r="L21" s="280"/>
      <c r="M21" s="264" t="str">
        <f t="shared" si="0"/>
        <v>구국</v>
      </c>
      <c r="N21" s="267"/>
      <c r="O21" s="266"/>
      <c r="P21" s="266"/>
      <c r="Q21" s="266"/>
      <c r="R21" s="266"/>
      <c r="S21" s="266"/>
      <c r="T21" s="266"/>
      <c r="U21" s="268"/>
    </row>
    <row r="22" spans="1:21" ht="30" customHeight="1">
      <c r="A22" s="202">
        <v>17</v>
      </c>
      <c r="B22" s="202" t="s">
        <v>757</v>
      </c>
      <c r="C22" s="202"/>
      <c r="D22" s="202" t="s">
        <v>84</v>
      </c>
      <c r="E22" s="207">
        <v>116.8</v>
      </c>
      <c r="F22" s="207">
        <v>116.8</v>
      </c>
      <c r="G22" s="203" t="s">
        <v>98</v>
      </c>
      <c r="H22" s="203" t="s">
        <v>101</v>
      </c>
      <c r="I22" s="203"/>
      <c r="J22" s="203"/>
      <c r="K22" s="203"/>
      <c r="L22" s="280"/>
      <c r="M22" s="264" t="str">
        <f t="shared" si="0"/>
        <v>도국</v>
      </c>
      <c r="N22" s="267"/>
      <c r="O22" s="266"/>
      <c r="P22" s="266"/>
      <c r="Q22" s="266"/>
      <c r="R22" s="266"/>
      <c r="S22" s="266"/>
      <c r="T22" s="266"/>
      <c r="U22" s="268"/>
    </row>
    <row r="23" spans="1:21" ht="30" customHeight="1">
      <c r="A23" s="202">
        <v>18</v>
      </c>
      <c r="B23" s="202" t="s">
        <v>116</v>
      </c>
      <c r="C23" s="202"/>
      <c r="D23" s="202" t="s">
        <v>89</v>
      </c>
      <c r="E23" s="207">
        <v>1125.8</v>
      </c>
      <c r="F23" s="207">
        <v>1125.8</v>
      </c>
      <c r="G23" s="203" t="s">
        <v>143</v>
      </c>
      <c r="H23" s="203" t="s">
        <v>279</v>
      </c>
      <c r="I23" s="203"/>
      <c r="J23" s="203"/>
      <c r="K23" s="203"/>
      <c r="L23" s="280"/>
      <c r="M23" s="264" t="str">
        <f t="shared" si="0"/>
        <v>답이계호</v>
      </c>
      <c r="N23" s="267"/>
      <c r="O23" s="266"/>
      <c r="P23" s="266"/>
      <c r="Q23" s="266"/>
      <c r="R23" s="266"/>
      <c r="S23" s="266"/>
      <c r="T23" s="266"/>
      <c r="U23" s="268"/>
    </row>
    <row r="24" spans="1:21" ht="30" customHeight="1">
      <c r="A24" s="202">
        <v>19</v>
      </c>
      <c r="B24" s="202" t="s">
        <v>712</v>
      </c>
      <c r="C24" s="202"/>
      <c r="D24" s="202" t="s">
        <v>89</v>
      </c>
      <c r="E24" s="207">
        <v>394.1</v>
      </c>
      <c r="F24" s="207">
        <v>394.1</v>
      </c>
      <c r="G24" s="203" t="s">
        <v>118</v>
      </c>
      <c r="H24" s="203" t="s">
        <v>278</v>
      </c>
      <c r="I24" s="203"/>
      <c r="J24" s="203"/>
      <c r="K24" s="203"/>
      <c r="L24" s="280"/>
      <c r="M24" s="264" t="str">
        <f t="shared" si="0"/>
        <v>답이종섭</v>
      </c>
      <c r="N24" s="267"/>
      <c r="O24" s="266"/>
      <c r="P24" s="266"/>
      <c r="Q24" s="266"/>
      <c r="R24" s="266"/>
      <c r="S24" s="266"/>
      <c r="T24" s="266"/>
      <c r="U24" s="268"/>
    </row>
    <row r="25" spans="1:21" ht="30" customHeight="1">
      <c r="A25" s="202">
        <v>20</v>
      </c>
      <c r="B25" s="202" t="s">
        <v>117</v>
      </c>
      <c r="C25" s="202"/>
      <c r="D25" s="202" t="s">
        <v>85</v>
      </c>
      <c r="E25" s="207">
        <v>670</v>
      </c>
      <c r="F25" s="207">
        <v>670</v>
      </c>
      <c r="G25" s="203" t="s">
        <v>0</v>
      </c>
      <c r="H25" s="203" t="s">
        <v>7</v>
      </c>
      <c r="I25" s="203"/>
      <c r="J25" s="203"/>
      <c r="K25" s="203"/>
      <c r="L25" s="280"/>
      <c r="M25" s="264" t="str">
        <f t="shared" si="0"/>
        <v>전공</v>
      </c>
      <c r="N25" s="267"/>
      <c r="O25" s="266"/>
      <c r="P25" s="266"/>
      <c r="Q25" s="266"/>
      <c r="R25" s="266"/>
      <c r="S25" s="266"/>
      <c r="T25" s="266"/>
      <c r="U25" s="268"/>
    </row>
    <row r="26" spans="1:21" ht="30" customHeight="1">
      <c r="A26" s="202">
        <v>21</v>
      </c>
      <c r="B26" s="202" t="s">
        <v>119</v>
      </c>
      <c r="C26" s="202"/>
      <c r="D26" s="202" t="s">
        <v>85</v>
      </c>
      <c r="E26" s="207">
        <v>126</v>
      </c>
      <c r="F26" s="207">
        <v>126</v>
      </c>
      <c r="G26" s="203" t="s">
        <v>0</v>
      </c>
      <c r="H26" s="203" t="s">
        <v>7</v>
      </c>
      <c r="I26" s="203"/>
      <c r="J26" s="203"/>
      <c r="K26" s="203"/>
      <c r="L26" s="280"/>
      <c r="M26" s="264" t="str">
        <f t="shared" si="0"/>
        <v>전공</v>
      </c>
      <c r="N26" s="267"/>
      <c r="O26" s="266"/>
      <c r="P26" s="266"/>
      <c r="Q26" s="266"/>
      <c r="R26" s="266"/>
      <c r="S26" s="266"/>
      <c r="T26" s="266"/>
      <c r="U26" s="268"/>
    </row>
    <row r="27" spans="1:21" ht="30" customHeight="1">
      <c r="A27" s="202">
        <v>22</v>
      </c>
      <c r="B27" s="202" t="s">
        <v>758</v>
      </c>
      <c r="C27" s="202"/>
      <c r="D27" s="202" t="s">
        <v>84</v>
      </c>
      <c r="E27" s="207">
        <v>89.4</v>
      </c>
      <c r="F27" s="207">
        <v>89.4</v>
      </c>
      <c r="G27" s="203" t="s">
        <v>98</v>
      </c>
      <c r="H27" s="203" t="s">
        <v>101</v>
      </c>
      <c r="I27" s="203"/>
      <c r="J27" s="203"/>
      <c r="K27" s="203"/>
      <c r="L27" s="280"/>
      <c r="M27" s="264" t="str">
        <f t="shared" si="0"/>
        <v>도국</v>
      </c>
      <c r="N27" s="267"/>
      <c r="O27" s="266"/>
      <c r="P27" s="266"/>
      <c r="Q27" s="266"/>
      <c r="R27" s="266"/>
      <c r="S27" s="266"/>
      <c r="T27" s="266"/>
      <c r="U27" s="268"/>
    </row>
    <row r="28" spans="1:21" ht="30" customHeight="1">
      <c r="A28" s="202">
        <v>23</v>
      </c>
      <c r="B28" s="202" t="s">
        <v>120</v>
      </c>
      <c r="C28" s="202"/>
      <c r="D28" s="202" t="s">
        <v>89</v>
      </c>
      <c r="E28" s="207">
        <v>502.7</v>
      </c>
      <c r="F28" s="207">
        <v>502.7</v>
      </c>
      <c r="G28" s="203" t="s">
        <v>118</v>
      </c>
      <c r="H28" s="203" t="s">
        <v>278</v>
      </c>
      <c r="I28" s="203"/>
      <c r="J28" s="203"/>
      <c r="K28" s="203"/>
      <c r="L28" s="280"/>
      <c r="M28" s="264" t="str">
        <f t="shared" si="0"/>
        <v>답이종섭</v>
      </c>
      <c r="N28" s="267"/>
      <c r="O28" s="266"/>
      <c r="P28" s="266"/>
      <c r="Q28" s="266"/>
      <c r="R28" s="266"/>
      <c r="S28" s="266"/>
      <c r="T28" s="266"/>
      <c r="U28" s="268"/>
    </row>
    <row r="29" spans="1:21" ht="30" customHeight="1">
      <c r="A29" s="202">
        <v>24</v>
      </c>
      <c r="B29" s="202" t="s">
        <v>121</v>
      </c>
      <c r="C29" s="202"/>
      <c r="D29" s="202" t="s">
        <v>89</v>
      </c>
      <c r="E29" s="207">
        <v>485.6</v>
      </c>
      <c r="F29" s="207">
        <v>485.6</v>
      </c>
      <c r="G29" s="203" t="s">
        <v>759</v>
      </c>
      <c r="H29" s="203" t="s">
        <v>280</v>
      </c>
      <c r="I29" s="203"/>
      <c r="J29" s="203"/>
      <c r="K29" s="203"/>
      <c r="L29" s="280"/>
      <c r="M29" s="264" t="str">
        <f t="shared" si="0"/>
        <v>답유갑동 
외3인</v>
      </c>
      <c r="N29" s="267"/>
      <c r="O29" s="266"/>
      <c r="P29" s="266"/>
      <c r="Q29" s="266"/>
      <c r="R29" s="266"/>
      <c r="S29" s="266"/>
      <c r="T29" s="266"/>
      <c r="U29" s="268"/>
    </row>
    <row r="30" spans="1:21" ht="30" customHeight="1">
      <c r="A30" s="202">
        <v>25</v>
      </c>
      <c r="B30" s="202" t="s">
        <v>122</v>
      </c>
      <c r="C30" s="202"/>
      <c r="D30" s="202" t="s">
        <v>87</v>
      </c>
      <c r="E30" s="207">
        <v>272</v>
      </c>
      <c r="F30" s="207">
        <v>272</v>
      </c>
      <c r="G30" s="203" t="s">
        <v>98</v>
      </c>
      <c r="H30" s="203" t="s">
        <v>101</v>
      </c>
      <c r="I30" s="203"/>
      <c r="J30" s="203"/>
      <c r="K30" s="203"/>
      <c r="L30" s="280"/>
      <c r="M30" s="264" t="str">
        <f t="shared" si="0"/>
        <v>구국</v>
      </c>
      <c r="N30" s="267"/>
      <c r="O30" s="266"/>
      <c r="P30" s="266"/>
      <c r="Q30" s="266"/>
      <c r="R30" s="266"/>
      <c r="S30" s="266"/>
      <c r="T30" s="266"/>
      <c r="U30" s="268"/>
    </row>
    <row r="31" spans="1:21" ht="30" customHeight="1">
      <c r="A31" s="202">
        <v>26</v>
      </c>
      <c r="B31" s="202" t="s">
        <v>123</v>
      </c>
      <c r="C31" s="202"/>
      <c r="D31" s="202" t="s">
        <v>89</v>
      </c>
      <c r="E31" s="207">
        <v>618.29999999999995</v>
      </c>
      <c r="F31" s="207">
        <v>618.29999999999995</v>
      </c>
      <c r="G31" s="203" t="s">
        <v>760</v>
      </c>
      <c r="H31" s="203" t="s">
        <v>761</v>
      </c>
      <c r="I31" s="203"/>
      <c r="J31" s="203"/>
      <c r="K31" s="203"/>
      <c r="L31" s="280"/>
      <c r="M31" s="264" t="str">
        <f t="shared" si="0"/>
        <v>답고희옥</v>
      </c>
      <c r="N31" s="267"/>
      <c r="O31" s="266"/>
      <c r="P31" s="266"/>
      <c r="Q31" s="266"/>
      <c r="R31" s="266"/>
      <c r="S31" s="266"/>
      <c r="T31" s="266"/>
      <c r="U31" s="268"/>
    </row>
    <row r="32" spans="1:21" ht="30" customHeight="1">
      <c r="A32" s="202">
        <v>27</v>
      </c>
      <c r="B32" s="202" t="s">
        <v>124</v>
      </c>
      <c r="C32" s="202"/>
      <c r="D32" s="202" t="s">
        <v>89</v>
      </c>
      <c r="E32" s="207">
        <v>765</v>
      </c>
      <c r="F32" s="207">
        <v>765</v>
      </c>
      <c r="G32" s="203" t="s">
        <v>125</v>
      </c>
      <c r="H32" s="203" t="s">
        <v>4</v>
      </c>
      <c r="I32" s="203"/>
      <c r="J32" s="203"/>
      <c r="K32" s="203"/>
      <c r="L32" s="280"/>
      <c r="M32" s="264" t="str">
        <f t="shared" si="0"/>
        <v>답이휘숙</v>
      </c>
      <c r="N32" s="267"/>
      <c r="O32" s="266"/>
      <c r="P32" s="266"/>
      <c r="Q32" s="266"/>
      <c r="R32" s="266"/>
      <c r="S32" s="266"/>
      <c r="T32" s="266"/>
      <c r="U32" s="268"/>
    </row>
    <row r="33" spans="1:21" ht="30" customHeight="1">
      <c r="A33" s="202">
        <v>28</v>
      </c>
      <c r="B33" s="202" t="s">
        <v>126</v>
      </c>
      <c r="C33" s="202"/>
      <c r="D33" s="202" t="s">
        <v>89</v>
      </c>
      <c r="E33" s="207">
        <v>1804</v>
      </c>
      <c r="F33" s="207">
        <v>1804</v>
      </c>
      <c r="G33" s="203" t="s">
        <v>127</v>
      </c>
      <c r="H33" s="203" t="s">
        <v>5</v>
      </c>
      <c r="I33" s="203"/>
      <c r="J33" s="203"/>
      <c r="K33" s="203"/>
      <c r="L33" s="280"/>
      <c r="M33" s="264" t="str">
        <f t="shared" si="0"/>
        <v>답박은숙</v>
      </c>
      <c r="N33" s="267"/>
      <c r="O33" s="266"/>
      <c r="P33" s="266"/>
      <c r="Q33" s="266"/>
      <c r="R33" s="266"/>
      <c r="S33" s="266"/>
      <c r="T33" s="266"/>
      <c r="U33" s="268"/>
    </row>
    <row r="34" spans="1:21" ht="30" customHeight="1">
      <c r="A34" s="202">
        <v>29</v>
      </c>
      <c r="B34" s="202" t="s">
        <v>128</v>
      </c>
      <c r="C34" s="202"/>
      <c r="D34" s="202" t="s">
        <v>89</v>
      </c>
      <c r="E34" s="207">
        <v>378</v>
      </c>
      <c r="F34" s="207">
        <v>378</v>
      </c>
      <c r="G34" s="203" t="s">
        <v>144</v>
      </c>
      <c r="H34" s="203" t="s">
        <v>281</v>
      </c>
      <c r="I34" s="203"/>
      <c r="J34" s="203"/>
      <c r="K34" s="203"/>
      <c r="L34" s="280"/>
      <c r="M34" s="264" t="str">
        <f t="shared" si="0"/>
        <v>답이희설</v>
      </c>
      <c r="N34" s="267"/>
      <c r="O34" s="266"/>
      <c r="P34" s="266"/>
      <c r="Q34" s="266"/>
      <c r="R34" s="266"/>
      <c r="S34" s="266"/>
      <c r="T34" s="266"/>
      <c r="U34" s="268"/>
    </row>
    <row r="35" spans="1:21" ht="30" customHeight="1">
      <c r="A35" s="202">
        <v>30</v>
      </c>
      <c r="B35" s="202" t="s">
        <v>129</v>
      </c>
      <c r="C35" s="202"/>
      <c r="D35" s="202" t="s">
        <v>89</v>
      </c>
      <c r="E35" s="207">
        <v>138</v>
      </c>
      <c r="F35" s="207">
        <v>138</v>
      </c>
      <c r="G35" s="203" t="s">
        <v>762</v>
      </c>
      <c r="H35" s="203" t="s">
        <v>282</v>
      </c>
      <c r="I35" s="203"/>
      <c r="J35" s="203"/>
      <c r="K35" s="203"/>
      <c r="L35" s="280"/>
      <c r="M35" s="264" t="str">
        <f t="shared" si="0"/>
        <v>답나신선
 외1인</v>
      </c>
      <c r="N35" s="267"/>
      <c r="O35" s="266"/>
      <c r="P35" s="266"/>
      <c r="Q35" s="266"/>
      <c r="R35" s="266"/>
      <c r="S35" s="266"/>
      <c r="T35" s="266"/>
      <c r="U35" s="268"/>
    </row>
    <row r="36" spans="1:21" ht="30" customHeight="1">
      <c r="A36" s="202">
        <v>31</v>
      </c>
      <c r="B36" s="202" t="s">
        <v>713</v>
      </c>
      <c r="C36" s="202"/>
      <c r="D36" s="202" t="s">
        <v>89</v>
      </c>
      <c r="E36" s="207">
        <v>72</v>
      </c>
      <c r="F36" s="207">
        <v>72</v>
      </c>
      <c r="G36" s="203" t="s">
        <v>762</v>
      </c>
      <c r="H36" s="203" t="s">
        <v>282</v>
      </c>
      <c r="I36" s="203"/>
      <c r="J36" s="203"/>
      <c r="K36" s="203"/>
      <c r="L36" s="280"/>
      <c r="M36" s="264" t="str">
        <f t="shared" si="0"/>
        <v>답나신선
 외1인</v>
      </c>
      <c r="N36" s="267"/>
      <c r="O36" s="266"/>
      <c r="P36" s="266"/>
      <c r="Q36" s="266"/>
      <c r="R36" s="266"/>
      <c r="S36" s="266"/>
      <c r="T36" s="266"/>
      <c r="U36" s="268"/>
    </row>
    <row r="37" spans="1:21" ht="30" customHeight="1">
      <c r="A37" s="202">
        <v>32</v>
      </c>
      <c r="B37" s="202" t="s">
        <v>714</v>
      </c>
      <c r="C37" s="202"/>
      <c r="D37" s="202" t="s">
        <v>89</v>
      </c>
      <c r="E37" s="207">
        <v>37</v>
      </c>
      <c r="F37" s="207">
        <v>37</v>
      </c>
      <c r="G37" s="203" t="s">
        <v>762</v>
      </c>
      <c r="H37" s="203" t="s">
        <v>282</v>
      </c>
      <c r="I37" s="203"/>
      <c r="J37" s="203"/>
      <c r="K37" s="203"/>
      <c r="L37" s="280"/>
      <c r="M37" s="264" t="str">
        <f t="shared" si="0"/>
        <v>답나신선
 외1인</v>
      </c>
      <c r="N37" s="267"/>
      <c r="O37" s="266"/>
      <c r="P37" s="266"/>
      <c r="Q37" s="266"/>
      <c r="R37" s="266"/>
      <c r="S37" s="266"/>
      <c r="T37" s="266"/>
      <c r="U37" s="268"/>
    </row>
    <row r="38" spans="1:21" ht="30" customHeight="1">
      <c r="A38" s="202">
        <v>33</v>
      </c>
      <c r="B38" s="202" t="s">
        <v>130</v>
      </c>
      <c r="C38" s="202"/>
      <c r="D38" s="202" t="s">
        <v>89</v>
      </c>
      <c r="E38" s="207">
        <v>91</v>
      </c>
      <c r="F38" s="207">
        <v>91</v>
      </c>
      <c r="G38" s="203" t="s">
        <v>131</v>
      </c>
      <c r="H38" s="203" t="s">
        <v>763</v>
      </c>
      <c r="I38" s="203"/>
      <c r="J38" s="203"/>
      <c r="K38" s="203"/>
      <c r="L38" s="280"/>
      <c r="M38" s="264" t="str">
        <f t="shared" si="0"/>
        <v>답유병천</v>
      </c>
      <c r="N38" s="267"/>
      <c r="O38" s="266"/>
      <c r="P38" s="266"/>
      <c r="Q38" s="266"/>
      <c r="R38" s="266"/>
      <c r="S38" s="266"/>
      <c r="T38" s="266"/>
      <c r="U38" s="268"/>
    </row>
    <row r="39" spans="1:21" ht="30" customHeight="1">
      <c r="A39" s="202">
        <v>34</v>
      </c>
      <c r="B39" s="202" t="s">
        <v>132</v>
      </c>
      <c r="C39" s="202"/>
      <c r="D39" s="202" t="s">
        <v>89</v>
      </c>
      <c r="E39" s="207">
        <v>128</v>
      </c>
      <c r="F39" s="207">
        <v>128</v>
      </c>
      <c r="G39" s="203" t="s">
        <v>764</v>
      </c>
      <c r="H39" s="203" t="s">
        <v>765</v>
      </c>
      <c r="I39" s="203"/>
      <c r="J39" s="203"/>
      <c r="K39" s="203"/>
      <c r="L39" s="280"/>
      <c r="M39" s="264" t="str">
        <f t="shared" si="0"/>
        <v>답오순임</v>
      </c>
      <c r="N39" s="267"/>
      <c r="O39" s="266"/>
      <c r="P39" s="266"/>
      <c r="Q39" s="266"/>
      <c r="R39" s="266"/>
      <c r="S39" s="266"/>
      <c r="T39" s="266"/>
      <c r="U39" s="268"/>
    </row>
    <row r="40" spans="1:21" ht="30" customHeight="1">
      <c r="A40" s="202">
        <v>35</v>
      </c>
      <c r="B40" s="202" t="s">
        <v>715</v>
      </c>
      <c r="C40" s="202"/>
      <c r="D40" s="202" t="s">
        <v>89</v>
      </c>
      <c r="E40" s="207">
        <v>84</v>
      </c>
      <c r="F40" s="207">
        <v>84</v>
      </c>
      <c r="G40" s="203" t="s">
        <v>133</v>
      </c>
      <c r="H40" s="203" t="s">
        <v>283</v>
      </c>
      <c r="I40" s="203"/>
      <c r="J40" s="203"/>
      <c r="K40" s="203"/>
      <c r="L40" s="280"/>
      <c r="M40" s="264" t="str">
        <f t="shared" si="0"/>
        <v>답김장배</v>
      </c>
      <c r="N40" s="267"/>
      <c r="O40" s="266"/>
      <c r="P40" s="266"/>
      <c r="Q40" s="266"/>
      <c r="R40" s="266"/>
      <c r="S40" s="266"/>
      <c r="T40" s="266"/>
      <c r="U40" s="268"/>
    </row>
    <row r="41" spans="1:21" ht="30" customHeight="1">
      <c r="A41" s="202">
        <v>36</v>
      </c>
      <c r="B41" s="202" t="s">
        <v>138</v>
      </c>
      <c r="C41" s="202"/>
      <c r="D41" s="202" t="s">
        <v>89</v>
      </c>
      <c r="E41" s="207">
        <v>336</v>
      </c>
      <c r="F41" s="207">
        <v>336</v>
      </c>
      <c r="G41" s="203" t="s">
        <v>0</v>
      </c>
      <c r="H41" s="203" t="s">
        <v>7</v>
      </c>
      <c r="I41" s="203"/>
      <c r="J41" s="203"/>
      <c r="K41" s="203"/>
      <c r="L41" s="280"/>
      <c r="M41" s="264" t="str">
        <f t="shared" si="0"/>
        <v>답공</v>
      </c>
      <c r="N41" s="267"/>
      <c r="O41" s="266"/>
      <c r="P41" s="266"/>
      <c r="Q41" s="266"/>
      <c r="R41" s="266"/>
      <c r="S41" s="266"/>
      <c r="T41" s="266"/>
      <c r="U41" s="268"/>
    </row>
    <row r="42" spans="1:21" ht="30" customHeight="1">
      <c r="A42" s="202">
        <v>37</v>
      </c>
      <c r="B42" s="202" t="s">
        <v>716</v>
      </c>
      <c r="C42" s="202"/>
      <c r="D42" s="202" t="s">
        <v>84</v>
      </c>
      <c r="E42" s="207">
        <v>298</v>
      </c>
      <c r="F42" s="207">
        <v>298</v>
      </c>
      <c r="G42" s="203" t="s">
        <v>145</v>
      </c>
      <c r="H42" s="203" t="s">
        <v>285</v>
      </c>
      <c r="I42" s="203"/>
      <c r="J42" s="203"/>
      <c r="K42" s="203"/>
      <c r="L42" s="280"/>
      <c r="M42" s="264" t="str">
        <f t="shared" si="0"/>
        <v>도한용우</v>
      </c>
      <c r="N42" s="267"/>
      <c r="O42" s="266"/>
      <c r="P42" s="266"/>
      <c r="Q42" s="266"/>
      <c r="R42" s="266"/>
      <c r="S42" s="266"/>
      <c r="T42" s="266"/>
      <c r="U42" s="268"/>
    </row>
    <row r="43" spans="1:21" ht="30" customHeight="1">
      <c r="A43" s="202">
        <v>38</v>
      </c>
      <c r="B43" s="202" t="s">
        <v>134</v>
      </c>
      <c r="C43" s="202"/>
      <c r="D43" s="202" t="s">
        <v>85</v>
      </c>
      <c r="E43" s="207">
        <v>266</v>
      </c>
      <c r="F43" s="207">
        <v>266</v>
      </c>
      <c r="G43" s="203" t="s">
        <v>766</v>
      </c>
      <c r="H43" s="203" t="s">
        <v>767</v>
      </c>
      <c r="I43" s="203"/>
      <c r="J43" s="203"/>
      <c r="K43" s="203"/>
      <c r="L43" s="280"/>
      <c r="M43" s="264" t="str">
        <f t="shared" si="0"/>
        <v>전장영순</v>
      </c>
      <c r="N43" s="267"/>
      <c r="O43" s="266"/>
      <c r="P43" s="266"/>
      <c r="Q43" s="266"/>
      <c r="R43" s="266"/>
      <c r="S43" s="266"/>
      <c r="T43" s="266"/>
      <c r="U43" s="268"/>
    </row>
    <row r="44" spans="1:21" ht="30" customHeight="1">
      <c r="A44" s="202">
        <v>39</v>
      </c>
      <c r="B44" s="202" t="s">
        <v>768</v>
      </c>
      <c r="C44" s="202"/>
      <c r="D44" s="202" t="s">
        <v>135</v>
      </c>
      <c r="E44" s="207">
        <v>35</v>
      </c>
      <c r="F44" s="207">
        <v>35</v>
      </c>
      <c r="G44" s="203" t="s">
        <v>0</v>
      </c>
      <c r="H44" s="203" t="s">
        <v>7</v>
      </c>
      <c r="I44" s="203"/>
      <c r="J44" s="203"/>
      <c r="K44" s="203"/>
      <c r="L44" s="280"/>
      <c r="M44" s="264" t="str">
        <f t="shared" si="0"/>
        <v>임공</v>
      </c>
      <c r="N44" s="267"/>
      <c r="O44" s="266"/>
      <c r="P44" s="266"/>
      <c r="Q44" s="266"/>
      <c r="R44" s="266"/>
      <c r="S44" s="266"/>
      <c r="T44" s="266"/>
      <c r="U44" s="268"/>
    </row>
    <row r="45" spans="1:21" ht="30" customHeight="1">
      <c r="A45" s="202">
        <v>40</v>
      </c>
      <c r="B45" s="202" t="s">
        <v>136</v>
      </c>
      <c r="C45" s="202"/>
      <c r="D45" s="202" t="s">
        <v>135</v>
      </c>
      <c r="E45" s="207">
        <v>11</v>
      </c>
      <c r="F45" s="207">
        <v>11</v>
      </c>
      <c r="G45" s="203" t="s">
        <v>137</v>
      </c>
      <c r="H45" s="203" t="s">
        <v>284</v>
      </c>
      <c r="I45" s="203"/>
      <c r="J45" s="203"/>
      <c r="K45" s="203"/>
      <c r="L45" s="280"/>
      <c r="M45" s="264" t="str">
        <f t="shared" si="0"/>
        <v>임박정희</v>
      </c>
      <c r="N45" s="267"/>
      <c r="O45" s="266"/>
      <c r="P45" s="266"/>
      <c r="Q45" s="266"/>
      <c r="R45" s="266"/>
      <c r="S45" s="266"/>
      <c r="T45" s="266"/>
      <c r="U45" s="268"/>
    </row>
    <row r="46" spans="1:21" ht="30" customHeight="1">
      <c r="A46" s="202">
        <v>41</v>
      </c>
      <c r="B46" s="202" t="s">
        <v>769</v>
      </c>
      <c r="C46" s="202"/>
      <c r="D46" s="202" t="s">
        <v>84</v>
      </c>
      <c r="E46" s="207">
        <v>1633</v>
      </c>
      <c r="F46" s="207">
        <v>645</v>
      </c>
      <c r="G46" s="203" t="s">
        <v>98</v>
      </c>
      <c r="H46" s="203" t="s">
        <v>102</v>
      </c>
      <c r="I46" s="203"/>
      <c r="J46" s="203"/>
      <c r="K46" s="203"/>
      <c r="L46" s="280"/>
      <c r="M46" s="264" t="str">
        <f t="shared" si="0"/>
        <v>도국</v>
      </c>
      <c r="N46" s="267"/>
      <c r="O46" s="266"/>
      <c r="P46" s="266"/>
      <c r="Q46" s="266"/>
      <c r="R46" s="266"/>
      <c r="S46" s="266"/>
      <c r="T46" s="266"/>
      <c r="U46" s="268"/>
    </row>
    <row r="47" spans="1:21" ht="30" customHeight="1">
      <c r="A47" s="202">
        <v>42</v>
      </c>
      <c r="B47" s="202" t="s">
        <v>139</v>
      </c>
      <c r="C47" s="202"/>
      <c r="D47" s="202" t="s">
        <v>84</v>
      </c>
      <c r="E47" s="207">
        <v>198</v>
      </c>
      <c r="F47" s="207">
        <v>198</v>
      </c>
      <c r="G47" s="203" t="s">
        <v>0</v>
      </c>
      <c r="H47" s="203" t="s">
        <v>7</v>
      </c>
      <c r="I47" s="203"/>
      <c r="J47" s="203"/>
      <c r="K47" s="203"/>
      <c r="L47" s="280"/>
      <c r="M47" s="264" t="str">
        <f t="shared" si="0"/>
        <v>도공</v>
      </c>
      <c r="N47" s="267"/>
      <c r="O47" s="266"/>
      <c r="P47" s="266"/>
      <c r="Q47" s="266"/>
      <c r="R47" s="266"/>
      <c r="S47" s="266"/>
      <c r="T47" s="266"/>
      <c r="U47" s="268"/>
    </row>
    <row r="48" spans="1:21" ht="30" customHeight="1">
      <c r="A48" s="202">
        <v>43</v>
      </c>
      <c r="B48" s="202" t="s">
        <v>770</v>
      </c>
      <c r="C48" s="202"/>
      <c r="D48" s="202" t="s">
        <v>84</v>
      </c>
      <c r="E48" s="207">
        <v>1348</v>
      </c>
      <c r="F48" s="207">
        <v>108</v>
      </c>
      <c r="G48" s="203" t="s">
        <v>0</v>
      </c>
      <c r="H48" s="203" t="s">
        <v>7</v>
      </c>
      <c r="I48" s="203"/>
      <c r="J48" s="203"/>
      <c r="K48" s="203"/>
      <c r="L48" s="280"/>
      <c r="M48" s="264" t="str">
        <f t="shared" si="0"/>
        <v>도공</v>
      </c>
      <c r="N48" s="267"/>
      <c r="O48" s="266"/>
      <c r="P48" s="266"/>
      <c r="Q48" s="266"/>
      <c r="R48" s="266"/>
      <c r="S48" s="266"/>
      <c r="T48" s="266"/>
      <c r="U48" s="268"/>
    </row>
    <row r="49" spans="1:21" ht="30" customHeight="1">
      <c r="A49" s="202">
        <v>44</v>
      </c>
      <c r="B49" s="202" t="s">
        <v>140</v>
      </c>
      <c r="C49" s="202"/>
      <c r="D49" s="202" t="s">
        <v>84</v>
      </c>
      <c r="E49" s="207">
        <v>193</v>
      </c>
      <c r="F49" s="207">
        <v>193</v>
      </c>
      <c r="G49" s="203" t="s">
        <v>0</v>
      </c>
      <c r="H49" s="203" t="s">
        <v>7</v>
      </c>
      <c r="I49" s="203"/>
      <c r="J49" s="203"/>
      <c r="K49" s="203"/>
      <c r="L49" s="280"/>
      <c r="M49" s="264" t="str">
        <f t="shared" si="0"/>
        <v>도공</v>
      </c>
      <c r="N49" s="267"/>
      <c r="O49" s="266"/>
      <c r="P49" s="266"/>
      <c r="Q49" s="266"/>
      <c r="R49" s="266"/>
      <c r="S49" s="266"/>
      <c r="T49" s="266"/>
      <c r="U49" s="268"/>
    </row>
    <row r="50" spans="1:21" ht="30" customHeight="1">
      <c r="A50" s="202">
        <v>45</v>
      </c>
      <c r="B50" s="202" t="s">
        <v>717</v>
      </c>
      <c r="C50" s="202"/>
      <c r="D50" s="202" t="s">
        <v>135</v>
      </c>
      <c r="E50" s="207">
        <v>887</v>
      </c>
      <c r="F50" s="207">
        <v>887</v>
      </c>
      <c r="G50" s="203" t="s">
        <v>771</v>
      </c>
      <c r="H50" s="203" t="s">
        <v>772</v>
      </c>
      <c r="I50" s="203"/>
      <c r="J50" s="203"/>
      <c r="K50" s="203"/>
      <c r="L50" s="280"/>
      <c r="M50" s="264" t="str">
        <f t="shared" si="0"/>
        <v>임명재훈
 외1인</v>
      </c>
      <c r="N50" s="267"/>
      <c r="O50" s="266"/>
      <c r="P50" s="266"/>
      <c r="Q50" s="266"/>
      <c r="R50" s="266"/>
      <c r="S50" s="266"/>
      <c r="T50" s="266"/>
      <c r="U50" s="268"/>
    </row>
    <row r="51" spans="1:21" ht="30" customHeight="1">
      <c r="A51" s="202">
        <v>46</v>
      </c>
      <c r="B51" s="202" t="s">
        <v>157</v>
      </c>
      <c r="C51" s="202"/>
      <c r="D51" s="202" t="s">
        <v>84</v>
      </c>
      <c r="E51" s="207">
        <v>1010</v>
      </c>
      <c r="F51" s="207">
        <v>130</v>
      </c>
      <c r="G51" s="203" t="s">
        <v>0</v>
      </c>
      <c r="H51" s="203" t="s">
        <v>7</v>
      </c>
      <c r="I51" s="203"/>
      <c r="J51" s="203"/>
      <c r="K51" s="203"/>
      <c r="L51" s="280"/>
      <c r="M51" s="264" t="str">
        <f t="shared" si="0"/>
        <v>도공</v>
      </c>
      <c r="N51" s="267"/>
      <c r="O51" s="266"/>
      <c r="P51" s="266"/>
      <c r="Q51" s="266"/>
      <c r="R51" s="266"/>
      <c r="S51" s="266"/>
      <c r="T51" s="266"/>
      <c r="U51" s="268"/>
    </row>
    <row r="52" spans="1:21" ht="30" customHeight="1">
      <c r="A52" s="202">
        <v>47</v>
      </c>
      <c r="B52" s="202" t="s">
        <v>773</v>
      </c>
      <c r="C52" s="202"/>
      <c r="D52" s="202" t="s">
        <v>84</v>
      </c>
      <c r="E52" s="207">
        <v>770</v>
      </c>
      <c r="F52" s="207">
        <v>42</v>
      </c>
      <c r="G52" s="203" t="s">
        <v>0</v>
      </c>
      <c r="H52" s="203" t="s">
        <v>7</v>
      </c>
      <c r="I52" s="203"/>
      <c r="J52" s="203"/>
      <c r="K52" s="203"/>
      <c r="L52" s="280"/>
      <c r="M52" s="264" t="str">
        <f t="shared" si="0"/>
        <v>도공</v>
      </c>
      <c r="N52" s="267"/>
      <c r="O52" s="266"/>
      <c r="P52" s="266"/>
      <c r="Q52" s="266"/>
      <c r="R52" s="266"/>
      <c r="S52" s="266"/>
      <c r="T52" s="266"/>
      <c r="U52" s="268"/>
    </row>
    <row r="53" spans="1:21" ht="30" customHeight="1">
      <c r="A53" s="202">
        <v>48</v>
      </c>
      <c r="B53" s="202" t="s">
        <v>774</v>
      </c>
      <c r="C53" s="202"/>
      <c r="D53" s="202" t="s">
        <v>84</v>
      </c>
      <c r="E53" s="207">
        <v>463</v>
      </c>
      <c r="F53" s="207">
        <v>70</v>
      </c>
      <c r="G53" s="203" t="s">
        <v>98</v>
      </c>
      <c r="H53" s="203" t="s">
        <v>102</v>
      </c>
      <c r="I53" s="203"/>
      <c r="J53" s="203"/>
      <c r="K53" s="203"/>
      <c r="L53" s="280"/>
      <c r="M53" s="264" t="str">
        <f t="shared" si="0"/>
        <v>도국</v>
      </c>
      <c r="N53" s="267"/>
      <c r="O53" s="266"/>
      <c r="P53" s="266"/>
      <c r="Q53" s="266"/>
      <c r="R53" s="266"/>
      <c r="S53" s="266"/>
      <c r="T53" s="266"/>
      <c r="U53" s="268"/>
    </row>
    <row r="54" spans="1:21" ht="30" customHeight="1">
      <c r="A54" s="202">
        <v>49</v>
      </c>
      <c r="B54" s="202" t="s">
        <v>158</v>
      </c>
      <c r="C54" s="202"/>
      <c r="D54" s="202" t="s">
        <v>84</v>
      </c>
      <c r="E54" s="207">
        <v>278</v>
      </c>
      <c r="F54" s="207">
        <v>106</v>
      </c>
      <c r="G54" s="203" t="s">
        <v>0</v>
      </c>
      <c r="H54" s="203" t="s">
        <v>7</v>
      </c>
      <c r="I54" s="203"/>
      <c r="J54" s="203"/>
      <c r="K54" s="203"/>
      <c r="L54" s="280"/>
      <c r="M54" s="264" t="str">
        <f t="shared" si="0"/>
        <v>도공</v>
      </c>
      <c r="N54" s="267"/>
      <c r="O54" s="266"/>
      <c r="P54" s="266"/>
      <c r="Q54" s="266"/>
      <c r="R54" s="266"/>
      <c r="S54" s="266"/>
      <c r="T54" s="266"/>
      <c r="U54" s="268"/>
    </row>
    <row r="55" spans="1:21" ht="30" customHeight="1">
      <c r="A55" s="202">
        <v>50</v>
      </c>
      <c r="B55" s="202" t="s">
        <v>159</v>
      </c>
      <c r="C55" s="202"/>
      <c r="D55" s="202" t="s">
        <v>84</v>
      </c>
      <c r="E55" s="207">
        <v>377</v>
      </c>
      <c r="F55" s="207">
        <v>7</v>
      </c>
      <c r="G55" s="203" t="s">
        <v>0</v>
      </c>
      <c r="H55" s="203" t="s">
        <v>7</v>
      </c>
      <c r="I55" s="203"/>
      <c r="J55" s="203"/>
      <c r="K55" s="203"/>
      <c r="L55" s="280"/>
      <c r="M55" s="264" t="str">
        <f t="shared" si="0"/>
        <v>도공</v>
      </c>
      <c r="N55" s="267"/>
      <c r="O55" s="266"/>
      <c r="P55" s="266"/>
      <c r="Q55" s="266"/>
      <c r="R55" s="266"/>
      <c r="S55" s="266"/>
      <c r="T55" s="266"/>
      <c r="U55" s="268"/>
    </row>
    <row r="56" spans="1:21" ht="30" customHeight="1">
      <c r="A56" s="202">
        <v>51</v>
      </c>
      <c r="B56" s="202" t="s">
        <v>775</v>
      </c>
      <c r="C56" s="202"/>
      <c r="D56" s="202" t="s">
        <v>84</v>
      </c>
      <c r="E56" s="207">
        <v>413</v>
      </c>
      <c r="F56" s="207">
        <v>55</v>
      </c>
      <c r="G56" s="203" t="s">
        <v>98</v>
      </c>
      <c r="H56" s="203" t="s">
        <v>102</v>
      </c>
      <c r="I56" s="203"/>
      <c r="J56" s="203"/>
      <c r="K56" s="203"/>
      <c r="L56" s="280"/>
      <c r="M56" s="264" t="str">
        <f t="shared" si="0"/>
        <v>도국</v>
      </c>
      <c r="N56" s="267"/>
      <c r="O56" s="266"/>
      <c r="P56" s="266"/>
      <c r="Q56" s="266"/>
      <c r="R56" s="266"/>
      <c r="S56" s="266"/>
      <c r="T56" s="266"/>
      <c r="U56" s="268"/>
    </row>
    <row r="57" spans="1:21" ht="30" customHeight="1">
      <c r="A57" s="202">
        <v>52</v>
      </c>
      <c r="B57" s="202" t="s">
        <v>776</v>
      </c>
      <c r="C57" s="202"/>
      <c r="D57" s="202" t="s">
        <v>84</v>
      </c>
      <c r="E57" s="207">
        <v>4100</v>
      </c>
      <c r="F57" s="207">
        <v>294</v>
      </c>
      <c r="G57" s="203" t="s">
        <v>98</v>
      </c>
      <c r="H57" s="203" t="s">
        <v>102</v>
      </c>
      <c r="I57" s="203"/>
      <c r="J57" s="203"/>
      <c r="K57" s="203"/>
      <c r="L57" s="280"/>
      <c r="M57" s="264" t="str">
        <f t="shared" si="0"/>
        <v>도국</v>
      </c>
      <c r="N57" s="267"/>
      <c r="O57" s="266"/>
      <c r="P57" s="266"/>
      <c r="Q57" s="266"/>
      <c r="R57" s="266"/>
      <c r="S57" s="266"/>
      <c r="T57" s="266"/>
      <c r="U57" s="268"/>
    </row>
    <row r="58" spans="1:21" ht="30" customHeight="1">
      <c r="A58" s="202">
        <v>53</v>
      </c>
      <c r="B58" s="202" t="s">
        <v>160</v>
      </c>
      <c r="C58" s="202"/>
      <c r="D58" s="202" t="s">
        <v>84</v>
      </c>
      <c r="E58" s="207">
        <v>440</v>
      </c>
      <c r="F58" s="207">
        <v>287</v>
      </c>
      <c r="G58" s="203" t="s">
        <v>98</v>
      </c>
      <c r="H58" s="203" t="s">
        <v>102</v>
      </c>
      <c r="I58" s="203"/>
      <c r="J58" s="203"/>
      <c r="K58" s="203"/>
      <c r="L58" s="280"/>
      <c r="M58" s="264" t="str">
        <f t="shared" si="0"/>
        <v>도국</v>
      </c>
      <c r="N58" s="267"/>
      <c r="O58" s="266"/>
      <c r="P58" s="266"/>
      <c r="Q58" s="266"/>
      <c r="R58" s="266"/>
      <c r="S58" s="266"/>
      <c r="T58" s="266"/>
      <c r="U58" s="268"/>
    </row>
    <row r="59" spans="1:21" ht="30" customHeight="1">
      <c r="A59" s="202">
        <v>54</v>
      </c>
      <c r="B59" s="202" t="s">
        <v>161</v>
      </c>
      <c r="C59" s="202"/>
      <c r="D59" s="202" t="s">
        <v>84</v>
      </c>
      <c r="E59" s="207">
        <v>462</v>
      </c>
      <c r="F59" s="207">
        <v>216</v>
      </c>
      <c r="G59" s="203" t="s">
        <v>0</v>
      </c>
      <c r="H59" s="203" t="s">
        <v>7</v>
      </c>
      <c r="I59" s="203"/>
      <c r="J59" s="203"/>
      <c r="K59" s="203"/>
      <c r="L59" s="280"/>
      <c r="M59" s="264" t="str">
        <f t="shared" si="0"/>
        <v>도공</v>
      </c>
      <c r="N59" s="267"/>
      <c r="O59" s="266"/>
      <c r="P59" s="266"/>
      <c r="Q59" s="266"/>
      <c r="R59" s="266"/>
      <c r="S59" s="266"/>
      <c r="T59" s="266"/>
      <c r="U59" s="268"/>
    </row>
    <row r="60" spans="1:21" ht="30" customHeight="1">
      <c r="A60" s="202">
        <v>55</v>
      </c>
      <c r="B60" s="202" t="s">
        <v>718</v>
      </c>
      <c r="C60" s="202"/>
      <c r="D60" s="202" t="s">
        <v>84</v>
      </c>
      <c r="E60" s="207">
        <v>66</v>
      </c>
      <c r="F60" s="207">
        <v>66</v>
      </c>
      <c r="G60" s="203" t="s">
        <v>262</v>
      </c>
      <c r="H60" s="203" t="s">
        <v>263</v>
      </c>
      <c r="I60" s="203"/>
      <c r="J60" s="203"/>
      <c r="K60" s="203"/>
      <c r="L60" s="280"/>
      <c r="M60" s="264" t="str">
        <f t="shared" si="0"/>
        <v>도이희순</v>
      </c>
      <c r="N60" s="267"/>
      <c r="O60" s="266"/>
      <c r="P60" s="266"/>
      <c r="Q60" s="266"/>
      <c r="R60" s="266"/>
      <c r="S60" s="266"/>
      <c r="T60" s="266"/>
      <c r="U60" s="268"/>
    </row>
    <row r="61" spans="1:21" ht="30" customHeight="1">
      <c r="A61" s="202">
        <v>56</v>
      </c>
      <c r="B61" s="202" t="s">
        <v>162</v>
      </c>
      <c r="C61" s="202"/>
      <c r="D61" s="202" t="s">
        <v>84</v>
      </c>
      <c r="E61" s="207">
        <v>124</v>
      </c>
      <c r="F61" s="207">
        <v>124</v>
      </c>
      <c r="G61" s="203" t="s">
        <v>0</v>
      </c>
      <c r="H61" s="203" t="s">
        <v>7</v>
      </c>
      <c r="I61" s="203"/>
      <c r="J61" s="203"/>
      <c r="K61" s="203"/>
      <c r="L61" s="280"/>
      <c r="M61" s="264" t="str">
        <f t="shared" si="0"/>
        <v>도공</v>
      </c>
      <c r="N61" s="267"/>
      <c r="O61" s="266"/>
      <c r="P61" s="266"/>
      <c r="Q61" s="266"/>
      <c r="R61" s="266"/>
      <c r="S61" s="266"/>
      <c r="T61" s="266"/>
      <c r="U61" s="268"/>
    </row>
    <row r="62" spans="1:21" ht="30" customHeight="1">
      <c r="A62" s="202">
        <v>57</v>
      </c>
      <c r="B62" s="202" t="s">
        <v>719</v>
      </c>
      <c r="C62" s="202"/>
      <c r="D62" s="202" t="s">
        <v>84</v>
      </c>
      <c r="E62" s="207">
        <v>413</v>
      </c>
      <c r="F62" s="207">
        <v>413</v>
      </c>
      <c r="G62" s="203" t="s">
        <v>264</v>
      </c>
      <c r="H62" s="203" t="s">
        <v>263</v>
      </c>
      <c r="I62" s="203"/>
      <c r="J62" s="203"/>
      <c r="K62" s="203"/>
      <c r="L62" s="280"/>
      <c r="M62" s="264" t="str">
        <f t="shared" si="0"/>
        <v>도이용구</v>
      </c>
      <c r="N62" s="267"/>
      <c r="O62" s="266"/>
      <c r="P62" s="266"/>
      <c r="Q62" s="266"/>
      <c r="R62" s="266"/>
      <c r="S62" s="266"/>
      <c r="T62" s="266"/>
      <c r="U62" s="268"/>
    </row>
    <row r="63" spans="1:21" ht="30" customHeight="1">
      <c r="A63" s="202">
        <v>58</v>
      </c>
      <c r="B63" s="202" t="s">
        <v>163</v>
      </c>
      <c r="C63" s="202"/>
      <c r="D63" s="202" t="s">
        <v>84</v>
      </c>
      <c r="E63" s="207">
        <v>132</v>
      </c>
      <c r="F63" s="207">
        <v>132</v>
      </c>
      <c r="G63" s="203" t="s">
        <v>0</v>
      </c>
      <c r="H63" s="203" t="s">
        <v>7</v>
      </c>
      <c r="I63" s="203"/>
      <c r="J63" s="203"/>
      <c r="K63" s="203"/>
      <c r="L63" s="280"/>
      <c r="M63" s="264" t="str">
        <f t="shared" si="0"/>
        <v>도공</v>
      </c>
      <c r="N63" s="267"/>
      <c r="O63" s="266"/>
      <c r="P63" s="266"/>
      <c r="Q63" s="266"/>
      <c r="R63" s="266"/>
      <c r="S63" s="266"/>
      <c r="T63" s="266"/>
      <c r="U63" s="268"/>
    </row>
    <row r="64" spans="1:21" ht="30" customHeight="1">
      <c r="A64" s="202">
        <v>59</v>
      </c>
      <c r="B64" s="202" t="s">
        <v>777</v>
      </c>
      <c r="C64" s="202"/>
      <c r="D64" s="202" t="s">
        <v>84</v>
      </c>
      <c r="E64" s="207">
        <v>466</v>
      </c>
      <c r="F64" s="207">
        <v>466</v>
      </c>
      <c r="G64" s="203" t="s">
        <v>98</v>
      </c>
      <c r="H64" s="203" t="s">
        <v>102</v>
      </c>
      <c r="I64" s="203"/>
      <c r="J64" s="203"/>
      <c r="K64" s="203"/>
      <c r="L64" s="280"/>
      <c r="M64" s="264" t="str">
        <f t="shared" si="0"/>
        <v>도국</v>
      </c>
      <c r="N64" s="267"/>
      <c r="O64" s="266"/>
      <c r="P64" s="266"/>
      <c r="Q64" s="266"/>
      <c r="R64" s="266"/>
      <c r="S64" s="266"/>
      <c r="T64" s="266"/>
      <c r="U64" s="268"/>
    </row>
    <row r="65" spans="1:21" ht="30" customHeight="1">
      <c r="A65" s="202">
        <v>60</v>
      </c>
      <c r="B65" s="202" t="s">
        <v>778</v>
      </c>
      <c r="C65" s="202"/>
      <c r="D65" s="202" t="s">
        <v>84</v>
      </c>
      <c r="E65" s="207">
        <v>638</v>
      </c>
      <c r="F65" s="207">
        <v>638</v>
      </c>
      <c r="G65" s="203" t="s">
        <v>0</v>
      </c>
      <c r="H65" s="203" t="s">
        <v>7</v>
      </c>
      <c r="I65" s="203"/>
      <c r="J65" s="203"/>
      <c r="K65" s="203"/>
      <c r="L65" s="280"/>
      <c r="M65" s="264" t="str">
        <f t="shared" si="0"/>
        <v>도공</v>
      </c>
      <c r="N65" s="267"/>
      <c r="O65" s="266"/>
      <c r="P65" s="266"/>
      <c r="Q65" s="266"/>
      <c r="R65" s="266"/>
      <c r="S65" s="266"/>
      <c r="T65" s="266"/>
      <c r="U65" s="268"/>
    </row>
    <row r="66" spans="1:21" ht="30" customHeight="1">
      <c r="A66" s="202">
        <v>61</v>
      </c>
      <c r="B66" s="202" t="s">
        <v>164</v>
      </c>
      <c r="C66" s="202"/>
      <c r="D66" s="202" t="s">
        <v>84</v>
      </c>
      <c r="E66" s="207">
        <v>30</v>
      </c>
      <c r="F66" s="207">
        <v>30</v>
      </c>
      <c r="G66" s="203" t="s">
        <v>0</v>
      </c>
      <c r="H66" s="203" t="s">
        <v>7</v>
      </c>
      <c r="I66" s="203"/>
      <c r="J66" s="203"/>
      <c r="K66" s="203"/>
      <c r="L66" s="280"/>
      <c r="M66" s="264" t="str">
        <f t="shared" si="0"/>
        <v>도공</v>
      </c>
      <c r="N66" s="267"/>
      <c r="O66" s="266"/>
      <c r="P66" s="266"/>
      <c r="Q66" s="266"/>
      <c r="R66" s="266"/>
      <c r="S66" s="266"/>
      <c r="T66" s="266"/>
      <c r="U66" s="268"/>
    </row>
    <row r="67" spans="1:21" ht="30" customHeight="1">
      <c r="A67" s="202">
        <v>62</v>
      </c>
      <c r="B67" s="202" t="s">
        <v>165</v>
      </c>
      <c r="C67" s="202"/>
      <c r="D67" s="202" t="s">
        <v>84</v>
      </c>
      <c r="E67" s="207">
        <v>30</v>
      </c>
      <c r="F67" s="207">
        <v>30</v>
      </c>
      <c r="G67" s="203" t="s">
        <v>0</v>
      </c>
      <c r="H67" s="203" t="s">
        <v>7</v>
      </c>
      <c r="I67" s="203"/>
      <c r="J67" s="203"/>
      <c r="K67" s="203"/>
      <c r="L67" s="280"/>
      <c r="M67" s="264" t="str">
        <f t="shared" si="0"/>
        <v>도공</v>
      </c>
      <c r="N67" s="267"/>
      <c r="O67" s="266"/>
      <c r="P67" s="266"/>
      <c r="Q67" s="266"/>
      <c r="R67" s="266"/>
      <c r="S67" s="266"/>
      <c r="T67" s="266"/>
      <c r="U67" s="268"/>
    </row>
    <row r="68" spans="1:21" ht="30" customHeight="1">
      <c r="A68" s="202">
        <v>63</v>
      </c>
      <c r="B68" s="202" t="s">
        <v>292</v>
      </c>
      <c r="C68" s="202"/>
      <c r="D68" s="202" t="s">
        <v>87</v>
      </c>
      <c r="E68" s="207">
        <v>38</v>
      </c>
      <c r="F68" s="207">
        <v>38</v>
      </c>
      <c r="G68" s="203" t="s">
        <v>98</v>
      </c>
      <c r="H68" s="203" t="s">
        <v>101</v>
      </c>
      <c r="I68" s="203"/>
      <c r="J68" s="203"/>
      <c r="K68" s="203"/>
      <c r="L68" s="280"/>
      <c r="M68" s="264" t="str">
        <f t="shared" si="0"/>
        <v>구국</v>
      </c>
      <c r="N68" s="267"/>
      <c r="O68" s="266"/>
      <c r="P68" s="266"/>
      <c r="Q68" s="266"/>
      <c r="R68" s="266"/>
      <c r="S68" s="266"/>
      <c r="T68" s="266"/>
      <c r="U68" s="268"/>
    </row>
    <row r="69" spans="1:21" ht="30" customHeight="1">
      <c r="A69" s="202">
        <v>64</v>
      </c>
      <c r="B69" s="202" t="s">
        <v>166</v>
      </c>
      <c r="C69" s="202"/>
      <c r="D69" s="202" t="s">
        <v>87</v>
      </c>
      <c r="E69" s="207">
        <v>77</v>
      </c>
      <c r="F69" s="207">
        <v>77</v>
      </c>
      <c r="G69" s="203" t="s">
        <v>98</v>
      </c>
      <c r="H69" s="203" t="s">
        <v>101</v>
      </c>
      <c r="I69" s="203"/>
      <c r="J69" s="203"/>
      <c r="K69" s="203"/>
      <c r="L69" s="280"/>
      <c r="M69" s="264" t="str">
        <f t="shared" si="0"/>
        <v>구국</v>
      </c>
      <c r="N69" s="267"/>
      <c r="O69" s="266"/>
      <c r="P69" s="266"/>
      <c r="Q69" s="266"/>
      <c r="R69" s="266"/>
      <c r="S69" s="266"/>
      <c r="T69" s="266"/>
      <c r="U69" s="268"/>
    </row>
    <row r="70" spans="1:21" ht="30" customHeight="1">
      <c r="A70" s="202">
        <v>65</v>
      </c>
      <c r="B70" s="202" t="s">
        <v>277</v>
      </c>
      <c r="C70" s="202"/>
      <c r="D70" s="202" t="s">
        <v>84</v>
      </c>
      <c r="E70" s="207">
        <v>77</v>
      </c>
      <c r="F70" s="207">
        <v>77</v>
      </c>
      <c r="G70" s="203" t="s">
        <v>0</v>
      </c>
      <c r="H70" s="203" t="s">
        <v>7</v>
      </c>
      <c r="I70" s="203"/>
      <c r="J70" s="203"/>
      <c r="K70" s="203"/>
      <c r="L70" s="280"/>
      <c r="M70" s="264" t="str">
        <f t="shared" si="0"/>
        <v>도공</v>
      </c>
      <c r="N70" s="267"/>
      <c r="O70" s="266"/>
      <c r="P70" s="266"/>
      <c r="Q70" s="266"/>
      <c r="R70" s="266"/>
      <c r="S70" s="266"/>
      <c r="T70" s="266"/>
      <c r="U70" s="268"/>
    </row>
    <row r="71" spans="1:21" ht="30" customHeight="1">
      <c r="A71" s="202">
        <v>66</v>
      </c>
      <c r="B71" s="202" t="s">
        <v>779</v>
      </c>
      <c r="C71" s="202"/>
      <c r="D71" s="202" t="s">
        <v>84</v>
      </c>
      <c r="E71" s="207">
        <v>691</v>
      </c>
      <c r="F71" s="207">
        <v>691</v>
      </c>
      <c r="G71" s="203" t="s">
        <v>98</v>
      </c>
      <c r="H71" s="203" t="s">
        <v>102</v>
      </c>
      <c r="I71" s="203"/>
      <c r="J71" s="203"/>
      <c r="K71" s="203"/>
      <c r="L71" s="280"/>
      <c r="M71" s="264" t="str">
        <f t="shared" si="0"/>
        <v>도국</v>
      </c>
      <c r="N71" s="267"/>
      <c r="O71" s="266"/>
      <c r="P71" s="266"/>
      <c r="Q71" s="266"/>
      <c r="R71" s="266"/>
      <c r="S71" s="266"/>
      <c r="T71" s="266"/>
      <c r="U71" s="268"/>
    </row>
    <row r="72" spans="1:21" ht="30" customHeight="1">
      <c r="A72" s="202">
        <v>67</v>
      </c>
      <c r="B72" s="202" t="s">
        <v>167</v>
      </c>
      <c r="C72" s="202"/>
      <c r="D72" s="202" t="s">
        <v>84</v>
      </c>
      <c r="E72" s="207">
        <v>10</v>
      </c>
      <c r="F72" s="207">
        <v>10</v>
      </c>
      <c r="G72" s="203" t="s">
        <v>98</v>
      </c>
      <c r="H72" s="203" t="s">
        <v>102</v>
      </c>
      <c r="I72" s="203"/>
      <c r="J72" s="203"/>
      <c r="K72" s="203"/>
      <c r="L72" s="280"/>
      <c r="M72" s="264" t="str">
        <f t="shared" ref="M72:M100" si="1">CONCATENATE(D72,G72)</f>
        <v>도국</v>
      </c>
      <c r="N72" s="267"/>
      <c r="O72" s="266"/>
      <c r="P72" s="266"/>
      <c r="Q72" s="266"/>
      <c r="R72" s="266"/>
      <c r="S72" s="266"/>
      <c r="T72" s="266"/>
      <c r="U72" s="268"/>
    </row>
    <row r="73" spans="1:21" ht="30" customHeight="1">
      <c r="A73" s="202">
        <v>68</v>
      </c>
      <c r="B73" s="202" t="s">
        <v>168</v>
      </c>
      <c r="C73" s="202"/>
      <c r="D73" s="202" t="s">
        <v>84</v>
      </c>
      <c r="E73" s="207">
        <v>231</v>
      </c>
      <c r="F73" s="207">
        <v>231</v>
      </c>
      <c r="G73" s="203" t="s">
        <v>0</v>
      </c>
      <c r="H73" s="203" t="s">
        <v>7</v>
      </c>
      <c r="I73" s="203"/>
      <c r="J73" s="203"/>
      <c r="K73" s="203"/>
      <c r="L73" s="280"/>
      <c r="M73" s="264" t="str">
        <f t="shared" si="1"/>
        <v>도공</v>
      </c>
      <c r="N73" s="267"/>
      <c r="O73" s="266"/>
      <c r="P73" s="266"/>
      <c r="Q73" s="266"/>
      <c r="R73" s="266"/>
      <c r="S73" s="266"/>
      <c r="T73" s="266"/>
      <c r="U73" s="268"/>
    </row>
    <row r="74" spans="1:21" ht="30" customHeight="1">
      <c r="A74" s="202">
        <v>69</v>
      </c>
      <c r="B74" s="202" t="s">
        <v>780</v>
      </c>
      <c r="C74" s="202"/>
      <c r="D74" s="202" t="s">
        <v>84</v>
      </c>
      <c r="E74" s="207">
        <v>241</v>
      </c>
      <c r="F74" s="207">
        <v>101</v>
      </c>
      <c r="G74" s="203" t="s">
        <v>0</v>
      </c>
      <c r="H74" s="203" t="s">
        <v>7</v>
      </c>
      <c r="I74" s="203"/>
      <c r="J74" s="203"/>
      <c r="K74" s="203"/>
      <c r="L74" s="280"/>
      <c r="M74" s="264" t="str">
        <f t="shared" si="1"/>
        <v>도공</v>
      </c>
      <c r="N74" s="267"/>
      <c r="O74" s="266"/>
      <c r="P74" s="266"/>
      <c r="Q74" s="266"/>
      <c r="R74" s="266"/>
      <c r="S74" s="266"/>
      <c r="T74" s="266"/>
      <c r="U74" s="268"/>
    </row>
    <row r="75" spans="1:21" ht="30" customHeight="1">
      <c r="A75" s="202">
        <v>70</v>
      </c>
      <c r="B75" s="202" t="s">
        <v>169</v>
      </c>
      <c r="C75" s="202"/>
      <c r="D75" s="202" t="s">
        <v>84</v>
      </c>
      <c r="E75" s="207">
        <v>46</v>
      </c>
      <c r="F75" s="207">
        <v>46</v>
      </c>
      <c r="G75" s="203" t="s">
        <v>98</v>
      </c>
      <c r="H75" s="203" t="s">
        <v>102</v>
      </c>
      <c r="I75" s="203"/>
      <c r="J75" s="203"/>
      <c r="K75" s="203"/>
      <c r="L75" s="280"/>
      <c r="M75" s="264" t="str">
        <f t="shared" si="1"/>
        <v>도국</v>
      </c>
      <c r="N75" s="267"/>
      <c r="O75" s="266"/>
      <c r="P75" s="266"/>
      <c r="Q75" s="266"/>
      <c r="R75" s="266"/>
      <c r="S75" s="266"/>
      <c r="T75" s="266"/>
      <c r="U75" s="268"/>
    </row>
    <row r="76" spans="1:21" ht="30" customHeight="1">
      <c r="A76" s="202">
        <v>71</v>
      </c>
      <c r="B76" s="202" t="s">
        <v>170</v>
      </c>
      <c r="C76" s="202"/>
      <c r="D76" s="202" t="s">
        <v>84</v>
      </c>
      <c r="E76" s="207">
        <v>221</v>
      </c>
      <c r="F76" s="207">
        <v>135</v>
      </c>
      <c r="G76" s="203" t="s">
        <v>98</v>
      </c>
      <c r="H76" s="203" t="s">
        <v>102</v>
      </c>
      <c r="I76" s="203"/>
      <c r="J76" s="203"/>
      <c r="K76" s="203"/>
      <c r="L76" s="280"/>
      <c r="M76" s="264" t="str">
        <f t="shared" si="1"/>
        <v>도국</v>
      </c>
      <c r="N76" s="267"/>
      <c r="O76" s="266"/>
      <c r="P76" s="266"/>
      <c r="Q76" s="266"/>
      <c r="R76" s="266"/>
      <c r="S76" s="266"/>
      <c r="T76" s="266"/>
      <c r="U76" s="268"/>
    </row>
    <row r="77" spans="1:21" ht="30" customHeight="1">
      <c r="A77" s="202">
        <v>72</v>
      </c>
      <c r="B77" s="202" t="s">
        <v>782</v>
      </c>
      <c r="C77" s="202"/>
      <c r="D77" s="202" t="s">
        <v>84</v>
      </c>
      <c r="E77" s="207">
        <v>737</v>
      </c>
      <c r="F77" s="207">
        <v>161</v>
      </c>
      <c r="G77" s="203" t="s">
        <v>98</v>
      </c>
      <c r="H77" s="203" t="s">
        <v>102</v>
      </c>
      <c r="I77" s="203"/>
      <c r="J77" s="203"/>
      <c r="K77" s="203"/>
      <c r="L77" s="280"/>
      <c r="M77" s="264" t="str">
        <f t="shared" si="1"/>
        <v>도국</v>
      </c>
      <c r="N77" s="267"/>
      <c r="O77" s="266"/>
      <c r="P77" s="266"/>
      <c r="Q77" s="266"/>
      <c r="R77" s="266"/>
      <c r="S77" s="266"/>
      <c r="T77" s="266"/>
      <c r="U77" s="268"/>
    </row>
    <row r="78" spans="1:21" ht="30" customHeight="1">
      <c r="A78" s="202">
        <v>73</v>
      </c>
      <c r="B78" s="202" t="s">
        <v>96</v>
      </c>
      <c r="C78" s="202"/>
      <c r="D78" s="202" t="s">
        <v>89</v>
      </c>
      <c r="E78" s="207">
        <v>2</v>
      </c>
      <c r="F78" s="207">
        <v>2</v>
      </c>
      <c r="G78" s="203" t="s">
        <v>125</v>
      </c>
      <c r="H78" s="203" t="s">
        <v>6</v>
      </c>
      <c r="I78" s="203"/>
      <c r="J78" s="203"/>
      <c r="K78" s="203"/>
      <c r="L78" s="280"/>
      <c r="M78" s="264" t="str">
        <f t="shared" si="1"/>
        <v>답이휘숙</v>
      </c>
      <c r="N78" s="267"/>
      <c r="O78" s="266"/>
      <c r="P78" s="266"/>
      <c r="Q78" s="266"/>
      <c r="R78" s="266"/>
      <c r="S78" s="266"/>
      <c r="T78" s="266"/>
      <c r="U78" s="268"/>
    </row>
    <row r="79" spans="1:21" ht="30" customHeight="1">
      <c r="A79" s="202">
        <v>74</v>
      </c>
      <c r="B79" s="202" t="s">
        <v>783</v>
      </c>
      <c r="C79" s="202"/>
      <c r="D79" s="202" t="s">
        <v>89</v>
      </c>
      <c r="E79" s="207">
        <v>566</v>
      </c>
      <c r="F79" s="207">
        <v>404</v>
      </c>
      <c r="G79" s="203" t="s">
        <v>0</v>
      </c>
      <c r="H79" s="203" t="s">
        <v>7</v>
      </c>
      <c r="I79" s="203"/>
      <c r="J79" s="203"/>
      <c r="K79" s="203"/>
      <c r="L79" s="280"/>
      <c r="M79" s="264" t="str">
        <f t="shared" si="1"/>
        <v>답공</v>
      </c>
      <c r="N79" s="267"/>
      <c r="O79" s="266"/>
      <c r="P79" s="266"/>
      <c r="Q79" s="266"/>
      <c r="R79" s="266"/>
      <c r="S79" s="266"/>
      <c r="T79" s="266"/>
      <c r="U79" s="268"/>
    </row>
    <row r="80" spans="1:21" ht="30" customHeight="1">
      <c r="A80" s="202">
        <v>75</v>
      </c>
      <c r="B80" s="202" t="s">
        <v>171</v>
      </c>
      <c r="C80" s="202"/>
      <c r="D80" s="202" t="s">
        <v>89</v>
      </c>
      <c r="E80" s="207">
        <v>195</v>
      </c>
      <c r="F80" s="207">
        <v>195</v>
      </c>
      <c r="G80" s="203" t="s">
        <v>0</v>
      </c>
      <c r="H80" s="203" t="s">
        <v>7</v>
      </c>
      <c r="I80" s="203"/>
      <c r="J80" s="203"/>
      <c r="K80" s="203"/>
      <c r="L80" s="280"/>
      <c r="M80" s="264" t="str">
        <f t="shared" si="1"/>
        <v>답공</v>
      </c>
      <c r="N80" s="267"/>
      <c r="O80" s="266"/>
      <c r="P80" s="266"/>
      <c r="Q80" s="266"/>
      <c r="R80" s="266"/>
      <c r="S80" s="266"/>
      <c r="T80" s="266"/>
      <c r="U80" s="268"/>
    </row>
    <row r="81" spans="1:21" ht="30" customHeight="1">
      <c r="A81" s="202">
        <v>76</v>
      </c>
      <c r="B81" s="202" t="s">
        <v>489</v>
      </c>
      <c r="C81" s="202"/>
      <c r="D81" s="202" t="s">
        <v>84</v>
      </c>
      <c r="E81" s="207">
        <v>76</v>
      </c>
      <c r="F81" s="207">
        <v>9</v>
      </c>
      <c r="G81" s="203" t="s">
        <v>0</v>
      </c>
      <c r="H81" s="203" t="s">
        <v>7</v>
      </c>
      <c r="I81" s="203"/>
      <c r="J81" s="203"/>
      <c r="K81" s="203"/>
      <c r="L81" s="280"/>
      <c r="M81" s="264" t="str">
        <f t="shared" si="1"/>
        <v>도공</v>
      </c>
      <c r="N81" s="267"/>
      <c r="O81" s="266"/>
      <c r="P81" s="266"/>
      <c r="Q81" s="266"/>
      <c r="R81" s="266"/>
      <c r="S81" s="266"/>
      <c r="T81" s="266"/>
      <c r="U81" s="268"/>
    </row>
    <row r="82" spans="1:21" ht="30" customHeight="1">
      <c r="A82" s="202">
        <v>77</v>
      </c>
      <c r="B82" s="202" t="s">
        <v>172</v>
      </c>
      <c r="C82" s="202"/>
      <c r="D82" s="202" t="s">
        <v>84</v>
      </c>
      <c r="E82" s="207">
        <v>46</v>
      </c>
      <c r="F82" s="207">
        <v>19</v>
      </c>
      <c r="G82" s="203" t="s">
        <v>98</v>
      </c>
      <c r="H82" s="203" t="s">
        <v>102</v>
      </c>
      <c r="I82" s="203"/>
      <c r="J82" s="203"/>
      <c r="K82" s="203"/>
      <c r="L82" s="280"/>
      <c r="M82" s="264" t="str">
        <f t="shared" si="1"/>
        <v>도국</v>
      </c>
      <c r="N82" s="267"/>
      <c r="O82" s="266"/>
      <c r="P82" s="266"/>
      <c r="Q82" s="266"/>
      <c r="R82" s="266"/>
      <c r="S82" s="266"/>
      <c r="T82" s="266"/>
      <c r="U82" s="268"/>
    </row>
    <row r="83" spans="1:21" ht="30" customHeight="1">
      <c r="A83" s="202">
        <v>78</v>
      </c>
      <c r="B83" s="202" t="s">
        <v>173</v>
      </c>
      <c r="C83" s="202"/>
      <c r="D83" s="202" t="s">
        <v>89</v>
      </c>
      <c r="E83" s="207">
        <v>207</v>
      </c>
      <c r="F83" s="207">
        <v>207</v>
      </c>
      <c r="G83" s="203" t="s">
        <v>0</v>
      </c>
      <c r="H83" s="203" t="s">
        <v>7</v>
      </c>
      <c r="I83" s="203"/>
      <c r="J83" s="203"/>
      <c r="K83" s="203"/>
      <c r="L83" s="280"/>
      <c r="M83" s="264" t="str">
        <f t="shared" si="1"/>
        <v>답공</v>
      </c>
      <c r="N83" s="267"/>
      <c r="O83" s="266"/>
      <c r="P83" s="266"/>
      <c r="Q83" s="266"/>
      <c r="R83" s="266"/>
      <c r="S83" s="266"/>
      <c r="T83" s="266"/>
      <c r="U83" s="268"/>
    </row>
    <row r="84" spans="1:21" ht="30" customHeight="1">
      <c r="A84" s="202">
        <v>79</v>
      </c>
      <c r="B84" s="202" t="s">
        <v>784</v>
      </c>
      <c r="C84" s="202"/>
      <c r="D84" s="202" t="s">
        <v>84</v>
      </c>
      <c r="E84" s="207">
        <v>179</v>
      </c>
      <c r="F84" s="207">
        <v>84</v>
      </c>
      <c r="G84" s="203" t="s">
        <v>0</v>
      </c>
      <c r="H84" s="203" t="s">
        <v>7</v>
      </c>
      <c r="I84" s="203"/>
      <c r="J84" s="203"/>
      <c r="K84" s="203"/>
      <c r="L84" s="280"/>
      <c r="M84" s="264" t="str">
        <f t="shared" si="1"/>
        <v>도공</v>
      </c>
      <c r="N84" s="267"/>
      <c r="O84" s="266"/>
      <c r="P84" s="266"/>
      <c r="Q84" s="266"/>
      <c r="R84" s="266"/>
      <c r="S84" s="266"/>
      <c r="T84" s="266"/>
      <c r="U84" s="268"/>
    </row>
    <row r="85" spans="1:21" ht="30" customHeight="1">
      <c r="A85" s="202">
        <v>80</v>
      </c>
      <c r="B85" s="202" t="s">
        <v>785</v>
      </c>
      <c r="C85" s="202"/>
      <c r="D85" s="202" t="s">
        <v>89</v>
      </c>
      <c r="E85" s="207">
        <v>541</v>
      </c>
      <c r="F85" s="207">
        <v>541</v>
      </c>
      <c r="G85" s="203" t="s">
        <v>0</v>
      </c>
      <c r="H85" s="203" t="s">
        <v>7</v>
      </c>
      <c r="I85" s="203"/>
      <c r="J85" s="203"/>
      <c r="K85" s="203"/>
      <c r="L85" s="280"/>
      <c r="M85" s="264" t="str">
        <f t="shared" si="1"/>
        <v>답공</v>
      </c>
      <c r="N85" s="267"/>
      <c r="O85" s="266"/>
      <c r="P85" s="266"/>
      <c r="Q85" s="266"/>
      <c r="R85" s="266"/>
      <c r="S85" s="266"/>
      <c r="T85" s="266"/>
      <c r="U85" s="268"/>
    </row>
    <row r="86" spans="1:21" ht="30" customHeight="1">
      <c r="A86" s="202">
        <v>81</v>
      </c>
      <c r="B86" s="202" t="s">
        <v>174</v>
      </c>
      <c r="C86" s="202"/>
      <c r="D86" s="202" t="s">
        <v>84</v>
      </c>
      <c r="E86" s="207">
        <v>99</v>
      </c>
      <c r="F86" s="207">
        <v>67</v>
      </c>
      <c r="G86" s="203" t="s">
        <v>98</v>
      </c>
      <c r="H86" s="203" t="s">
        <v>102</v>
      </c>
      <c r="I86" s="203"/>
      <c r="J86" s="203"/>
      <c r="K86" s="203"/>
      <c r="L86" s="280"/>
      <c r="M86" s="264" t="str">
        <f t="shared" si="1"/>
        <v>도국</v>
      </c>
      <c r="N86" s="267"/>
      <c r="O86" s="266"/>
      <c r="P86" s="266"/>
      <c r="Q86" s="266"/>
      <c r="R86" s="266"/>
      <c r="S86" s="266"/>
      <c r="T86" s="266"/>
      <c r="U86" s="268"/>
    </row>
    <row r="87" spans="1:21" ht="30" customHeight="1">
      <c r="A87" s="202">
        <v>82</v>
      </c>
      <c r="B87" s="202" t="s">
        <v>179</v>
      </c>
      <c r="C87" s="202"/>
      <c r="D87" s="202" t="s">
        <v>84</v>
      </c>
      <c r="E87" s="207">
        <v>21</v>
      </c>
      <c r="F87" s="207">
        <v>21</v>
      </c>
      <c r="G87" s="203" t="s">
        <v>0</v>
      </c>
      <c r="H87" s="203" t="s">
        <v>7</v>
      </c>
      <c r="I87" s="203"/>
      <c r="J87" s="203"/>
      <c r="K87" s="203"/>
      <c r="L87" s="280"/>
      <c r="M87" s="264" t="str">
        <f t="shared" si="1"/>
        <v>도공</v>
      </c>
      <c r="N87" s="267"/>
      <c r="O87" s="266"/>
      <c r="P87" s="266"/>
      <c r="Q87" s="266"/>
      <c r="R87" s="266"/>
      <c r="S87" s="266"/>
      <c r="T87" s="266"/>
      <c r="U87" s="268"/>
    </row>
    <row r="88" spans="1:21" ht="30" customHeight="1">
      <c r="A88" s="202">
        <v>83</v>
      </c>
      <c r="B88" s="202" t="s">
        <v>175</v>
      </c>
      <c r="C88" s="202"/>
      <c r="D88" s="202" t="s">
        <v>89</v>
      </c>
      <c r="E88" s="207">
        <v>322</v>
      </c>
      <c r="F88" s="207">
        <v>322</v>
      </c>
      <c r="G88" s="203" t="s">
        <v>97</v>
      </c>
      <c r="H88" s="203" t="s">
        <v>7</v>
      </c>
      <c r="I88" s="203"/>
      <c r="J88" s="203"/>
      <c r="K88" s="203"/>
      <c r="L88" s="280"/>
      <c r="M88" s="264" t="str">
        <f t="shared" si="1"/>
        <v>답공</v>
      </c>
      <c r="N88" s="267"/>
      <c r="O88" s="266"/>
      <c r="P88" s="266"/>
      <c r="Q88" s="266"/>
      <c r="R88" s="266"/>
      <c r="S88" s="266"/>
      <c r="T88" s="266"/>
      <c r="U88" s="268"/>
    </row>
    <row r="89" spans="1:21" ht="30" customHeight="1">
      <c r="A89" s="202">
        <v>84</v>
      </c>
      <c r="B89" s="202" t="s">
        <v>786</v>
      </c>
      <c r="C89" s="202"/>
      <c r="D89" s="202" t="s">
        <v>89</v>
      </c>
      <c r="E89" s="207">
        <v>553</v>
      </c>
      <c r="F89" s="207">
        <v>553</v>
      </c>
      <c r="G89" s="203" t="s">
        <v>0</v>
      </c>
      <c r="H89" s="203" t="s">
        <v>7</v>
      </c>
      <c r="I89" s="203"/>
      <c r="J89" s="203"/>
      <c r="K89" s="203"/>
      <c r="L89" s="280"/>
      <c r="M89" s="264" t="str">
        <f t="shared" si="1"/>
        <v>답공</v>
      </c>
      <c r="N89" s="267"/>
      <c r="O89" s="266"/>
      <c r="P89" s="266"/>
      <c r="Q89" s="266"/>
      <c r="R89" s="266"/>
      <c r="S89" s="266"/>
      <c r="T89" s="266"/>
      <c r="U89" s="268"/>
    </row>
    <row r="90" spans="1:21" ht="30" customHeight="1">
      <c r="A90" s="202">
        <v>85</v>
      </c>
      <c r="B90" s="202" t="s">
        <v>176</v>
      </c>
      <c r="C90" s="202"/>
      <c r="D90" s="202" t="s">
        <v>84</v>
      </c>
      <c r="E90" s="207">
        <v>105</v>
      </c>
      <c r="F90" s="207">
        <v>105</v>
      </c>
      <c r="G90" s="203" t="s">
        <v>0</v>
      </c>
      <c r="H90" s="203" t="s">
        <v>7</v>
      </c>
      <c r="I90" s="203"/>
      <c r="J90" s="203"/>
      <c r="K90" s="203"/>
      <c r="L90" s="280"/>
      <c r="M90" s="264" t="str">
        <f t="shared" si="1"/>
        <v>도공</v>
      </c>
      <c r="N90" s="267"/>
      <c r="O90" s="266"/>
      <c r="P90" s="266"/>
      <c r="Q90" s="266"/>
      <c r="R90" s="266"/>
      <c r="S90" s="266"/>
      <c r="T90" s="266"/>
      <c r="U90" s="268"/>
    </row>
    <row r="91" spans="1:21" ht="30" customHeight="1">
      <c r="A91" s="202">
        <v>86</v>
      </c>
      <c r="B91" s="202" t="s">
        <v>180</v>
      </c>
      <c r="C91" s="202"/>
      <c r="D91" s="202" t="s">
        <v>84</v>
      </c>
      <c r="E91" s="207">
        <v>228</v>
      </c>
      <c r="F91" s="207">
        <v>49</v>
      </c>
      <c r="G91" s="203" t="s">
        <v>98</v>
      </c>
      <c r="H91" s="203" t="s">
        <v>102</v>
      </c>
      <c r="I91" s="203"/>
      <c r="J91" s="203"/>
      <c r="K91" s="203"/>
      <c r="L91" s="280"/>
      <c r="M91" s="264" t="str">
        <f t="shared" si="1"/>
        <v>도국</v>
      </c>
      <c r="N91" s="267"/>
      <c r="O91" s="266"/>
      <c r="P91" s="266"/>
      <c r="Q91" s="266"/>
      <c r="R91" s="266"/>
      <c r="S91" s="266"/>
      <c r="T91" s="266"/>
      <c r="U91" s="268"/>
    </row>
    <row r="92" spans="1:21" ht="30" customHeight="1">
      <c r="A92" s="202">
        <v>87</v>
      </c>
      <c r="B92" s="202" t="s">
        <v>787</v>
      </c>
      <c r="C92" s="202"/>
      <c r="D92" s="202" t="s">
        <v>89</v>
      </c>
      <c r="E92" s="207">
        <v>350</v>
      </c>
      <c r="F92" s="207">
        <v>350</v>
      </c>
      <c r="G92" s="203" t="s">
        <v>0</v>
      </c>
      <c r="H92" s="203" t="s">
        <v>7</v>
      </c>
      <c r="I92" s="203"/>
      <c r="J92" s="203"/>
      <c r="K92" s="203"/>
      <c r="L92" s="280"/>
      <c r="M92" s="264" t="str">
        <f t="shared" si="1"/>
        <v>답공</v>
      </c>
      <c r="N92" s="267"/>
      <c r="O92" s="266"/>
      <c r="P92" s="266"/>
      <c r="Q92" s="266"/>
      <c r="R92" s="266"/>
      <c r="S92" s="266"/>
      <c r="T92" s="266"/>
      <c r="U92" s="268"/>
    </row>
    <row r="93" spans="1:21" ht="30" customHeight="1">
      <c r="A93" s="202">
        <v>88</v>
      </c>
      <c r="B93" s="202" t="s">
        <v>788</v>
      </c>
      <c r="C93" s="202"/>
      <c r="D93" s="202" t="s">
        <v>84</v>
      </c>
      <c r="E93" s="207">
        <v>296</v>
      </c>
      <c r="F93" s="207">
        <v>296</v>
      </c>
      <c r="G93" s="203" t="s">
        <v>0</v>
      </c>
      <c r="H93" s="203" t="s">
        <v>7</v>
      </c>
      <c r="I93" s="203"/>
      <c r="J93" s="203"/>
      <c r="K93" s="203"/>
      <c r="L93" s="280"/>
      <c r="M93" s="264" t="str">
        <f t="shared" si="1"/>
        <v>도공</v>
      </c>
      <c r="N93" s="267"/>
      <c r="O93" s="266"/>
      <c r="P93" s="266"/>
      <c r="Q93" s="266"/>
      <c r="R93" s="266"/>
      <c r="S93" s="266"/>
      <c r="T93" s="266"/>
      <c r="U93" s="268"/>
    </row>
    <row r="94" spans="1:21" ht="30" customHeight="1">
      <c r="A94" s="202">
        <v>89</v>
      </c>
      <c r="B94" s="202" t="s">
        <v>177</v>
      </c>
      <c r="C94" s="202"/>
      <c r="D94" s="202" t="s">
        <v>84</v>
      </c>
      <c r="E94" s="207">
        <v>241</v>
      </c>
      <c r="F94" s="207">
        <v>191</v>
      </c>
      <c r="G94" s="203" t="s">
        <v>98</v>
      </c>
      <c r="H94" s="203" t="s">
        <v>102</v>
      </c>
      <c r="I94" s="203"/>
      <c r="J94" s="203"/>
      <c r="K94" s="203"/>
      <c r="L94" s="280"/>
      <c r="M94" s="264" t="str">
        <f t="shared" si="1"/>
        <v>도국</v>
      </c>
      <c r="N94" s="267"/>
      <c r="O94" s="266"/>
      <c r="P94" s="266"/>
      <c r="Q94" s="266"/>
      <c r="R94" s="266"/>
      <c r="S94" s="266"/>
      <c r="T94" s="266"/>
      <c r="U94" s="268"/>
    </row>
    <row r="95" spans="1:21" ht="30" customHeight="1">
      <c r="A95" s="202">
        <v>90</v>
      </c>
      <c r="B95" s="202" t="s">
        <v>178</v>
      </c>
      <c r="C95" s="202"/>
      <c r="D95" s="202" t="s">
        <v>89</v>
      </c>
      <c r="E95" s="207">
        <v>7</v>
      </c>
      <c r="F95" s="207">
        <v>7</v>
      </c>
      <c r="G95" s="203" t="s">
        <v>0</v>
      </c>
      <c r="H95" s="203" t="s">
        <v>7</v>
      </c>
      <c r="I95" s="203"/>
      <c r="J95" s="203"/>
      <c r="K95" s="203"/>
      <c r="L95" s="280"/>
      <c r="M95" s="264" t="str">
        <f t="shared" si="1"/>
        <v>답공</v>
      </c>
      <c r="N95" s="267"/>
      <c r="O95" s="266"/>
      <c r="P95" s="266"/>
      <c r="Q95" s="266"/>
      <c r="R95" s="266"/>
      <c r="S95" s="266"/>
      <c r="T95" s="266"/>
      <c r="U95" s="268"/>
    </row>
    <row r="96" spans="1:21" ht="30" customHeight="1">
      <c r="A96" s="202">
        <v>91</v>
      </c>
      <c r="B96" s="202" t="s">
        <v>181</v>
      </c>
      <c r="C96" s="202"/>
      <c r="D96" s="202" t="s">
        <v>84</v>
      </c>
      <c r="E96" s="207">
        <v>444</v>
      </c>
      <c r="F96" s="207">
        <v>64</v>
      </c>
      <c r="G96" s="203" t="s">
        <v>97</v>
      </c>
      <c r="H96" s="203" t="s">
        <v>7</v>
      </c>
      <c r="I96" s="203"/>
      <c r="J96" s="203"/>
      <c r="K96" s="203"/>
      <c r="L96" s="280"/>
      <c r="M96" s="264" t="str">
        <f t="shared" si="1"/>
        <v>도공</v>
      </c>
      <c r="N96" s="267"/>
      <c r="O96" s="266"/>
      <c r="P96" s="266"/>
      <c r="Q96" s="266"/>
      <c r="R96" s="266"/>
      <c r="S96" s="266"/>
      <c r="T96" s="266"/>
      <c r="U96" s="268"/>
    </row>
    <row r="97" spans="1:24" ht="30" customHeight="1">
      <c r="A97" s="202">
        <v>92</v>
      </c>
      <c r="B97" s="202" t="s">
        <v>183</v>
      </c>
      <c r="C97" s="202"/>
      <c r="D97" s="202" t="s">
        <v>89</v>
      </c>
      <c r="E97" s="207">
        <v>217</v>
      </c>
      <c r="F97" s="207">
        <v>217</v>
      </c>
      <c r="G97" s="203" t="s">
        <v>0</v>
      </c>
      <c r="H97" s="203" t="s">
        <v>7</v>
      </c>
      <c r="I97" s="203"/>
      <c r="J97" s="203"/>
      <c r="K97" s="203"/>
      <c r="L97" s="280"/>
      <c r="M97" s="264" t="str">
        <f t="shared" si="1"/>
        <v>답공</v>
      </c>
      <c r="N97" s="267"/>
      <c r="O97" s="266"/>
      <c r="P97" s="266"/>
      <c r="Q97" s="266"/>
      <c r="R97" s="266"/>
      <c r="S97" s="266"/>
      <c r="T97" s="266"/>
      <c r="U97" s="268"/>
    </row>
    <row r="98" spans="1:24" ht="30" customHeight="1">
      <c r="A98" s="202">
        <v>93</v>
      </c>
      <c r="B98" s="202" t="s">
        <v>182</v>
      </c>
      <c r="C98" s="202"/>
      <c r="D98" s="202" t="s">
        <v>84</v>
      </c>
      <c r="E98" s="207">
        <v>100</v>
      </c>
      <c r="F98" s="207">
        <v>100</v>
      </c>
      <c r="G98" s="203" t="s">
        <v>0</v>
      </c>
      <c r="H98" s="203" t="s">
        <v>7</v>
      </c>
      <c r="I98" s="203"/>
      <c r="J98" s="203"/>
      <c r="K98" s="203"/>
      <c r="L98" s="280"/>
      <c r="M98" s="264" t="str">
        <f t="shared" si="1"/>
        <v>도공</v>
      </c>
      <c r="N98" s="267"/>
      <c r="O98" s="266"/>
      <c r="P98" s="266"/>
      <c r="Q98" s="266"/>
      <c r="R98" s="266"/>
      <c r="S98" s="266"/>
      <c r="T98" s="266"/>
      <c r="U98" s="268"/>
    </row>
    <row r="99" spans="1:24" ht="30" customHeight="1">
      <c r="A99" s="202">
        <v>94</v>
      </c>
      <c r="B99" s="202" t="s">
        <v>184</v>
      </c>
      <c r="C99" s="202"/>
      <c r="D99" s="202" t="s">
        <v>89</v>
      </c>
      <c r="E99" s="207">
        <v>200</v>
      </c>
      <c r="F99" s="207">
        <v>200</v>
      </c>
      <c r="G99" s="203" t="s">
        <v>0</v>
      </c>
      <c r="H99" s="203" t="s">
        <v>7</v>
      </c>
      <c r="I99" s="203"/>
      <c r="J99" s="203"/>
      <c r="K99" s="203"/>
      <c r="L99" s="280"/>
      <c r="M99" s="264" t="str">
        <f t="shared" si="1"/>
        <v>답공</v>
      </c>
      <c r="N99" s="267"/>
      <c r="O99" s="266"/>
      <c r="P99" s="266"/>
      <c r="Q99" s="266"/>
      <c r="R99" s="266"/>
      <c r="S99" s="266"/>
      <c r="T99" s="266"/>
      <c r="U99" s="268"/>
    </row>
    <row r="100" spans="1:24" ht="30" customHeight="1">
      <c r="A100" s="202">
        <v>95</v>
      </c>
      <c r="B100" s="202" t="s">
        <v>789</v>
      </c>
      <c r="C100" s="202"/>
      <c r="D100" s="202" t="s">
        <v>135</v>
      </c>
      <c r="E100" s="207">
        <v>2457</v>
      </c>
      <c r="F100" s="207">
        <v>1709</v>
      </c>
      <c r="G100" s="203" t="s">
        <v>0</v>
      </c>
      <c r="H100" s="203" t="s">
        <v>7</v>
      </c>
      <c r="I100" s="203"/>
      <c r="J100" s="203"/>
      <c r="K100" s="203"/>
      <c r="L100" s="280"/>
      <c r="M100" s="264" t="str">
        <f t="shared" si="1"/>
        <v>임공</v>
      </c>
      <c r="N100" s="267"/>
      <c r="O100" s="266"/>
      <c r="P100" s="266"/>
      <c r="Q100" s="266"/>
      <c r="R100" s="266"/>
      <c r="S100" s="266"/>
      <c r="T100" s="266"/>
      <c r="U100" s="268"/>
    </row>
    <row r="101" spans="1:24" ht="30" customHeight="1">
      <c r="A101" s="202"/>
      <c r="B101" s="202"/>
      <c r="C101" s="202"/>
      <c r="D101" s="202"/>
      <c r="E101" s="207"/>
      <c r="F101" s="207"/>
      <c r="G101" s="203"/>
      <c r="H101" s="203"/>
      <c r="I101" s="203"/>
      <c r="J101" s="203"/>
      <c r="K101" s="203"/>
      <c r="L101" s="280"/>
      <c r="M101" s="264"/>
      <c r="N101" s="267"/>
      <c r="O101" s="266"/>
      <c r="P101" s="266"/>
      <c r="Q101" s="266"/>
      <c r="R101" s="266"/>
      <c r="S101" s="266"/>
      <c r="T101" s="266"/>
      <c r="U101" s="268"/>
    </row>
    <row r="102" spans="1:24" ht="30" customHeight="1">
      <c r="A102" s="202"/>
      <c r="B102" s="202"/>
      <c r="C102" s="202"/>
      <c r="D102" s="202"/>
      <c r="E102" s="207"/>
      <c r="F102" s="207"/>
      <c r="G102" s="203"/>
      <c r="H102" s="203"/>
      <c r="I102" s="203"/>
      <c r="J102" s="203"/>
      <c r="K102" s="203"/>
      <c r="L102" s="280"/>
      <c r="M102" s="264"/>
      <c r="N102" s="267"/>
      <c r="O102" s="266"/>
      <c r="P102" s="266"/>
      <c r="Q102" s="266"/>
      <c r="R102" s="266"/>
      <c r="S102" s="266"/>
      <c r="T102" s="266"/>
      <c r="U102" s="268"/>
    </row>
    <row r="103" spans="1:24" ht="30" customHeight="1">
      <c r="A103" s="274" t="s">
        <v>286</v>
      </c>
      <c r="B103" s="275"/>
      <c r="C103" s="275"/>
      <c r="D103" s="275"/>
      <c r="E103" s="276"/>
      <c r="F103" s="276">
        <f>SUM(F6:F102)</f>
        <v>29928.6</v>
      </c>
      <c r="G103" s="286"/>
      <c r="H103" s="286"/>
      <c r="I103" s="286"/>
      <c r="J103" s="286"/>
      <c r="K103" s="286"/>
      <c r="L103" s="287"/>
      <c r="M103" s="264"/>
      <c r="N103" s="267"/>
      <c r="O103" s="266"/>
      <c r="P103" s="266"/>
      <c r="Q103" s="266"/>
      <c r="R103" s="266"/>
      <c r="S103" s="266"/>
      <c r="T103" s="266"/>
      <c r="U103" s="288"/>
      <c r="V103" s="266"/>
      <c r="W103" s="266"/>
      <c r="X103" s="266"/>
    </row>
    <row r="104" spans="1:24" ht="30" customHeight="1">
      <c r="A104" s="289"/>
      <c r="B104" s="290"/>
      <c r="C104" s="290"/>
      <c r="D104" s="290"/>
      <c r="E104" s="291"/>
      <c r="F104" s="292"/>
      <c r="G104" s="293"/>
      <c r="H104" s="293"/>
      <c r="I104" s="293"/>
      <c r="J104" s="293"/>
      <c r="K104" s="294"/>
      <c r="L104" s="295"/>
      <c r="M104" s="264"/>
      <c r="N104" s="265"/>
      <c r="O104" s="266"/>
      <c r="P104" s="266"/>
      <c r="Q104" s="266"/>
      <c r="R104" s="266"/>
      <c r="S104" s="266"/>
      <c r="T104" s="266"/>
      <c r="U104" s="266"/>
    </row>
    <row r="105" spans="1:24" ht="30" customHeight="1">
      <c r="A105" s="296"/>
      <c r="B105" s="297"/>
      <c r="C105" s="297"/>
      <c r="D105" s="297"/>
      <c r="E105" s="298"/>
      <c r="F105" s="299"/>
      <c r="G105" s="277"/>
      <c r="H105" s="277"/>
      <c r="I105" s="277"/>
      <c r="J105" s="277"/>
      <c r="K105" s="278"/>
      <c r="L105" s="295"/>
      <c r="M105" s="264"/>
      <c r="N105" s="265"/>
      <c r="O105" s="266"/>
      <c r="P105" s="266"/>
      <c r="Q105" s="266"/>
      <c r="R105" s="266"/>
      <c r="S105" s="266"/>
      <c r="T105" s="266"/>
      <c r="U105" s="266"/>
    </row>
    <row r="106" spans="1:24" ht="30" customHeight="1">
      <c r="A106" s="176"/>
      <c r="B106" s="297"/>
      <c r="C106" s="297"/>
      <c r="D106" s="297"/>
      <c r="E106" s="298"/>
      <c r="F106" s="299"/>
      <c r="G106" s="277"/>
      <c r="H106" s="277"/>
      <c r="I106" s="277"/>
      <c r="J106" s="277"/>
      <c r="K106" s="278"/>
      <c r="L106" s="295"/>
      <c r="M106" s="264"/>
      <c r="N106" s="265"/>
      <c r="O106" s="266"/>
      <c r="P106" s="266"/>
      <c r="Q106" s="266"/>
      <c r="R106" s="266"/>
      <c r="S106" s="266"/>
      <c r="T106" s="266"/>
      <c r="U106" s="266"/>
    </row>
    <row r="107" spans="1:24" ht="30" customHeight="1">
      <c r="A107" s="176"/>
      <c r="B107" s="297"/>
      <c r="C107" s="297"/>
      <c r="D107" s="297"/>
      <c r="E107" s="298"/>
      <c r="F107" s="299"/>
      <c r="G107" s="277"/>
      <c r="H107" s="277"/>
      <c r="I107" s="277"/>
      <c r="J107" s="277"/>
      <c r="K107" s="278"/>
      <c r="L107" s="295"/>
      <c r="M107" s="264"/>
      <c r="N107" s="265"/>
      <c r="O107" s="266"/>
      <c r="P107" s="266"/>
      <c r="Q107" s="266"/>
      <c r="R107" s="266"/>
      <c r="S107" s="266"/>
      <c r="T107" s="266"/>
      <c r="U107" s="266"/>
    </row>
    <row r="108" spans="1:24" ht="30" customHeight="1">
      <c r="A108" s="176"/>
      <c r="B108" s="297"/>
      <c r="C108" s="297"/>
      <c r="D108" s="297"/>
      <c r="E108" s="298"/>
      <c r="F108" s="299"/>
      <c r="G108" s="277"/>
      <c r="H108" s="277"/>
      <c r="I108" s="277"/>
      <c r="J108" s="277"/>
      <c r="K108" s="278"/>
      <c r="L108" s="295"/>
      <c r="M108" s="264"/>
      <c r="N108" s="265"/>
      <c r="O108" s="266"/>
      <c r="P108" s="266"/>
      <c r="Q108" s="266"/>
      <c r="R108" s="266"/>
      <c r="S108" s="266"/>
      <c r="T108" s="266"/>
      <c r="U108" s="266"/>
    </row>
    <row r="109" spans="1:24" ht="30" customHeight="1">
      <c r="A109" s="296"/>
      <c r="B109" s="297"/>
      <c r="C109" s="297"/>
      <c r="D109" s="297"/>
      <c r="E109" s="298"/>
      <c r="F109" s="299"/>
      <c r="G109" s="277"/>
      <c r="H109" s="277"/>
      <c r="I109" s="277"/>
      <c r="J109" s="277"/>
      <c r="K109" s="278"/>
      <c r="L109" s="295"/>
      <c r="M109" s="264"/>
      <c r="N109" s="265"/>
      <c r="O109" s="266"/>
      <c r="P109" s="266"/>
      <c r="Q109" s="266"/>
      <c r="R109" s="266"/>
      <c r="S109" s="266"/>
      <c r="T109" s="266"/>
      <c r="U109" s="266"/>
    </row>
    <row r="110" spans="1:24" ht="30" customHeight="1">
      <c r="A110" s="176"/>
      <c r="B110" s="297"/>
      <c r="C110" s="297"/>
      <c r="D110" s="297"/>
      <c r="E110" s="298"/>
      <c r="F110" s="299"/>
      <c r="G110" s="277"/>
      <c r="H110" s="277"/>
      <c r="I110" s="277"/>
      <c r="J110" s="277"/>
      <c r="K110" s="278"/>
      <c r="L110" s="295"/>
      <c r="M110" s="264"/>
      <c r="N110" s="265"/>
      <c r="O110" s="266"/>
      <c r="P110" s="266"/>
      <c r="Q110" s="266"/>
      <c r="R110" s="266"/>
      <c r="S110" s="266"/>
      <c r="T110" s="266"/>
      <c r="U110" s="266"/>
    </row>
    <row r="111" spans="1:24" ht="30" customHeight="1">
      <c r="A111" s="176"/>
      <c r="B111" s="297"/>
      <c r="C111" s="297"/>
      <c r="D111" s="297"/>
      <c r="E111" s="298"/>
      <c r="F111" s="299"/>
      <c r="G111" s="277"/>
      <c r="H111" s="277"/>
      <c r="I111" s="277"/>
      <c r="J111" s="277"/>
      <c r="K111" s="278"/>
      <c r="L111" s="295"/>
      <c r="M111" s="264"/>
      <c r="N111" s="265"/>
      <c r="O111" s="266"/>
      <c r="P111" s="266"/>
      <c r="Q111" s="266"/>
      <c r="R111" s="266"/>
      <c r="S111" s="266"/>
      <c r="T111" s="266"/>
      <c r="U111" s="266"/>
    </row>
    <row r="112" spans="1:24" ht="30" customHeight="1">
      <c r="A112" s="176"/>
      <c r="B112" s="297"/>
      <c r="C112" s="297"/>
      <c r="D112" s="297"/>
      <c r="E112" s="298"/>
      <c r="F112" s="299"/>
      <c r="G112" s="277"/>
      <c r="H112" s="277"/>
      <c r="I112" s="277"/>
      <c r="J112" s="277"/>
      <c r="K112" s="278"/>
      <c r="L112" s="295"/>
      <c r="M112" s="264"/>
      <c r="N112" s="265"/>
      <c r="O112" s="266"/>
      <c r="P112" s="266"/>
      <c r="Q112" s="266"/>
      <c r="R112" s="266"/>
      <c r="S112" s="266"/>
      <c r="T112" s="266"/>
      <c r="U112" s="266"/>
    </row>
    <row r="113" spans="1:24" ht="30" customHeight="1">
      <c r="A113" s="176"/>
      <c r="B113" s="297"/>
      <c r="C113" s="297"/>
      <c r="D113" s="297"/>
      <c r="E113" s="298"/>
      <c r="F113" s="299"/>
      <c r="G113" s="277"/>
      <c r="H113" s="277"/>
      <c r="I113" s="277"/>
      <c r="J113" s="277"/>
      <c r="K113" s="278"/>
      <c r="L113" s="295"/>
      <c r="M113" s="264"/>
      <c r="N113" s="265"/>
      <c r="O113" s="266"/>
      <c r="P113" s="266"/>
      <c r="Q113" s="266"/>
      <c r="R113" s="266"/>
      <c r="S113" s="266"/>
      <c r="T113" s="266"/>
      <c r="U113" s="266"/>
    </row>
    <row r="114" spans="1:24" ht="30" customHeight="1">
      <c r="A114" s="176"/>
      <c r="B114" s="297"/>
      <c r="C114" s="297"/>
      <c r="D114" s="297"/>
      <c r="E114" s="298"/>
      <c r="F114" s="299"/>
      <c r="G114" s="277"/>
      <c r="H114" s="277"/>
      <c r="I114" s="277"/>
      <c r="J114" s="277"/>
      <c r="K114" s="278"/>
      <c r="L114" s="295"/>
      <c r="M114" s="264"/>
      <c r="N114" s="265"/>
      <c r="O114" s="266"/>
      <c r="P114" s="266"/>
      <c r="Q114" s="266"/>
      <c r="R114" s="266"/>
      <c r="S114" s="266"/>
      <c r="T114" s="266"/>
      <c r="U114" s="266"/>
    </row>
    <row r="115" spans="1:24" ht="30" customHeight="1">
      <c r="A115" s="176"/>
      <c r="B115" s="297"/>
      <c r="C115" s="297"/>
      <c r="D115" s="297"/>
      <c r="E115" s="298"/>
      <c r="F115" s="299"/>
      <c r="G115" s="277"/>
      <c r="H115" s="277"/>
      <c r="I115" s="277"/>
      <c r="J115" s="277"/>
      <c r="K115" s="278"/>
      <c r="L115" s="295"/>
      <c r="M115" s="264"/>
      <c r="N115" s="265"/>
      <c r="O115" s="266"/>
      <c r="P115" s="266"/>
      <c r="Q115" s="266"/>
      <c r="R115" s="266"/>
      <c r="S115" s="266"/>
      <c r="T115" s="266"/>
      <c r="U115" s="266"/>
    </row>
    <row r="116" spans="1:24" ht="30" customHeight="1">
      <c r="A116" s="176"/>
      <c r="B116" s="297"/>
      <c r="C116" s="297"/>
      <c r="D116" s="297"/>
      <c r="E116" s="298"/>
      <c r="F116" s="299"/>
      <c r="G116" s="277"/>
      <c r="H116" s="277"/>
      <c r="I116" s="277"/>
      <c r="J116" s="277"/>
      <c r="K116" s="278"/>
      <c r="L116" s="295"/>
      <c r="M116" s="264"/>
      <c r="N116" s="265"/>
      <c r="O116" s="266"/>
      <c r="P116" s="266"/>
      <c r="Q116" s="266"/>
      <c r="R116" s="266"/>
      <c r="S116" s="266"/>
      <c r="T116" s="266"/>
      <c r="U116" s="266"/>
    </row>
    <row r="117" spans="1:24" ht="30" customHeight="1">
      <c r="A117" s="176"/>
      <c r="B117" s="297"/>
      <c r="C117" s="297"/>
      <c r="D117" s="297"/>
      <c r="E117" s="298"/>
      <c r="F117" s="299"/>
      <c r="G117" s="277"/>
      <c r="H117" s="277"/>
      <c r="I117" s="277"/>
      <c r="J117" s="277"/>
      <c r="K117" s="278"/>
      <c r="L117" s="295"/>
      <c r="M117" s="264"/>
      <c r="N117" s="265"/>
      <c r="O117" s="266"/>
      <c r="P117" s="266"/>
      <c r="Q117" s="266"/>
      <c r="R117" s="266"/>
      <c r="S117" s="266"/>
      <c r="T117" s="266"/>
      <c r="U117" s="266"/>
    </row>
    <row r="118" spans="1:24" ht="30" customHeight="1">
      <c r="A118" s="176"/>
      <c r="B118" s="300"/>
      <c r="C118" s="300"/>
      <c r="D118" s="300"/>
      <c r="E118" s="301"/>
      <c r="F118" s="302"/>
      <c r="G118" s="286"/>
      <c r="H118" s="277"/>
      <c r="I118" s="277"/>
      <c r="J118" s="277"/>
      <c r="K118" s="278"/>
      <c r="L118" s="295"/>
      <c r="M118" s="264"/>
      <c r="N118" s="265"/>
      <c r="O118" s="266"/>
      <c r="P118" s="266"/>
      <c r="Q118" s="266"/>
      <c r="R118" s="266"/>
      <c r="S118" s="266"/>
      <c r="T118" s="266"/>
      <c r="U118" s="266"/>
    </row>
    <row r="119" spans="1:24" ht="30" customHeight="1">
      <c r="A119" s="176"/>
      <c r="B119" s="297"/>
      <c r="C119" s="297"/>
      <c r="D119" s="297"/>
      <c r="E119" s="298"/>
      <c r="F119" s="299"/>
      <c r="G119" s="277"/>
      <c r="H119" s="277"/>
      <c r="I119" s="277"/>
      <c r="J119" s="277"/>
      <c r="K119" s="278"/>
      <c r="L119" s="295"/>
      <c r="M119" s="264"/>
      <c r="N119" s="267"/>
      <c r="O119" s="266"/>
      <c r="P119" s="266"/>
      <c r="Q119" s="266"/>
      <c r="R119" s="266"/>
      <c r="S119" s="266"/>
      <c r="T119" s="266"/>
      <c r="U119" s="268"/>
    </row>
    <row r="120" spans="1:24" ht="30" customHeight="1">
      <c r="A120" s="176"/>
      <c r="B120" s="297"/>
      <c r="C120" s="297"/>
      <c r="D120" s="297"/>
      <c r="E120" s="298"/>
      <c r="F120" s="299"/>
      <c r="G120" s="277"/>
      <c r="H120" s="277"/>
      <c r="I120" s="277"/>
      <c r="J120" s="277"/>
      <c r="K120" s="278"/>
      <c r="L120" s="295"/>
      <c r="M120" s="264"/>
      <c r="N120" s="267"/>
      <c r="O120" s="266"/>
      <c r="P120" s="266"/>
      <c r="Q120" s="266"/>
      <c r="R120" s="266"/>
      <c r="S120" s="266"/>
      <c r="T120" s="266"/>
      <c r="U120" s="268"/>
    </row>
    <row r="121" spans="1:24" ht="30" customHeight="1">
      <c r="A121" s="296"/>
      <c r="B121" s="297"/>
      <c r="C121" s="297"/>
      <c r="D121" s="297"/>
      <c r="E121" s="298"/>
      <c r="F121" s="299"/>
      <c r="G121" s="277"/>
      <c r="H121" s="277"/>
      <c r="I121" s="277"/>
      <c r="J121" s="277"/>
      <c r="K121" s="278"/>
      <c r="L121" s="295"/>
      <c r="M121" s="264"/>
      <c r="N121" s="267"/>
      <c r="O121" s="266"/>
      <c r="P121" s="266"/>
      <c r="Q121" s="266"/>
      <c r="R121" s="266"/>
      <c r="S121" s="266"/>
      <c r="T121" s="266"/>
      <c r="U121" s="268"/>
    </row>
    <row r="122" spans="1:24" ht="30" customHeight="1">
      <c r="A122" s="176"/>
      <c r="B122" s="297"/>
      <c r="C122" s="297"/>
      <c r="D122" s="297"/>
      <c r="E122" s="298"/>
      <c r="F122" s="299"/>
      <c r="G122" s="277"/>
      <c r="H122" s="277"/>
      <c r="I122" s="277"/>
      <c r="J122" s="277"/>
      <c r="K122" s="278"/>
      <c r="L122" s="295"/>
      <c r="M122" s="264"/>
      <c r="N122" s="267"/>
      <c r="O122" s="266"/>
      <c r="P122" s="266"/>
      <c r="Q122" s="266"/>
      <c r="R122" s="266"/>
      <c r="S122" s="266"/>
      <c r="T122" s="266"/>
      <c r="U122" s="268"/>
    </row>
    <row r="123" spans="1:24" ht="30" customHeight="1">
      <c r="A123" s="176"/>
      <c r="B123" s="297"/>
      <c r="C123" s="297"/>
      <c r="D123" s="297"/>
      <c r="E123" s="298"/>
      <c r="F123" s="299"/>
      <c r="G123" s="277"/>
      <c r="H123" s="277"/>
      <c r="I123" s="277"/>
      <c r="J123" s="277"/>
      <c r="K123" s="278"/>
      <c r="L123" s="295"/>
      <c r="M123" s="264"/>
      <c r="N123" s="265"/>
      <c r="O123" s="266"/>
      <c r="P123" s="266"/>
      <c r="Q123" s="266"/>
      <c r="R123" s="266"/>
      <c r="S123" s="266"/>
      <c r="T123" s="266"/>
      <c r="U123" s="288"/>
      <c r="V123" s="266"/>
      <c r="W123" s="266"/>
      <c r="X123" s="266"/>
    </row>
    <row r="124" spans="1:24" ht="30" customHeight="1">
      <c r="A124" s="169"/>
      <c r="B124" s="200"/>
      <c r="C124" s="200"/>
      <c r="D124" s="200"/>
      <c r="E124" s="303"/>
      <c r="F124" s="210"/>
      <c r="G124" s="201"/>
      <c r="H124" s="201"/>
      <c r="I124" s="201"/>
      <c r="J124" s="201"/>
      <c r="K124" s="263"/>
      <c r="L124" s="295"/>
      <c r="M124" s="264"/>
      <c r="N124" s="267"/>
      <c r="O124" s="266"/>
      <c r="P124" s="266"/>
      <c r="Q124" s="266"/>
      <c r="R124" s="266"/>
      <c r="S124" s="266"/>
      <c r="T124" s="266"/>
      <c r="U124" s="288"/>
      <c r="V124" s="266"/>
      <c r="W124" s="266"/>
      <c r="X124" s="266"/>
    </row>
    <row r="125" spans="1:24" ht="30" customHeight="1">
      <c r="A125" s="154"/>
      <c r="B125" s="202"/>
      <c r="C125" s="202"/>
      <c r="D125" s="202"/>
      <c r="E125" s="304"/>
      <c r="F125" s="211"/>
      <c r="G125" s="203"/>
      <c r="H125" s="203"/>
      <c r="I125" s="203"/>
      <c r="J125" s="203"/>
      <c r="K125" s="205"/>
      <c r="L125" s="295"/>
      <c r="M125" s="264"/>
      <c r="N125" s="265"/>
      <c r="O125" s="266"/>
      <c r="P125" s="266"/>
      <c r="Q125" s="266"/>
      <c r="R125" s="266"/>
      <c r="S125" s="266"/>
      <c r="T125" s="266"/>
      <c r="U125" s="266"/>
    </row>
    <row r="126" spans="1:24" ht="30" customHeight="1">
      <c r="A126" s="204"/>
      <c r="B126" s="202"/>
      <c r="C126" s="202"/>
      <c r="D126" s="202"/>
      <c r="E126" s="304"/>
      <c r="F126" s="211"/>
      <c r="G126" s="203"/>
      <c r="H126" s="203"/>
      <c r="I126" s="203"/>
      <c r="J126" s="203"/>
      <c r="K126" s="205"/>
      <c r="L126" s="295"/>
      <c r="M126" s="264"/>
      <c r="N126" s="265"/>
      <c r="O126" s="266"/>
      <c r="P126" s="266"/>
      <c r="Q126" s="266"/>
      <c r="R126" s="266"/>
      <c r="S126" s="266"/>
      <c r="T126" s="266"/>
      <c r="U126" s="266"/>
    </row>
    <row r="127" spans="1:24" ht="30" customHeight="1">
      <c r="A127" s="154"/>
      <c r="B127" s="202"/>
      <c r="C127" s="202"/>
      <c r="D127" s="202"/>
      <c r="E127" s="304"/>
      <c r="F127" s="211"/>
      <c r="G127" s="203"/>
      <c r="H127" s="203"/>
      <c r="I127" s="203"/>
      <c r="J127" s="203"/>
      <c r="K127" s="205"/>
      <c r="L127" s="295"/>
      <c r="M127" s="264"/>
      <c r="N127" s="265"/>
      <c r="O127" s="266"/>
      <c r="P127" s="266"/>
      <c r="Q127" s="266"/>
      <c r="R127" s="266"/>
      <c r="S127" s="266"/>
      <c r="T127" s="266"/>
      <c r="U127" s="266"/>
    </row>
    <row r="128" spans="1:24" ht="30" customHeight="1">
      <c r="A128" s="154"/>
      <c r="B128" s="202"/>
      <c r="C128" s="202"/>
      <c r="D128" s="202"/>
      <c r="E128" s="304"/>
      <c r="F128" s="211"/>
      <c r="G128" s="203"/>
      <c r="H128" s="305"/>
      <c r="I128" s="305"/>
      <c r="J128" s="305"/>
      <c r="K128" s="306"/>
      <c r="L128" s="307"/>
      <c r="M128" s="264"/>
      <c r="N128" s="265"/>
      <c r="O128" s="266"/>
      <c r="P128" s="266"/>
      <c r="Q128" s="266"/>
      <c r="R128" s="266"/>
      <c r="S128" s="266"/>
      <c r="T128" s="266"/>
      <c r="U128" s="266"/>
    </row>
    <row r="129" spans="1:24" ht="30" customHeight="1">
      <c r="A129" s="204" t="str">
        <f>IF(ISBLANK(D129)," ",132-COUNTBLANK($D$6:D129))</f>
        <v xml:space="preserve"> </v>
      </c>
      <c r="B129" s="202"/>
      <c r="C129" s="202"/>
      <c r="D129" s="202"/>
      <c r="E129" s="304"/>
      <c r="F129" s="211"/>
      <c r="G129" s="203"/>
      <c r="H129" s="203"/>
      <c r="I129" s="203"/>
      <c r="J129" s="203"/>
      <c r="K129" s="205"/>
      <c r="L129" s="295"/>
      <c r="M129" s="264"/>
      <c r="N129" s="265"/>
      <c r="O129" s="266"/>
      <c r="P129" s="266"/>
      <c r="Q129" s="266"/>
      <c r="R129" s="266"/>
      <c r="S129" s="266"/>
      <c r="T129" s="266"/>
      <c r="U129" s="266"/>
    </row>
    <row r="130" spans="1:24" ht="30" customHeight="1">
      <c r="A130" s="204" t="str">
        <f>IF(ISBLANK(D130)," ",133-COUNTBLANK($D$6:D130))</f>
        <v xml:space="preserve"> </v>
      </c>
      <c r="B130" s="202"/>
      <c r="C130" s="202"/>
      <c r="D130" s="202"/>
      <c r="E130" s="304"/>
      <c r="F130" s="211"/>
      <c r="G130" s="203"/>
      <c r="H130" s="203"/>
      <c r="I130" s="203"/>
      <c r="J130" s="203"/>
      <c r="K130" s="205"/>
      <c r="L130" s="295"/>
      <c r="M130" s="264"/>
      <c r="N130" s="265"/>
      <c r="O130" s="266"/>
      <c r="P130" s="266"/>
      <c r="Q130" s="266"/>
      <c r="R130" s="266"/>
      <c r="S130" s="266"/>
      <c r="T130" s="266"/>
      <c r="U130" s="266"/>
    </row>
    <row r="131" spans="1:24" ht="30" customHeight="1">
      <c r="A131" s="204" t="str">
        <f>IF(ISBLANK(D131)," ",134-COUNTBLANK($D$6:D131))</f>
        <v xml:space="preserve"> </v>
      </c>
      <c r="B131" s="202"/>
      <c r="C131" s="202"/>
      <c r="D131" s="202"/>
      <c r="E131" s="304"/>
      <c r="F131" s="211"/>
      <c r="G131" s="203"/>
      <c r="H131" s="203"/>
      <c r="I131" s="203"/>
      <c r="J131" s="203"/>
      <c r="K131" s="205"/>
      <c r="L131" s="295"/>
      <c r="M131" s="264"/>
      <c r="N131" s="265"/>
      <c r="O131" s="266"/>
      <c r="P131" s="266"/>
      <c r="Q131" s="266"/>
      <c r="R131" s="266"/>
      <c r="S131" s="266"/>
      <c r="T131" s="266"/>
      <c r="U131" s="266"/>
    </row>
    <row r="132" spans="1:24" ht="30" customHeight="1">
      <c r="A132" s="204" t="str">
        <f>IF(ISBLANK(D132)," ",135-COUNTBLANK($D$6:D132))</f>
        <v xml:space="preserve"> </v>
      </c>
      <c r="B132" s="202"/>
      <c r="C132" s="202"/>
      <c r="D132" s="202"/>
      <c r="E132" s="304"/>
      <c r="F132" s="211"/>
      <c r="G132" s="203"/>
      <c r="H132" s="203"/>
      <c r="I132" s="203"/>
      <c r="J132" s="203"/>
      <c r="K132" s="205"/>
      <c r="L132" s="295"/>
      <c r="M132" s="264"/>
      <c r="N132" s="265"/>
      <c r="O132" s="266"/>
      <c r="P132" s="266"/>
      <c r="Q132" s="266"/>
      <c r="R132" s="266"/>
      <c r="S132" s="266"/>
      <c r="T132" s="266"/>
      <c r="U132" s="266"/>
    </row>
    <row r="133" spans="1:24" ht="30" customHeight="1">
      <c r="A133" s="204" t="str">
        <f>IF(ISBLANK(D133)," ",136-COUNTBLANK($D$6:D133))</f>
        <v xml:space="preserve"> </v>
      </c>
      <c r="B133" s="202"/>
      <c r="C133" s="202"/>
      <c r="D133" s="202"/>
      <c r="E133" s="304"/>
      <c r="F133" s="211"/>
      <c r="G133" s="203"/>
      <c r="H133" s="203"/>
      <c r="I133" s="203"/>
      <c r="J133" s="203"/>
      <c r="K133" s="205"/>
      <c r="L133" s="295"/>
      <c r="M133" s="264"/>
      <c r="N133" s="265"/>
      <c r="O133" s="266"/>
      <c r="P133" s="266"/>
      <c r="Q133" s="266"/>
      <c r="R133" s="266"/>
      <c r="S133" s="266"/>
      <c r="T133" s="266"/>
      <c r="U133" s="266"/>
    </row>
    <row r="134" spans="1:24" ht="30" customHeight="1">
      <c r="A134" s="204" t="str">
        <f>IF(ISBLANK(D134)," ",137-COUNTBLANK($D$6:D134))</f>
        <v xml:space="preserve"> </v>
      </c>
      <c r="B134" s="202"/>
      <c r="C134" s="202"/>
      <c r="D134" s="202"/>
      <c r="E134" s="304"/>
      <c r="F134" s="211"/>
      <c r="G134" s="203"/>
      <c r="H134" s="203"/>
      <c r="I134" s="203"/>
      <c r="J134" s="203"/>
      <c r="K134" s="205"/>
      <c r="L134" s="295"/>
      <c r="M134" s="264"/>
      <c r="N134" s="265"/>
      <c r="O134" s="266"/>
      <c r="P134" s="266"/>
      <c r="Q134" s="266"/>
      <c r="R134" s="266"/>
      <c r="S134" s="266"/>
      <c r="T134" s="266"/>
      <c r="U134" s="266"/>
    </row>
    <row r="135" spans="1:24" ht="30" customHeight="1">
      <c r="A135" s="204" t="str">
        <f>IF(ISBLANK(D135)," ",138-COUNTBLANK($D$6:D135))</f>
        <v xml:space="preserve"> </v>
      </c>
      <c r="B135" s="202"/>
      <c r="C135" s="202"/>
      <c r="D135" s="202"/>
      <c r="E135" s="304"/>
      <c r="F135" s="211"/>
      <c r="G135" s="203"/>
      <c r="H135" s="203"/>
      <c r="I135" s="203"/>
      <c r="J135" s="203"/>
      <c r="K135" s="205"/>
      <c r="L135" s="295"/>
      <c r="M135" s="264"/>
      <c r="N135" s="265"/>
      <c r="O135" s="266"/>
      <c r="P135" s="266"/>
      <c r="Q135" s="266"/>
      <c r="R135" s="266"/>
      <c r="S135" s="266"/>
      <c r="T135" s="266"/>
      <c r="U135" s="266"/>
    </row>
    <row r="136" spans="1:24" ht="30" customHeight="1">
      <c r="A136" s="204" t="str">
        <f>IF(ISBLANK(D136)," ",139-COUNTBLANK($D$6:D136))</f>
        <v xml:space="preserve"> </v>
      </c>
      <c r="B136" s="202"/>
      <c r="C136" s="202"/>
      <c r="D136" s="202"/>
      <c r="E136" s="304"/>
      <c r="F136" s="211"/>
      <c r="G136" s="203"/>
      <c r="H136" s="203"/>
      <c r="I136" s="203"/>
      <c r="J136" s="203"/>
      <c r="K136" s="205"/>
      <c r="L136" s="295"/>
      <c r="M136" s="264"/>
      <c r="N136" s="265"/>
      <c r="O136" s="266"/>
      <c r="P136" s="266"/>
      <c r="Q136" s="266"/>
      <c r="R136" s="266"/>
      <c r="S136" s="266"/>
      <c r="T136" s="266"/>
      <c r="U136" s="266"/>
    </row>
    <row r="137" spans="1:24" ht="30" customHeight="1">
      <c r="A137" s="204" t="str">
        <f>IF(ISBLANK(D137)," ",140-COUNTBLANK($D$6:D137))</f>
        <v xml:space="preserve"> </v>
      </c>
      <c r="B137" s="202"/>
      <c r="C137" s="202"/>
      <c r="D137" s="202"/>
      <c r="E137" s="304"/>
      <c r="F137" s="211"/>
      <c r="G137" s="203"/>
      <c r="H137" s="203"/>
      <c r="I137" s="203"/>
      <c r="J137" s="203"/>
      <c r="K137" s="205"/>
      <c r="L137" s="295"/>
      <c r="M137" s="264"/>
      <c r="N137" s="265"/>
      <c r="O137" s="266"/>
      <c r="P137" s="266"/>
      <c r="Q137" s="266"/>
      <c r="R137" s="266"/>
      <c r="S137" s="266"/>
      <c r="T137" s="266"/>
      <c r="U137" s="266"/>
    </row>
    <row r="138" spans="1:24" ht="30" customHeight="1">
      <c r="A138" s="204" t="str">
        <f>IF(ISBLANK(D138)," ",141-COUNTBLANK($D$6:D138))</f>
        <v xml:space="preserve"> </v>
      </c>
      <c r="B138" s="202"/>
      <c r="C138" s="202"/>
      <c r="D138" s="202"/>
      <c r="E138" s="304"/>
      <c r="F138" s="211"/>
      <c r="G138" s="203"/>
      <c r="H138" s="203"/>
      <c r="I138" s="203"/>
      <c r="J138" s="203"/>
      <c r="K138" s="205"/>
      <c r="L138" s="295"/>
      <c r="M138" s="264"/>
      <c r="N138" s="265"/>
      <c r="O138" s="266"/>
      <c r="P138" s="266"/>
      <c r="Q138" s="266"/>
      <c r="R138" s="266"/>
      <c r="S138" s="266"/>
      <c r="T138" s="266"/>
      <c r="U138" s="266"/>
    </row>
    <row r="139" spans="1:24" ht="30" customHeight="1">
      <c r="A139" s="204" t="str">
        <f>IF(ISBLANK(D139)," ",142-COUNTBLANK($D$6:D139))</f>
        <v xml:space="preserve"> </v>
      </c>
      <c r="B139" s="202"/>
      <c r="C139" s="202"/>
      <c r="D139" s="202"/>
      <c r="E139" s="304"/>
      <c r="F139" s="211"/>
      <c r="G139" s="203"/>
      <c r="H139" s="203"/>
      <c r="I139" s="203"/>
      <c r="J139" s="203"/>
      <c r="K139" s="205"/>
      <c r="L139" s="295"/>
      <c r="M139" s="264"/>
      <c r="N139" s="265"/>
      <c r="O139" s="266"/>
      <c r="P139" s="266"/>
      <c r="Q139" s="266"/>
      <c r="R139" s="266"/>
      <c r="S139" s="266"/>
      <c r="T139" s="266"/>
      <c r="U139" s="266"/>
    </row>
    <row r="140" spans="1:24" ht="30" customHeight="1">
      <c r="A140" s="204" t="str">
        <f>IF(ISBLANK(D140)," ",143-COUNTBLANK($D$6:D140))</f>
        <v xml:space="preserve"> </v>
      </c>
      <c r="B140" s="202"/>
      <c r="C140" s="202"/>
      <c r="D140" s="202"/>
      <c r="E140" s="304"/>
      <c r="F140" s="211"/>
      <c r="G140" s="203"/>
      <c r="H140" s="203"/>
      <c r="I140" s="203"/>
      <c r="J140" s="203"/>
      <c r="K140" s="205"/>
      <c r="L140" s="295"/>
      <c r="M140" s="264"/>
      <c r="N140" s="267"/>
      <c r="O140" s="266"/>
      <c r="P140" s="266"/>
      <c r="Q140" s="266"/>
      <c r="R140" s="266"/>
      <c r="S140" s="266"/>
      <c r="T140" s="266"/>
      <c r="U140" s="268"/>
    </row>
    <row r="141" spans="1:24" ht="30" customHeight="1">
      <c r="A141" s="204" t="str">
        <f>IF(ISBLANK(D141)," ",144-COUNTBLANK($D$6:D141))</f>
        <v xml:space="preserve"> </v>
      </c>
      <c r="B141" s="202"/>
      <c r="C141" s="202"/>
      <c r="D141" s="202"/>
      <c r="E141" s="304"/>
      <c r="F141" s="211"/>
      <c r="G141" s="203"/>
      <c r="H141" s="203"/>
      <c r="I141" s="203"/>
      <c r="J141" s="203"/>
      <c r="K141" s="205"/>
      <c r="L141" s="295"/>
      <c r="M141" s="264"/>
      <c r="N141" s="267"/>
      <c r="O141" s="266"/>
      <c r="P141" s="266"/>
      <c r="Q141" s="266"/>
      <c r="R141" s="266"/>
      <c r="S141" s="266"/>
      <c r="T141" s="266"/>
      <c r="U141" s="268"/>
    </row>
    <row r="142" spans="1:24" ht="30" customHeight="1">
      <c r="A142" s="204" t="str">
        <f>IF(ISBLANK(D142)," ",145-COUNTBLANK($D$6:D142))</f>
        <v xml:space="preserve"> </v>
      </c>
      <c r="B142" s="202"/>
      <c r="C142" s="202"/>
      <c r="D142" s="202"/>
      <c r="E142" s="304"/>
      <c r="F142" s="211"/>
      <c r="G142" s="203"/>
      <c r="H142" s="203"/>
      <c r="I142" s="203"/>
      <c r="J142" s="203"/>
      <c r="K142" s="205"/>
      <c r="L142" s="295"/>
      <c r="M142" s="264"/>
      <c r="N142" s="267"/>
      <c r="O142" s="266"/>
      <c r="P142" s="266"/>
      <c r="Q142" s="266"/>
      <c r="R142" s="266"/>
      <c r="S142" s="266"/>
      <c r="T142" s="266"/>
      <c r="U142" s="268"/>
    </row>
    <row r="143" spans="1:24" ht="30" customHeight="1">
      <c r="A143" s="204" t="str">
        <f>IF(ISBLANK(D143)," ",146-COUNTBLANK($D$6:D143))</f>
        <v xml:space="preserve"> </v>
      </c>
      <c r="B143" s="202"/>
      <c r="C143" s="202"/>
      <c r="D143" s="202"/>
      <c r="E143" s="304"/>
      <c r="F143" s="211"/>
      <c r="G143" s="203"/>
      <c r="H143" s="203"/>
      <c r="I143" s="203"/>
      <c r="J143" s="203"/>
      <c r="K143" s="205"/>
      <c r="L143" s="295"/>
      <c r="M143" s="264"/>
      <c r="N143" s="267"/>
      <c r="O143" s="266"/>
      <c r="P143" s="266"/>
      <c r="Q143" s="266"/>
      <c r="R143" s="266"/>
      <c r="S143" s="266"/>
      <c r="T143" s="266"/>
      <c r="U143" s="268"/>
    </row>
    <row r="144" spans="1:24" ht="30" customHeight="1">
      <c r="A144" s="308" t="s">
        <v>58</v>
      </c>
      <c r="B144" s="300"/>
      <c r="C144" s="309"/>
      <c r="D144" s="310"/>
      <c r="E144" s="301"/>
      <c r="F144" s="302">
        <f>SUM(F124:F143)</f>
        <v>0</v>
      </c>
      <c r="G144" s="286"/>
      <c r="H144" s="286"/>
      <c r="I144" s="286"/>
      <c r="J144" s="286"/>
      <c r="K144" s="287"/>
      <c r="L144" s="307"/>
      <c r="M144" s="264"/>
      <c r="N144" s="265"/>
      <c r="O144" s="266"/>
      <c r="P144" s="266"/>
      <c r="Q144" s="266"/>
      <c r="R144" s="266"/>
      <c r="S144" s="266"/>
      <c r="T144" s="266"/>
      <c r="U144" s="288"/>
      <c r="V144" s="266"/>
      <c r="W144" s="266"/>
      <c r="X144" s="266"/>
    </row>
    <row r="145" spans="1:24" ht="30" customHeight="1">
      <c r="A145" s="261" t="str">
        <f>IF(ISBLANK(D145)," ",148-COUNTBLANK($D$6:D145))</f>
        <v xml:space="preserve"> </v>
      </c>
      <c r="B145" s="200"/>
      <c r="C145" s="200"/>
      <c r="D145" s="200"/>
      <c r="E145" s="303"/>
      <c r="F145" s="210"/>
      <c r="G145" s="201"/>
      <c r="H145" s="201"/>
      <c r="I145" s="201"/>
      <c r="J145" s="201"/>
      <c r="K145" s="263"/>
      <c r="L145" s="295"/>
      <c r="M145" s="264"/>
      <c r="N145" s="267"/>
      <c r="O145" s="266"/>
      <c r="P145" s="266"/>
      <c r="Q145" s="266"/>
      <c r="R145" s="266"/>
      <c r="S145" s="266"/>
      <c r="T145" s="266"/>
      <c r="U145" s="288"/>
      <c r="V145" s="266"/>
      <c r="W145" s="266"/>
      <c r="X145" s="266"/>
    </row>
    <row r="146" spans="1:24" ht="30" customHeight="1">
      <c r="A146" s="204" t="str">
        <f>IF(ISBLANK(D146)," ",149-COUNTBLANK($D$6:D146))</f>
        <v xml:space="preserve"> </v>
      </c>
      <c r="B146" s="202"/>
      <c r="C146" s="202"/>
      <c r="D146" s="202"/>
      <c r="E146" s="304"/>
      <c r="F146" s="211"/>
      <c r="G146" s="203"/>
      <c r="H146" s="203"/>
      <c r="I146" s="203"/>
      <c r="J146" s="203"/>
      <c r="K146" s="205"/>
      <c r="L146" s="295"/>
      <c r="M146" s="264"/>
      <c r="N146" s="265"/>
      <c r="O146" s="266"/>
      <c r="P146" s="266"/>
      <c r="Q146" s="266"/>
      <c r="R146" s="266"/>
      <c r="S146" s="266"/>
      <c r="T146" s="266"/>
      <c r="U146" s="266"/>
    </row>
    <row r="147" spans="1:24" ht="30" customHeight="1">
      <c r="A147" s="204" t="str">
        <f>IF(ISBLANK(D147)," ",150-COUNTBLANK($D$6:D147))</f>
        <v xml:space="preserve"> </v>
      </c>
      <c r="B147" s="202"/>
      <c r="C147" s="202"/>
      <c r="D147" s="202"/>
      <c r="E147" s="304"/>
      <c r="F147" s="211"/>
      <c r="G147" s="203"/>
      <c r="H147" s="203"/>
      <c r="I147" s="203"/>
      <c r="J147" s="203"/>
      <c r="K147" s="205"/>
      <c r="L147" s="295"/>
      <c r="M147" s="264"/>
      <c r="N147" s="265"/>
      <c r="O147" s="266"/>
      <c r="P147" s="266"/>
      <c r="Q147" s="266"/>
      <c r="R147" s="266"/>
      <c r="S147" s="266"/>
      <c r="T147" s="266"/>
      <c r="U147" s="266"/>
    </row>
    <row r="148" spans="1:24" ht="30" customHeight="1">
      <c r="A148" s="204" t="str">
        <f>IF(ISBLANK(D148)," ",151-COUNTBLANK($D$6:D148))</f>
        <v xml:space="preserve"> </v>
      </c>
      <c r="B148" s="202"/>
      <c r="C148" s="202"/>
      <c r="D148" s="202"/>
      <c r="E148" s="304"/>
      <c r="F148" s="211"/>
      <c r="G148" s="203"/>
      <c r="H148" s="203"/>
      <c r="I148" s="203"/>
      <c r="J148" s="203"/>
      <c r="K148" s="205"/>
      <c r="L148" s="295"/>
      <c r="M148" s="264"/>
      <c r="N148" s="265"/>
      <c r="O148" s="266"/>
      <c r="P148" s="266"/>
      <c r="Q148" s="266"/>
      <c r="R148" s="266"/>
      <c r="S148" s="266"/>
      <c r="T148" s="266"/>
      <c r="U148" s="266"/>
    </row>
    <row r="149" spans="1:24" ht="30" customHeight="1">
      <c r="A149" s="204" t="str">
        <f>IF(ISBLANK(D149)," ",152-COUNTBLANK($D$6:D149))</f>
        <v xml:space="preserve"> </v>
      </c>
      <c r="B149" s="202"/>
      <c r="C149" s="202"/>
      <c r="D149" s="202"/>
      <c r="E149" s="304"/>
      <c r="F149" s="211"/>
      <c r="G149" s="203"/>
      <c r="H149" s="203"/>
      <c r="I149" s="203"/>
      <c r="J149" s="203"/>
      <c r="K149" s="205"/>
      <c r="L149" s="295"/>
      <c r="M149" s="264"/>
      <c r="N149" s="265"/>
      <c r="O149" s="266"/>
      <c r="P149" s="266"/>
      <c r="Q149" s="266"/>
      <c r="R149" s="266"/>
      <c r="S149" s="266"/>
      <c r="T149" s="266"/>
      <c r="U149" s="266"/>
    </row>
    <row r="150" spans="1:24" ht="30" customHeight="1">
      <c r="A150" s="204" t="str">
        <f>IF(ISBLANK(D150)," ",153-COUNTBLANK($D$6:D150))</f>
        <v xml:space="preserve"> </v>
      </c>
      <c r="B150" s="202"/>
      <c r="C150" s="202"/>
      <c r="D150" s="202"/>
      <c r="E150" s="304"/>
      <c r="F150" s="211"/>
      <c r="G150" s="203"/>
      <c r="H150" s="203"/>
      <c r="I150" s="203"/>
      <c r="J150" s="203"/>
      <c r="K150" s="205"/>
      <c r="L150" s="295"/>
      <c r="M150" s="264"/>
      <c r="N150" s="265"/>
      <c r="O150" s="266"/>
      <c r="P150" s="266"/>
      <c r="Q150" s="266"/>
      <c r="R150" s="266"/>
      <c r="S150" s="266"/>
      <c r="T150" s="266"/>
      <c r="U150" s="266"/>
    </row>
    <row r="151" spans="1:24" ht="30" customHeight="1">
      <c r="A151" s="204" t="str">
        <f>IF(ISBLANK(D151)," ",154-COUNTBLANK($D$6:D151))</f>
        <v xml:space="preserve"> </v>
      </c>
      <c r="B151" s="202"/>
      <c r="C151" s="202"/>
      <c r="D151" s="202"/>
      <c r="E151" s="304"/>
      <c r="F151" s="211"/>
      <c r="G151" s="203"/>
      <c r="H151" s="203"/>
      <c r="I151" s="203"/>
      <c r="J151" s="203"/>
      <c r="K151" s="205"/>
      <c r="L151" s="295"/>
      <c r="M151" s="264"/>
      <c r="N151" s="265"/>
      <c r="O151" s="266"/>
      <c r="P151" s="266"/>
      <c r="Q151" s="266"/>
      <c r="R151" s="266"/>
      <c r="S151" s="266"/>
      <c r="T151" s="266"/>
      <c r="U151" s="266"/>
    </row>
    <row r="152" spans="1:24" ht="30" customHeight="1">
      <c r="A152" s="204" t="str">
        <f>IF(ISBLANK(D152)," ",155-COUNTBLANK($D$6:D152))</f>
        <v xml:space="preserve"> </v>
      </c>
      <c r="B152" s="202"/>
      <c r="C152" s="202"/>
      <c r="D152" s="202"/>
      <c r="E152" s="304"/>
      <c r="F152" s="211"/>
      <c r="G152" s="203"/>
      <c r="H152" s="203"/>
      <c r="I152" s="203"/>
      <c r="J152" s="203"/>
      <c r="K152" s="205"/>
      <c r="L152" s="295"/>
      <c r="M152" s="264"/>
      <c r="N152" s="265"/>
      <c r="O152" s="266"/>
      <c r="P152" s="266"/>
      <c r="Q152" s="266"/>
      <c r="R152" s="266"/>
      <c r="S152" s="266"/>
      <c r="T152" s="266"/>
      <c r="U152" s="266"/>
    </row>
    <row r="153" spans="1:24" ht="30" customHeight="1">
      <c r="A153" s="204" t="str">
        <f>IF(ISBLANK(D153)," ",156-COUNTBLANK($D$6:D153))</f>
        <v xml:space="preserve"> </v>
      </c>
      <c r="B153" s="202"/>
      <c r="C153" s="202"/>
      <c r="D153" s="202"/>
      <c r="E153" s="304"/>
      <c r="F153" s="211"/>
      <c r="G153" s="203"/>
      <c r="H153" s="203"/>
      <c r="I153" s="203"/>
      <c r="J153" s="203"/>
      <c r="K153" s="205"/>
      <c r="L153" s="295"/>
      <c r="M153" s="264"/>
      <c r="N153" s="265"/>
      <c r="O153" s="266"/>
      <c r="P153" s="266"/>
      <c r="Q153" s="266"/>
      <c r="R153" s="266"/>
      <c r="S153" s="266"/>
      <c r="T153" s="266"/>
      <c r="U153" s="266"/>
    </row>
    <row r="154" spans="1:24" ht="30" customHeight="1">
      <c r="A154" s="204" t="str">
        <f>IF(ISBLANK(D154)," ",157-COUNTBLANK($D$6:D154))</f>
        <v xml:space="preserve"> </v>
      </c>
      <c r="B154" s="202"/>
      <c r="C154" s="202"/>
      <c r="D154" s="202"/>
      <c r="E154" s="304"/>
      <c r="F154" s="211"/>
      <c r="G154" s="203"/>
      <c r="H154" s="203"/>
      <c r="I154" s="203"/>
      <c r="J154" s="203"/>
      <c r="K154" s="205"/>
      <c r="L154" s="295"/>
      <c r="M154" s="264"/>
      <c r="N154" s="265"/>
      <c r="O154" s="266"/>
      <c r="P154" s="266"/>
      <c r="Q154" s="266"/>
      <c r="R154" s="266"/>
      <c r="S154" s="266"/>
      <c r="T154" s="266"/>
      <c r="U154" s="266"/>
    </row>
    <row r="155" spans="1:24" ht="30" customHeight="1">
      <c r="A155" s="204" t="str">
        <f>IF(ISBLANK(D155)," ",158-COUNTBLANK($D$6:D155))</f>
        <v xml:space="preserve"> </v>
      </c>
      <c r="B155" s="202"/>
      <c r="C155" s="202"/>
      <c r="D155" s="202"/>
      <c r="E155" s="304"/>
      <c r="F155" s="211"/>
      <c r="G155" s="203"/>
      <c r="H155" s="203"/>
      <c r="I155" s="203"/>
      <c r="J155" s="203"/>
      <c r="K155" s="205"/>
      <c r="L155" s="295"/>
      <c r="M155" s="264"/>
      <c r="N155" s="265"/>
      <c r="O155" s="266"/>
      <c r="P155" s="266"/>
      <c r="Q155" s="266"/>
      <c r="R155" s="266"/>
      <c r="S155" s="266"/>
      <c r="T155" s="266"/>
      <c r="U155" s="266"/>
    </row>
    <row r="156" spans="1:24" ht="30" customHeight="1">
      <c r="A156" s="204" t="str">
        <f>IF(ISBLANK(D156)," ",159-COUNTBLANK($D$6:D156))</f>
        <v xml:space="preserve"> </v>
      </c>
      <c r="B156" s="202"/>
      <c r="C156" s="202"/>
      <c r="D156" s="202"/>
      <c r="E156" s="304"/>
      <c r="F156" s="211"/>
      <c r="G156" s="203"/>
      <c r="H156" s="203"/>
      <c r="I156" s="203"/>
      <c r="J156" s="203"/>
      <c r="K156" s="205"/>
      <c r="L156" s="295"/>
      <c r="M156" s="264"/>
      <c r="N156" s="265"/>
      <c r="O156" s="266"/>
      <c r="P156" s="266"/>
      <c r="Q156" s="266"/>
      <c r="R156" s="266"/>
      <c r="S156" s="266"/>
      <c r="T156" s="266"/>
      <c r="U156" s="266"/>
    </row>
    <row r="157" spans="1:24" ht="30" customHeight="1">
      <c r="A157" s="204" t="str">
        <f>IF(ISBLANK(D157)," ",160-COUNTBLANK($D$6:D157))</f>
        <v xml:space="preserve"> </v>
      </c>
      <c r="B157" s="202"/>
      <c r="C157" s="202"/>
      <c r="D157" s="202"/>
      <c r="E157" s="304"/>
      <c r="F157" s="211"/>
      <c r="G157" s="203"/>
      <c r="H157" s="203"/>
      <c r="I157" s="203"/>
      <c r="J157" s="203"/>
      <c r="K157" s="205"/>
      <c r="L157" s="295"/>
      <c r="M157" s="264"/>
      <c r="N157" s="265"/>
      <c r="O157" s="266"/>
      <c r="P157" s="266"/>
      <c r="Q157" s="266"/>
      <c r="R157" s="266"/>
      <c r="S157" s="266"/>
      <c r="T157" s="266"/>
      <c r="U157" s="266"/>
    </row>
    <row r="158" spans="1:24" ht="30" customHeight="1">
      <c r="A158" s="204" t="str">
        <f>IF(ISBLANK(D158)," ",161-COUNTBLANK($D$6:D158))</f>
        <v xml:space="preserve"> </v>
      </c>
      <c r="B158" s="202"/>
      <c r="C158" s="202"/>
      <c r="D158" s="202"/>
      <c r="E158" s="304"/>
      <c r="F158" s="211"/>
      <c r="G158" s="203"/>
      <c r="H158" s="203"/>
      <c r="I158" s="203"/>
      <c r="J158" s="203"/>
      <c r="K158" s="205"/>
      <c r="L158" s="295"/>
      <c r="M158" s="264"/>
      <c r="N158" s="265"/>
      <c r="O158" s="266"/>
      <c r="P158" s="266"/>
      <c r="Q158" s="266"/>
      <c r="R158" s="266"/>
      <c r="S158" s="266"/>
      <c r="T158" s="266"/>
      <c r="U158" s="266"/>
    </row>
    <row r="159" spans="1:24" ht="30" customHeight="1">
      <c r="A159" s="204" t="str">
        <f>IF(ISBLANK(D159)," ",162-COUNTBLANK($D$6:D159))</f>
        <v xml:space="preserve"> </v>
      </c>
      <c r="B159" s="202"/>
      <c r="C159" s="202"/>
      <c r="D159" s="202"/>
      <c r="E159" s="304"/>
      <c r="F159" s="211"/>
      <c r="G159" s="203"/>
      <c r="H159" s="203"/>
      <c r="I159" s="203"/>
      <c r="J159" s="203"/>
      <c r="K159" s="205"/>
      <c r="L159" s="295"/>
      <c r="M159" s="264"/>
      <c r="N159" s="265"/>
      <c r="O159" s="266"/>
      <c r="P159" s="266"/>
      <c r="Q159" s="266"/>
      <c r="R159" s="266"/>
      <c r="S159" s="266"/>
      <c r="T159" s="266"/>
      <c r="U159" s="266"/>
    </row>
    <row r="160" spans="1:24" ht="30" customHeight="1">
      <c r="A160" s="204" t="str">
        <f>IF(ISBLANK(D160)," ",163-COUNTBLANK($D$6:D160))</f>
        <v xml:space="preserve"> </v>
      </c>
      <c r="B160" s="202"/>
      <c r="C160" s="202"/>
      <c r="D160" s="202"/>
      <c r="E160" s="304"/>
      <c r="F160" s="211"/>
      <c r="G160" s="203"/>
      <c r="H160" s="203"/>
      <c r="I160" s="203"/>
      <c r="J160" s="203"/>
      <c r="K160" s="205"/>
      <c r="L160" s="295"/>
      <c r="M160" s="264"/>
      <c r="N160" s="265"/>
      <c r="O160" s="266"/>
      <c r="P160" s="266"/>
      <c r="Q160" s="266"/>
      <c r="R160" s="266"/>
      <c r="S160" s="266"/>
      <c r="T160" s="266"/>
      <c r="U160" s="266"/>
    </row>
    <row r="161" spans="1:24" ht="30" customHeight="1">
      <c r="A161" s="204" t="str">
        <f>IF(ISBLANK(D161)," ",164-COUNTBLANK($D$6:D161))</f>
        <v xml:space="preserve"> </v>
      </c>
      <c r="B161" s="202"/>
      <c r="C161" s="202"/>
      <c r="D161" s="202"/>
      <c r="E161" s="304"/>
      <c r="F161" s="211"/>
      <c r="G161" s="203"/>
      <c r="H161" s="203"/>
      <c r="I161" s="203"/>
      <c r="J161" s="203"/>
      <c r="K161" s="205"/>
      <c r="L161" s="295"/>
      <c r="M161" s="264"/>
      <c r="N161" s="267"/>
      <c r="O161" s="266"/>
      <c r="P161" s="266"/>
      <c r="Q161" s="266"/>
      <c r="R161" s="266"/>
      <c r="S161" s="266"/>
      <c r="T161" s="266"/>
      <c r="U161" s="268"/>
    </row>
    <row r="162" spans="1:24" ht="30" customHeight="1">
      <c r="A162" s="204" t="str">
        <f>IF(ISBLANK(D162)," ",165-COUNTBLANK($D$6:D162))</f>
        <v xml:space="preserve"> </v>
      </c>
      <c r="B162" s="202"/>
      <c r="C162" s="202"/>
      <c r="D162" s="202"/>
      <c r="E162" s="304"/>
      <c r="F162" s="211"/>
      <c r="G162" s="203"/>
      <c r="H162" s="203"/>
      <c r="I162" s="203"/>
      <c r="J162" s="203"/>
      <c r="K162" s="205"/>
      <c r="L162" s="295"/>
      <c r="M162" s="264"/>
      <c r="N162" s="267"/>
      <c r="O162" s="266"/>
      <c r="P162" s="266"/>
      <c r="Q162" s="266"/>
      <c r="R162" s="266"/>
      <c r="S162" s="266"/>
      <c r="T162" s="266"/>
      <c r="U162" s="268"/>
    </row>
    <row r="163" spans="1:24" ht="30" customHeight="1">
      <c r="A163" s="204" t="str">
        <f>IF(ISBLANK(D163)," ",166-COUNTBLANK($D$6:D163))</f>
        <v xml:space="preserve"> </v>
      </c>
      <c r="B163" s="202"/>
      <c r="C163" s="202"/>
      <c r="D163" s="202"/>
      <c r="E163" s="304"/>
      <c r="F163" s="211"/>
      <c r="G163" s="203"/>
      <c r="H163" s="203"/>
      <c r="I163" s="203"/>
      <c r="J163" s="203"/>
      <c r="K163" s="205"/>
      <c r="L163" s="295"/>
      <c r="M163" s="264"/>
      <c r="N163" s="267"/>
      <c r="O163" s="266"/>
      <c r="P163" s="266"/>
      <c r="Q163" s="266"/>
      <c r="R163" s="266"/>
      <c r="S163" s="266"/>
      <c r="T163" s="266"/>
      <c r="U163" s="268"/>
    </row>
    <row r="164" spans="1:24" ht="30" customHeight="1">
      <c r="A164" s="204" t="str">
        <f>IF(ISBLANK(D164)," ",167-COUNTBLANK($D$6:D164))</f>
        <v xml:space="preserve"> </v>
      </c>
      <c r="B164" s="202"/>
      <c r="C164" s="202"/>
      <c r="D164" s="202"/>
      <c r="E164" s="304"/>
      <c r="F164" s="211"/>
      <c r="G164" s="203"/>
      <c r="H164" s="203"/>
      <c r="I164" s="203"/>
      <c r="J164" s="203"/>
      <c r="K164" s="205"/>
      <c r="L164" s="295"/>
      <c r="M164" s="264"/>
      <c r="N164" s="267"/>
      <c r="O164" s="266"/>
      <c r="P164" s="266"/>
      <c r="Q164" s="266"/>
      <c r="R164" s="266"/>
      <c r="S164" s="266"/>
      <c r="T164" s="266"/>
      <c r="U164" s="268"/>
    </row>
    <row r="165" spans="1:24" ht="30" customHeight="1">
      <c r="A165" s="308" t="s">
        <v>58</v>
      </c>
      <c r="B165" s="300"/>
      <c r="C165" s="309"/>
      <c r="D165" s="310"/>
      <c r="E165" s="301"/>
      <c r="F165" s="302">
        <f>SUM(F145:F164)</f>
        <v>0</v>
      </c>
      <c r="G165" s="286"/>
      <c r="H165" s="286"/>
      <c r="I165" s="286"/>
      <c r="J165" s="286"/>
      <c r="K165" s="287"/>
      <c r="L165" s="307"/>
      <c r="M165" s="264"/>
      <c r="N165" s="265"/>
      <c r="O165" s="266"/>
      <c r="P165" s="266"/>
      <c r="Q165" s="266"/>
      <c r="R165" s="266"/>
      <c r="S165" s="266"/>
      <c r="T165" s="266"/>
      <c r="U165" s="288"/>
      <c r="V165" s="266"/>
      <c r="W165" s="266"/>
      <c r="X165" s="266"/>
    </row>
    <row r="166" spans="1:24" ht="30" customHeight="1">
      <c r="A166" s="261" t="str">
        <f>IF(ISBLANK(D166)," ",169-COUNTBLANK($D$6:D166))</f>
        <v xml:space="preserve"> </v>
      </c>
      <c r="B166" s="200"/>
      <c r="C166" s="200"/>
      <c r="D166" s="200"/>
      <c r="E166" s="303"/>
      <c r="F166" s="210"/>
      <c r="G166" s="201"/>
      <c r="H166" s="201"/>
      <c r="I166" s="201"/>
      <c r="J166" s="201"/>
      <c r="K166" s="263"/>
      <c r="L166" s="295"/>
      <c r="M166" s="264"/>
      <c r="N166" s="267"/>
      <c r="O166" s="266"/>
      <c r="P166" s="266"/>
      <c r="Q166" s="266"/>
      <c r="R166" s="266"/>
      <c r="S166" s="266"/>
      <c r="T166" s="266"/>
      <c r="U166" s="288"/>
      <c r="V166" s="266"/>
      <c r="W166" s="266"/>
      <c r="X166" s="266"/>
    </row>
    <row r="167" spans="1:24" ht="30" customHeight="1">
      <c r="A167" s="204" t="str">
        <f>IF(ISBLANK(D167)," ",170-COUNTBLANK($D$6:D167))</f>
        <v xml:space="preserve"> </v>
      </c>
      <c r="B167" s="202"/>
      <c r="C167" s="202"/>
      <c r="D167" s="202"/>
      <c r="E167" s="304"/>
      <c r="F167" s="211"/>
      <c r="G167" s="203"/>
      <c r="H167" s="203"/>
      <c r="I167" s="203"/>
      <c r="J167" s="203"/>
      <c r="K167" s="205"/>
      <c r="L167" s="295"/>
      <c r="M167" s="264"/>
      <c r="N167" s="265"/>
      <c r="O167" s="266"/>
      <c r="P167" s="266"/>
      <c r="Q167" s="266"/>
      <c r="R167" s="266"/>
      <c r="S167" s="266"/>
      <c r="T167" s="266"/>
      <c r="U167" s="266"/>
    </row>
    <row r="168" spans="1:24" ht="30" customHeight="1">
      <c r="A168" s="204" t="str">
        <f>IF(ISBLANK(D168)," ",171-COUNTBLANK($D$6:D168))</f>
        <v xml:space="preserve"> </v>
      </c>
      <c r="B168" s="202"/>
      <c r="C168" s="202"/>
      <c r="D168" s="202"/>
      <c r="E168" s="304"/>
      <c r="F168" s="211"/>
      <c r="G168" s="203"/>
      <c r="H168" s="203"/>
      <c r="I168" s="203"/>
      <c r="J168" s="203"/>
      <c r="K168" s="205"/>
      <c r="L168" s="295"/>
      <c r="M168" s="264"/>
      <c r="N168" s="265"/>
      <c r="O168" s="266"/>
      <c r="P168" s="266"/>
      <c r="Q168" s="266"/>
      <c r="R168" s="266"/>
      <c r="S168" s="266"/>
      <c r="T168" s="266"/>
      <c r="U168" s="266"/>
    </row>
    <row r="169" spans="1:24" ht="30" customHeight="1">
      <c r="A169" s="204" t="str">
        <f>IF(ISBLANK(D169)," ",172-COUNTBLANK($D$6:D169))</f>
        <v xml:space="preserve"> </v>
      </c>
      <c r="B169" s="202"/>
      <c r="C169" s="202"/>
      <c r="D169" s="202"/>
      <c r="E169" s="304"/>
      <c r="F169" s="211"/>
      <c r="G169" s="203"/>
      <c r="H169" s="203"/>
      <c r="I169" s="203"/>
      <c r="J169" s="203"/>
      <c r="K169" s="205"/>
      <c r="L169" s="295"/>
      <c r="M169" s="264"/>
      <c r="N169" s="265"/>
      <c r="O169" s="266"/>
      <c r="P169" s="266"/>
      <c r="Q169" s="266"/>
      <c r="R169" s="266"/>
      <c r="S169" s="266"/>
      <c r="T169" s="266"/>
      <c r="U169" s="266"/>
    </row>
    <row r="170" spans="1:24" ht="30" customHeight="1">
      <c r="A170" s="204" t="str">
        <f>IF(ISBLANK(D170)," ",173-COUNTBLANK($D$6:D170))</f>
        <v xml:space="preserve"> </v>
      </c>
      <c r="B170" s="202"/>
      <c r="C170" s="202"/>
      <c r="D170" s="202"/>
      <c r="E170" s="304"/>
      <c r="F170" s="211"/>
      <c r="G170" s="203"/>
      <c r="H170" s="203"/>
      <c r="I170" s="203"/>
      <c r="J170" s="203"/>
      <c r="K170" s="205"/>
      <c r="L170" s="295"/>
      <c r="M170" s="264"/>
      <c r="N170" s="265"/>
      <c r="O170" s="266"/>
      <c r="P170" s="266"/>
      <c r="Q170" s="266"/>
      <c r="R170" s="266"/>
      <c r="S170" s="266"/>
      <c r="T170" s="266"/>
      <c r="U170" s="266"/>
    </row>
    <row r="171" spans="1:24" ht="30" customHeight="1">
      <c r="A171" s="204" t="str">
        <f>IF(ISBLANK(D171)," ",174-COUNTBLANK($D$6:D171))</f>
        <v xml:space="preserve"> </v>
      </c>
      <c r="B171" s="202"/>
      <c r="C171" s="202"/>
      <c r="D171" s="202"/>
      <c r="E171" s="304"/>
      <c r="F171" s="211"/>
      <c r="G171" s="203"/>
      <c r="H171" s="203"/>
      <c r="I171" s="203"/>
      <c r="J171" s="203"/>
      <c r="K171" s="205"/>
      <c r="L171" s="295"/>
      <c r="M171" s="264"/>
      <c r="N171" s="265"/>
      <c r="O171" s="266"/>
      <c r="P171" s="266"/>
      <c r="Q171" s="266"/>
      <c r="R171" s="266"/>
      <c r="S171" s="266"/>
      <c r="T171" s="266"/>
      <c r="U171" s="266"/>
    </row>
    <row r="172" spans="1:24" ht="30" customHeight="1">
      <c r="A172" s="204" t="str">
        <f>IF(ISBLANK(D172)," ",175-COUNTBLANK($D$6:D172))</f>
        <v xml:space="preserve"> </v>
      </c>
      <c r="B172" s="202"/>
      <c r="C172" s="202"/>
      <c r="D172" s="202"/>
      <c r="E172" s="304"/>
      <c r="F172" s="211"/>
      <c r="G172" s="203"/>
      <c r="H172" s="203"/>
      <c r="I172" s="203"/>
      <c r="J172" s="203"/>
      <c r="K172" s="205"/>
      <c r="L172" s="295"/>
      <c r="M172" s="264"/>
      <c r="N172" s="265"/>
      <c r="O172" s="266"/>
      <c r="P172" s="266"/>
      <c r="Q172" s="266"/>
      <c r="R172" s="266"/>
      <c r="S172" s="266"/>
      <c r="T172" s="266"/>
      <c r="U172" s="266"/>
    </row>
    <row r="173" spans="1:24" ht="30" customHeight="1">
      <c r="A173" s="204" t="str">
        <f>IF(ISBLANK(D173)," ",176-COUNTBLANK($D$6:D173))</f>
        <v xml:space="preserve"> </v>
      </c>
      <c r="B173" s="202"/>
      <c r="C173" s="202"/>
      <c r="D173" s="202"/>
      <c r="E173" s="304"/>
      <c r="F173" s="211"/>
      <c r="G173" s="203"/>
      <c r="H173" s="203"/>
      <c r="I173" s="203"/>
      <c r="J173" s="203"/>
      <c r="K173" s="205"/>
      <c r="L173" s="295"/>
      <c r="M173" s="264"/>
      <c r="N173" s="265"/>
      <c r="O173" s="266"/>
      <c r="P173" s="266"/>
      <c r="Q173" s="266"/>
      <c r="R173" s="266"/>
      <c r="S173" s="266"/>
      <c r="T173" s="266"/>
      <c r="U173" s="266"/>
    </row>
    <row r="174" spans="1:24" ht="30" customHeight="1">
      <c r="A174" s="204" t="str">
        <f>IF(ISBLANK(D174)," ",177-COUNTBLANK($D$6:D174))</f>
        <v xml:space="preserve"> </v>
      </c>
      <c r="B174" s="202"/>
      <c r="C174" s="202"/>
      <c r="D174" s="202"/>
      <c r="E174" s="304"/>
      <c r="F174" s="211"/>
      <c r="G174" s="203"/>
      <c r="H174" s="203"/>
      <c r="I174" s="203"/>
      <c r="J174" s="203"/>
      <c r="K174" s="205"/>
      <c r="L174" s="295"/>
      <c r="M174" s="264"/>
      <c r="N174" s="265"/>
      <c r="O174" s="266"/>
      <c r="P174" s="266"/>
      <c r="Q174" s="266"/>
      <c r="R174" s="266"/>
      <c r="S174" s="266"/>
      <c r="T174" s="266"/>
      <c r="U174" s="266"/>
    </row>
    <row r="175" spans="1:24" ht="30" customHeight="1">
      <c r="A175" s="204" t="str">
        <f>IF(ISBLANK(D175)," ",178-COUNTBLANK($D$6:D175))</f>
        <v xml:space="preserve"> </v>
      </c>
      <c r="B175" s="202"/>
      <c r="C175" s="202"/>
      <c r="D175" s="202"/>
      <c r="E175" s="304"/>
      <c r="F175" s="211"/>
      <c r="G175" s="203"/>
      <c r="H175" s="203"/>
      <c r="I175" s="203"/>
      <c r="J175" s="203"/>
      <c r="K175" s="205"/>
      <c r="L175" s="295"/>
      <c r="M175" s="264"/>
      <c r="N175" s="265"/>
      <c r="O175" s="266"/>
      <c r="P175" s="266"/>
      <c r="Q175" s="266"/>
      <c r="R175" s="266"/>
      <c r="S175" s="266"/>
      <c r="T175" s="266"/>
      <c r="U175" s="266"/>
    </row>
    <row r="176" spans="1:24" ht="30" customHeight="1">
      <c r="A176" s="204" t="str">
        <f>IF(ISBLANK(D176)," ",179-COUNTBLANK($D$6:D176))</f>
        <v xml:space="preserve"> </v>
      </c>
      <c r="B176" s="202"/>
      <c r="C176" s="202"/>
      <c r="D176" s="202"/>
      <c r="E176" s="304"/>
      <c r="F176" s="211"/>
      <c r="G176" s="203"/>
      <c r="H176" s="203"/>
      <c r="I176" s="203"/>
      <c r="J176" s="203"/>
      <c r="K176" s="205"/>
      <c r="L176" s="295"/>
      <c r="M176" s="264"/>
      <c r="N176" s="265"/>
      <c r="O176" s="266"/>
      <c r="P176" s="266"/>
      <c r="Q176" s="266"/>
      <c r="R176" s="266"/>
      <c r="S176" s="266"/>
      <c r="T176" s="266"/>
      <c r="U176" s="266"/>
    </row>
    <row r="177" spans="1:24" ht="30" customHeight="1">
      <c r="A177" s="204" t="str">
        <f>IF(ISBLANK(D177)," ",180-COUNTBLANK($D$6:D177))</f>
        <v xml:space="preserve"> </v>
      </c>
      <c r="B177" s="202"/>
      <c r="C177" s="202"/>
      <c r="D177" s="202"/>
      <c r="E177" s="304"/>
      <c r="F177" s="211"/>
      <c r="G177" s="203"/>
      <c r="H177" s="203"/>
      <c r="I177" s="203"/>
      <c r="J177" s="203"/>
      <c r="K177" s="205"/>
      <c r="L177" s="295"/>
      <c r="M177" s="264"/>
      <c r="N177" s="265"/>
      <c r="O177" s="266"/>
      <c r="P177" s="266"/>
      <c r="Q177" s="266"/>
      <c r="R177" s="266"/>
      <c r="S177" s="266"/>
      <c r="T177" s="266"/>
      <c r="U177" s="266"/>
    </row>
    <row r="178" spans="1:24" ht="30" customHeight="1">
      <c r="A178" s="204" t="str">
        <f>IF(ISBLANK(D178)," ",181-COUNTBLANK($D$6:D178))</f>
        <v xml:space="preserve"> </v>
      </c>
      <c r="B178" s="202"/>
      <c r="C178" s="202"/>
      <c r="D178" s="202"/>
      <c r="E178" s="304"/>
      <c r="F178" s="211"/>
      <c r="G178" s="203"/>
      <c r="H178" s="203"/>
      <c r="I178" s="203"/>
      <c r="J178" s="203"/>
      <c r="K178" s="205"/>
      <c r="L178" s="295"/>
      <c r="M178" s="264"/>
      <c r="N178" s="265"/>
      <c r="O178" s="266"/>
      <c r="P178" s="266"/>
      <c r="Q178" s="266"/>
      <c r="R178" s="266"/>
      <c r="S178" s="266"/>
      <c r="T178" s="266"/>
      <c r="U178" s="266"/>
    </row>
    <row r="179" spans="1:24" ht="30" customHeight="1">
      <c r="A179" s="204" t="str">
        <f>IF(ISBLANK(D179)," ",182-COUNTBLANK($D$6:D179))</f>
        <v xml:space="preserve"> </v>
      </c>
      <c r="B179" s="202"/>
      <c r="C179" s="202"/>
      <c r="D179" s="202"/>
      <c r="E179" s="304"/>
      <c r="F179" s="211"/>
      <c r="G179" s="203"/>
      <c r="H179" s="203"/>
      <c r="I179" s="203"/>
      <c r="J179" s="203"/>
      <c r="K179" s="205"/>
      <c r="L179" s="295"/>
      <c r="M179" s="264"/>
      <c r="N179" s="265"/>
      <c r="O179" s="266"/>
      <c r="P179" s="266"/>
      <c r="Q179" s="266"/>
      <c r="R179" s="266"/>
      <c r="S179" s="266"/>
      <c r="T179" s="266"/>
      <c r="U179" s="266"/>
    </row>
    <row r="180" spans="1:24" ht="30" customHeight="1">
      <c r="A180" s="204" t="str">
        <f>IF(ISBLANK(D180)," ",183-COUNTBLANK($D$6:D180))</f>
        <v xml:space="preserve"> </v>
      </c>
      <c r="B180" s="202"/>
      <c r="C180" s="202"/>
      <c r="D180" s="202"/>
      <c r="E180" s="304"/>
      <c r="F180" s="211"/>
      <c r="G180" s="203"/>
      <c r="H180" s="203"/>
      <c r="I180" s="203"/>
      <c r="J180" s="203"/>
      <c r="K180" s="205"/>
      <c r="L180" s="295"/>
      <c r="M180" s="264"/>
      <c r="N180" s="265"/>
      <c r="O180" s="266"/>
      <c r="P180" s="266"/>
      <c r="Q180" s="266"/>
      <c r="R180" s="266"/>
      <c r="S180" s="266"/>
      <c r="T180" s="266"/>
      <c r="U180" s="266"/>
    </row>
    <row r="181" spans="1:24" ht="30" customHeight="1">
      <c r="A181" s="204" t="str">
        <f>IF(ISBLANK(D181)," ",184-COUNTBLANK($D$6:D181))</f>
        <v xml:space="preserve"> </v>
      </c>
      <c r="B181" s="202"/>
      <c r="C181" s="202"/>
      <c r="D181" s="202"/>
      <c r="E181" s="304"/>
      <c r="F181" s="211"/>
      <c r="G181" s="203"/>
      <c r="H181" s="203"/>
      <c r="I181" s="203"/>
      <c r="J181" s="203"/>
      <c r="K181" s="205"/>
      <c r="L181" s="295"/>
      <c r="M181" s="264"/>
      <c r="N181" s="265"/>
      <c r="O181" s="266"/>
      <c r="P181" s="266"/>
      <c r="Q181" s="266"/>
      <c r="R181" s="266"/>
      <c r="S181" s="266"/>
      <c r="T181" s="266"/>
      <c r="U181" s="266"/>
    </row>
    <row r="182" spans="1:24" ht="30" customHeight="1">
      <c r="A182" s="204" t="str">
        <f>IF(ISBLANK(D182)," ",185-COUNTBLANK($D$6:D182))</f>
        <v xml:space="preserve"> </v>
      </c>
      <c r="B182" s="202"/>
      <c r="C182" s="202"/>
      <c r="D182" s="202"/>
      <c r="E182" s="304"/>
      <c r="F182" s="211"/>
      <c r="G182" s="203"/>
      <c r="H182" s="203"/>
      <c r="I182" s="203"/>
      <c r="J182" s="203"/>
      <c r="K182" s="205"/>
      <c r="L182" s="295"/>
      <c r="M182" s="264"/>
      <c r="N182" s="267"/>
      <c r="O182" s="266"/>
      <c r="P182" s="266"/>
      <c r="Q182" s="266"/>
      <c r="R182" s="266"/>
      <c r="S182" s="266"/>
      <c r="T182" s="266"/>
      <c r="U182" s="268"/>
    </row>
    <row r="183" spans="1:24" ht="30" customHeight="1">
      <c r="A183" s="204" t="str">
        <f>IF(ISBLANK(D183)," ",186-COUNTBLANK($D$6:D183))</f>
        <v xml:space="preserve"> </v>
      </c>
      <c r="B183" s="202"/>
      <c r="C183" s="202"/>
      <c r="D183" s="202"/>
      <c r="E183" s="304"/>
      <c r="F183" s="211"/>
      <c r="G183" s="203"/>
      <c r="H183" s="203"/>
      <c r="I183" s="203"/>
      <c r="J183" s="203"/>
      <c r="K183" s="205"/>
      <c r="L183" s="295"/>
      <c r="M183" s="264"/>
      <c r="N183" s="267"/>
      <c r="O183" s="266"/>
      <c r="P183" s="266"/>
      <c r="Q183" s="266"/>
      <c r="R183" s="266"/>
      <c r="S183" s="266"/>
      <c r="T183" s="266"/>
      <c r="U183" s="268"/>
    </row>
    <row r="184" spans="1:24" ht="30" customHeight="1">
      <c r="A184" s="204" t="str">
        <f>IF(ISBLANK(D184)," ",187-COUNTBLANK($D$6:D184))</f>
        <v xml:space="preserve"> </v>
      </c>
      <c r="B184" s="202"/>
      <c r="C184" s="202"/>
      <c r="D184" s="202"/>
      <c r="E184" s="304"/>
      <c r="F184" s="211"/>
      <c r="G184" s="203"/>
      <c r="H184" s="203"/>
      <c r="I184" s="203"/>
      <c r="J184" s="203"/>
      <c r="K184" s="205"/>
      <c r="L184" s="295"/>
      <c r="M184" s="264"/>
      <c r="N184" s="267"/>
      <c r="O184" s="266"/>
      <c r="P184" s="266"/>
      <c r="Q184" s="266"/>
      <c r="R184" s="266"/>
      <c r="S184" s="266"/>
      <c r="T184" s="266"/>
      <c r="U184" s="268"/>
    </row>
    <row r="185" spans="1:24" ht="30" customHeight="1">
      <c r="A185" s="204" t="str">
        <f>IF(ISBLANK(D185)," ",188-COUNTBLANK($D$6:D185))</f>
        <v xml:space="preserve"> </v>
      </c>
      <c r="B185" s="202"/>
      <c r="C185" s="202"/>
      <c r="D185" s="202"/>
      <c r="E185" s="304"/>
      <c r="F185" s="211"/>
      <c r="G185" s="203"/>
      <c r="H185" s="203"/>
      <c r="I185" s="203"/>
      <c r="J185" s="203"/>
      <c r="K185" s="205"/>
      <c r="L185" s="295"/>
      <c r="M185" s="264"/>
      <c r="N185" s="267"/>
      <c r="O185" s="266"/>
      <c r="P185" s="266"/>
      <c r="Q185" s="266"/>
      <c r="R185" s="266"/>
      <c r="S185" s="266"/>
      <c r="T185" s="266"/>
      <c r="U185" s="268"/>
    </row>
    <row r="186" spans="1:24" ht="30" customHeight="1">
      <c r="A186" s="308" t="s">
        <v>58</v>
      </c>
      <c r="B186" s="300"/>
      <c r="C186" s="309"/>
      <c r="D186" s="310"/>
      <c r="E186" s="301"/>
      <c r="F186" s="302">
        <f>SUM(F166:F185)</f>
        <v>0</v>
      </c>
      <c r="G186" s="286"/>
      <c r="H186" s="286"/>
      <c r="I186" s="286"/>
      <c r="J186" s="286"/>
      <c r="K186" s="287"/>
      <c r="L186" s="307"/>
      <c r="M186" s="264"/>
      <c r="N186" s="265"/>
      <c r="O186" s="266"/>
      <c r="P186" s="266"/>
      <c r="Q186" s="266"/>
      <c r="R186" s="266"/>
      <c r="S186" s="266"/>
      <c r="T186" s="266"/>
      <c r="U186" s="288"/>
      <c r="V186" s="266"/>
      <c r="W186" s="266"/>
      <c r="X186" s="266"/>
    </row>
    <row r="187" spans="1:24" ht="30" customHeight="1">
      <c r="A187" s="261" t="str">
        <f>IF(ISBLANK(D187)," ",190-COUNTBLANK($D$6:D187))</f>
        <v xml:space="preserve"> </v>
      </c>
      <c r="B187" s="200"/>
      <c r="C187" s="200"/>
      <c r="D187" s="200"/>
      <c r="E187" s="303"/>
      <c r="F187" s="210"/>
      <c r="G187" s="201"/>
      <c r="H187" s="201"/>
      <c r="I187" s="201"/>
      <c r="J187" s="201"/>
      <c r="K187" s="263"/>
      <c r="L187" s="295"/>
      <c r="M187" s="264"/>
      <c r="N187" s="267"/>
      <c r="O187" s="266"/>
      <c r="P187" s="266"/>
      <c r="Q187" s="266"/>
      <c r="R187" s="266"/>
      <c r="S187" s="266"/>
      <c r="T187" s="266"/>
      <c r="U187" s="288"/>
      <c r="V187" s="266"/>
      <c r="W187" s="266"/>
      <c r="X187" s="266"/>
    </row>
    <row r="188" spans="1:24" ht="30" customHeight="1">
      <c r="A188" s="204" t="str">
        <f>IF(ISBLANK(D188)," ",191-COUNTBLANK($D$6:D188))</f>
        <v xml:space="preserve"> </v>
      </c>
      <c r="B188" s="202"/>
      <c r="C188" s="202"/>
      <c r="D188" s="202"/>
      <c r="E188" s="304"/>
      <c r="F188" s="211"/>
      <c r="G188" s="203"/>
      <c r="H188" s="203"/>
      <c r="I188" s="203"/>
      <c r="J188" s="203"/>
      <c r="K188" s="205"/>
      <c r="L188" s="295"/>
      <c r="M188" s="264"/>
      <c r="N188" s="265"/>
      <c r="O188" s="266"/>
      <c r="P188" s="266"/>
      <c r="Q188" s="266"/>
      <c r="R188" s="266"/>
      <c r="S188" s="266"/>
      <c r="T188" s="266"/>
      <c r="U188" s="266"/>
    </row>
    <row r="189" spans="1:24" ht="30" customHeight="1">
      <c r="A189" s="204" t="str">
        <f>IF(ISBLANK(D189)," ",192-COUNTBLANK($D$6:D189))</f>
        <v xml:space="preserve"> </v>
      </c>
      <c r="B189" s="202"/>
      <c r="C189" s="202"/>
      <c r="D189" s="202"/>
      <c r="E189" s="304"/>
      <c r="F189" s="211"/>
      <c r="G189" s="203"/>
      <c r="H189" s="203"/>
      <c r="I189" s="203"/>
      <c r="J189" s="203"/>
      <c r="K189" s="205"/>
      <c r="L189" s="295"/>
      <c r="M189" s="264"/>
      <c r="N189" s="265"/>
      <c r="O189" s="266"/>
      <c r="P189" s="266"/>
      <c r="Q189" s="266"/>
      <c r="R189" s="266"/>
      <c r="S189" s="266"/>
      <c r="T189" s="266"/>
      <c r="U189" s="266"/>
    </row>
    <row r="190" spans="1:24" ht="30" customHeight="1">
      <c r="A190" s="204" t="str">
        <f>IF(ISBLANK(D190)," ",193-COUNTBLANK($D$6:D190))</f>
        <v xml:space="preserve"> </v>
      </c>
      <c r="B190" s="202"/>
      <c r="C190" s="202"/>
      <c r="D190" s="202"/>
      <c r="E190" s="304"/>
      <c r="F190" s="211"/>
      <c r="G190" s="203"/>
      <c r="H190" s="203"/>
      <c r="I190" s="203"/>
      <c r="J190" s="203"/>
      <c r="K190" s="205"/>
      <c r="L190" s="295"/>
      <c r="M190" s="264"/>
      <c r="N190" s="265"/>
      <c r="O190" s="266"/>
      <c r="P190" s="266"/>
      <c r="Q190" s="266"/>
      <c r="R190" s="266"/>
      <c r="S190" s="266"/>
      <c r="T190" s="266"/>
      <c r="U190" s="266"/>
    </row>
    <row r="191" spans="1:24" ht="30" customHeight="1">
      <c r="A191" s="204" t="str">
        <f>IF(ISBLANK(D191)," ",194-COUNTBLANK($D$6:D191))</f>
        <v xml:space="preserve"> </v>
      </c>
      <c r="B191" s="202"/>
      <c r="C191" s="202"/>
      <c r="D191" s="202"/>
      <c r="E191" s="304"/>
      <c r="F191" s="211"/>
      <c r="G191" s="203"/>
      <c r="H191" s="203"/>
      <c r="I191" s="203"/>
      <c r="J191" s="203"/>
      <c r="K191" s="205"/>
      <c r="L191" s="295"/>
      <c r="M191" s="264"/>
      <c r="N191" s="265"/>
      <c r="O191" s="266"/>
      <c r="P191" s="266"/>
      <c r="Q191" s="266"/>
      <c r="R191" s="266"/>
      <c r="S191" s="266"/>
      <c r="T191" s="266"/>
      <c r="U191" s="266"/>
    </row>
    <row r="192" spans="1:24" ht="30" customHeight="1">
      <c r="A192" s="204" t="str">
        <f>IF(ISBLANK(D192)," ",195-COUNTBLANK($D$6:D192))</f>
        <v xml:space="preserve"> </v>
      </c>
      <c r="B192" s="202"/>
      <c r="C192" s="202"/>
      <c r="D192" s="202"/>
      <c r="E192" s="304"/>
      <c r="F192" s="211"/>
      <c r="G192" s="203"/>
      <c r="H192" s="203"/>
      <c r="I192" s="203"/>
      <c r="J192" s="203"/>
      <c r="K192" s="205"/>
      <c r="L192" s="295"/>
      <c r="M192" s="264"/>
      <c r="N192" s="265"/>
      <c r="O192" s="266"/>
      <c r="P192" s="266"/>
      <c r="Q192" s="266"/>
      <c r="R192" s="266"/>
      <c r="S192" s="266"/>
      <c r="T192" s="266"/>
      <c r="U192" s="266"/>
    </row>
    <row r="193" spans="1:24" ht="30" customHeight="1">
      <c r="A193" s="204" t="str">
        <f>IF(ISBLANK(D193)," ",196-COUNTBLANK($D$6:D193))</f>
        <v xml:space="preserve"> </v>
      </c>
      <c r="B193" s="202"/>
      <c r="C193" s="202"/>
      <c r="D193" s="202"/>
      <c r="E193" s="304"/>
      <c r="F193" s="211"/>
      <c r="G193" s="203"/>
      <c r="H193" s="203"/>
      <c r="I193" s="203"/>
      <c r="J193" s="203"/>
      <c r="K193" s="205"/>
      <c r="L193" s="295"/>
      <c r="M193" s="264"/>
      <c r="N193" s="265"/>
      <c r="O193" s="266"/>
      <c r="P193" s="266"/>
      <c r="Q193" s="266"/>
      <c r="R193" s="266"/>
      <c r="S193" s="266"/>
      <c r="T193" s="266"/>
      <c r="U193" s="266"/>
    </row>
    <row r="194" spans="1:24" ht="30" customHeight="1">
      <c r="A194" s="204" t="str">
        <f>IF(ISBLANK(D194)," ",197-COUNTBLANK($D$6:D194))</f>
        <v xml:space="preserve"> </v>
      </c>
      <c r="B194" s="202"/>
      <c r="C194" s="202"/>
      <c r="D194" s="202"/>
      <c r="E194" s="304"/>
      <c r="F194" s="211"/>
      <c r="G194" s="203"/>
      <c r="H194" s="203"/>
      <c r="I194" s="203"/>
      <c r="J194" s="203"/>
      <c r="K194" s="205"/>
      <c r="L194" s="295"/>
      <c r="M194" s="264"/>
      <c r="N194" s="265"/>
      <c r="O194" s="266"/>
      <c r="P194" s="266"/>
      <c r="Q194" s="266"/>
      <c r="R194" s="266"/>
      <c r="S194" s="266"/>
      <c r="T194" s="266"/>
      <c r="U194" s="266"/>
    </row>
    <row r="195" spans="1:24" ht="30" customHeight="1">
      <c r="A195" s="204" t="str">
        <f>IF(ISBLANK(D195)," ",198-COUNTBLANK($D$6:D195))</f>
        <v xml:space="preserve"> </v>
      </c>
      <c r="B195" s="202"/>
      <c r="C195" s="202"/>
      <c r="D195" s="202"/>
      <c r="E195" s="304"/>
      <c r="F195" s="211"/>
      <c r="G195" s="203"/>
      <c r="H195" s="203"/>
      <c r="I195" s="203"/>
      <c r="J195" s="203"/>
      <c r="K195" s="205"/>
      <c r="L195" s="295"/>
      <c r="M195" s="264"/>
      <c r="N195" s="265"/>
      <c r="O195" s="266"/>
      <c r="P195" s="266"/>
      <c r="Q195" s="266"/>
      <c r="R195" s="266"/>
      <c r="S195" s="266"/>
      <c r="T195" s="266"/>
      <c r="U195" s="266"/>
    </row>
    <row r="196" spans="1:24" ht="30" customHeight="1">
      <c r="A196" s="204" t="str">
        <f>IF(ISBLANK(D196)," ",199-COUNTBLANK($D$6:D196))</f>
        <v xml:space="preserve"> </v>
      </c>
      <c r="B196" s="202"/>
      <c r="C196" s="202"/>
      <c r="D196" s="202"/>
      <c r="E196" s="304"/>
      <c r="F196" s="211"/>
      <c r="G196" s="203"/>
      <c r="H196" s="203"/>
      <c r="I196" s="203"/>
      <c r="J196" s="203"/>
      <c r="K196" s="205"/>
      <c r="L196" s="295"/>
      <c r="M196" s="264"/>
      <c r="N196" s="265"/>
      <c r="O196" s="266"/>
      <c r="P196" s="266"/>
      <c r="Q196" s="266"/>
      <c r="R196" s="266"/>
      <c r="S196" s="266"/>
      <c r="T196" s="266"/>
      <c r="U196" s="266"/>
    </row>
    <row r="197" spans="1:24" ht="30" customHeight="1">
      <c r="A197" s="204" t="str">
        <f>IF(ISBLANK(D197)," ",200-COUNTBLANK($D$6:D197))</f>
        <v xml:space="preserve"> </v>
      </c>
      <c r="B197" s="202"/>
      <c r="C197" s="202"/>
      <c r="D197" s="202"/>
      <c r="E197" s="304"/>
      <c r="F197" s="211"/>
      <c r="G197" s="203"/>
      <c r="H197" s="203"/>
      <c r="I197" s="203"/>
      <c r="J197" s="203"/>
      <c r="K197" s="205"/>
      <c r="L197" s="295"/>
      <c r="M197" s="264"/>
      <c r="N197" s="265"/>
      <c r="O197" s="266"/>
      <c r="P197" s="266"/>
      <c r="Q197" s="266"/>
      <c r="R197" s="266"/>
      <c r="S197" s="266"/>
      <c r="T197" s="266"/>
      <c r="U197" s="266"/>
    </row>
    <row r="198" spans="1:24" ht="30" customHeight="1">
      <c r="A198" s="204" t="str">
        <f>IF(ISBLANK(D198)," ",201-COUNTBLANK($D$6:D198))</f>
        <v xml:space="preserve"> </v>
      </c>
      <c r="B198" s="202"/>
      <c r="C198" s="202"/>
      <c r="D198" s="202"/>
      <c r="E198" s="304"/>
      <c r="F198" s="211"/>
      <c r="G198" s="203"/>
      <c r="H198" s="203"/>
      <c r="I198" s="203"/>
      <c r="J198" s="203"/>
      <c r="K198" s="205"/>
      <c r="L198" s="295"/>
      <c r="M198" s="264"/>
      <c r="N198" s="265"/>
      <c r="O198" s="266"/>
      <c r="P198" s="266"/>
      <c r="Q198" s="266"/>
      <c r="R198" s="266"/>
      <c r="S198" s="266"/>
      <c r="T198" s="266"/>
      <c r="U198" s="266"/>
    </row>
    <row r="199" spans="1:24" ht="30" customHeight="1">
      <c r="A199" s="204" t="str">
        <f>IF(ISBLANK(D199)," ",202-COUNTBLANK($D$6:D199))</f>
        <v xml:space="preserve"> </v>
      </c>
      <c r="B199" s="202"/>
      <c r="C199" s="202"/>
      <c r="D199" s="202"/>
      <c r="E199" s="304"/>
      <c r="F199" s="211"/>
      <c r="G199" s="203"/>
      <c r="H199" s="203"/>
      <c r="I199" s="203"/>
      <c r="J199" s="203"/>
      <c r="K199" s="205"/>
      <c r="L199" s="295"/>
      <c r="M199" s="264"/>
      <c r="N199" s="265"/>
      <c r="O199" s="266"/>
      <c r="P199" s="266"/>
      <c r="Q199" s="266"/>
      <c r="R199" s="266"/>
      <c r="S199" s="266"/>
      <c r="T199" s="266"/>
      <c r="U199" s="266"/>
    </row>
    <row r="200" spans="1:24" ht="30" customHeight="1">
      <c r="A200" s="204" t="str">
        <f>IF(ISBLANK(D200)," ",203-COUNTBLANK($D$6:D200))</f>
        <v xml:space="preserve"> </v>
      </c>
      <c r="B200" s="202"/>
      <c r="C200" s="202"/>
      <c r="D200" s="202"/>
      <c r="E200" s="304"/>
      <c r="F200" s="211"/>
      <c r="G200" s="203"/>
      <c r="H200" s="203"/>
      <c r="I200" s="203"/>
      <c r="J200" s="203"/>
      <c r="K200" s="205"/>
      <c r="L200" s="295"/>
      <c r="M200" s="264"/>
      <c r="N200" s="265"/>
      <c r="O200" s="266"/>
      <c r="P200" s="266"/>
      <c r="Q200" s="266"/>
      <c r="R200" s="266"/>
      <c r="S200" s="266"/>
      <c r="T200" s="266"/>
      <c r="U200" s="266"/>
    </row>
    <row r="201" spans="1:24" ht="30" customHeight="1">
      <c r="A201" s="204" t="str">
        <f>IF(ISBLANK(D201)," ",204-COUNTBLANK($D$6:D201))</f>
        <v xml:space="preserve"> </v>
      </c>
      <c r="B201" s="202"/>
      <c r="C201" s="202"/>
      <c r="D201" s="202"/>
      <c r="E201" s="304"/>
      <c r="F201" s="211"/>
      <c r="G201" s="203"/>
      <c r="H201" s="203"/>
      <c r="I201" s="203"/>
      <c r="J201" s="203"/>
      <c r="K201" s="205"/>
      <c r="L201" s="295"/>
      <c r="M201" s="264"/>
      <c r="N201" s="265"/>
      <c r="O201" s="266"/>
      <c r="P201" s="266"/>
      <c r="Q201" s="266"/>
      <c r="R201" s="266"/>
      <c r="S201" s="266"/>
      <c r="T201" s="266"/>
      <c r="U201" s="266"/>
    </row>
    <row r="202" spans="1:24" ht="30" customHeight="1">
      <c r="A202" s="204" t="str">
        <f>IF(ISBLANK(D202)," ",205-COUNTBLANK($D$6:D202))</f>
        <v xml:space="preserve"> </v>
      </c>
      <c r="B202" s="202"/>
      <c r="C202" s="202"/>
      <c r="D202" s="202"/>
      <c r="E202" s="304"/>
      <c r="F202" s="211"/>
      <c r="G202" s="203"/>
      <c r="H202" s="203"/>
      <c r="I202" s="203"/>
      <c r="J202" s="203"/>
      <c r="K202" s="205"/>
      <c r="L202" s="295"/>
      <c r="M202" s="264"/>
      <c r="N202" s="265"/>
      <c r="O202" s="266"/>
      <c r="P202" s="266"/>
      <c r="Q202" s="266"/>
      <c r="R202" s="266"/>
      <c r="S202" s="266"/>
      <c r="T202" s="266"/>
      <c r="U202" s="266"/>
    </row>
    <row r="203" spans="1:24" ht="30" customHeight="1">
      <c r="A203" s="204" t="str">
        <f>IF(ISBLANK(D203)," ",206-COUNTBLANK($D$6:D203))</f>
        <v xml:space="preserve"> </v>
      </c>
      <c r="B203" s="202"/>
      <c r="C203" s="202"/>
      <c r="D203" s="202"/>
      <c r="E203" s="304"/>
      <c r="F203" s="211"/>
      <c r="G203" s="203"/>
      <c r="H203" s="203"/>
      <c r="I203" s="203"/>
      <c r="J203" s="203"/>
      <c r="K203" s="205"/>
      <c r="L203" s="295"/>
      <c r="M203" s="264"/>
      <c r="N203" s="267"/>
      <c r="O203" s="266"/>
      <c r="P203" s="266"/>
      <c r="Q203" s="266"/>
      <c r="R203" s="266"/>
      <c r="S203" s="266"/>
      <c r="T203" s="266"/>
      <c r="U203" s="268"/>
    </row>
    <row r="204" spans="1:24" ht="30" customHeight="1">
      <c r="A204" s="204" t="str">
        <f>IF(ISBLANK(D204)," ",207-COUNTBLANK($D$6:D204))</f>
        <v xml:space="preserve"> </v>
      </c>
      <c r="B204" s="202"/>
      <c r="C204" s="202"/>
      <c r="D204" s="202"/>
      <c r="E204" s="304"/>
      <c r="F204" s="211"/>
      <c r="G204" s="203"/>
      <c r="H204" s="203"/>
      <c r="I204" s="203"/>
      <c r="J204" s="203"/>
      <c r="K204" s="205"/>
      <c r="L204" s="295"/>
      <c r="M204" s="264"/>
      <c r="N204" s="267"/>
      <c r="O204" s="266"/>
      <c r="P204" s="266"/>
      <c r="Q204" s="266"/>
      <c r="R204" s="266"/>
      <c r="S204" s="266"/>
      <c r="T204" s="266"/>
      <c r="U204" s="268"/>
    </row>
    <row r="205" spans="1:24" ht="30" customHeight="1">
      <c r="A205" s="204" t="str">
        <f>IF(ISBLANK(D205)," ",208-COUNTBLANK($D$6:D205))</f>
        <v xml:space="preserve"> </v>
      </c>
      <c r="B205" s="202"/>
      <c r="C205" s="202"/>
      <c r="D205" s="202"/>
      <c r="E205" s="304"/>
      <c r="F205" s="211"/>
      <c r="G205" s="203"/>
      <c r="H205" s="203"/>
      <c r="I205" s="203"/>
      <c r="J205" s="203"/>
      <c r="K205" s="205"/>
      <c r="L205" s="295"/>
      <c r="M205" s="264"/>
      <c r="N205" s="267"/>
      <c r="O205" s="266"/>
      <c r="P205" s="266"/>
      <c r="Q205" s="266"/>
      <c r="R205" s="266"/>
      <c r="S205" s="266"/>
      <c r="T205" s="266"/>
      <c r="U205" s="268"/>
    </row>
    <row r="206" spans="1:24" ht="30" customHeight="1">
      <c r="A206" s="204" t="str">
        <f>IF(ISBLANK(D206)," ",209-COUNTBLANK($D$6:D206))</f>
        <v xml:space="preserve"> </v>
      </c>
      <c r="B206" s="202"/>
      <c r="C206" s="202"/>
      <c r="D206" s="202"/>
      <c r="E206" s="304"/>
      <c r="F206" s="211"/>
      <c r="G206" s="203"/>
      <c r="H206" s="203"/>
      <c r="I206" s="203"/>
      <c r="J206" s="203"/>
      <c r="K206" s="205"/>
      <c r="L206" s="295"/>
      <c r="M206" s="264"/>
      <c r="N206" s="267"/>
      <c r="O206" s="266"/>
      <c r="P206" s="266"/>
      <c r="Q206" s="266"/>
      <c r="R206" s="266"/>
      <c r="S206" s="266"/>
      <c r="T206" s="266"/>
      <c r="U206" s="268"/>
    </row>
    <row r="207" spans="1:24" ht="30" customHeight="1">
      <c r="A207" s="308" t="s">
        <v>58</v>
      </c>
      <c r="B207" s="300"/>
      <c r="C207" s="309"/>
      <c r="D207" s="310"/>
      <c r="E207" s="301"/>
      <c r="F207" s="302">
        <f>SUM(F187:F206)</f>
        <v>0</v>
      </c>
      <c r="G207" s="286"/>
      <c r="H207" s="286"/>
      <c r="I207" s="286"/>
      <c r="J207" s="286"/>
      <c r="K207" s="287"/>
      <c r="L207" s="307"/>
      <c r="M207" s="264"/>
      <c r="N207" s="265"/>
      <c r="O207" s="266"/>
      <c r="P207" s="266"/>
      <c r="Q207" s="266"/>
      <c r="R207" s="266"/>
      <c r="S207" s="266"/>
      <c r="T207" s="266"/>
      <c r="U207" s="288"/>
      <c r="V207" s="266"/>
      <c r="W207" s="266"/>
      <c r="X207" s="266"/>
    </row>
    <row r="208" spans="1:24" ht="30" customHeight="1">
      <c r="A208" s="261" t="str">
        <f>IF(ISBLANK(D208)," ",211-COUNTBLANK($D$6:D208))</f>
        <v xml:space="preserve"> </v>
      </c>
      <c r="B208" s="200"/>
      <c r="C208" s="200"/>
      <c r="D208" s="200"/>
      <c r="E208" s="303"/>
      <c r="F208" s="210"/>
      <c r="G208" s="201"/>
      <c r="H208" s="201"/>
      <c r="I208" s="201"/>
      <c r="J208" s="201"/>
      <c r="K208" s="263"/>
      <c r="L208" s="295"/>
      <c r="M208" s="264"/>
      <c r="N208" s="267"/>
      <c r="O208" s="266"/>
      <c r="P208" s="266"/>
      <c r="Q208" s="266"/>
      <c r="R208" s="266"/>
      <c r="S208" s="266"/>
      <c r="T208" s="266"/>
      <c r="U208" s="288"/>
      <c r="V208" s="266"/>
      <c r="W208" s="266"/>
      <c r="X208" s="266"/>
    </row>
    <row r="209" spans="1:21" ht="30" customHeight="1">
      <c r="A209" s="204" t="str">
        <f>IF(ISBLANK(D209)," ",212-COUNTBLANK($D$6:D209))</f>
        <v xml:space="preserve"> </v>
      </c>
      <c r="B209" s="202"/>
      <c r="C209" s="202"/>
      <c r="D209" s="202"/>
      <c r="E209" s="304"/>
      <c r="F209" s="211"/>
      <c r="G209" s="203"/>
      <c r="H209" s="203"/>
      <c r="I209" s="203"/>
      <c r="J209" s="203"/>
      <c r="K209" s="205"/>
      <c r="L209" s="295"/>
      <c r="M209" s="264"/>
      <c r="N209" s="265"/>
      <c r="O209" s="266"/>
      <c r="P209" s="266"/>
      <c r="Q209" s="266"/>
      <c r="R209" s="266"/>
      <c r="S209" s="266"/>
      <c r="T209" s="266"/>
      <c r="U209" s="266"/>
    </row>
    <row r="210" spans="1:21" ht="30" customHeight="1">
      <c r="A210" s="204" t="str">
        <f>IF(ISBLANK(D210)," ",213-COUNTBLANK($D$6:D210))</f>
        <v xml:space="preserve"> </v>
      </c>
      <c r="B210" s="202"/>
      <c r="C210" s="202"/>
      <c r="D210" s="202"/>
      <c r="E210" s="304"/>
      <c r="F210" s="211"/>
      <c r="G210" s="203"/>
      <c r="H210" s="203"/>
      <c r="I210" s="203"/>
      <c r="J210" s="203"/>
      <c r="K210" s="205"/>
      <c r="L210" s="295"/>
      <c r="M210" s="264"/>
      <c r="N210" s="265"/>
      <c r="O210" s="266"/>
      <c r="P210" s="266"/>
      <c r="Q210" s="266"/>
      <c r="R210" s="266"/>
      <c r="S210" s="266"/>
      <c r="T210" s="266"/>
      <c r="U210" s="266"/>
    </row>
    <row r="211" spans="1:21" ht="30" customHeight="1">
      <c r="A211" s="204" t="str">
        <f>IF(ISBLANK(D211)," ",214-COUNTBLANK($D$6:D211))</f>
        <v xml:space="preserve"> </v>
      </c>
      <c r="B211" s="202"/>
      <c r="C211" s="202"/>
      <c r="D211" s="202"/>
      <c r="E211" s="304"/>
      <c r="F211" s="211"/>
      <c r="G211" s="203"/>
      <c r="H211" s="203"/>
      <c r="I211" s="203"/>
      <c r="J211" s="203"/>
      <c r="K211" s="205"/>
      <c r="L211" s="295"/>
      <c r="M211" s="264"/>
      <c r="N211" s="265"/>
      <c r="O211" s="266"/>
      <c r="P211" s="266"/>
      <c r="Q211" s="266"/>
      <c r="R211" s="266"/>
      <c r="S211" s="266"/>
      <c r="T211" s="266"/>
      <c r="U211" s="266"/>
    </row>
    <row r="212" spans="1:21" ht="30" customHeight="1">
      <c r="A212" s="204" t="str">
        <f>IF(ISBLANK(D212)," ",215-COUNTBLANK($D$6:D212))</f>
        <v xml:space="preserve"> </v>
      </c>
      <c r="B212" s="202"/>
      <c r="C212" s="202"/>
      <c r="D212" s="202"/>
      <c r="E212" s="304"/>
      <c r="F212" s="211"/>
      <c r="G212" s="203"/>
      <c r="H212" s="203"/>
      <c r="I212" s="203"/>
      <c r="J212" s="203"/>
      <c r="K212" s="205"/>
      <c r="L212" s="295"/>
      <c r="M212" s="264"/>
      <c r="N212" s="265"/>
      <c r="O212" s="266"/>
      <c r="P212" s="266"/>
      <c r="Q212" s="266"/>
      <c r="R212" s="266"/>
      <c r="S212" s="266"/>
      <c r="T212" s="266"/>
      <c r="U212" s="266"/>
    </row>
    <row r="213" spans="1:21" ht="30" customHeight="1">
      <c r="A213" s="204" t="str">
        <f>IF(ISBLANK(D213)," ",216-COUNTBLANK($D$6:D213))</f>
        <v xml:space="preserve"> </v>
      </c>
      <c r="B213" s="202"/>
      <c r="C213" s="202"/>
      <c r="D213" s="202"/>
      <c r="E213" s="304"/>
      <c r="F213" s="211"/>
      <c r="G213" s="203"/>
      <c r="H213" s="203"/>
      <c r="I213" s="203"/>
      <c r="J213" s="203"/>
      <c r="K213" s="205"/>
      <c r="L213" s="295"/>
      <c r="M213" s="264"/>
      <c r="N213" s="265"/>
      <c r="O213" s="266"/>
      <c r="P213" s="266"/>
      <c r="Q213" s="266"/>
      <c r="R213" s="266"/>
      <c r="S213" s="266"/>
      <c r="T213" s="266"/>
      <c r="U213" s="266"/>
    </row>
    <row r="214" spans="1:21" ht="30" customHeight="1">
      <c r="A214" s="204" t="str">
        <f>IF(ISBLANK(D214)," ",217-COUNTBLANK($D$6:D214))</f>
        <v xml:space="preserve"> </v>
      </c>
      <c r="B214" s="202"/>
      <c r="C214" s="202"/>
      <c r="D214" s="202"/>
      <c r="E214" s="304"/>
      <c r="F214" s="211"/>
      <c r="G214" s="203"/>
      <c r="H214" s="203"/>
      <c r="I214" s="203"/>
      <c r="J214" s="203"/>
      <c r="K214" s="205"/>
      <c r="L214" s="295"/>
      <c r="M214" s="264"/>
      <c r="N214" s="265"/>
      <c r="O214" s="266"/>
      <c r="P214" s="266"/>
      <c r="Q214" s="266"/>
      <c r="R214" s="266"/>
      <c r="S214" s="266"/>
      <c r="T214" s="266"/>
      <c r="U214" s="266"/>
    </row>
    <row r="215" spans="1:21" ht="30" customHeight="1">
      <c r="A215" s="204" t="str">
        <f>IF(ISBLANK(D215)," ",218-COUNTBLANK($D$6:D215))</f>
        <v xml:space="preserve"> </v>
      </c>
      <c r="B215" s="202"/>
      <c r="C215" s="202"/>
      <c r="D215" s="202"/>
      <c r="E215" s="304"/>
      <c r="F215" s="211"/>
      <c r="G215" s="203"/>
      <c r="H215" s="203"/>
      <c r="I215" s="203"/>
      <c r="J215" s="203"/>
      <c r="K215" s="205"/>
      <c r="L215" s="295"/>
      <c r="M215" s="264"/>
      <c r="N215" s="265"/>
      <c r="O215" s="266"/>
      <c r="P215" s="266"/>
      <c r="Q215" s="266"/>
      <c r="R215" s="266"/>
      <c r="S215" s="266"/>
      <c r="T215" s="266"/>
      <c r="U215" s="266"/>
    </row>
    <row r="216" spans="1:21" ht="30" customHeight="1">
      <c r="A216" s="204" t="str">
        <f>IF(ISBLANK(D216)," ",219-COUNTBLANK($D$6:D216))</f>
        <v xml:space="preserve"> </v>
      </c>
      <c r="B216" s="202"/>
      <c r="C216" s="202"/>
      <c r="D216" s="202"/>
      <c r="E216" s="304"/>
      <c r="F216" s="211"/>
      <c r="G216" s="203"/>
      <c r="H216" s="203"/>
      <c r="I216" s="203"/>
      <c r="J216" s="203"/>
      <c r="K216" s="205"/>
      <c r="L216" s="295"/>
      <c r="M216" s="264"/>
      <c r="N216" s="265"/>
      <c r="O216" s="266"/>
      <c r="P216" s="266"/>
      <c r="Q216" s="266"/>
      <c r="R216" s="266"/>
      <c r="S216" s="266"/>
      <c r="T216" s="266"/>
      <c r="U216" s="266"/>
    </row>
    <row r="217" spans="1:21" ht="30" customHeight="1">
      <c r="A217" s="204" t="str">
        <f>IF(ISBLANK(D217)," ",220-COUNTBLANK($D$6:D217))</f>
        <v xml:space="preserve"> </v>
      </c>
      <c r="B217" s="202"/>
      <c r="C217" s="202"/>
      <c r="D217" s="202"/>
      <c r="E217" s="304"/>
      <c r="F217" s="211"/>
      <c r="G217" s="203"/>
      <c r="H217" s="203"/>
      <c r="I217" s="203"/>
      <c r="J217" s="203"/>
      <c r="K217" s="205"/>
      <c r="L217" s="295"/>
      <c r="M217" s="264"/>
      <c r="N217" s="265"/>
      <c r="O217" s="266"/>
      <c r="P217" s="266"/>
      <c r="Q217" s="266"/>
      <c r="R217" s="266"/>
      <c r="S217" s="266"/>
      <c r="T217" s="266"/>
      <c r="U217" s="266"/>
    </row>
    <row r="218" spans="1:21" ht="30" customHeight="1">
      <c r="A218" s="204" t="str">
        <f>IF(ISBLANK(D218)," ",221-COUNTBLANK($D$6:D218))</f>
        <v xml:space="preserve"> </v>
      </c>
      <c r="B218" s="202"/>
      <c r="C218" s="202"/>
      <c r="D218" s="202"/>
      <c r="E218" s="304"/>
      <c r="F218" s="211"/>
      <c r="G218" s="203"/>
      <c r="H218" s="203"/>
      <c r="I218" s="203"/>
      <c r="J218" s="203"/>
      <c r="K218" s="205"/>
      <c r="L218" s="295"/>
      <c r="M218" s="264"/>
      <c r="N218" s="265"/>
      <c r="O218" s="266"/>
      <c r="P218" s="266"/>
      <c r="Q218" s="266"/>
      <c r="R218" s="266"/>
      <c r="S218" s="266"/>
      <c r="T218" s="266"/>
      <c r="U218" s="266"/>
    </row>
    <row r="219" spans="1:21" ht="30" customHeight="1">
      <c r="A219" s="204" t="str">
        <f>IF(ISBLANK(D219)," ",222-COUNTBLANK($D$6:D219))</f>
        <v xml:space="preserve"> </v>
      </c>
      <c r="B219" s="202"/>
      <c r="C219" s="202"/>
      <c r="D219" s="202"/>
      <c r="E219" s="304"/>
      <c r="F219" s="211"/>
      <c r="G219" s="203"/>
      <c r="H219" s="203"/>
      <c r="I219" s="203"/>
      <c r="J219" s="203"/>
      <c r="K219" s="205"/>
      <c r="L219" s="295"/>
      <c r="M219" s="264"/>
      <c r="N219" s="265"/>
      <c r="O219" s="266"/>
      <c r="P219" s="266"/>
      <c r="Q219" s="266"/>
      <c r="R219" s="266"/>
      <c r="S219" s="266"/>
      <c r="T219" s="266"/>
      <c r="U219" s="266"/>
    </row>
    <row r="220" spans="1:21" ht="30" customHeight="1">
      <c r="A220" s="204" t="str">
        <f>IF(ISBLANK(D220)," ",223-COUNTBLANK($D$6:D220))</f>
        <v xml:space="preserve"> </v>
      </c>
      <c r="B220" s="202"/>
      <c r="C220" s="202"/>
      <c r="D220" s="202"/>
      <c r="E220" s="304"/>
      <c r="F220" s="211"/>
      <c r="G220" s="203"/>
      <c r="H220" s="203"/>
      <c r="I220" s="203"/>
      <c r="J220" s="203"/>
      <c r="K220" s="205"/>
      <c r="L220" s="295"/>
      <c r="M220" s="264"/>
      <c r="N220" s="265"/>
      <c r="O220" s="266"/>
      <c r="P220" s="266"/>
      <c r="Q220" s="266"/>
      <c r="R220" s="266"/>
      <c r="S220" s="266"/>
      <c r="T220" s="266"/>
      <c r="U220" s="266"/>
    </row>
    <row r="221" spans="1:21" ht="30" customHeight="1">
      <c r="A221" s="204" t="str">
        <f>IF(ISBLANK(D221)," ",224-COUNTBLANK($D$6:D221))</f>
        <v xml:space="preserve"> </v>
      </c>
      <c r="B221" s="202"/>
      <c r="C221" s="202"/>
      <c r="D221" s="202"/>
      <c r="E221" s="304"/>
      <c r="F221" s="211"/>
      <c r="G221" s="203"/>
      <c r="H221" s="203"/>
      <c r="I221" s="203"/>
      <c r="J221" s="203"/>
      <c r="K221" s="205"/>
      <c r="L221" s="295"/>
      <c r="M221" s="264"/>
      <c r="N221" s="265"/>
      <c r="O221" s="266"/>
      <c r="P221" s="266"/>
      <c r="Q221" s="266"/>
      <c r="R221" s="266"/>
      <c r="S221" s="266"/>
      <c r="T221" s="266"/>
      <c r="U221" s="266"/>
    </row>
    <row r="222" spans="1:21" ht="30" customHeight="1">
      <c r="A222" s="204" t="str">
        <f>IF(ISBLANK(D222)," ",225-COUNTBLANK($D$6:D222))</f>
        <v xml:space="preserve"> </v>
      </c>
      <c r="B222" s="202"/>
      <c r="C222" s="202"/>
      <c r="D222" s="202"/>
      <c r="E222" s="304"/>
      <c r="F222" s="211"/>
      <c r="G222" s="203"/>
      <c r="H222" s="203"/>
      <c r="I222" s="203"/>
      <c r="J222" s="203"/>
      <c r="K222" s="205"/>
      <c r="L222" s="295"/>
      <c r="M222" s="264"/>
      <c r="N222" s="265"/>
      <c r="O222" s="266"/>
      <c r="P222" s="266"/>
      <c r="Q222" s="266"/>
      <c r="R222" s="266"/>
      <c r="S222" s="266"/>
      <c r="T222" s="266"/>
      <c r="U222" s="266"/>
    </row>
    <row r="223" spans="1:21" ht="30" customHeight="1">
      <c r="A223" s="204" t="str">
        <f>IF(ISBLANK(D223)," ",226-COUNTBLANK($D$6:D223))</f>
        <v xml:space="preserve"> </v>
      </c>
      <c r="B223" s="202"/>
      <c r="C223" s="202"/>
      <c r="D223" s="202"/>
      <c r="E223" s="304"/>
      <c r="F223" s="211"/>
      <c r="G223" s="203"/>
      <c r="H223" s="203"/>
      <c r="I223" s="203"/>
      <c r="J223" s="203"/>
      <c r="K223" s="205"/>
      <c r="L223" s="295"/>
      <c r="M223" s="264"/>
      <c r="N223" s="265"/>
      <c r="O223" s="266"/>
      <c r="P223" s="266"/>
      <c r="Q223" s="266"/>
      <c r="R223" s="266"/>
      <c r="S223" s="266"/>
      <c r="T223" s="266"/>
      <c r="U223" s="266"/>
    </row>
    <row r="224" spans="1:21" ht="30" customHeight="1">
      <c r="A224" s="204" t="str">
        <f>IF(ISBLANK(D224)," ",227-COUNTBLANK($D$6:D224))</f>
        <v xml:space="preserve"> </v>
      </c>
      <c r="B224" s="202"/>
      <c r="C224" s="202"/>
      <c r="D224" s="202"/>
      <c r="E224" s="304"/>
      <c r="F224" s="211"/>
      <c r="G224" s="203"/>
      <c r="H224" s="203"/>
      <c r="I224" s="203"/>
      <c r="J224" s="203"/>
      <c r="K224" s="205"/>
      <c r="L224" s="295"/>
      <c r="M224" s="264"/>
      <c r="N224" s="267"/>
      <c r="O224" s="266"/>
      <c r="P224" s="266"/>
      <c r="Q224" s="266"/>
      <c r="R224" s="266"/>
      <c r="S224" s="266"/>
      <c r="T224" s="266"/>
      <c r="U224" s="268"/>
    </row>
    <row r="225" spans="1:24" ht="30" customHeight="1">
      <c r="A225" s="204" t="str">
        <f>IF(ISBLANK(D225)," ",228-COUNTBLANK($D$6:D225))</f>
        <v xml:space="preserve"> </v>
      </c>
      <c r="B225" s="202"/>
      <c r="C225" s="202"/>
      <c r="D225" s="202"/>
      <c r="E225" s="304"/>
      <c r="F225" s="211"/>
      <c r="G225" s="203"/>
      <c r="H225" s="203"/>
      <c r="I225" s="203"/>
      <c r="J225" s="203"/>
      <c r="K225" s="205"/>
      <c r="L225" s="295"/>
      <c r="M225" s="264"/>
      <c r="N225" s="267"/>
      <c r="O225" s="266"/>
      <c r="P225" s="266"/>
      <c r="Q225" s="266"/>
      <c r="R225" s="266"/>
      <c r="S225" s="266"/>
      <c r="T225" s="266"/>
      <c r="U225" s="268"/>
    </row>
    <row r="226" spans="1:24" ht="30" customHeight="1">
      <c r="A226" s="204" t="str">
        <f>IF(ISBLANK(D226)," ",229-COUNTBLANK($D$6:D226))</f>
        <v xml:space="preserve"> </v>
      </c>
      <c r="B226" s="202"/>
      <c r="C226" s="202"/>
      <c r="D226" s="202"/>
      <c r="E226" s="304"/>
      <c r="F226" s="211"/>
      <c r="G226" s="203"/>
      <c r="H226" s="203"/>
      <c r="I226" s="203"/>
      <c r="J226" s="203"/>
      <c r="K226" s="205"/>
      <c r="L226" s="295"/>
      <c r="M226" s="264"/>
      <c r="N226" s="267"/>
      <c r="O226" s="266"/>
      <c r="P226" s="266"/>
      <c r="Q226" s="266"/>
      <c r="R226" s="266"/>
      <c r="S226" s="266"/>
      <c r="T226" s="266"/>
      <c r="U226" s="268"/>
    </row>
    <row r="227" spans="1:24" ht="30" customHeight="1">
      <c r="A227" s="204" t="str">
        <f>IF(ISBLANK(D227)," ",230-COUNTBLANK($D$6:D227))</f>
        <v xml:space="preserve"> </v>
      </c>
      <c r="B227" s="202"/>
      <c r="C227" s="202"/>
      <c r="D227" s="202"/>
      <c r="E227" s="304"/>
      <c r="F227" s="211"/>
      <c r="G227" s="203"/>
      <c r="H227" s="203"/>
      <c r="I227" s="203"/>
      <c r="J227" s="203"/>
      <c r="K227" s="205"/>
      <c r="L227" s="295"/>
      <c r="M227" s="264"/>
      <c r="N227" s="267"/>
      <c r="O227" s="266"/>
      <c r="P227" s="266"/>
      <c r="Q227" s="266"/>
      <c r="R227" s="266"/>
      <c r="S227" s="266"/>
      <c r="T227" s="266"/>
      <c r="U227" s="268"/>
    </row>
    <row r="228" spans="1:24" ht="30" customHeight="1">
      <c r="A228" s="308" t="s">
        <v>58</v>
      </c>
      <c r="B228" s="300"/>
      <c r="C228" s="309"/>
      <c r="D228" s="310"/>
      <c r="E228" s="301"/>
      <c r="F228" s="302">
        <f>SUM(F208:F227)</f>
        <v>0</v>
      </c>
      <c r="G228" s="286"/>
      <c r="H228" s="286"/>
      <c r="I228" s="286"/>
      <c r="J228" s="286"/>
      <c r="K228" s="287"/>
      <c r="L228" s="307"/>
      <c r="M228" s="264"/>
      <c r="N228" s="265"/>
      <c r="O228" s="266"/>
      <c r="P228" s="266"/>
      <c r="Q228" s="266"/>
      <c r="R228" s="266"/>
      <c r="S228" s="266"/>
      <c r="T228" s="266"/>
      <c r="U228" s="288"/>
      <c r="V228" s="266"/>
      <c r="W228" s="266"/>
      <c r="X228" s="266"/>
    </row>
    <row r="229" spans="1:24" ht="30" customHeight="1">
      <c r="A229" s="261" t="str">
        <f>IF(ISBLANK(D229)," ",232-COUNTBLANK($D$6:D229))</f>
        <v xml:space="preserve"> </v>
      </c>
      <c r="B229" s="200"/>
      <c r="C229" s="200"/>
      <c r="D229" s="200"/>
      <c r="E229" s="303"/>
      <c r="F229" s="210"/>
      <c r="G229" s="201"/>
      <c r="H229" s="201"/>
      <c r="I229" s="201"/>
      <c r="J229" s="201"/>
      <c r="K229" s="263"/>
      <c r="L229" s="295"/>
      <c r="M229" s="264"/>
      <c r="N229" s="267"/>
      <c r="O229" s="266"/>
      <c r="P229" s="266"/>
      <c r="Q229" s="266"/>
      <c r="R229" s="266"/>
      <c r="S229" s="266"/>
      <c r="T229" s="266"/>
      <c r="U229" s="288"/>
      <c r="V229" s="266"/>
      <c r="W229" s="266"/>
      <c r="X229" s="266"/>
    </row>
    <row r="230" spans="1:24" ht="30" customHeight="1">
      <c r="A230" s="204" t="str">
        <f>IF(ISBLANK(D230)," ",233-COUNTBLANK($D$6:D230))</f>
        <v xml:space="preserve"> </v>
      </c>
      <c r="B230" s="202"/>
      <c r="C230" s="202"/>
      <c r="D230" s="202"/>
      <c r="E230" s="304"/>
      <c r="F230" s="211"/>
      <c r="G230" s="203"/>
      <c r="H230" s="203"/>
      <c r="I230" s="203"/>
      <c r="J230" s="203"/>
      <c r="K230" s="205"/>
      <c r="L230" s="295"/>
      <c r="M230" s="264"/>
      <c r="N230" s="265"/>
      <c r="O230" s="266"/>
      <c r="P230" s="266"/>
      <c r="Q230" s="266"/>
      <c r="R230" s="266"/>
      <c r="S230" s="266"/>
      <c r="T230" s="266"/>
      <c r="U230" s="266"/>
    </row>
    <row r="231" spans="1:24" ht="30" customHeight="1">
      <c r="A231" s="204" t="str">
        <f>IF(ISBLANK(D231)," ",234-COUNTBLANK($D$6:D231))</f>
        <v xml:space="preserve"> </v>
      </c>
      <c r="B231" s="202"/>
      <c r="C231" s="202"/>
      <c r="D231" s="202"/>
      <c r="E231" s="304"/>
      <c r="F231" s="211"/>
      <c r="G231" s="203"/>
      <c r="H231" s="203"/>
      <c r="I231" s="203"/>
      <c r="J231" s="203"/>
      <c r="K231" s="205"/>
      <c r="L231" s="295"/>
      <c r="M231" s="264"/>
      <c r="N231" s="265"/>
      <c r="O231" s="266"/>
      <c r="P231" s="266"/>
      <c r="Q231" s="266"/>
      <c r="R231" s="266"/>
      <c r="S231" s="266"/>
      <c r="T231" s="266"/>
      <c r="U231" s="266"/>
    </row>
    <row r="232" spans="1:24" ht="30" customHeight="1">
      <c r="A232" s="204" t="str">
        <f>IF(ISBLANK(D232)," ",235-COUNTBLANK($D$6:D232))</f>
        <v xml:space="preserve"> </v>
      </c>
      <c r="B232" s="202"/>
      <c r="C232" s="202"/>
      <c r="D232" s="202"/>
      <c r="E232" s="304"/>
      <c r="F232" s="211"/>
      <c r="G232" s="203"/>
      <c r="H232" s="203"/>
      <c r="I232" s="203"/>
      <c r="J232" s="203"/>
      <c r="K232" s="205"/>
      <c r="L232" s="295"/>
      <c r="M232" s="264"/>
      <c r="N232" s="265"/>
      <c r="O232" s="266"/>
      <c r="P232" s="266"/>
      <c r="Q232" s="266"/>
      <c r="R232" s="266"/>
      <c r="S232" s="266"/>
      <c r="T232" s="266"/>
      <c r="U232" s="266"/>
    </row>
    <row r="233" spans="1:24" ht="30" customHeight="1">
      <c r="A233" s="204" t="str">
        <f>IF(ISBLANK(D233)," ",236-COUNTBLANK($D$6:D233))</f>
        <v xml:space="preserve"> </v>
      </c>
      <c r="B233" s="202"/>
      <c r="C233" s="202"/>
      <c r="D233" s="202"/>
      <c r="E233" s="304"/>
      <c r="F233" s="211"/>
      <c r="G233" s="203"/>
      <c r="H233" s="203"/>
      <c r="I233" s="203"/>
      <c r="J233" s="203"/>
      <c r="K233" s="205"/>
      <c r="L233" s="295"/>
      <c r="M233" s="264"/>
      <c r="N233" s="265"/>
      <c r="O233" s="266"/>
      <c r="P233" s="266"/>
      <c r="Q233" s="266"/>
      <c r="R233" s="266"/>
      <c r="S233" s="266"/>
      <c r="T233" s="266"/>
      <c r="U233" s="266"/>
    </row>
    <row r="234" spans="1:24" ht="30" customHeight="1">
      <c r="A234" s="204" t="str">
        <f>IF(ISBLANK(D234)," ",237-COUNTBLANK($D$6:D234))</f>
        <v xml:space="preserve"> </v>
      </c>
      <c r="B234" s="202"/>
      <c r="C234" s="202"/>
      <c r="D234" s="202"/>
      <c r="E234" s="304"/>
      <c r="F234" s="211"/>
      <c r="G234" s="203"/>
      <c r="H234" s="203"/>
      <c r="I234" s="203"/>
      <c r="J234" s="203"/>
      <c r="K234" s="205"/>
      <c r="L234" s="295"/>
      <c r="M234" s="264"/>
      <c r="N234" s="265"/>
      <c r="O234" s="266"/>
      <c r="P234" s="266"/>
      <c r="Q234" s="266"/>
      <c r="R234" s="266"/>
      <c r="S234" s="266"/>
      <c r="T234" s="266"/>
      <c r="U234" s="266"/>
    </row>
    <row r="235" spans="1:24" ht="30" customHeight="1">
      <c r="A235" s="204" t="str">
        <f>IF(ISBLANK(D235)," ",238-COUNTBLANK($D$6:D235))</f>
        <v xml:space="preserve"> </v>
      </c>
      <c r="B235" s="202"/>
      <c r="C235" s="202"/>
      <c r="D235" s="202"/>
      <c r="E235" s="304"/>
      <c r="F235" s="211"/>
      <c r="G235" s="203"/>
      <c r="H235" s="203"/>
      <c r="I235" s="203"/>
      <c r="J235" s="203"/>
      <c r="K235" s="205"/>
      <c r="L235" s="295"/>
      <c r="M235" s="264"/>
      <c r="N235" s="265"/>
      <c r="O235" s="266"/>
      <c r="P235" s="266"/>
      <c r="Q235" s="266"/>
      <c r="R235" s="266"/>
      <c r="S235" s="266"/>
      <c r="T235" s="266"/>
      <c r="U235" s="266"/>
    </row>
    <row r="236" spans="1:24" ht="30" customHeight="1">
      <c r="A236" s="204" t="str">
        <f>IF(ISBLANK(D236)," ",239-COUNTBLANK($D$6:D236))</f>
        <v xml:space="preserve"> </v>
      </c>
      <c r="B236" s="202"/>
      <c r="C236" s="202"/>
      <c r="D236" s="202"/>
      <c r="E236" s="304"/>
      <c r="F236" s="211"/>
      <c r="G236" s="203"/>
      <c r="H236" s="203"/>
      <c r="I236" s="203"/>
      <c r="J236" s="203"/>
      <c r="K236" s="205"/>
      <c r="L236" s="295"/>
      <c r="M236" s="264"/>
      <c r="N236" s="265"/>
      <c r="O236" s="266"/>
      <c r="P236" s="266"/>
      <c r="Q236" s="266"/>
      <c r="R236" s="266"/>
      <c r="S236" s="266"/>
      <c r="T236" s="266"/>
      <c r="U236" s="266"/>
    </row>
    <row r="237" spans="1:24" ht="30" customHeight="1">
      <c r="A237" s="204" t="str">
        <f>IF(ISBLANK(D237)," ",240-COUNTBLANK($D$6:D237))</f>
        <v xml:space="preserve"> </v>
      </c>
      <c r="B237" s="202"/>
      <c r="C237" s="202"/>
      <c r="D237" s="202"/>
      <c r="E237" s="304"/>
      <c r="F237" s="211"/>
      <c r="G237" s="203"/>
      <c r="H237" s="203"/>
      <c r="I237" s="203"/>
      <c r="J237" s="203"/>
      <c r="K237" s="205"/>
      <c r="L237" s="295"/>
      <c r="M237" s="264"/>
      <c r="N237" s="265"/>
      <c r="O237" s="266"/>
      <c r="P237" s="266"/>
      <c r="Q237" s="266"/>
      <c r="R237" s="266"/>
      <c r="S237" s="266"/>
      <c r="T237" s="266"/>
      <c r="U237" s="266"/>
    </row>
    <row r="238" spans="1:24" ht="30" customHeight="1">
      <c r="A238" s="204" t="str">
        <f>IF(ISBLANK(D238)," ",241-COUNTBLANK($D$6:D238))</f>
        <v xml:space="preserve"> </v>
      </c>
      <c r="B238" s="202"/>
      <c r="C238" s="202"/>
      <c r="D238" s="202"/>
      <c r="E238" s="304"/>
      <c r="F238" s="211"/>
      <c r="G238" s="203"/>
      <c r="H238" s="203"/>
      <c r="I238" s="203"/>
      <c r="J238" s="203"/>
      <c r="K238" s="205"/>
      <c r="L238" s="295"/>
      <c r="M238" s="264"/>
      <c r="N238" s="265"/>
      <c r="O238" s="266"/>
      <c r="P238" s="266"/>
      <c r="Q238" s="266"/>
      <c r="R238" s="266"/>
      <c r="S238" s="266"/>
      <c r="T238" s="266"/>
      <c r="U238" s="266"/>
    </row>
    <row r="239" spans="1:24" ht="30" customHeight="1">
      <c r="A239" s="204" t="str">
        <f>IF(ISBLANK(D239)," ",242-COUNTBLANK($D$6:D239))</f>
        <v xml:space="preserve"> </v>
      </c>
      <c r="B239" s="202"/>
      <c r="C239" s="202"/>
      <c r="D239" s="202"/>
      <c r="E239" s="304"/>
      <c r="F239" s="211"/>
      <c r="G239" s="203"/>
      <c r="H239" s="203"/>
      <c r="I239" s="203"/>
      <c r="J239" s="203"/>
      <c r="K239" s="205"/>
      <c r="L239" s="295"/>
      <c r="M239" s="264"/>
      <c r="N239" s="265"/>
      <c r="O239" s="266"/>
      <c r="P239" s="266"/>
      <c r="Q239" s="266"/>
      <c r="R239" s="266"/>
      <c r="S239" s="266"/>
      <c r="T239" s="266"/>
      <c r="U239" s="266"/>
    </row>
    <row r="240" spans="1:24" ht="30" customHeight="1">
      <c r="A240" s="204" t="str">
        <f>IF(ISBLANK(D240)," ",243-COUNTBLANK($D$6:D240))</f>
        <v xml:space="preserve"> </v>
      </c>
      <c r="B240" s="202"/>
      <c r="C240" s="202"/>
      <c r="D240" s="202"/>
      <c r="E240" s="304"/>
      <c r="F240" s="211"/>
      <c r="G240" s="203"/>
      <c r="H240" s="203"/>
      <c r="I240" s="203"/>
      <c r="J240" s="203"/>
      <c r="K240" s="205"/>
      <c r="L240" s="295"/>
      <c r="M240" s="264"/>
      <c r="N240" s="265"/>
      <c r="O240" s="266"/>
      <c r="P240" s="266"/>
      <c r="Q240" s="266"/>
      <c r="R240" s="266"/>
      <c r="S240" s="266"/>
      <c r="T240" s="266"/>
      <c r="U240" s="266"/>
    </row>
    <row r="241" spans="1:24" ht="30" customHeight="1">
      <c r="A241" s="204" t="str">
        <f>IF(ISBLANK(D241)," ",244-COUNTBLANK($D$6:D241))</f>
        <v xml:space="preserve"> </v>
      </c>
      <c r="B241" s="202"/>
      <c r="C241" s="202"/>
      <c r="D241" s="202"/>
      <c r="E241" s="304"/>
      <c r="F241" s="211"/>
      <c r="G241" s="203"/>
      <c r="H241" s="203"/>
      <c r="I241" s="203"/>
      <c r="J241" s="203"/>
      <c r="K241" s="205"/>
      <c r="L241" s="295"/>
      <c r="M241" s="264"/>
      <c r="N241" s="265"/>
      <c r="O241" s="266"/>
      <c r="P241" s="266"/>
      <c r="Q241" s="266"/>
      <c r="R241" s="266"/>
      <c r="S241" s="266"/>
      <c r="T241" s="266"/>
      <c r="U241" s="266"/>
    </row>
    <row r="242" spans="1:24" ht="30" customHeight="1">
      <c r="A242" s="204" t="str">
        <f>IF(ISBLANK(D242)," ",245-COUNTBLANK($D$6:D242))</f>
        <v xml:space="preserve"> </v>
      </c>
      <c r="B242" s="202"/>
      <c r="C242" s="202"/>
      <c r="D242" s="202"/>
      <c r="E242" s="304"/>
      <c r="F242" s="211"/>
      <c r="G242" s="203"/>
      <c r="H242" s="203"/>
      <c r="I242" s="203"/>
      <c r="J242" s="203"/>
      <c r="K242" s="205"/>
      <c r="L242" s="295"/>
      <c r="M242" s="264"/>
      <c r="N242" s="265"/>
      <c r="O242" s="266"/>
      <c r="P242" s="266"/>
      <c r="Q242" s="266"/>
      <c r="R242" s="266"/>
      <c r="S242" s="266"/>
      <c r="T242" s="266"/>
      <c r="U242" s="266"/>
    </row>
    <row r="243" spans="1:24" ht="30" customHeight="1">
      <c r="A243" s="204" t="str">
        <f>IF(ISBLANK(D243)," ",246-COUNTBLANK($D$6:D243))</f>
        <v xml:space="preserve"> </v>
      </c>
      <c r="B243" s="202"/>
      <c r="C243" s="202"/>
      <c r="D243" s="202"/>
      <c r="E243" s="304"/>
      <c r="F243" s="211"/>
      <c r="G243" s="203"/>
      <c r="H243" s="203"/>
      <c r="I243" s="203"/>
      <c r="J243" s="203"/>
      <c r="K243" s="205"/>
      <c r="L243" s="295"/>
      <c r="M243" s="264"/>
      <c r="N243" s="265"/>
      <c r="O243" s="266"/>
      <c r="P243" s="266"/>
      <c r="Q243" s="266"/>
      <c r="R243" s="266"/>
      <c r="S243" s="266"/>
      <c r="T243" s="266"/>
      <c r="U243" s="266"/>
    </row>
    <row r="244" spans="1:24" ht="30" customHeight="1">
      <c r="A244" s="204" t="str">
        <f>IF(ISBLANK(D244)," ",247-COUNTBLANK($D$6:D244))</f>
        <v xml:space="preserve"> </v>
      </c>
      <c r="B244" s="202"/>
      <c r="C244" s="202"/>
      <c r="D244" s="202"/>
      <c r="E244" s="304"/>
      <c r="F244" s="211"/>
      <c r="G244" s="203"/>
      <c r="H244" s="203"/>
      <c r="I244" s="203"/>
      <c r="J244" s="203"/>
      <c r="K244" s="205"/>
      <c r="L244" s="295"/>
      <c r="M244" s="264"/>
      <c r="N244" s="265"/>
      <c r="O244" s="266"/>
      <c r="P244" s="266"/>
      <c r="Q244" s="266"/>
      <c r="R244" s="266"/>
      <c r="S244" s="266"/>
      <c r="T244" s="266"/>
      <c r="U244" s="266"/>
    </row>
    <row r="245" spans="1:24" ht="30" customHeight="1">
      <c r="A245" s="204" t="str">
        <f>IF(ISBLANK(D245)," ",248-COUNTBLANK($D$6:D245))</f>
        <v xml:space="preserve"> </v>
      </c>
      <c r="B245" s="202"/>
      <c r="C245" s="202"/>
      <c r="D245" s="202"/>
      <c r="E245" s="304"/>
      <c r="F245" s="211"/>
      <c r="G245" s="203"/>
      <c r="H245" s="203"/>
      <c r="I245" s="203"/>
      <c r="J245" s="203"/>
      <c r="K245" s="205"/>
      <c r="L245" s="295"/>
      <c r="M245" s="264"/>
      <c r="N245" s="267"/>
      <c r="O245" s="266"/>
      <c r="P245" s="266"/>
      <c r="Q245" s="266"/>
      <c r="R245" s="266"/>
      <c r="S245" s="266"/>
      <c r="T245" s="266"/>
      <c r="U245" s="268"/>
    </row>
    <row r="246" spans="1:24" ht="30" customHeight="1">
      <c r="A246" s="204" t="str">
        <f>IF(ISBLANK(D246)," ",249-COUNTBLANK($D$6:D246))</f>
        <v xml:space="preserve"> </v>
      </c>
      <c r="B246" s="202"/>
      <c r="C246" s="202"/>
      <c r="D246" s="202"/>
      <c r="E246" s="304"/>
      <c r="F246" s="211"/>
      <c r="G246" s="203"/>
      <c r="H246" s="203"/>
      <c r="I246" s="203"/>
      <c r="J246" s="203"/>
      <c r="K246" s="205"/>
      <c r="L246" s="295"/>
      <c r="M246" s="264"/>
      <c r="N246" s="267"/>
      <c r="O246" s="266"/>
      <c r="P246" s="266"/>
      <c r="Q246" s="266"/>
      <c r="R246" s="266"/>
      <c r="S246" s="266"/>
      <c r="T246" s="266"/>
      <c r="U246" s="268"/>
    </row>
    <row r="247" spans="1:24" ht="30" customHeight="1">
      <c r="A247" s="204" t="str">
        <f>IF(ISBLANK(D247)," ",250-COUNTBLANK($D$6:D247))</f>
        <v xml:space="preserve"> </v>
      </c>
      <c r="B247" s="202"/>
      <c r="C247" s="202"/>
      <c r="D247" s="202"/>
      <c r="E247" s="304"/>
      <c r="F247" s="211"/>
      <c r="G247" s="203"/>
      <c r="H247" s="203"/>
      <c r="I247" s="203"/>
      <c r="J247" s="203"/>
      <c r="K247" s="205"/>
      <c r="L247" s="295"/>
      <c r="M247" s="264"/>
      <c r="N247" s="267"/>
      <c r="O247" s="266"/>
      <c r="P247" s="266"/>
      <c r="Q247" s="266"/>
      <c r="R247" s="266"/>
      <c r="S247" s="266"/>
      <c r="T247" s="266"/>
      <c r="U247" s="268"/>
    </row>
    <row r="248" spans="1:24" ht="30" customHeight="1">
      <c r="A248" s="204" t="str">
        <f>IF(ISBLANK(D248)," ",251-COUNTBLANK($D$6:D248))</f>
        <v xml:space="preserve"> </v>
      </c>
      <c r="B248" s="202"/>
      <c r="C248" s="202"/>
      <c r="D248" s="202"/>
      <c r="E248" s="304"/>
      <c r="F248" s="211"/>
      <c r="G248" s="203"/>
      <c r="H248" s="203"/>
      <c r="I248" s="203"/>
      <c r="J248" s="203"/>
      <c r="K248" s="205"/>
      <c r="L248" s="295"/>
      <c r="M248" s="264"/>
      <c r="N248" s="267"/>
      <c r="O248" s="266"/>
      <c r="P248" s="266"/>
      <c r="Q248" s="266"/>
      <c r="R248" s="266"/>
      <c r="S248" s="266"/>
      <c r="T248" s="266"/>
      <c r="U248" s="268"/>
    </row>
    <row r="249" spans="1:24" ht="30" customHeight="1">
      <c r="A249" s="308" t="s">
        <v>58</v>
      </c>
      <c r="B249" s="300"/>
      <c r="C249" s="309"/>
      <c r="D249" s="310"/>
      <c r="E249" s="301"/>
      <c r="F249" s="302">
        <f>SUM(F229:F248)</f>
        <v>0</v>
      </c>
      <c r="G249" s="286"/>
      <c r="H249" s="286"/>
      <c r="I249" s="286"/>
      <c r="J249" s="286"/>
      <c r="K249" s="287"/>
      <c r="L249" s="307"/>
      <c r="M249" s="264"/>
      <c r="N249" s="265"/>
      <c r="O249" s="266"/>
      <c r="P249" s="266"/>
      <c r="Q249" s="266"/>
      <c r="R249" s="266"/>
      <c r="S249" s="266"/>
      <c r="T249" s="266"/>
      <c r="U249" s="288"/>
      <c r="V249" s="266"/>
      <c r="W249" s="266"/>
      <c r="X249" s="266"/>
    </row>
    <row r="250" spans="1:24" ht="30" customHeight="1">
      <c r="A250" s="261" t="str">
        <f>IF(ISBLANK(D250)," ",253-COUNTBLANK($D$6:D250))</f>
        <v xml:space="preserve"> </v>
      </c>
      <c r="B250" s="200"/>
      <c r="C250" s="200"/>
      <c r="D250" s="200"/>
      <c r="E250" s="303"/>
      <c r="F250" s="210"/>
      <c r="G250" s="201"/>
      <c r="H250" s="201"/>
      <c r="I250" s="201"/>
      <c r="J250" s="201"/>
      <c r="K250" s="263"/>
      <c r="L250" s="295"/>
      <c r="M250" s="264"/>
      <c r="N250" s="267"/>
      <c r="O250" s="266"/>
      <c r="P250" s="266"/>
      <c r="Q250" s="266"/>
      <c r="R250" s="266"/>
      <c r="S250" s="266"/>
      <c r="T250" s="266"/>
      <c r="U250" s="288"/>
      <c r="V250" s="266"/>
      <c r="W250" s="266"/>
      <c r="X250" s="266"/>
    </row>
    <row r="251" spans="1:24" ht="30" customHeight="1">
      <c r="A251" s="204" t="str">
        <f>IF(ISBLANK(D251)," ",254-COUNTBLANK($D$6:D251))</f>
        <v xml:space="preserve"> </v>
      </c>
      <c r="B251" s="202"/>
      <c r="C251" s="202"/>
      <c r="D251" s="202"/>
      <c r="E251" s="304"/>
      <c r="F251" s="211"/>
      <c r="G251" s="203"/>
      <c r="H251" s="203"/>
      <c r="I251" s="203"/>
      <c r="J251" s="203"/>
      <c r="K251" s="205"/>
      <c r="L251" s="295"/>
      <c r="M251" s="264"/>
      <c r="N251" s="265"/>
      <c r="O251" s="266"/>
      <c r="P251" s="266"/>
      <c r="Q251" s="266"/>
      <c r="R251" s="266"/>
      <c r="S251" s="266"/>
      <c r="T251" s="266"/>
      <c r="U251" s="266"/>
    </row>
    <row r="252" spans="1:24" ht="30" customHeight="1">
      <c r="A252" s="204" t="str">
        <f>IF(ISBLANK(D252)," ",255-COUNTBLANK($D$6:D252))</f>
        <v xml:space="preserve"> </v>
      </c>
      <c r="B252" s="202"/>
      <c r="C252" s="202"/>
      <c r="D252" s="202"/>
      <c r="E252" s="304"/>
      <c r="F252" s="211"/>
      <c r="G252" s="203"/>
      <c r="H252" s="203"/>
      <c r="I252" s="203"/>
      <c r="J252" s="203"/>
      <c r="K252" s="205"/>
      <c r="L252" s="295"/>
      <c r="M252" s="264"/>
      <c r="N252" s="265"/>
      <c r="O252" s="266"/>
      <c r="P252" s="266"/>
      <c r="Q252" s="266"/>
      <c r="R252" s="266"/>
      <c r="S252" s="266"/>
      <c r="T252" s="266"/>
      <c r="U252" s="266"/>
    </row>
    <row r="253" spans="1:24" ht="30" customHeight="1">
      <c r="A253" s="204" t="str">
        <f>IF(ISBLANK(D253)," ",256-COUNTBLANK($D$6:D253))</f>
        <v xml:space="preserve"> </v>
      </c>
      <c r="B253" s="202"/>
      <c r="C253" s="202"/>
      <c r="D253" s="202"/>
      <c r="E253" s="304"/>
      <c r="F253" s="211"/>
      <c r="G253" s="203"/>
      <c r="H253" s="203"/>
      <c r="I253" s="203"/>
      <c r="J253" s="203"/>
      <c r="K253" s="205"/>
      <c r="L253" s="295"/>
      <c r="M253" s="264"/>
      <c r="N253" s="265"/>
      <c r="O253" s="266"/>
      <c r="P253" s="266"/>
      <c r="Q253" s="266"/>
      <c r="R253" s="266"/>
      <c r="S253" s="266"/>
      <c r="T253" s="266"/>
      <c r="U253" s="266"/>
    </row>
    <row r="254" spans="1:24" ht="30" customHeight="1">
      <c r="A254" s="204" t="str">
        <f>IF(ISBLANK(D254)," ",257-COUNTBLANK($D$6:D254))</f>
        <v xml:space="preserve"> </v>
      </c>
      <c r="B254" s="202"/>
      <c r="C254" s="202"/>
      <c r="D254" s="202"/>
      <c r="E254" s="304"/>
      <c r="F254" s="211"/>
      <c r="G254" s="203"/>
      <c r="H254" s="203"/>
      <c r="I254" s="203"/>
      <c r="J254" s="203"/>
      <c r="K254" s="205"/>
      <c r="L254" s="295"/>
      <c r="M254" s="264"/>
      <c r="N254" s="265"/>
      <c r="O254" s="266"/>
      <c r="P254" s="266"/>
      <c r="Q254" s="266"/>
      <c r="R254" s="266"/>
      <c r="S254" s="266"/>
      <c r="T254" s="266"/>
      <c r="U254" s="266"/>
    </row>
    <row r="255" spans="1:24" ht="30" customHeight="1">
      <c r="A255" s="204" t="str">
        <f>IF(ISBLANK(D255)," ",258-COUNTBLANK($D$6:D255))</f>
        <v xml:space="preserve"> </v>
      </c>
      <c r="B255" s="202"/>
      <c r="C255" s="202"/>
      <c r="D255" s="202"/>
      <c r="E255" s="304"/>
      <c r="F255" s="211"/>
      <c r="G255" s="203"/>
      <c r="H255" s="203"/>
      <c r="I255" s="203"/>
      <c r="J255" s="203"/>
      <c r="K255" s="205"/>
      <c r="L255" s="295"/>
      <c r="M255" s="264"/>
      <c r="N255" s="265"/>
      <c r="O255" s="266"/>
      <c r="P255" s="266"/>
      <c r="Q255" s="266"/>
      <c r="R255" s="266"/>
      <c r="S255" s="266"/>
      <c r="T255" s="266"/>
      <c r="U255" s="266"/>
    </row>
    <row r="256" spans="1:24" ht="30" customHeight="1">
      <c r="A256" s="204" t="str">
        <f>IF(ISBLANK(D256)," ",259-COUNTBLANK($D$6:D256))</f>
        <v xml:space="preserve"> </v>
      </c>
      <c r="B256" s="202"/>
      <c r="C256" s="202"/>
      <c r="D256" s="202"/>
      <c r="E256" s="304"/>
      <c r="F256" s="211"/>
      <c r="G256" s="203"/>
      <c r="H256" s="203"/>
      <c r="I256" s="203"/>
      <c r="J256" s="203"/>
      <c r="K256" s="205"/>
      <c r="L256" s="295"/>
      <c r="M256" s="264"/>
      <c r="N256" s="265"/>
      <c r="O256" s="266"/>
      <c r="P256" s="266"/>
      <c r="Q256" s="266"/>
      <c r="R256" s="266"/>
      <c r="S256" s="266"/>
      <c r="T256" s="266"/>
      <c r="U256" s="266"/>
    </row>
    <row r="257" spans="1:24" ht="30" customHeight="1">
      <c r="A257" s="204" t="str">
        <f>IF(ISBLANK(D257)," ",260-COUNTBLANK($D$6:D257))</f>
        <v xml:space="preserve"> </v>
      </c>
      <c r="B257" s="202"/>
      <c r="C257" s="202"/>
      <c r="D257" s="202"/>
      <c r="E257" s="304"/>
      <c r="F257" s="211"/>
      <c r="G257" s="203"/>
      <c r="H257" s="203"/>
      <c r="I257" s="203"/>
      <c r="J257" s="203"/>
      <c r="K257" s="205"/>
      <c r="L257" s="295"/>
      <c r="M257" s="264"/>
      <c r="N257" s="265"/>
      <c r="O257" s="266"/>
      <c r="P257" s="266"/>
      <c r="Q257" s="266"/>
      <c r="R257" s="266"/>
      <c r="S257" s="266"/>
      <c r="T257" s="266"/>
      <c r="U257" s="266"/>
    </row>
    <row r="258" spans="1:24" ht="30" customHeight="1">
      <c r="A258" s="204" t="str">
        <f>IF(ISBLANK(D258)," ",261-COUNTBLANK($D$6:D258))</f>
        <v xml:space="preserve"> </v>
      </c>
      <c r="B258" s="202"/>
      <c r="C258" s="202"/>
      <c r="D258" s="202"/>
      <c r="E258" s="304"/>
      <c r="F258" s="211"/>
      <c r="G258" s="203"/>
      <c r="H258" s="203"/>
      <c r="I258" s="203"/>
      <c r="J258" s="203"/>
      <c r="K258" s="205"/>
      <c r="L258" s="295"/>
      <c r="M258" s="264"/>
      <c r="N258" s="265"/>
      <c r="O258" s="266"/>
      <c r="P258" s="266"/>
      <c r="Q258" s="266"/>
      <c r="R258" s="266"/>
      <c r="S258" s="266"/>
      <c r="T258" s="266"/>
      <c r="U258" s="266"/>
    </row>
    <row r="259" spans="1:24" ht="30" customHeight="1">
      <c r="A259" s="204" t="str">
        <f>IF(ISBLANK(D259)," ",262-COUNTBLANK($D$6:D259))</f>
        <v xml:space="preserve"> </v>
      </c>
      <c r="B259" s="202"/>
      <c r="C259" s="202"/>
      <c r="D259" s="202"/>
      <c r="E259" s="304"/>
      <c r="F259" s="211"/>
      <c r="G259" s="203"/>
      <c r="H259" s="203"/>
      <c r="I259" s="203"/>
      <c r="J259" s="203"/>
      <c r="K259" s="205"/>
      <c r="L259" s="295"/>
      <c r="M259" s="264"/>
      <c r="N259" s="265"/>
      <c r="O259" s="266"/>
      <c r="P259" s="266"/>
      <c r="Q259" s="266"/>
      <c r="R259" s="266"/>
      <c r="S259" s="266"/>
      <c r="T259" s="266"/>
      <c r="U259" s="266"/>
    </row>
    <row r="260" spans="1:24" ht="30" customHeight="1">
      <c r="A260" s="204" t="str">
        <f>IF(ISBLANK(D260)," ",263-COUNTBLANK($D$6:D260))</f>
        <v xml:space="preserve"> </v>
      </c>
      <c r="B260" s="202"/>
      <c r="C260" s="202"/>
      <c r="D260" s="202"/>
      <c r="E260" s="304"/>
      <c r="F260" s="211"/>
      <c r="G260" s="203"/>
      <c r="H260" s="203"/>
      <c r="I260" s="203"/>
      <c r="J260" s="203"/>
      <c r="K260" s="205"/>
      <c r="L260" s="295"/>
      <c r="M260" s="264"/>
      <c r="N260" s="265"/>
      <c r="O260" s="266"/>
      <c r="P260" s="266"/>
      <c r="Q260" s="266"/>
      <c r="R260" s="266"/>
      <c r="S260" s="266"/>
      <c r="T260" s="266"/>
      <c r="U260" s="266"/>
    </row>
    <row r="261" spans="1:24" ht="30" customHeight="1">
      <c r="A261" s="204" t="str">
        <f>IF(ISBLANK(D261)," ",264-COUNTBLANK($D$6:D261))</f>
        <v xml:space="preserve"> </v>
      </c>
      <c r="B261" s="202"/>
      <c r="C261" s="202"/>
      <c r="D261" s="202"/>
      <c r="E261" s="304"/>
      <c r="F261" s="211"/>
      <c r="G261" s="203"/>
      <c r="H261" s="203"/>
      <c r="I261" s="203"/>
      <c r="J261" s="203"/>
      <c r="K261" s="205"/>
      <c r="L261" s="295"/>
      <c r="M261" s="264"/>
      <c r="N261" s="265"/>
      <c r="O261" s="266"/>
      <c r="P261" s="266"/>
      <c r="Q261" s="266"/>
      <c r="R261" s="266"/>
      <c r="S261" s="266"/>
      <c r="T261" s="266"/>
      <c r="U261" s="266"/>
    </row>
    <row r="262" spans="1:24" ht="30" customHeight="1">
      <c r="A262" s="204" t="str">
        <f>IF(ISBLANK(D262)," ",265-COUNTBLANK($D$6:D262))</f>
        <v xml:space="preserve"> </v>
      </c>
      <c r="B262" s="202"/>
      <c r="C262" s="202"/>
      <c r="D262" s="202"/>
      <c r="E262" s="304"/>
      <c r="F262" s="211"/>
      <c r="G262" s="203"/>
      <c r="H262" s="203"/>
      <c r="I262" s="203"/>
      <c r="J262" s="203"/>
      <c r="K262" s="205"/>
      <c r="L262" s="295"/>
      <c r="M262" s="264"/>
      <c r="N262" s="265"/>
      <c r="O262" s="266"/>
      <c r="P262" s="266"/>
      <c r="Q262" s="266"/>
      <c r="R262" s="266"/>
      <c r="S262" s="266"/>
      <c r="T262" s="266"/>
      <c r="U262" s="266"/>
    </row>
    <row r="263" spans="1:24" ht="30" customHeight="1">
      <c r="A263" s="204" t="str">
        <f>IF(ISBLANK(D263)," ",266-COUNTBLANK($D$6:D263))</f>
        <v xml:space="preserve"> </v>
      </c>
      <c r="B263" s="202"/>
      <c r="C263" s="202"/>
      <c r="D263" s="202"/>
      <c r="E263" s="304"/>
      <c r="F263" s="211"/>
      <c r="G263" s="203"/>
      <c r="H263" s="203"/>
      <c r="I263" s="203"/>
      <c r="J263" s="203"/>
      <c r="K263" s="205"/>
      <c r="L263" s="295"/>
      <c r="M263" s="264"/>
      <c r="N263" s="265"/>
      <c r="O263" s="266"/>
      <c r="P263" s="266"/>
      <c r="Q263" s="266"/>
      <c r="R263" s="266"/>
      <c r="S263" s="266"/>
      <c r="T263" s="266"/>
      <c r="U263" s="266"/>
    </row>
    <row r="264" spans="1:24" ht="30" customHeight="1">
      <c r="A264" s="204" t="str">
        <f>IF(ISBLANK(D264)," ",267-COUNTBLANK($D$6:D264))</f>
        <v xml:space="preserve"> </v>
      </c>
      <c r="B264" s="202"/>
      <c r="C264" s="202"/>
      <c r="D264" s="202"/>
      <c r="E264" s="304"/>
      <c r="F264" s="211"/>
      <c r="G264" s="203"/>
      <c r="H264" s="203"/>
      <c r="I264" s="203"/>
      <c r="J264" s="203"/>
      <c r="K264" s="205"/>
      <c r="L264" s="295"/>
      <c r="M264" s="264"/>
      <c r="N264" s="265"/>
      <c r="O264" s="266"/>
      <c r="P264" s="266"/>
      <c r="Q264" s="266"/>
      <c r="R264" s="266"/>
      <c r="S264" s="266"/>
      <c r="T264" s="266"/>
      <c r="U264" s="266"/>
    </row>
    <row r="265" spans="1:24" ht="30" customHeight="1">
      <c r="A265" s="204" t="str">
        <f>IF(ISBLANK(D265)," ",268-COUNTBLANK($D$6:D265))</f>
        <v xml:space="preserve"> </v>
      </c>
      <c r="B265" s="202"/>
      <c r="C265" s="202"/>
      <c r="D265" s="202"/>
      <c r="E265" s="304"/>
      <c r="F265" s="211"/>
      <c r="G265" s="203"/>
      <c r="H265" s="203"/>
      <c r="I265" s="203"/>
      <c r="J265" s="203"/>
      <c r="K265" s="205"/>
      <c r="L265" s="295"/>
      <c r="M265" s="264"/>
      <c r="N265" s="265"/>
      <c r="O265" s="266"/>
      <c r="P265" s="266"/>
      <c r="Q265" s="266"/>
      <c r="R265" s="266"/>
      <c r="S265" s="266"/>
      <c r="T265" s="266"/>
      <c r="U265" s="266"/>
    </row>
    <row r="266" spans="1:24" ht="30" customHeight="1">
      <c r="A266" s="204" t="str">
        <f>IF(ISBLANK(D266)," ",269-COUNTBLANK($D$6:D266))</f>
        <v xml:space="preserve"> </v>
      </c>
      <c r="B266" s="202"/>
      <c r="C266" s="202"/>
      <c r="D266" s="202"/>
      <c r="E266" s="304"/>
      <c r="F266" s="211"/>
      <c r="G266" s="203"/>
      <c r="H266" s="203"/>
      <c r="I266" s="203"/>
      <c r="J266" s="203"/>
      <c r="K266" s="205"/>
      <c r="L266" s="295"/>
      <c r="M266" s="264"/>
      <c r="N266" s="267"/>
      <c r="O266" s="266"/>
      <c r="P266" s="266"/>
      <c r="Q266" s="266"/>
      <c r="R266" s="266"/>
      <c r="S266" s="266"/>
      <c r="T266" s="266"/>
      <c r="U266" s="268"/>
    </row>
    <row r="267" spans="1:24" ht="30" customHeight="1">
      <c r="A267" s="204" t="str">
        <f>IF(ISBLANK(D267)," ",270-COUNTBLANK($D$6:D267))</f>
        <v xml:space="preserve"> </v>
      </c>
      <c r="B267" s="202"/>
      <c r="C267" s="202"/>
      <c r="D267" s="202"/>
      <c r="E267" s="304"/>
      <c r="F267" s="211"/>
      <c r="G267" s="203"/>
      <c r="H267" s="203"/>
      <c r="I267" s="203"/>
      <c r="J267" s="203"/>
      <c r="K267" s="205"/>
      <c r="L267" s="295"/>
      <c r="M267" s="264"/>
      <c r="N267" s="267"/>
      <c r="O267" s="266"/>
      <c r="P267" s="266"/>
      <c r="Q267" s="266"/>
      <c r="R267" s="266"/>
      <c r="S267" s="266"/>
      <c r="T267" s="266"/>
      <c r="U267" s="268"/>
    </row>
    <row r="268" spans="1:24" ht="30" customHeight="1">
      <c r="A268" s="204" t="str">
        <f>IF(ISBLANK(D268)," ",271-COUNTBLANK($D$6:D268))</f>
        <v xml:space="preserve"> </v>
      </c>
      <c r="B268" s="202"/>
      <c r="C268" s="202"/>
      <c r="D268" s="202"/>
      <c r="E268" s="304"/>
      <c r="F268" s="211"/>
      <c r="G268" s="203"/>
      <c r="H268" s="203"/>
      <c r="I268" s="203"/>
      <c r="J268" s="203"/>
      <c r="K268" s="205"/>
      <c r="L268" s="295"/>
      <c r="M268" s="264"/>
      <c r="N268" s="267"/>
      <c r="O268" s="266"/>
      <c r="P268" s="266"/>
      <c r="Q268" s="266"/>
      <c r="R268" s="266"/>
      <c r="S268" s="266"/>
      <c r="T268" s="266"/>
      <c r="U268" s="268"/>
    </row>
    <row r="269" spans="1:24" ht="30" customHeight="1">
      <c r="A269" s="204" t="str">
        <f>IF(ISBLANK(D269)," ",272-COUNTBLANK($D$6:D269))</f>
        <v xml:space="preserve"> </v>
      </c>
      <c r="B269" s="202"/>
      <c r="C269" s="202"/>
      <c r="D269" s="202"/>
      <c r="E269" s="304"/>
      <c r="F269" s="211"/>
      <c r="G269" s="203"/>
      <c r="H269" s="203"/>
      <c r="I269" s="203"/>
      <c r="J269" s="203"/>
      <c r="K269" s="205"/>
      <c r="L269" s="295"/>
      <c r="M269" s="264"/>
      <c r="N269" s="267"/>
      <c r="O269" s="266"/>
      <c r="P269" s="266"/>
      <c r="Q269" s="266"/>
      <c r="R269" s="266"/>
      <c r="S269" s="266"/>
      <c r="T269" s="266"/>
      <c r="U269" s="268"/>
    </row>
    <row r="270" spans="1:24" ht="30" customHeight="1">
      <c r="A270" s="308" t="s">
        <v>58</v>
      </c>
      <c r="B270" s="300"/>
      <c r="C270" s="309"/>
      <c r="D270" s="310"/>
      <c r="E270" s="301"/>
      <c r="F270" s="302">
        <f>SUM(F250:F269)</f>
        <v>0</v>
      </c>
      <c r="G270" s="286"/>
      <c r="H270" s="286"/>
      <c r="I270" s="286"/>
      <c r="J270" s="286"/>
      <c r="K270" s="287"/>
      <c r="L270" s="307"/>
      <c r="M270" s="264"/>
      <c r="N270" s="265"/>
      <c r="O270" s="266"/>
      <c r="P270" s="266"/>
      <c r="Q270" s="266"/>
      <c r="R270" s="266"/>
      <c r="S270" s="266"/>
      <c r="T270" s="266"/>
      <c r="U270" s="288"/>
      <c r="V270" s="266"/>
      <c r="W270" s="266"/>
      <c r="X270" s="266"/>
    </row>
    <row r="271" spans="1:24" ht="30" customHeight="1">
      <c r="A271" s="261" t="str">
        <f>IF(ISBLANK(D271)," ",274-COUNTBLANK($D$6:D271))</f>
        <v xml:space="preserve"> </v>
      </c>
      <c r="B271" s="200"/>
      <c r="C271" s="200"/>
      <c r="D271" s="200"/>
      <c r="E271" s="303"/>
      <c r="F271" s="210"/>
      <c r="G271" s="201"/>
      <c r="H271" s="201"/>
      <c r="I271" s="201"/>
      <c r="J271" s="201"/>
      <c r="K271" s="263"/>
      <c r="L271" s="295"/>
      <c r="M271" s="264"/>
      <c r="N271" s="267"/>
      <c r="O271" s="266"/>
      <c r="P271" s="266"/>
      <c r="Q271" s="266"/>
      <c r="R271" s="266"/>
      <c r="S271" s="266"/>
      <c r="T271" s="266"/>
      <c r="U271" s="288"/>
      <c r="V271" s="266"/>
      <c r="W271" s="266"/>
      <c r="X271" s="266"/>
    </row>
    <row r="272" spans="1:24" ht="30" customHeight="1">
      <c r="A272" s="204" t="str">
        <f>IF(ISBLANK(D272)," ",275-COUNTBLANK($D$6:D272))</f>
        <v xml:space="preserve"> </v>
      </c>
      <c r="B272" s="202"/>
      <c r="C272" s="202"/>
      <c r="D272" s="202"/>
      <c r="E272" s="304"/>
      <c r="F272" s="211"/>
      <c r="G272" s="203"/>
      <c r="H272" s="203"/>
      <c r="I272" s="203"/>
      <c r="J272" s="203"/>
      <c r="K272" s="205"/>
      <c r="L272" s="295"/>
      <c r="M272" s="264"/>
      <c r="N272" s="265"/>
      <c r="O272" s="266"/>
      <c r="P272" s="266"/>
      <c r="Q272" s="266"/>
      <c r="R272" s="266"/>
      <c r="S272" s="266"/>
      <c r="T272" s="266"/>
      <c r="U272" s="266"/>
    </row>
    <row r="273" spans="1:21" ht="30" customHeight="1">
      <c r="A273" s="204" t="str">
        <f>IF(ISBLANK(D273)," ",276-COUNTBLANK($D$6:D273))</f>
        <v xml:space="preserve"> </v>
      </c>
      <c r="B273" s="202"/>
      <c r="C273" s="202"/>
      <c r="D273" s="202"/>
      <c r="E273" s="304"/>
      <c r="F273" s="211"/>
      <c r="G273" s="203"/>
      <c r="H273" s="203"/>
      <c r="I273" s="203"/>
      <c r="J273" s="203"/>
      <c r="K273" s="205"/>
      <c r="L273" s="295"/>
      <c r="M273" s="264"/>
      <c r="N273" s="265"/>
      <c r="O273" s="266"/>
      <c r="P273" s="266"/>
      <c r="Q273" s="266"/>
      <c r="R273" s="266"/>
      <c r="S273" s="266"/>
      <c r="T273" s="266"/>
      <c r="U273" s="266"/>
    </row>
    <row r="274" spans="1:21" ht="30" customHeight="1">
      <c r="A274" s="204" t="str">
        <f>IF(ISBLANK(D274)," ",277-COUNTBLANK($D$6:D274))</f>
        <v xml:space="preserve"> </v>
      </c>
      <c r="B274" s="202"/>
      <c r="C274" s="202"/>
      <c r="D274" s="202"/>
      <c r="E274" s="304"/>
      <c r="F274" s="211"/>
      <c r="G274" s="203"/>
      <c r="H274" s="203"/>
      <c r="I274" s="203"/>
      <c r="J274" s="203"/>
      <c r="K274" s="205"/>
      <c r="L274" s="295"/>
      <c r="M274" s="264"/>
      <c r="N274" s="265"/>
      <c r="O274" s="266"/>
      <c r="P274" s="266"/>
      <c r="Q274" s="266"/>
      <c r="R274" s="266"/>
      <c r="S274" s="266"/>
      <c r="T274" s="266"/>
      <c r="U274" s="266"/>
    </row>
    <row r="275" spans="1:21" ht="30" customHeight="1">
      <c r="A275" s="204" t="str">
        <f>IF(ISBLANK(D275)," ",278-COUNTBLANK($D$6:D275))</f>
        <v xml:space="preserve"> </v>
      </c>
      <c r="B275" s="202"/>
      <c r="C275" s="202"/>
      <c r="D275" s="202"/>
      <c r="E275" s="304"/>
      <c r="F275" s="211"/>
      <c r="G275" s="203"/>
      <c r="H275" s="203"/>
      <c r="I275" s="203"/>
      <c r="J275" s="203"/>
      <c r="K275" s="205"/>
      <c r="L275" s="295"/>
      <c r="M275" s="264"/>
      <c r="N275" s="265"/>
      <c r="O275" s="266"/>
      <c r="P275" s="266"/>
      <c r="Q275" s="266"/>
      <c r="R275" s="266"/>
      <c r="S275" s="266"/>
      <c r="T275" s="266"/>
      <c r="U275" s="266"/>
    </row>
    <row r="276" spans="1:21" ht="30" customHeight="1">
      <c r="A276" s="204" t="str">
        <f>IF(ISBLANK(D276)," ",279-COUNTBLANK($D$6:D276))</f>
        <v xml:space="preserve"> </v>
      </c>
      <c r="B276" s="202"/>
      <c r="C276" s="202"/>
      <c r="D276" s="202"/>
      <c r="E276" s="304"/>
      <c r="F276" s="211"/>
      <c r="G276" s="203"/>
      <c r="H276" s="203"/>
      <c r="I276" s="203"/>
      <c r="J276" s="203"/>
      <c r="K276" s="205"/>
      <c r="L276" s="295"/>
      <c r="M276" s="264"/>
      <c r="N276" s="265"/>
      <c r="O276" s="266"/>
      <c r="P276" s="266"/>
      <c r="Q276" s="266"/>
      <c r="R276" s="266"/>
      <c r="S276" s="266"/>
      <c r="T276" s="266"/>
      <c r="U276" s="266"/>
    </row>
    <row r="277" spans="1:21" ht="30" customHeight="1">
      <c r="A277" s="204" t="str">
        <f>IF(ISBLANK(D277)," ",280-COUNTBLANK($D$6:D277))</f>
        <v xml:space="preserve"> </v>
      </c>
      <c r="B277" s="202"/>
      <c r="C277" s="202"/>
      <c r="D277" s="202"/>
      <c r="E277" s="304"/>
      <c r="F277" s="211"/>
      <c r="G277" s="203"/>
      <c r="H277" s="203"/>
      <c r="I277" s="203"/>
      <c r="J277" s="203"/>
      <c r="K277" s="205"/>
      <c r="L277" s="295"/>
      <c r="M277" s="264"/>
      <c r="N277" s="265"/>
      <c r="O277" s="266"/>
      <c r="P277" s="266"/>
      <c r="Q277" s="266"/>
      <c r="R277" s="266"/>
      <c r="S277" s="266"/>
      <c r="T277" s="266"/>
      <c r="U277" s="266"/>
    </row>
    <row r="278" spans="1:21" ht="30" customHeight="1">
      <c r="A278" s="204" t="str">
        <f>IF(ISBLANK(D278)," ",281-COUNTBLANK($D$6:D278))</f>
        <v xml:space="preserve"> </v>
      </c>
      <c r="B278" s="202"/>
      <c r="C278" s="202"/>
      <c r="D278" s="202"/>
      <c r="E278" s="304"/>
      <c r="F278" s="211"/>
      <c r="G278" s="203"/>
      <c r="H278" s="203"/>
      <c r="I278" s="203"/>
      <c r="J278" s="203"/>
      <c r="K278" s="205"/>
      <c r="L278" s="295"/>
      <c r="M278" s="264"/>
      <c r="N278" s="265"/>
      <c r="O278" s="266"/>
      <c r="P278" s="266"/>
      <c r="Q278" s="266"/>
      <c r="R278" s="266"/>
      <c r="S278" s="266"/>
      <c r="T278" s="266"/>
      <c r="U278" s="266"/>
    </row>
    <row r="279" spans="1:21" ht="30" customHeight="1">
      <c r="A279" s="204" t="str">
        <f>IF(ISBLANK(D279)," ",282-COUNTBLANK($D$6:D279))</f>
        <v xml:space="preserve"> </v>
      </c>
      <c r="B279" s="202"/>
      <c r="C279" s="202"/>
      <c r="D279" s="202"/>
      <c r="E279" s="304"/>
      <c r="F279" s="211"/>
      <c r="G279" s="203"/>
      <c r="H279" s="203"/>
      <c r="I279" s="203"/>
      <c r="J279" s="203"/>
      <c r="K279" s="205"/>
      <c r="L279" s="295"/>
      <c r="M279" s="264"/>
      <c r="N279" s="265"/>
      <c r="O279" s="266"/>
      <c r="P279" s="266"/>
      <c r="Q279" s="266"/>
      <c r="R279" s="266"/>
      <c r="S279" s="266"/>
      <c r="T279" s="266"/>
      <c r="U279" s="266"/>
    </row>
    <row r="280" spans="1:21" ht="30" customHeight="1">
      <c r="A280" s="204" t="str">
        <f>IF(ISBLANK(D280)," ",283-COUNTBLANK($D$6:D280))</f>
        <v xml:space="preserve"> </v>
      </c>
      <c r="B280" s="202"/>
      <c r="C280" s="202"/>
      <c r="D280" s="202"/>
      <c r="E280" s="304"/>
      <c r="F280" s="211"/>
      <c r="G280" s="203"/>
      <c r="H280" s="203"/>
      <c r="I280" s="203"/>
      <c r="J280" s="203"/>
      <c r="K280" s="205"/>
      <c r="L280" s="295"/>
      <c r="M280" s="264"/>
      <c r="N280" s="265"/>
      <c r="O280" s="266"/>
      <c r="P280" s="266"/>
      <c r="Q280" s="266"/>
      <c r="R280" s="266"/>
      <c r="S280" s="266"/>
      <c r="T280" s="266"/>
      <c r="U280" s="266"/>
    </row>
    <row r="281" spans="1:21" ht="30" customHeight="1">
      <c r="A281" s="204" t="str">
        <f>IF(ISBLANK(D281)," ",284-COUNTBLANK($D$6:D281))</f>
        <v xml:space="preserve"> </v>
      </c>
      <c r="B281" s="202"/>
      <c r="C281" s="202"/>
      <c r="D281" s="202"/>
      <c r="E281" s="304"/>
      <c r="F281" s="211"/>
      <c r="G281" s="203"/>
      <c r="H281" s="203"/>
      <c r="I281" s="203"/>
      <c r="J281" s="203"/>
      <c r="K281" s="205"/>
      <c r="L281" s="295"/>
      <c r="M281" s="264"/>
      <c r="N281" s="265"/>
      <c r="O281" s="266"/>
      <c r="P281" s="266"/>
      <c r="Q281" s="266"/>
      <c r="R281" s="266"/>
      <c r="S281" s="266"/>
      <c r="T281" s="266"/>
      <c r="U281" s="266"/>
    </row>
    <row r="282" spans="1:21" ht="30" customHeight="1">
      <c r="A282" s="204" t="str">
        <f>IF(ISBLANK(D282)," ",285-COUNTBLANK($D$6:D282))</f>
        <v xml:space="preserve"> </v>
      </c>
      <c r="B282" s="202"/>
      <c r="C282" s="202"/>
      <c r="D282" s="202"/>
      <c r="E282" s="304"/>
      <c r="F282" s="211"/>
      <c r="G282" s="203"/>
      <c r="H282" s="203"/>
      <c r="I282" s="203"/>
      <c r="J282" s="203"/>
      <c r="K282" s="205"/>
      <c r="L282" s="295"/>
      <c r="M282" s="264"/>
      <c r="N282" s="265"/>
      <c r="O282" s="266"/>
      <c r="P282" s="266"/>
      <c r="Q282" s="266"/>
      <c r="R282" s="266"/>
      <c r="S282" s="266"/>
      <c r="T282" s="266"/>
      <c r="U282" s="266"/>
    </row>
    <row r="283" spans="1:21" ht="30" customHeight="1">
      <c r="A283" s="204" t="str">
        <f>IF(ISBLANK(D283)," ",286-COUNTBLANK($D$6:D283))</f>
        <v xml:space="preserve"> </v>
      </c>
      <c r="B283" s="202"/>
      <c r="C283" s="202"/>
      <c r="D283" s="202"/>
      <c r="E283" s="304"/>
      <c r="F283" s="211"/>
      <c r="G283" s="203"/>
      <c r="H283" s="203"/>
      <c r="I283" s="203"/>
      <c r="J283" s="203"/>
      <c r="K283" s="205"/>
      <c r="L283" s="295"/>
      <c r="M283" s="264"/>
      <c r="N283" s="265"/>
      <c r="O283" s="266"/>
      <c r="P283" s="266"/>
      <c r="Q283" s="266"/>
      <c r="R283" s="266"/>
      <c r="S283" s="266"/>
      <c r="T283" s="266"/>
      <c r="U283" s="266"/>
    </row>
    <row r="284" spans="1:21" ht="30" customHeight="1">
      <c r="A284" s="204" t="str">
        <f>IF(ISBLANK(D284)," ",287-COUNTBLANK($D$6:D284))</f>
        <v xml:space="preserve"> </v>
      </c>
      <c r="B284" s="202"/>
      <c r="C284" s="202"/>
      <c r="D284" s="202"/>
      <c r="E284" s="304"/>
      <c r="F284" s="211"/>
      <c r="G284" s="203"/>
      <c r="H284" s="203"/>
      <c r="I284" s="203"/>
      <c r="J284" s="203"/>
      <c r="K284" s="205"/>
      <c r="L284" s="295"/>
      <c r="M284" s="264"/>
      <c r="N284" s="265"/>
      <c r="O284" s="266"/>
      <c r="P284" s="266"/>
      <c r="Q284" s="266"/>
      <c r="R284" s="266"/>
      <c r="S284" s="266"/>
      <c r="T284" s="266"/>
      <c r="U284" s="266"/>
    </row>
    <row r="285" spans="1:21" ht="30" customHeight="1">
      <c r="A285" s="204" t="str">
        <f>IF(ISBLANK(D285)," ",288-COUNTBLANK($D$6:D285))</f>
        <v xml:space="preserve"> </v>
      </c>
      <c r="B285" s="202"/>
      <c r="C285" s="202"/>
      <c r="D285" s="202"/>
      <c r="E285" s="304"/>
      <c r="F285" s="211"/>
      <c r="G285" s="203"/>
      <c r="H285" s="203"/>
      <c r="I285" s="203"/>
      <c r="J285" s="203"/>
      <c r="K285" s="205"/>
      <c r="L285" s="295"/>
      <c r="M285" s="264"/>
      <c r="N285" s="265"/>
      <c r="O285" s="266"/>
      <c r="P285" s="266"/>
      <c r="Q285" s="266"/>
      <c r="R285" s="266"/>
      <c r="S285" s="266"/>
      <c r="T285" s="266"/>
      <c r="U285" s="266"/>
    </row>
    <row r="286" spans="1:21" ht="30" customHeight="1">
      <c r="A286" s="204" t="str">
        <f>IF(ISBLANK(D286)," ",289-COUNTBLANK($D$6:D286))</f>
        <v xml:space="preserve"> </v>
      </c>
      <c r="B286" s="202"/>
      <c r="C286" s="202"/>
      <c r="D286" s="202"/>
      <c r="E286" s="304"/>
      <c r="F286" s="211"/>
      <c r="G286" s="203"/>
      <c r="H286" s="203"/>
      <c r="I286" s="203"/>
      <c r="J286" s="203"/>
      <c r="K286" s="205"/>
      <c r="L286" s="295"/>
      <c r="M286" s="264"/>
      <c r="N286" s="265"/>
      <c r="O286" s="266"/>
      <c r="P286" s="266"/>
      <c r="Q286" s="266"/>
      <c r="R286" s="266"/>
      <c r="S286" s="266"/>
      <c r="T286" s="266"/>
      <c r="U286" s="266"/>
    </row>
    <row r="287" spans="1:21" ht="30" customHeight="1">
      <c r="A287" s="204" t="str">
        <f>IF(ISBLANK(D287)," ",290-COUNTBLANK($D$6:D287))</f>
        <v xml:space="preserve"> </v>
      </c>
      <c r="B287" s="202"/>
      <c r="C287" s="202"/>
      <c r="D287" s="202"/>
      <c r="E287" s="304"/>
      <c r="F287" s="211"/>
      <c r="G287" s="203"/>
      <c r="H287" s="203"/>
      <c r="I287" s="203"/>
      <c r="J287" s="203"/>
      <c r="K287" s="205"/>
      <c r="L287" s="295"/>
      <c r="M287" s="264"/>
      <c r="N287" s="267"/>
      <c r="O287" s="266"/>
      <c r="P287" s="266"/>
      <c r="Q287" s="266"/>
      <c r="R287" s="266"/>
      <c r="S287" s="266"/>
      <c r="T287" s="266"/>
      <c r="U287" s="268"/>
    </row>
    <row r="288" spans="1:21" ht="30" customHeight="1">
      <c r="A288" s="204" t="str">
        <f>IF(ISBLANK(D288)," ",291-COUNTBLANK($D$6:D288))</f>
        <v xml:space="preserve"> </v>
      </c>
      <c r="B288" s="202"/>
      <c r="C288" s="202"/>
      <c r="D288" s="202"/>
      <c r="E288" s="304"/>
      <c r="F288" s="211"/>
      <c r="G288" s="203"/>
      <c r="H288" s="203"/>
      <c r="I288" s="203"/>
      <c r="J288" s="203"/>
      <c r="K288" s="205"/>
      <c r="L288" s="295"/>
      <c r="M288" s="264"/>
      <c r="N288" s="267"/>
      <c r="O288" s="266"/>
      <c r="P288" s="266"/>
      <c r="Q288" s="266"/>
      <c r="R288" s="266"/>
      <c r="S288" s="266"/>
      <c r="T288" s="266"/>
      <c r="U288" s="268"/>
    </row>
    <row r="289" spans="1:24" ht="30" customHeight="1">
      <c r="A289" s="204" t="str">
        <f>IF(ISBLANK(D289)," ",292-COUNTBLANK($D$6:D289))</f>
        <v xml:space="preserve"> </v>
      </c>
      <c r="B289" s="202"/>
      <c r="C289" s="202"/>
      <c r="D289" s="202"/>
      <c r="E289" s="304"/>
      <c r="F289" s="211"/>
      <c r="G289" s="203"/>
      <c r="H289" s="203"/>
      <c r="I289" s="203"/>
      <c r="J289" s="203"/>
      <c r="K289" s="205"/>
      <c r="L289" s="295"/>
      <c r="M289" s="264"/>
      <c r="N289" s="267"/>
      <c r="O289" s="266"/>
      <c r="P289" s="266"/>
      <c r="Q289" s="266"/>
      <c r="R289" s="266"/>
      <c r="S289" s="266"/>
      <c r="T289" s="266"/>
      <c r="U289" s="268"/>
    </row>
    <row r="290" spans="1:24" ht="30" customHeight="1">
      <c r="A290" s="204" t="str">
        <f>IF(ISBLANK(D290)," ",293-COUNTBLANK($D$6:D290))</f>
        <v xml:space="preserve"> </v>
      </c>
      <c r="B290" s="202"/>
      <c r="C290" s="202"/>
      <c r="D290" s="202"/>
      <c r="E290" s="304"/>
      <c r="F290" s="211"/>
      <c r="G290" s="203"/>
      <c r="H290" s="203"/>
      <c r="I290" s="203"/>
      <c r="J290" s="203"/>
      <c r="K290" s="205"/>
      <c r="L290" s="295"/>
      <c r="M290" s="264"/>
      <c r="N290" s="267"/>
      <c r="O290" s="266"/>
      <c r="P290" s="266"/>
      <c r="Q290" s="266"/>
      <c r="R290" s="266"/>
      <c r="S290" s="266"/>
      <c r="T290" s="266"/>
      <c r="U290" s="268"/>
    </row>
    <row r="291" spans="1:24" ht="30" customHeight="1">
      <c r="A291" s="308" t="s">
        <v>58</v>
      </c>
      <c r="B291" s="300"/>
      <c r="C291" s="309"/>
      <c r="D291" s="310"/>
      <c r="E291" s="301"/>
      <c r="F291" s="302">
        <f>SUM(F271:F290)</f>
        <v>0</v>
      </c>
      <c r="G291" s="286"/>
      <c r="H291" s="286"/>
      <c r="I291" s="286"/>
      <c r="J291" s="286"/>
      <c r="K291" s="287"/>
      <c r="L291" s="307"/>
      <c r="M291" s="264"/>
      <c r="N291" s="265"/>
      <c r="O291" s="266"/>
      <c r="P291" s="266"/>
      <c r="Q291" s="266"/>
      <c r="R291" s="266"/>
      <c r="S291" s="266"/>
      <c r="T291" s="266"/>
      <c r="U291" s="288"/>
      <c r="V291" s="266"/>
      <c r="W291" s="266"/>
      <c r="X291" s="266"/>
    </row>
    <row r="292" spans="1:24" ht="30" customHeight="1">
      <c r="A292" s="261" t="str">
        <f>IF(ISBLANK(D292)," ",295-COUNTBLANK($D$6:D292))</f>
        <v xml:space="preserve"> </v>
      </c>
      <c r="B292" s="200"/>
      <c r="C292" s="200"/>
      <c r="D292" s="200"/>
      <c r="E292" s="303"/>
      <c r="F292" s="210"/>
      <c r="G292" s="201"/>
      <c r="H292" s="201"/>
      <c r="I292" s="201"/>
      <c r="J292" s="201"/>
      <c r="K292" s="263"/>
      <c r="L292" s="295"/>
      <c r="M292" s="264"/>
      <c r="N292" s="267"/>
      <c r="O292" s="266"/>
      <c r="P292" s="266"/>
      <c r="Q292" s="266"/>
      <c r="R292" s="266"/>
      <c r="S292" s="266"/>
      <c r="T292" s="266"/>
      <c r="U292" s="288"/>
      <c r="V292" s="266"/>
      <c r="W292" s="266"/>
      <c r="X292" s="266"/>
    </row>
    <row r="293" spans="1:24" ht="30" customHeight="1">
      <c r="A293" s="204" t="str">
        <f>IF(ISBLANK(D293)," ",296-COUNTBLANK($D$6:D293))</f>
        <v xml:space="preserve"> </v>
      </c>
      <c r="B293" s="202"/>
      <c r="C293" s="202"/>
      <c r="D293" s="202"/>
      <c r="E293" s="304"/>
      <c r="F293" s="211"/>
      <c r="G293" s="203"/>
      <c r="H293" s="203"/>
      <c r="I293" s="203"/>
      <c r="J293" s="203"/>
      <c r="K293" s="205"/>
      <c r="L293" s="295"/>
      <c r="M293" s="264"/>
      <c r="N293" s="265"/>
      <c r="O293" s="266"/>
      <c r="P293" s="266"/>
      <c r="Q293" s="266"/>
      <c r="R293" s="266"/>
      <c r="S293" s="266"/>
      <c r="T293" s="266"/>
      <c r="U293" s="266"/>
    </row>
    <row r="294" spans="1:24" ht="30" customHeight="1">
      <c r="A294" s="204" t="str">
        <f>IF(ISBLANK(D294)," ",297-COUNTBLANK($D$6:D294))</f>
        <v xml:space="preserve"> </v>
      </c>
      <c r="B294" s="202"/>
      <c r="C294" s="202"/>
      <c r="D294" s="202"/>
      <c r="E294" s="304"/>
      <c r="F294" s="211"/>
      <c r="G294" s="203"/>
      <c r="H294" s="203"/>
      <c r="I294" s="203"/>
      <c r="J294" s="203"/>
      <c r="K294" s="205"/>
      <c r="L294" s="295"/>
      <c r="M294" s="264"/>
      <c r="N294" s="265"/>
      <c r="O294" s="266"/>
      <c r="P294" s="266"/>
      <c r="Q294" s="266"/>
      <c r="R294" s="266"/>
      <c r="S294" s="266"/>
      <c r="T294" s="266"/>
      <c r="U294" s="266"/>
    </row>
    <row r="295" spans="1:24" ht="30" customHeight="1">
      <c r="A295" s="204" t="str">
        <f>IF(ISBLANK(D295)," ",298-COUNTBLANK($D$6:D295))</f>
        <v xml:space="preserve"> </v>
      </c>
      <c r="B295" s="202"/>
      <c r="C295" s="202"/>
      <c r="D295" s="202"/>
      <c r="E295" s="304"/>
      <c r="F295" s="211"/>
      <c r="G295" s="203"/>
      <c r="H295" s="203"/>
      <c r="I295" s="203"/>
      <c r="J295" s="203"/>
      <c r="K295" s="205"/>
      <c r="L295" s="295"/>
      <c r="M295" s="264"/>
      <c r="N295" s="265"/>
      <c r="O295" s="266"/>
      <c r="P295" s="266"/>
      <c r="Q295" s="266"/>
      <c r="R295" s="266"/>
      <c r="S295" s="266"/>
      <c r="T295" s="266"/>
      <c r="U295" s="266"/>
    </row>
    <row r="296" spans="1:24" ht="30" customHeight="1">
      <c r="A296" s="204" t="str">
        <f>IF(ISBLANK(D296)," ",299-COUNTBLANK($D$6:D296))</f>
        <v xml:space="preserve"> </v>
      </c>
      <c r="B296" s="202"/>
      <c r="C296" s="202"/>
      <c r="D296" s="202"/>
      <c r="E296" s="304"/>
      <c r="F296" s="211"/>
      <c r="G296" s="203"/>
      <c r="H296" s="203"/>
      <c r="I296" s="203"/>
      <c r="J296" s="203"/>
      <c r="K296" s="205"/>
      <c r="L296" s="295"/>
      <c r="M296" s="264"/>
      <c r="N296" s="265"/>
      <c r="O296" s="266"/>
      <c r="P296" s="266"/>
      <c r="Q296" s="266"/>
      <c r="R296" s="266"/>
      <c r="S296" s="266"/>
      <c r="T296" s="266"/>
      <c r="U296" s="266"/>
    </row>
    <row r="297" spans="1:24" ht="30" customHeight="1">
      <c r="A297" s="204" t="str">
        <f>IF(ISBLANK(D297)," ",300-COUNTBLANK($D$6:D297))</f>
        <v xml:space="preserve"> </v>
      </c>
      <c r="B297" s="202"/>
      <c r="C297" s="202"/>
      <c r="D297" s="202"/>
      <c r="E297" s="304"/>
      <c r="F297" s="211"/>
      <c r="G297" s="203"/>
      <c r="H297" s="203"/>
      <c r="I297" s="203"/>
      <c r="J297" s="203"/>
      <c r="K297" s="205"/>
      <c r="L297" s="295"/>
      <c r="M297" s="264"/>
      <c r="N297" s="265"/>
      <c r="O297" s="266"/>
      <c r="P297" s="266"/>
      <c r="Q297" s="266"/>
      <c r="R297" s="266"/>
      <c r="S297" s="266"/>
      <c r="T297" s="266"/>
      <c r="U297" s="266"/>
    </row>
    <row r="298" spans="1:24" ht="30" customHeight="1">
      <c r="A298" s="204" t="str">
        <f>IF(ISBLANK(D298)," ",301-COUNTBLANK($D$6:D298))</f>
        <v xml:space="preserve"> </v>
      </c>
      <c r="B298" s="202"/>
      <c r="C298" s="202"/>
      <c r="D298" s="202"/>
      <c r="E298" s="304"/>
      <c r="F298" s="211"/>
      <c r="G298" s="203"/>
      <c r="H298" s="203"/>
      <c r="I298" s="203"/>
      <c r="J298" s="203"/>
      <c r="K298" s="205"/>
      <c r="L298" s="295"/>
      <c r="M298" s="264"/>
      <c r="N298" s="265"/>
      <c r="O298" s="266"/>
      <c r="P298" s="266"/>
      <c r="Q298" s="266"/>
      <c r="R298" s="266"/>
      <c r="S298" s="266"/>
      <c r="T298" s="266"/>
      <c r="U298" s="266"/>
    </row>
    <row r="299" spans="1:24" ht="30" customHeight="1">
      <c r="A299" s="204" t="str">
        <f>IF(ISBLANK(D299)," ",302-COUNTBLANK($D$6:D299))</f>
        <v xml:space="preserve"> </v>
      </c>
      <c r="B299" s="202"/>
      <c r="C299" s="202"/>
      <c r="D299" s="202"/>
      <c r="E299" s="304"/>
      <c r="F299" s="211"/>
      <c r="G299" s="203"/>
      <c r="H299" s="203"/>
      <c r="I299" s="203"/>
      <c r="J299" s="203"/>
      <c r="K299" s="205"/>
      <c r="L299" s="295"/>
      <c r="M299" s="264"/>
      <c r="N299" s="265"/>
      <c r="O299" s="266"/>
      <c r="P299" s="266"/>
      <c r="Q299" s="266"/>
      <c r="R299" s="266"/>
      <c r="S299" s="266"/>
      <c r="T299" s="266"/>
      <c r="U299" s="266"/>
    </row>
    <row r="300" spans="1:24" ht="30" customHeight="1">
      <c r="A300" s="204" t="str">
        <f>IF(ISBLANK(D300)," ",303-COUNTBLANK($D$6:D300))</f>
        <v xml:space="preserve"> </v>
      </c>
      <c r="B300" s="202"/>
      <c r="C300" s="202"/>
      <c r="D300" s="202"/>
      <c r="E300" s="304"/>
      <c r="F300" s="211"/>
      <c r="G300" s="203"/>
      <c r="H300" s="203"/>
      <c r="I300" s="203"/>
      <c r="J300" s="203"/>
      <c r="K300" s="205"/>
      <c r="L300" s="295"/>
      <c r="M300" s="264"/>
      <c r="N300" s="265"/>
      <c r="O300" s="266"/>
      <c r="P300" s="266"/>
      <c r="Q300" s="266"/>
      <c r="R300" s="266"/>
      <c r="S300" s="266"/>
      <c r="T300" s="266"/>
      <c r="U300" s="266"/>
    </row>
    <row r="301" spans="1:24" ht="30" customHeight="1">
      <c r="A301" s="204" t="str">
        <f>IF(ISBLANK(D301)," ",304-COUNTBLANK($D$6:D301))</f>
        <v xml:space="preserve"> </v>
      </c>
      <c r="B301" s="202"/>
      <c r="C301" s="202"/>
      <c r="D301" s="202"/>
      <c r="E301" s="304"/>
      <c r="F301" s="211"/>
      <c r="G301" s="203"/>
      <c r="H301" s="203"/>
      <c r="I301" s="203"/>
      <c r="J301" s="203"/>
      <c r="K301" s="205"/>
      <c r="L301" s="295"/>
      <c r="M301" s="264"/>
      <c r="N301" s="265"/>
      <c r="O301" s="266"/>
      <c r="P301" s="266"/>
      <c r="Q301" s="266"/>
      <c r="R301" s="266"/>
      <c r="S301" s="266"/>
      <c r="T301" s="266"/>
      <c r="U301" s="266"/>
    </row>
    <row r="302" spans="1:24" ht="30" customHeight="1">
      <c r="A302" s="204" t="str">
        <f>IF(ISBLANK(D302)," ",305-COUNTBLANK($D$6:D302))</f>
        <v xml:space="preserve"> </v>
      </c>
      <c r="B302" s="202"/>
      <c r="C302" s="202"/>
      <c r="D302" s="202"/>
      <c r="E302" s="304"/>
      <c r="F302" s="211"/>
      <c r="G302" s="203"/>
      <c r="H302" s="203"/>
      <c r="I302" s="203"/>
      <c r="J302" s="203"/>
      <c r="K302" s="205"/>
      <c r="L302" s="295"/>
      <c r="M302" s="264"/>
      <c r="N302" s="265"/>
      <c r="O302" s="266"/>
      <c r="P302" s="266"/>
      <c r="Q302" s="266"/>
      <c r="R302" s="266"/>
      <c r="S302" s="266"/>
      <c r="T302" s="266"/>
      <c r="U302" s="266"/>
    </row>
    <row r="303" spans="1:24" ht="30" customHeight="1">
      <c r="A303" s="204" t="str">
        <f>IF(ISBLANK(D303)," ",306-COUNTBLANK($D$6:D303))</f>
        <v xml:space="preserve"> </v>
      </c>
      <c r="B303" s="202"/>
      <c r="C303" s="202"/>
      <c r="D303" s="202"/>
      <c r="E303" s="304"/>
      <c r="F303" s="211"/>
      <c r="G303" s="203"/>
      <c r="H303" s="203"/>
      <c r="I303" s="203"/>
      <c r="J303" s="203"/>
      <c r="K303" s="205"/>
      <c r="L303" s="295"/>
      <c r="M303" s="264"/>
      <c r="N303" s="265"/>
      <c r="O303" s="266"/>
      <c r="P303" s="266"/>
      <c r="Q303" s="266"/>
      <c r="R303" s="266"/>
      <c r="S303" s="266"/>
      <c r="T303" s="266"/>
      <c r="U303" s="266"/>
    </row>
    <row r="304" spans="1:24" ht="30" customHeight="1">
      <c r="A304" s="204" t="str">
        <f>IF(ISBLANK(D304)," ",307-COUNTBLANK($D$6:D304))</f>
        <v xml:space="preserve"> </v>
      </c>
      <c r="B304" s="202"/>
      <c r="C304" s="202"/>
      <c r="D304" s="202"/>
      <c r="E304" s="304"/>
      <c r="F304" s="211"/>
      <c r="G304" s="203"/>
      <c r="H304" s="203"/>
      <c r="I304" s="203"/>
      <c r="J304" s="203"/>
      <c r="K304" s="205"/>
      <c r="L304" s="295"/>
      <c r="M304" s="264"/>
      <c r="N304" s="265"/>
      <c r="O304" s="266"/>
      <c r="P304" s="266"/>
      <c r="Q304" s="266"/>
      <c r="R304" s="266"/>
      <c r="S304" s="266"/>
      <c r="T304" s="266"/>
      <c r="U304" s="266"/>
    </row>
    <row r="305" spans="1:24" ht="30" customHeight="1">
      <c r="A305" s="204" t="str">
        <f>IF(ISBLANK(D305)," ",308-COUNTBLANK($D$6:D305))</f>
        <v xml:space="preserve"> </v>
      </c>
      <c r="B305" s="202"/>
      <c r="C305" s="202"/>
      <c r="D305" s="202"/>
      <c r="E305" s="304"/>
      <c r="F305" s="211"/>
      <c r="G305" s="203"/>
      <c r="H305" s="203"/>
      <c r="I305" s="203"/>
      <c r="J305" s="203"/>
      <c r="K305" s="205"/>
      <c r="L305" s="295"/>
      <c r="M305" s="264"/>
      <c r="N305" s="265"/>
      <c r="O305" s="266"/>
      <c r="P305" s="266"/>
      <c r="Q305" s="266"/>
      <c r="R305" s="266"/>
      <c r="S305" s="266"/>
      <c r="T305" s="266"/>
      <c r="U305" s="266"/>
    </row>
    <row r="306" spans="1:24" ht="30" customHeight="1">
      <c r="A306" s="204" t="str">
        <f>IF(ISBLANK(D306)," ",309-COUNTBLANK($D$6:D306))</f>
        <v xml:space="preserve"> </v>
      </c>
      <c r="B306" s="202"/>
      <c r="C306" s="202"/>
      <c r="D306" s="202"/>
      <c r="E306" s="304"/>
      <c r="F306" s="211"/>
      <c r="G306" s="203"/>
      <c r="H306" s="203"/>
      <c r="I306" s="203"/>
      <c r="J306" s="203"/>
      <c r="K306" s="205"/>
      <c r="L306" s="295"/>
      <c r="M306" s="264"/>
      <c r="N306" s="265"/>
      <c r="O306" s="266"/>
      <c r="P306" s="266"/>
      <c r="Q306" s="266"/>
      <c r="R306" s="266"/>
      <c r="S306" s="266"/>
      <c r="T306" s="266"/>
      <c r="U306" s="266"/>
    </row>
    <row r="307" spans="1:24" ht="30" customHeight="1">
      <c r="A307" s="204" t="str">
        <f>IF(ISBLANK(D307)," ",310-COUNTBLANK($D$6:D307))</f>
        <v xml:space="preserve"> </v>
      </c>
      <c r="B307" s="202"/>
      <c r="C307" s="202"/>
      <c r="D307" s="202"/>
      <c r="E307" s="304"/>
      <c r="F307" s="211"/>
      <c r="G307" s="203"/>
      <c r="H307" s="203"/>
      <c r="I307" s="203"/>
      <c r="J307" s="203"/>
      <c r="K307" s="205"/>
      <c r="L307" s="295"/>
      <c r="M307" s="264"/>
      <c r="N307" s="265"/>
      <c r="O307" s="266"/>
      <c r="P307" s="266"/>
      <c r="Q307" s="266"/>
      <c r="R307" s="266"/>
      <c r="S307" s="266"/>
      <c r="T307" s="266"/>
      <c r="U307" s="266"/>
    </row>
    <row r="308" spans="1:24" ht="30" customHeight="1">
      <c r="A308" s="204" t="str">
        <f>IF(ISBLANK(D308)," ",311-COUNTBLANK($D$6:D308))</f>
        <v xml:space="preserve"> </v>
      </c>
      <c r="B308" s="202"/>
      <c r="C308" s="202"/>
      <c r="D308" s="202"/>
      <c r="E308" s="304"/>
      <c r="F308" s="211"/>
      <c r="G308" s="203"/>
      <c r="H308" s="203"/>
      <c r="I308" s="203"/>
      <c r="J308" s="203"/>
      <c r="K308" s="205"/>
      <c r="L308" s="295"/>
      <c r="M308" s="264"/>
      <c r="N308" s="267"/>
      <c r="O308" s="266"/>
      <c r="P308" s="266"/>
      <c r="Q308" s="266"/>
      <c r="R308" s="266"/>
      <c r="S308" s="266"/>
      <c r="T308" s="266"/>
      <c r="U308" s="268"/>
    </row>
    <row r="309" spans="1:24" ht="30" customHeight="1">
      <c r="A309" s="204" t="str">
        <f>IF(ISBLANK(D309)," ",312-COUNTBLANK($D$6:D309))</f>
        <v xml:space="preserve"> </v>
      </c>
      <c r="B309" s="202"/>
      <c r="C309" s="202"/>
      <c r="D309" s="202"/>
      <c r="E309" s="304"/>
      <c r="F309" s="211"/>
      <c r="G309" s="203"/>
      <c r="H309" s="203"/>
      <c r="I309" s="203"/>
      <c r="J309" s="203"/>
      <c r="K309" s="205"/>
      <c r="L309" s="295"/>
      <c r="M309" s="264"/>
      <c r="N309" s="267"/>
      <c r="O309" s="266"/>
      <c r="P309" s="266"/>
      <c r="Q309" s="266"/>
      <c r="R309" s="266"/>
      <c r="S309" s="266"/>
      <c r="T309" s="266"/>
      <c r="U309" s="268"/>
    </row>
    <row r="310" spans="1:24" ht="30" customHeight="1">
      <c r="A310" s="204" t="str">
        <f>IF(ISBLANK(D310)," ",313-COUNTBLANK($D$6:D310))</f>
        <v xml:space="preserve"> </v>
      </c>
      <c r="B310" s="202"/>
      <c r="C310" s="202"/>
      <c r="D310" s="202"/>
      <c r="E310" s="304"/>
      <c r="F310" s="211"/>
      <c r="G310" s="203"/>
      <c r="H310" s="203"/>
      <c r="I310" s="203"/>
      <c r="J310" s="203"/>
      <c r="K310" s="205"/>
      <c r="L310" s="295"/>
      <c r="M310" s="264"/>
      <c r="N310" s="267"/>
      <c r="O310" s="266"/>
      <c r="P310" s="266"/>
      <c r="Q310" s="266"/>
      <c r="R310" s="266"/>
      <c r="S310" s="266"/>
      <c r="T310" s="266"/>
      <c r="U310" s="268"/>
    </row>
    <row r="311" spans="1:24" ht="30" customHeight="1">
      <c r="A311" s="204" t="str">
        <f>IF(ISBLANK(D311)," ",314-COUNTBLANK($D$6:D311))</f>
        <v xml:space="preserve"> </v>
      </c>
      <c r="B311" s="202"/>
      <c r="C311" s="202"/>
      <c r="D311" s="202"/>
      <c r="E311" s="304"/>
      <c r="F311" s="211"/>
      <c r="G311" s="203"/>
      <c r="H311" s="203"/>
      <c r="I311" s="203"/>
      <c r="J311" s="203"/>
      <c r="K311" s="205"/>
      <c r="L311" s="295"/>
      <c r="M311" s="264"/>
      <c r="N311" s="267"/>
      <c r="O311" s="266"/>
      <c r="P311" s="266"/>
      <c r="Q311" s="266"/>
      <c r="R311" s="266"/>
      <c r="S311" s="266"/>
      <c r="T311" s="266"/>
      <c r="U311" s="268"/>
    </row>
    <row r="312" spans="1:24" ht="30" customHeight="1">
      <c r="A312" s="308" t="s">
        <v>58</v>
      </c>
      <c r="B312" s="300"/>
      <c r="C312" s="309"/>
      <c r="D312" s="310"/>
      <c r="E312" s="301"/>
      <c r="F312" s="302">
        <f>SUM(F292:F311)</f>
        <v>0</v>
      </c>
      <c r="G312" s="286"/>
      <c r="H312" s="286"/>
      <c r="I312" s="286"/>
      <c r="J312" s="286"/>
      <c r="K312" s="287"/>
      <c r="L312" s="307"/>
      <c r="M312" s="264"/>
      <c r="N312" s="265"/>
      <c r="O312" s="266"/>
      <c r="P312" s="266"/>
      <c r="Q312" s="266"/>
      <c r="R312" s="266"/>
      <c r="S312" s="266"/>
      <c r="T312" s="266"/>
      <c r="U312" s="288"/>
      <c r="V312" s="266"/>
      <c r="W312" s="266"/>
      <c r="X312" s="266"/>
    </row>
    <row r="313" spans="1:24" ht="30" customHeight="1">
      <c r="A313" s="261" t="str">
        <f>IF(ISBLANK(D313)," ",316-COUNTBLANK($D$6:D313))</f>
        <v xml:space="preserve"> </v>
      </c>
      <c r="B313" s="200"/>
      <c r="C313" s="200"/>
      <c r="D313" s="200"/>
      <c r="E313" s="303"/>
      <c r="F313" s="210"/>
      <c r="G313" s="201"/>
      <c r="H313" s="201"/>
      <c r="I313" s="201"/>
      <c r="J313" s="201"/>
      <c r="K313" s="263"/>
      <c r="L313" s="295"/>
      <c r="M313" s="264"/>
      <c r="N313" s="267"/>
      <c r="O313" s="266"/>
      <c r="P313" s="266"/>
      <c r="Q313" s="266"/>
      <c r="R313" s="266"/>
      <c r="S313" s="266"/>
      <c r="T313" s="266"/>
      <c r="U313" s="288"/>
      <c r="V313" s="266"/>
      <c r="W313" s="266"/>
      <c r="X313" s="266"/>
    </row>
    <row r="314" spans="1:24" ht="30" customHeight="1">
      <c r="A314" s="204" t="str">
        <f>IF(ISBLANK(D314)," ",317-COUNTBLANK($D$6:D314))</f>
        <v xml:space="preserve"> </v>
      </c>
      <c r="B314" s="202"/>
      <c r="C314" s="202"/>
      <c r="D314" s="202"/>
      <c r="E314" s="304"/>
      <c r="F314" s="211"/>
      <c r="G314" s="203"/>
      <c r="H314" s="203"/>
      <c r="I314" s="203"/>
      <c r="J314" s="203"/>
      <c r="K314" s="205"/>
      <c r="L314" s="295"/>
      <c r="M314" s="264"/>
      <c r="N314" s="265"/>
      <c r="O314" s="266"/>
      <c r="P314" s="266"/>
      <c r="Q314" s="266"/>
      <c r="R314" s="266"/>
      <c r="S314" s="266"/>
      <c r="T314" s="266"/>
      <c r="U314" s="266"/>
    </row>
    <row r="315" spans="1:24" ht="30" customHeight="1">
      <c r="A315" s="204" t="str">
        <f>IF(ISBLANK(D315)," ",318-COUNTBLANK($D$6:D315))</f>
        <v xml:space="preserve"> </v>
      </c>
      <c r="B315" s="202"/>
      <c r="C315" s="202"/>
      <c r="D315" s="202"/>
      <c r="E315" s="304"/>
      <c r="F315" s="211"/>
      <c r="G315" s="203"/>
      <c r="H315" s="203"/>
      <c r="I315" s="203"/>
      <c r="J315" s="203"/>
      <c r="K315" s="205"/>
      <c r="L315" s="295"/>
      <c r="M315" s="264"/>
      <c r="N315" s="265"/>
      <c r="O315" s="266"/>
      <c r="P315" s="266"/>
      <c r="Q315" s="266"/>
      <c r="R315" s="266"/>
      <c r="S315" s="266"/>
      <c r="T315" s="266"/>
      <c r="U315" s="266"/>
    </row>
    <row r="316" spans="1:24" ht="30" customHeight="1">
      <c r="A316" s="204" t="str">
        <f>IF(ISBLANK(D316)," ",319-COUNTBLANK($D$6:D316))</f>
        <v xml:space="preserve"> </v>
      </c>
      <c r="B316" s="202"/>
      <c r="C316" s="202"/>
      <c r="D316" s="202"/>
      <c r="E316" s="304"/>
      <c r="F316" s="211"/>
      <c r="G316" s="203"/>
      <c r="H316" s="203"/>
      <c r="I316" s="203"/>
      <c r="J316" s="203"/>
      <c r="K316" s="205"/>
      <c r="L316" s="295"/>
      <c r="M316" s="264"/>
      <c r="N316" s="265"/>
      <c r="O316" s="266"/>
      <c r="P316" s="266"/>
      <c r="Q316" s="266"/>
      <c r="R316" s="266"/>
      <c r="S316" s="266"/>
      <c r="T316" s="266"/>
      <c r="U316" s="266"/>
    </row>
    <row r="317" spans="1:24" ht="30" customHeight="1">
      <c r="A317" s="204" t="str">
        <f>IF(ISBLANK(D317)," ",320-COUNTBLANK($D$6:D317))</f>
        <v xml:space="preserve"> </v>
      </c>
      <c r="B317" s="202"/>
      <c r="C317" s="202"/>
      <c r="D317" s="202"/>
      <c r="E317" s="304"/>
      <c r="F317" s="211"/>
      <c r="G317" s="203"/>
      <c r="H317" s="203"/>
      <c r="I317" s="203"/>
      <c r="J317" s="203"/>
      <c r="K317" s="205"/>
      <c r="L317" s="295"/>
      <c r="M317" s="264"/>
      <c r="N317" s="265"/>
      <c r="O317" s="266"/>
      <c r="P317" s="266"/>
      <c r="Q317" s="266"/>
      <c r="R317" s="266"/>
      <c r="S317" s="266"/>
      <c r="T317" s="266"/>
      <c r="U317" s="266"/>
    </row>
    <row r="318" spans="1:24" ht="30" customHeight="1">
      <c r="A318" s="204" t="str">
        <f>IF(ISBLANK(D318)," ",321-COUNTBLANK($D$6:D318))</f>
        <v xml:space="preserve"> </v>
      </c>
      <c r="B318" s="202"/>
      <c r="C318" s="202"/>
      <c r="D318" s="202"/>
      <c r="E318" s="304"/>
      <c r="F318" s="211"/>
      <c r="G318" s="203"/>
      <c r="H318" s="203"/>
      <c r="I318" s="203"/>
      <c r="J318" s="203"/>
      <c r="K318" s="205"/>
      <c r="L318" s="295"/>
      <c r="M318" s="264"/>
      <c r="N318" s="265"/>
      <c r="O318" s="266"/>
      <c r="P318" s="266"/>
      <c r="Q318" s="266"/>
      <c r="R318" s="266"/>
      <c r="S318" s="266"/>
      <c r="T318" s="266"/>
      <c r="U318" s="266"/>
    </row>
    <row r="319" spans="1:24" ht="30" customHeight="1">
      <c r="A319" s="204" t="str">
        <f>IF(ISBLANK(D319)," ",322-COUNTBLANK($D$6:D319))</f>
        <v xml:space="preserve"> </v>
      </c>
      <c r="B319" s="202"/>
      <c r="C319" s="202"/>
      <c r="D319" s="202"/>
      <c r="E319" s="304"/>
      <c r="F319" s="211"/>
      <c r="G319" s="203"/>
      <c r="H319" s="203"/>
      <c r="I319" s="203"/>
      <c r="J319" s="203"/>
      <c r="K319" s="205"/>
      <c r="L319" s="295"/>
      <c r="M319" s="264"/>
      <c r="N319" s="265"/>
      <c r="O319" s="266"/>
      <c r="P319" s="266"/>
      <c r="Q319" s="266"/>
      <c r="R319" s="266"/>
      <c r="S319" s="266"/>
      <c r="T319" s="266"/>
      <c r="U319" s="266"/>
    </row>
    <row r="320" spans="1:24" ht="30" customHeight="1">
      <c r="A320" s="204" t="str">
        <f>IF(ISBLANK(D320)," ",323-COUNTBLANK($D$6:D320))</f>
        <v xml:space="preserve"> </v>
      </c>
      <c r="B320" s="202"/>
      <c r="C320" s="202"/>
      <c r="D320" s="202"/>
      <c r="E320" s="304"/>
      <c r="F320" s="211"/>
      <c r="G320" s="203"/>
      <c r="H320" s="203"/>
      <c r="I320" s="203"/>
      <c r="J320" s="203"/>
      <c r="K320" s="205"/>
      <c r="L320" s="295"/>
      <c r="M320" s="264"/>
      <c r="N320" s="265"/>
      <c r="O320" s="266"/>
      <c r="P320" s="266"/>
      <c r="Q320" s="266"/>
      <c r="R320" s="266"/>
      <c r="S320" s="266"/>
      <c r="T320" s="266"/>
      <c r="U320" s="266"/>
    </row>
    <row r="321" spans="1:24" ht="30" customHeight="1">
      <c r="A321" s="204" t="str">
        <f>IF(ISBLANK(D321)," ",324-COUNTBLANK($D$6:D321))</f>
        <v xml:space="preserve"> </v>
      </c>
      <c r="B321" s="202"/>
      <c r="C321" s="202"/>
      <c r="D321" s="202"/>
      <c r="E321" s="304"/>
      <c r="F321" s="211"/>
      <c r="G321" s="203"/>
      <c r="H321" s="203"/>
      <c r="I321" s="203"/>
      <c r="J321" s="203"/>
      <c r="K321" s="205"/>
      <c r="L321" s="295"/>
      <c r="M321" s="264"/>
      <c r="N321" s="265"/>
      <c r="O321" s="266"/>
      <c r="P321" s="266"/>
      <c r="Q321" s="266"/>
      <c r="R321" s="266"/>
      <c r="S321" s="266"/>
      <c r="T321" s="266"/>
      <c r="U321" s="266"/>
    </row>
    <row r="322" spans="1:24" ht="30" customHeight="1">
      <c r="A322" s="204" t="str">
        <f>IF(ISBLANK(D322)," ",325-COUNTBLANK($D$6:D322))</f>
        <v xml:space="preserve"> </v>
      </c>
      <c r="B322" s="202"/>
      <c r="C322" s="202"/>
      <c r="D322" s="202"/>
      <c r="E322" s="304"/>
      <c r="F322" s="211"/>
      <c r="G322" s="203"/>
      <c r="H322" s="203"/>
      <c r="I322" s="203"/>
      <c r="J322" s="203"/>
      <c r="K322" s="205"/>
      <c r="L322" s="295"/>
      <c r="M322" s="264"/>
      <c r="N322" s="265"/>
      <c r="O322" s="266"/>
      <c r="P322" s="266"/>
      <c r="Q322" s="266"/>
      <c r="R322" s="266"/>
      <c r="S322" s="266"/>
      <c r="T322" s="266"/>
      <c r="U322" s="266"/>
    </row>
    <row r="323" spans="1:24" ht="30" customHeight="1">
      <c r="A323" s="204" t="str">
        <f>IF(ISBLANK(D323)," ",326-COUNTBLANK($D$6:D323))</f>
        <v xml:space="preserve"> </v>
      </c>
      <c r="B323" s="202"/>
      <c r="C323" s="202"/>
      <c r="D323" s="202"/>
      <c r="E323" s="304"/>
      <c r="F323" s="211"/>
      <c r="G323" s="203"/>
      <c r="H323" s="203"/>
      <c r="I323" s="203"/>
      <c r="J323" s="203"/>
      <c r="K323" s="205"/>
      <c r="L323" s="295"/>
      <c r="M323" s="264"/>
      <c r="N323" s="265"/>
      <c r="O323" s="266"/>
      <c r="P323" s="266"/>
      <c r="Q323" s="266"/>
      <c r="R323" s="266"/>
      <c r="S323" s="266"/>
      <c r="T323" s="266"/>
      <c r="U323" s="266"/>
    </row>
    <row r="324" spans="1:24" ht="30" customHeight="1">
      <c r="A324" s="204" t="str">
        <f>IF(ISBLANK(D324)," ",327-COUNTBLANK($D$6:D324))</f>
        <v xml:space="preserve"> </v>
      </c>
      <c r="B324" s="202"/>
      <c r="C324" s="202"/>
      <c r="D324" s="202"/>
      <c r="E324" s="304"/>
      <c r="F324" s="211"/>
      <c r="G324" s="203"/>
      <c r="H324" s="203"/>
      <c r="I324" s="203"/>
      <c r="J324" s="203"/>
      <c r="K324" s="205"/>
      <c r="L324" s="295"/>
      <c r="M324" s="264"/>
      <c r="N324" s="265"/>
      <c r="O324" s="266"/>
      <c r="P324" s="266"/>
      <c r="Q324" s="266"/>
      <c r="R324" s="266"/>
      <c r="S324" s="266"/>
      <c r="T324" s="266"/>
      <c r="U324" s="266"/>
    </row>
    <row r="325" spans="1:24" ht="30" customHeight="1">
      <c r="A325" s="204" t="str">
        <f>IF(ISBLANK(D325)," ",328-COUNTBLANK($D$6:D325))</f>
        <v xml:space="preserve"> </v>
      </c>
      <c r="B325" s="202"/>
      <c r="C325" s="202"/>
      <c r="D325" s="202"/>
      <c r="E325" s="304"/>
      <c r="F325" s="211"/>
      <c r="G325" s="203"/>
      <c r="H325" s="203"/>
      <c r="I325" s="203"/>
      <c r="J325" s="203"/>
      <c r="K325" s="205"/>
      <c r="L325" s="295"/>
      <c r="M325" s="264"/>
      <c r="N325" s="265"/>
      <c r="O325" s="266"/>
      <c r="P325" s="266"/>
      <c r="Q325" s="266"/>
      <c r="R325" s="266"/>
      <c r="S325" s="266"/>
      <c r="T325" s="266"/>
      <c r="U325" s="266"/>
    </row>
    <row r="326" spans="1:24" ht="30" customHeight="1">
      <c r="A326" s="204" t="str">
        <f>IF(ISBLANK(D326)," ",329-COUNTBLANK($D$6:D326))</f>
        <v xml:space="preserve"> </v>
      </c>
      <c r="B326" s="202"/>
      <c r="C326" s="202"/>
      <c r="D326" s="202"/>
      <c r="E326" s="304"/>
      <c r="F326" s="211"/>
      <c r="G326" s="203"/>
      <c r="H326" s="203"/>
      <c r="I326" s="203"/>
      <c r="J326" s="203"/>
      <c r="K326" s="205"/>
      <c r="L326" s="295"/>
      <c r="M326" s="264"/>
      <c r="N326" s="265"/>
      <c r="O326" s="266"/>
      <c r="P326" s="266"/>
      <c r="Q326" s="266"/>
      <c r="R326" s="266"/>
      <c r="S326" s="266"/>
      <c r="T326" s="266"/>
      <c r="U326" s="266"/>
    </row>
    <row r="327" spans="1:24" ht="30" customHeight="1">
      <c r="A327" s="204" t="str">
        <f>IF(ISBLANK(D327)," ",330-COUNTBLANK($D$6:D327))</f>
        <v xml:space="preserve"> </v>
      </c>
      <c r="B327" s="202"/>
      <c r="C327" s="202"/>
      <c r="D327" s="202"/>
      <c r="E327" s="304"/>
      <c r="F327" s="211"/>
      <c r="G327" s="203"/>
      <c r="H327" s="203"/>
      <c r="I327" s="203"/>
      <c r="J327" s="203"/>
      <c r="K327" s="205"/>
      <c r="L327" s="295"/>
      <c r="M327" s="264"/>
      <c r="N327" s="265"/>
      <c r="O327" s="266"/>
      <c r="P327" s="266"/>
      <c r="Q327" s="266"/>
      <c r="R327" s="266"/>
      <c r="S327" s="266"/>
      <c r="T327" s="266"/>
      <c r="U327" s="266"/>
    </row>
    <row r="328" spans="1:24" ht="30" customHeight="1">
      <c r="A328" s="204" t="str">
        <f>IF(ISBLANK(D328)," ",331-COUNTBLANK($D$6:D328))</f>
        <v xml:space="preserve"> </v>
      </c>
      <c r="B328" s="202"/>
      <c r="C328" s="202"/>
      <c r="D328" s="202"/>
      <c r="E328" s="304"/>
      <c r="F328" s="211"/>
      <c r="G328" s="203"/>
      <c r="H328" s="203"/>
      <c r="I328" s="203"/>
      <c r="J328" s="203"/>
      <c r="K328" s="205"/>
      <c r="L328" s="295"/>
      <c r="M328" s="264"/>
      <c r="N328" s="265"/>
      <c r="O328" s="266"/>
      <c r="P328" s="266"/>
      <c r="Q328" s="266"/>
      <c r="R328" s="266"/>
      <c r="S328" s="266"/>
      <c r="T328" s="266"/>
      <c r="U328" s="266"/>
    </row>
    <row r="329" spans="1:24" ht="30" customHeight="1">
      <c r="A329" s="204" t="str">
        <f>IF(ISBLANK(D329)," ",332-COUNTBLANK($D$6:D329))</f>
        <v xml:space="preserve"> </v>
      </c>
      <c r="B329" s="202"/>
      <c r="C329" s="202"/>
      <c r="D329" s="202"/>
      <c r="E329" s="304"/>
      <c r="F329" s="211"/>
      <c r="G329" s="203"/>
      <c r="H329" s="203"/>
      <c r="I329" s="203"/>
      <c r="J329" s="203"/>
      <c r="K329" s="205"/>
      <c r="L329" s="295"/>
      <c r="M329" s="264"/>
      <c r="N329" s="267"/>
      <c r="O329" s="266"/>
      <c r="P329" s="266"/>
      <c r="Q329" s="266"/>
      <c r="R329" s="266"/>
      <c r="S329" s="266"/>
      <c r="T329" s="266"/>
      <c r="U329" s="268"/>
    </row>
    <row r="330" spans="1:24" ht="30" customHeight="1">
      <c r="A330" s="204" t="str">
        <f>IF(ISBLANK(D330)," ",333-COUNTBLANK($D$6:D330))</f>
        <v xml:space="preserve"> </v>
      </c>
      <c r="B330" s="202"/>
      <c r="C330" s="202"/>
      <c r="D330" s="202"/>
      <c r="E330" s="304"/>
      <c r="F330" s="211"/>
      <c r="G330" s="203"/>
      <c r="H330" s="203"/>
      <c r="I330" s="203"/>
      <c r="J330" s="203"/>
      <c r="K330" s="205"/>
      <c r="L330" s="295"/>
      <c r="M330" s="264"/>
      <c r="N330" s="267"/>
      <c r="O330" s="266"/>
      <c r="P330" s="266"/>
      <c r="Q330" s="266"/>
      <c r="R330" s="266"/>
      <c r="S330" s="266"/>
      <c r="T330" s="266"/>
      <c r="U330" s="268"/>
    </row>
    <row r="331" spans="1:24" ht="30" customHeight="1">
      <c r="A331" s="204" t="str">
        <f>IF(ISBLANK(D331)," ",334-COUNTBLANK($D$6:D331))</f>
        <v xml:space="preserve"> </v>
      </c>
      <c r="B331" s="202"/>
      <c r="C331" s="202"/>
      <c r="D331" s="202"/>
      <c r="E331" s="304"/>
      <c r="F331" s="211"/>
      <c r="G331" s="203"/>
      <c r="H331" s="203"/>
      <c r="I331" s="203"/>
      <c r="J331" s="203"/>
      <c r="K331" s="205"/>
      <c r="L331" s="295"/>
      <c r="M331" s="264"/>
      <c r="N331" s="267"/>
      <c r="O331" s="266"/>
      <c r="P331" s="266"/>
      <c r="Q331" s="266"/>
      <c r="R331" s="266"/>
      <c r="S331" s="266"/>
      <c r="T331" s="266"/>
      <c r="U331" s="268"/>
    </row>
    <row r="332" spans="1:24" ht="30" customHeight="1">
      <c r="A332" s="204" t="str">
        <f>IF(ISBLANK(D332)," ",335-COUNTBLANK($D$6:D332))</f>
        <v xml:space="preserve"> </v>
      </c>
      <c r="B332" s="202"/>
      <c r="C332" s="202"/>
      <c r="D332" s="202"/>
      <c r="E332" s="304"/>
      <c r="F332" s="211"/>
      <c r="G332" s="203"/>
      <c r="H332" s="203"/>
      <c r="I332" s="203"/>
      <c r="J332" s="203"/>
      <c r="K332" s="205"/>
      <c r="L332" s="295"/>
      <c r="M332" s="264"/>
      <c r="N332" s="267"/>
      <c r="O332" s="266"/>
      <c r="P332" s="266"/>
      <c r="Q332" s="266"/>
      <c r="R332" s="266"/>
      <c r="S332" s="266"/>
      <c r="T332" s="266"/>
      <c r="U332" s="268"/>
    </row>
    <row r="333" spans="1:24" ht="30" customHeight="1">
      <c r="A333" s="308" t="s">
        <v>58</v>
      </c>
      <c r="B333" s="300"/>
      <c r="C333" s="309"/>
      <c r="D333" s="310"/>
      <c r="E333" s="301"/>
      <c r="F333" s="302">
        <f>SUM(F313:F332)</f>
        <v>0</v>
      </c>
      <c r="G333" s="286"/>
      <c r="H333" s="286"/>
      <c r="I333" s="286"/>
      <c r="J333" s="286"/>
      <c r="K333" s="287"/>
      <c r="L333" s="307"/>
      <c r="M333" s="264"/>
      <c r="N333" s="265"/>
      <c r="O333" s="266"/>
      <c r="P333" s="266"/>
      <c r="Q333" s="266"/>
      <c r="R333" s="266"/>
      <c r="S333" s="266"/>
      <c r="T333" s="266"/>
      <c r="U333" s="288"/>
      <c r="V333" s="266"/>
      <c r="W333" s="266"/>
      <c r="X333" s="266"/>
    </row>
    <row r="334" spans="1:24" ht="30" customHeight="1">
      <c r="A334" s="261" t="str">
        <f>IF(ISBLANK(D334)," ",337-COUNTBLANK($D$6:D334))</f>
        <v xml:space="preserve"> </v>
      </c>
      <c r="B334" s="200"/>
      <c r="C334" s="200"/>
      <c r="D334" s="200"/>
      <c r="E334" s="303"/>
      <c r="F334" s="210"/>
      <c r="G334" s="201"/>
      <c r="H334" s="201"/>
      <c r="I334" s="201"/>
      <c r="J334" s="201"/>
      <c r="K334" s="263"/>
      <c r="L334" s="295"/>
      <c r="M334" s="264"/>
      <c r="N334" s="267"/>
      <c r="O334" s="266"/>
      <c r="P334" s="266"/>
      <c r="Q334" s="266"/>
      <c r="R334" s="266"/>
      <c r="S334" s="266"/>
      <c r="T334" s="266"/>
      <c r="U334" s="288"/>
      <c r="V334" s="266"/>
      <c r="W334" s="266"/>
      <c r="X334" s="266"/>
    </row>
    <row r="335" spans="1:24" ht="30" customHeight="1">
      <c r="A335" s="204" t="str">
        <f>IF(ISBLANK(D335)," ",338-COUNTBLANK($D$6:D335))</f>
        <v xml:space="preserve"> </v>
      </c>
      <c r="B335" s="202"/>
      <c r="C335" s="202"/>
      <c r="D335" s="202"/>
      <c r="E335" s="304"/>
      <c r="F335" s="211"/>
      <c r="G335" s="203"/>
      <c r="H335" s="203"/>
      <c r="I335" s="203"/>
      <c r="J335" s="203"/>
      <c r="K335" s="205"/>
      <c r="L335" s="295"/>
      <c r="M335" s="264"/>
      <c r="N335" s="265"/>
      <c r="O335" s="266"/>
      <c r="P335" s="266"/>
      <c r="Q335" s="266"/>
      <c r="R335" s="266"/>
      <c r="S335" s="266"/>
      <c r="T335" s="266"/>
      <c r="U335" s="266"/>
    </row>
    <row r="336" spans="1:24" ht="30" customHeight="1">
      <c r="A336" s="204" t="str">
        <f>IF(ISBLANK(D336)," ",339-COUNTBLANK($D$6:D336))</f>
        <v xml:space="preserve"> </v>
      </c>
      <c r="B336" s="202"/>
      <c r="C336" s="202"/>
      <c r="D336" s="202"/>
      <c r="E336" s="304"/>
      <c r="F336" s="211"/>
      <c r="G336" s="203"/>
      <c r="H336" s="203"/>
      <c r="I336" s="203"/>
      <c r="J336" s="203"/>
      <c r="K336" s="205"/>
      <c r="L336" s="295"/>
      <c r="M336" s="264"/>
      <c r="N336" s="265"/>
      <c r="O336" s="266"/>
      <c r="P336" s="266"/>
      <c r="Q336" s="266"/>
      <c r="R336" s="266"/>
      <c r="S336" s="266"/>
      <c r="T336" s="266"/>
      <c r="U336" s="266"/>
    </row>
    <row r="337" spans="1:21" ht="30" customHeight="1">
      <c r="A337" s="204" t="str">
        <f>IF(ISBLANK(D337)," ",340-COUNTBLANK($D$6:D337))</f>
        <v xml:space="preserve"> </v>
      </c>
      <c r="B337" s="202"/>
      <c r="C337" s="202"/>
      <c r="D337" s="202"/>
      <c r="E337" s="304"/>
      <c r="F337" s="211"/>
      <c r="G337" s="203"/>
      <c r="H337" s="203"/>
      <c r="I337" s="203"/>
      <c r="J337" s="203"/>
      <c r="K337" s="205"/>
      <c r="L337" s="295"/>
      <c r="M337" s="264"/>
      <c r="N337" s="265"/>
      <c r="O337" s="266"/>
      <c r="P337" s="266"/>
      <c r="Q337" s="266"/>
      <c r="R337" s="266"/>
      <c r="S337" s="266"/>
      <c r="T337" s="266"/>
      <c r="U337" s="266"/>
    </row>
    <row r="338" spans="1:21" ht="30" customHeight="1">
      <c r="A338" s="204" t="str">
        <f>IF(ISBLANK(D338)," ",341-COUNTBLANK($D$6:D338))</f>
        <v xml:space="preserve"> </v>
      </c>
      <c r="B338" s="202"/>
      <c r="C338" s="202"/>
      <c r="D338" s="202"/>
      <c r="E338" s="304"/>
      <c r="F338" s="211"/>
      <c r="G338" s="203"/>
      <c r="H338" s="203"/>
      <c r="I338" s="203"/>
      <c r="J338" s="203"/>
      <c r="K338" s="205"/>
      <c r="L338" s="295"/>
      <c r="M338" s="264"/>
      <c r="N338" s="265"/>
      <c r="O338" s="266"/>
      <c r="P338" s="266"/>
      <c r="Q338" s="266"/>
      <c r="R338" s="266"/>
      <c r="S338" s="266"/>
      <c r="T338" s="266"/>
      <c r="U338" s="266"/>
    </row>
    <row r="339" spans="1:21" ht="30" customHeight="1">
      <c r="A339" s="204" t="str">
        <f>IF(ISBLANK(D339)," ",342-COUNTBLANK($D$6:D339))</f>
        <v xml:space="preserve"> </v>
      </c>
      <c r="B339" s="202"/>
      <c r="C339" s="202"/>
      <c r="D339" s="202"/>
      <c r="E339" s="304"/>
      <c r="F339" s="211"/>
      <c r="G339" s="203"/>
      <c r="H339" s="203"/>
      <c r="I339" s="203"/>
      <c r="J339" s="203"/>
      <c r="K339" s="205"/>
      <c r="L339" s="295"/>
      <c r="M339" s="264"/>
      <c r="N339" s="265"/>
      <c r="O339" s="266"/>
      <c r="P339" s="266"/>
      <c r="Q339" s="266"/>
      <c r="R339" s="266"/>
      <c r="S339" s="266"/>
      <c r="T339" s="266"/>
      <c r="U339" s="266"/>
    </row>
    <row r="340" spans="1:21" ht="30" customHeight="1">
      <c r="A340" s="204" t="str">
        <f>IF(ISBLANK(D340)," ",343-COUNTBLANK($D$6:D340))</f>
        <v xml:space="preserve"> </v>
      </c>
      <c r="B340" s="202"/>
      <c r="C340" s="202"/>
      <c r="D340" s="202"/>
      <c r="E340" s="304"/>
      <c r="F340" s="211"/>
      <c r="G340" s="203"/>
      <c r="H340" s="203"/>
      <c r="I340" s="203"/>
      <c r="J340" s="203"/>
      <c r="K340" s="205"/>
      <c r="L340" s="295"/>
      <c r="M340" s="264"/>
      <c r="N340" s="265"/>
      <c r="O340" s="266"/>
      <c r="P340" s="266"/>
      <c r="Q340" s="266"/>
      <c r="R340" s="266"/>
      <c r="S340" s="266"/>
      <c r="T340" s="266"/>
      <c r="U340" s="266"/>
    </row>
    <row r="341" spans="1:21" ht="30" customHeight="1">
      <c r="A341" s="204" t="str">
        <f>IF(ISBLANK(D341)," ",344-COUNTBLANK($D$6:D341))</f>
        <v xml:space="preserve"> </v>
      </c>
      <c r="B341" s="202"/>
      <c r="C341" s="202"/>
      <c r="D341" s="202"/>
      <c r="E341" s="304"/>
      <c r="F341" s="211"/>
      <c r="G341" s="203"/>
      <c r="H341" s="203"/>
      <c r="I341" s="203"/>
      <c r="J341" s="203"/>
      <c r="K341" s="205"/>
      <c r="L341" s="295"/>
      <c r="M341" s="264"/>
      <c r="N341" s="265"/>
      <c r="O341" s="266"/>
      <c r="P341" s="266"/>
      <c r="Q341" s="266"/>
      <c r="R341" s="266"/>
      <c r="S341" s="266"/>
      <c r="T341" s="266"/>
      <c r="U341" s="266"/>
    </row>
    <row r="342" spans="1:21" ht="30" customHeight="1">
      <c r="A342" s="204" t="str">
        <f>IF(ISBLANK(D342)," ",345-COUNTBLANK($D$6:D342))</f>
        <v xml:space="preserve"> </v>
      </c>
      <c r="B342" s="202"/>
      <c r="C342" s="202"/>
      <c r="D342" s="202"/>
      <c r="E342" s="304"/>
      <c r="F342" s="211"/>
      <c r="G342" s="203"/>
      <c r="H342" s="203"/>
      <c r="I342" s="203"/>
      <c r="J342" s="203"/>
      <c r="K342" s="205"/>
      <c r="L342" s="295"/>
      <c r="M342" s="264"/>
      <c r="N342" s="265"/>
      <c r="O342" s="266"/>
      <c r="P342" s="266"/>
      <c r="Q342" s="266"/>
      <c r="R342" s="266"/>
      <c r="S342" s="266"/>
      <c r="T342" s="266"/>
      <c r="U342" s="266"/>
    </row>
    <row r="343" spans="1:21" ht="30" customHeight="1">
      <c r="A343" s="204" t="str">
        <f>IF(ISBLANK(D343)," ",346-COUNTBLANK($D$6:D343))</f>
        <v xml:space="preserve"> </v>
      </c>
      <c r="B343" s="202"/>
      <c r="C343" s="202"/>
      <c r="D343" s="202"/>
      <c r="E343" s="304"/>
      <c r="F343" s="211"/>
      <c r="G343" s="203"/>
      <c r="H343" s="203"/>
      <c r="I343" s="203"/>
      <c r="J343" s="203"/>
      <c r="K343" s="205"/>
      <c r="L343" s="295"/>
      <c r="M343" s="264"/>
      <c r="N343" s="265"/>
      <c r="O343" s="266"/>
      <c r="P343" s="266"/>
      <c r="Q343" s="266"/>
      <c r="R343" s="266"/>
      <c r="S343" s="266"/>
      <c r="T343" s="266"/>
      <c r="U343" s="266"/>
    </row>
    <row r="344" spans="1:21" ht="30" customHeight="1">
      <c r="A344" s="204" t="str">
        <f>IF(ISBLANK(D344)," ",347-COUNTBLANK($D$6:D344))</f>
        <v xml:space="preserve"> </v>
      </c>
      <c r="B344" s="202"/>
      <c r="C344" s="202"/>
      <c r="D344" s="202"/>
      <c r="E344" s="304"/>
      <c r="F344" s="211"/>
      <c r="G344" s="203"/>
      <c r="H344" s="203"/>
      <c r="I344" s="203"/>
      <c r="J344" s="203"/>
      <c r="K344" s="205"/>
      <c r="L344" s="295"/>
      <c r="M344" s="264"/>
      <c r="N344" s="265"/>
      <c r="O344" s="266"/>
      <c r="P344" s="266"/>
      <c r="Q344" s="266"/>
      <c r="R344" s="266"/>
      <c r="S344" s="266"/>
      <c r="T344" s="266"/>
      <c r="U344" s="266"/>
    </row>
    <row r="345" spans="1:21" ht="30" customHeight="1">
      <c r="A345" s="204" t="str">
        <f>IF(ISBLANK(D345)," ",348-COUNTBLANK($D$6:D345))</f>
        <v xml:space="preserve"> </v>
      </c>
      <c r="B345" s="202"/>
      <c r="C345" s="202"/>
      <c r="D345" s="202"/>
      <c r="E345" s="304"/>
      <c r="F345" s="211"/>
      <c r="G345" s="203"/>
      <c r="H345" s="203"/>
      <c r="I345" s="203"/>
      <c r="J345" s="203"/>
      <c r="K345" s="205"/>
      <c r="L345" s="295"/>
      <c r="M345" s="264"/>
      <c r="N345" s="265"/>
      <c r="O345" s="266"/>
      <c r="P345" s="266"/>
      <c r="Q345" s="266"/>
      <c r="R345" s="266"/>
      <c r="S345" s="266"/>
      <c r="T345" s="266"/>
      <c r="U345" s="266"/>
    </row>
    <row r="346" spans="1:21" ht="30" customHeight="1">
      <c r="A346" s="204" t="str">
        <f>IF(ISBLANK(D346)," ",349-COUNTBLANK($D$6:D346))</f>
        <v xml:space="preserve"> </v>
      </c>
      <c r="B346" s="202"/>
      <c r="C346" s="202"/>
      <c r="D346" s="202"/>
      <c r="E346" s="304"/>
      <c r="F346" s="211"/>
      <c r="G346" s="203"/>
      <c r="H346" s="203"/>
      <c r="I346" s="203"/>
      <c r="J346" s="203"/>
      <c r="K346" s="205"/>
      <c r="L346" s="295"/>
      <c r="M346" s="264"/>
      <c r="N346" s="265"/>
      <c r="O346" s="266"/>
      <c r="P346" s="266"/>
      <c r="Q346" s="266"/>
      <c r="R346" s="266"/>
      <c r="S346" s="266"/>
      <c r="T346" s="266"/>
      <c r="U346" s="266"/>
    </row>
    <row r="347" spans="1:21" ht="30" customHeight="1">
      <c r="A347" s="204" t="str">
        <f>IF(ISBLANK(D347)," ",350-COUNTBLANK($D$6:D347))</f>
        <v xml:space="preserve"> </v>
      </c>
      <c r="B347" s="202"/>
      <c r="C347" s="202"/>
      <c r="D347" s="202"/>
      <c r="E347" s="304"/>
      <c r="F347" s="211"/>
      <c r="G347" s="203"/>
      <c r="H347" s="203"/>
      <c r="I347" s="203"/>
      <c r="J347" s="203"/>
      <c r="K347" s="205"/>
      <c r="L347" s="295"/>
      <c r="M347" s="264"/>
      <c r="N347" s="265"/>
      <c r="O347" s="266"/>
      <c r="P347" s="266"/>
      <c r="Q347" s="266"/>
      <c r="R347" s="266"/>
      <c r="S347" s="266"/>
      <c r="T347" s="266"/>
      <c r="U347" s="266"/>
    </row>
    <row r="348" spans="1:21" ht="30" customHeight="1">
      <c r="A348" s="204" t="str">
        <f>IF(ISBLANK(D348)," ",351-COUNTBLANK($D$6:D348))</f>
        <v xml:space="preserve"> </v>
      </c>
      <c r="B348" s="202"/>
      <c r="C348" s="202"/>
      <c r="D348" s="202"/>
      <c r="E348" s="304"/>
      <c r="F348" s="211"/>
      <c r="G348" s="203"/>
      <c r="H348" s="203"/>
      <c r="I348" s="203"/>
      <c r="J348" s="203"/>
      <c r="K348" s="205"/>
      <c r="L348" s="295"/>
      <c r="M348" s="264"/>
      <c r="N348" s="265"/>
      <c r="O348" s="266"/>
      <c r="P348" s="266"/>
      <c r="Q348" s="266"/>
      <c r="R348" s="266"/>
      <c r="S348" s="266"/>
      <c r="T348" s="266"/>
      <c r="U348" s="266"/>
    </row>
    <row r="349" spans="1:21" ht="30" customHeight="1">
      <c r="A349" s="204" t="str">
        <f>IF(ISBLANK(D349)," ",352-COUNTBLANK($D$6:D349))</f>
        <v xml:space="preserve"> </v>
      </c>
      <c r="B349" s="202"/>
      <c r="C349" s="202"/>
      <c r="D349" s="202"/>
      <c r="E349" s="304"/>
      <c r="F349" s="211"/>
      <c r="G349" s="203"/>
      <c r="H349" s="203"/>
      <c r="I349" s="203"/>
      <c r="J349" s="203"/>
      <c r="K349" s="205"/>
      <c r="L349" s="295"/>
      <c r="M349" s="264"/>
      <c r="N349" s="265"/>
      <c r="O349" s="266"/>
      <c r="P349" s="266"/>
      <c r="Q349" s="266"/>
      <c r="R349" s="266"/>
      <c r="S349" s="266"/>
      <c r="T349" s="266"/>
      <c r="U349" s="266"/>
    </row>
    <row r="350" spans="1:21" ht="30" customHeight="1">
      <c r="A350" s="204" t="str">
        <f>IF(ISBLANK(D350)," ",353-COUNTBLANK($D$6:D350))</f>
        <v xml:space="preserve"> </v>
      </c>
      <c r="B350" s="202"/>
      <c r="C350" s="202"/>
      <c r="D350" s="202"/>
      <c r="E350" s="304"/>
      <c r="F350" s="211"/>
      <c r="G350" s="203"/>
      <c r="H350" s="203"/>
      <c r="I350" s="203"/>
      <c r="J350" s="203"/>
      <c r="K350" s="205"/>
      <c r="L350" s="295"/>
      <c r="M350" s="264"/>
      <c r="N350" s="267"/>
      <c r="O350" s="266"/>
      <c r="P350" s="266"/>
      <c r="Q350" s="266"/>
      <c r="R350" s="266"/>
      <c r="S350" s="266"/>
      <c r="T350" s="266"/>
      <c r="U350" s="268"/>
    </row>
    <row r="351" spans="1:21" ht="30" customHeight="1">
      <c r="A351" s="204" t="str">
        <f>IF(ISBLANK(D351)," ",354-COUNTBLANK($D$6:D351))</f>
        <v xml:space="preserve"> </v>
      </c>
      <c r="B351" s="202"/>
      <c r="C351" s="202"/>
      <c r="D351" s="202"/>
      <c r="E351" s="304"/>
      <c r="F351" s="211"/>
      <c r="G351" s="203"/>
      <c r="H351" s="203"/>
      <c r="I351" s="203"/>
      <c r="J351" s="203"/>
      <c r="K351" s="205"/>
      <c r="L351" s="295"/>
      <c r="M351" s="264"/>
      <c r="N351" s="267"/>
      <c r="O351" s="266"/>
      <c r="P351" s="266"/>
      <c r="Q351" s="266"/>
      <c r="R351" s="266"/>
      <c r="S351" s="266"/>
      <c r="T351" s="266"/>
      <c r="U351" s="268"/>
    </row>
    <row r="352" spans="1:21" ht="30" customHeight="1">
      <c r="A352" s="204" t="str">
        <f>IF(ISBLANK(D352)," ",355-COUNTBLANK($D$6:D352))</f>
        <v xml:space="preserve"> </v>
      </c>
      <c r="B352" s="202"/>
      <c r="C352" s="202"/>
      <c r="D352" s="202"/>
      <c r="E352" s="304"/>
      <c r="F352" s="211"/>
      <c r="G352" s="203"/>
      <c r="H352" s="203"/>
      <c r="I352" s="203"/>
      <c r="J352" s="203"/>
      <c r="K352" s="205"/>
      <c r="L352" s="295"/>
      <c r="M352" s="264"/>
      <c r="N352" s="267"/>
      <c r="O352" s="266"/>
      <c r="P352" s="266"/>
      <c r="Q352" s="266"/>
      <c r="R352" s="266"/>
      <c r="S352" s="266"/>
      <c r="T352" s="266"/>
      <c r="U352" s="268"/>
    </row>
    <row r="353" spans="1:24" ht="30" customHeight="1">
      <c r="A353" s="204" t="str">
        <f>IF(ISBLANK(D353)," ",356-COUNTBLANK($D$6:D353))</f>
        <v xml:space="preserve"> </v>
      </c>
      <c r="B353" s="202"/>
      <c r="C353" s="202"/>
      <c r="D353" s="202"/>
      <c r="E353" s="304"/>
      <c r="F353" s="211"/>
      <c r="G353" s="203"/>
      <c r="H353" s="203"/>
      <c r="I353" s="203"/>
      <c r="J353" s="203"/>
      <c r="K353" s="205"/>
      <c r="L353" s="295"/>
      <c r="M353" s="264"/>
      <c r="N353" s="267"/>
      <c r="O353" s="266"/>
      <c r="P353" s="266"/>
      <c r="Q353" s="266"/>
      <c r="R353" s="266"/>
      <c r="S353" s="266"/>
      <c r="T353" s="266"/>
      <c r="U353" s="268"/>
    </row>
    <row r="354" spans="1:24" ht="30" customHeight="1">
      <c r="A354" s="308" t="s">
        <v>58</v>
      </c>
      <c r="B354" s="300"/>
      <c r="C354" s="309"/>
      <c r="D354" s="310"/>
      <c r="E354" s="301"/>
      <c r="F354" s="302">
        <f>SUM(F334:F353)</f>
        <v>0</v>
      </c>
      <c r="G354" s="286"/>
      <c r="H354" s="286"/>
      <c r="I354" s="286"/>
      <c r="J354" s="286"/>
      <c r="K354" s="287"/>
      <c r="L354" s="307"/>
      <c r="M354" s="264"/>
      <c r="N354" s="265"/>
      <c r="O354" s="266"/>
      <c r="P354" s="266"/>
      <c r="Q354" s="266"/>
      <c r="R354" s="266"/>
      <c r="S354" s="266"/>
      <c r="T354" s="266"/>
      <c r="U354" s="288"/>
      <c r="V354" s="266"/>
      <c r="W354" s="266"/>
      <c r="X354" s="266"/>
    </row>
    <row r="355" spans="1:24" ht="30" customHeight="1">
      <c r="A355" s="261" t="str">
        <f>IF(ISBLANK(D355)," ",358-COUNTBLANK($D$6:D355))</f>
        <v xml:space="preserve"> </v>
      </c>
      <c r="B355" s="200"/>
      <c r="C355" s="200"/>
      <c r="D355" s="200"/>
      <c r="E355" s="303"/>
      <c r="F355" s="210"/>
      <c r="G355" s="201"/>
      <c r="H355" s="201"/>
      <c r="I355" s="201"/>
      <c r="J355" s="201"/>
      <c r="K355" s="263"/>
      <c r="L355" s="295"/>
      <c r="M355" s="264"/>
      <c r="N355" s="267"/>
      <c r="O355" s="266"/>
      <c r="P355" s="266"/>
      <c r="Q355" s="266"/>
      <c r="R355" s="266"/>
      <c r="S355" s="266"/>
      <c r="T355" s="266"/>
      <c r="U355" s="288"/>
      <c r="V355" s="266"/>
      <c r="W355" s="266"/>
      <c r="X355" s="266"/>
    </row>
    <row r="356" spans="1:24" ht="30" customHeight="1">
      <c r="A356" s="204" t="str">
        <f>IF(ISBLANK(D356)," ",359-COUNTBLANK($D$6:D356))</f>
        <v xml:space="preserve"> </v>
      </c>
      <c r="B356" s="202"/>
      <c r="C356" s="202"/>
      <c r="D356" s="202"/>
      <c r="E356" s="304"/>
      <c r="F356" s="211"/>
      <c r="G356" s="203"/>
      <c r="H356" s="203"/>
      <c r="I356" s="203"/>
      <c r="J356" s="203"/>
      <c r="K356" s="205"/>
      <c r="L356" s="295"/>
      <c r="M356" s="264"/>
      <c r="N356" s="265"/>
      <c r="O356" s="266"/>
      <c r="P356" s="266"/>
      <c r="Q356" s="266"/>
      <c r="R356" s="266"/>
      <c r="S356" s="266"/>
      <c r="T356" s="266"/>
      <c r="U356" s="266"/>
    </row>
    <row r="357" spans="1:24" ht="30" customHeight="1">
      <c r="A357" s="204" t="str">
        <f>IF(ISBLANK(D357)," ",360-COUNTBLANK($D$6:D357))</f>
        <v xml:space="preserve"> </v>
      </c>
      <c r="B357" s="202"/>
      <c r="C357" s="202"/>
      <c r="D357" s="202"/>
      <c r="E357" s="304"/>
      <c r="F357" s="211"/>
      <c r="G357" s="203"/>
      <c r="H357" s="203"/>
      <c r="I357" s="203"/>
      <c r="J357" s="203"/>
      <c r="K357" s="205"/>
      <c r="L357" s="295"/>
      <c r="M357" s="264"/>
      <c r="N357" s="265"/>
      <c r="O357" s="266"/>
      <c r="P357" s="266"/>
      <c r="Q357" s="266"/>
      <c r="R357" s="266"/>
      <c r="S357" s="266"/>
      <c r="T357" s="266"/>
      <c r="U357" s="266"/>
    </row>
    <row r="358" spans="1:24" ht="30" customHeight="1">
      <c r="A358" s="204" t="str">
        <f>IF(ISBLANK(D358)," ",361-COUNTBLANK($D$6:D358))</f>
        <v xml:space="preserve"> </v>
      </c>
      <c r="B358" s="202"/>
      <c r="C358" s="202"/>
      <c r="D358" s="202"/>
      <c r="E358" s="304"/>
      <c r="F358" s="211"/>
      <c r="G358" s="203"/>
      <c r="H358" s="203"/>
      <c r="I358" s="203"/>
      <c r="J358" s="203"/>
      <c r="K358" s="205"/>
      <c r="L358" s="295"/>
      <c r="M358" s="264"/>
      <c r="N358" s="265"/>
      <c r="O358" s="266"/>
      <c r="P358" s="266"/>
      <c r="Q358" s="266"/>
      <c r="R358" s="266"/>
      <c r="S358" s="266"/>
      <c r="T358" s="266"/>
      <c r="U358" s="266"/>
    </row>
    <row r="359" spans="1:24" ht="30" customHeight="1">
      <c r="A359" s="204" t="str">
        <f>IF(ISBLANK(D359)," ",362-COUNTBLANK($D$6:D359))</f>
        <v xml:space="preserve"> </v>
      </c>
      <c r="B359" s="202"/>
      <c r="C359" s="202"/>
      <c r="D359" s="202"/>
      <c r="E359" s="304"/>
      <c r="F359" s="211"/>
      <c r="G359" s="203"/>
      <c r="H359" s="203"/>
      <c r="I359" s="203"/>
      <c r="J359" s="203"/>
      <c r="K359" s="205"/>
      <c r="L359" s="295"/>
      <c r="M359" s="264"/>
      <c r="N359" s="265"/>
      <c r="O359" s="266"/>
      <c r="P359" s="266"/>
      <c r="Q359" s="266"/>
      <c r="R359" s="266"/>
      <c r="S359" s="266"/>
      <c r="T359" s="266"/>
      <c r="U359" s="266"/>
    </row>
    <row r="360" spans="1:24" ht="30" customHeight="1">
      <c r="A360" s="204" t="str">
        <f>IF(ISBLANK(D360)," ",363-COUNTBLANK($D$6:D360))</f>
        <v xml:space="preserve"> </v>
      </c>
      <c r="B360" s="202"/>
      <c r="C360" s="202"/>
      <c r="D360" s="202"/>
      <c r="E360" s="304"/>
      <c r="F360" s="211"/>
      <c r="G360" s="203"/>
      <c r="H360" s="203"/>
      <c r="I360" s="203"/>
      <c r="J360" s="203"/>
      <c r="K360" s="205"/>
      <c r="L360" s="295"/>
      <c r="M360" s="264"/>
      <c r="N360" s="265"/>
      <c r="O360" s="266"/>
      <c r="P360" s="266"/>
      <c r="Q360" s="266"/>
      <c r="R360" s="266"/>
      <c r="S360" s="266"/>
      <c r="T360" s="266"/>
      <c r="U360" s="266"/>
    </row>
    <row r="361" spans="1:24" ht="30" customHeight="1">
      <c r="A361" s="204" t="str">
        <f>IF(ISBLANK(D361)," ",364-COUNTBLANK($D$6:D361))</f>
        <v xml:space="preserve"> </v>
      </c>
      <c r="B361" s="202"/>
      <c r="C361" s="202"/>
      <c r="D361" s="202"/>
      <c r="E361" s="304"/>
      <c r="F361" s="211"/>
      <c r="G361" s="203"/>
      <c r="H361" s="203"/>
      <c r="I361" s="203"/>
      <c r="J361" s="203"/>
      <c r="K361" s="205"/>
      <c r="L361" s="295"/>
      <c r="M361" s="264"/>
      <c r="N361" s="265"/>
      <c r="O361" s="266"/>
      <c r="P361" s="266"/>
      <c r="Q361" s="266"/>
      <c r="R361" s="266"/>
      <c r="S361" s="266"/>
      <c r="T361" s="266"/>
      <c r="U361" s="266"/>
    </row>
    <row r="362" spans="1:24" ht="30" customHeight="1">
      <c r="A362" s="204" t="str">
        <f>IF(ISBLANK(D362)," ",365-COUNTBLANK($D$6:D362))</f>
        <v xml:space="preserve"> </v>
      </c>
      <c r="B362" s="202"/>
      <c r="C362" s="202"/>
      <c r="D362" s="202"/>
      <c r="E362" s="304"/>
      <c r="F362" s="211"/>
      <c r="G362" s="203"/>
      <c r="H362" s="203"/>
      <c r="I362" s="203"/>
      <c r="J362" s="203"/>
      <c r="K362" s="205"/>
      <c r="L362" s="295"/>
      <c r="M362" s="264"/>
      <c r="N362" s="265"/>
      <c r="O362" s="266"/>
      <c r="P362" s="266"/>
      <c r="Q362" s="266"/>
      <c r="R362" s="266"/>
      <c r="S362" s="266"/>
      <c r="T362" s="266"/>
      <c r="U362" s="266"/>
    </row>
    <row r="363" spans="1:24" ht="30" customHeight="1">
      <c r="A363" s="204" t="str">
        <f>IF(ISBLANK(D363)," ",366-COUNTBLANK($D$6:D363))</f>
        <v xml:space="preserve"> </v>
      </c>
      <c r="B363" s="202"/>
      <c r="C363" s="202"/>
      <c r="D363" s="202"/>
      <c r="E363" s="304"/>
      <c r="F363" s="211"/>
      <c r="G363" s="203"/>
      <c r="H363" s="203"/>
      <c r="I363" s="203"/>
      <c r="J363" s="203"/>
      <c r="K363" s="205"/>
      <c r="L363" s="295"/>
      <c r="M363" s="264"/>
      <c r="N363" s="265"/>
      <c r="O363" s="266"/>
      <c r="P363" s="266"/>
      <c r="Q363" s="266"/>
      <c r="R363" s="266"/>
      <c r="S363" s="266"/>
      <c r="T363" s="266"/>
      <c r="U363" s="266"/>
    </row>
    <row r="364" spans="1:24" ht="30" customHeight="1">
      <c r="A364" s="204" t="str">
        <f>IF(ISBLANK(D364)," ",367-COUNTBLANK($D$6:D364))</f>
        <v xml:space="preserve"> </v>
      </c>
      <c r="B364" s="202"/>
      <c r="C364" s="202"/>
      <c r="D364" s="202"/>
      <c r="E364" s="304"/>
      <c r="F364" s="211"/>
      <c r="G364" s="203"/>
      <c r="H364" s="203"/>
      <c r="I364" s="203"/>
      <c r="J364" s="203"/>
      <c r="K364" s="205"/>
      <c r="L364" s="295"/>
      <c r="M364" s="264"/>
      <c r="N364" s="265"/>
      <c r="O364" s="266"/>
      <c r="P364" s="266"/>
      <c r="Q364" s="266"/>
      <c r="R364" s="266"/>
      <c r="S364" s="266"/>
      <c r="T364" s="266"/>
      <c r="U364" s="266"/>
    </row>
    <row r="365" spans="1:24" ht="30" customHeight="1">
      <c r="A365" s="204" t="str">
        <f>IF(ISBLANK(D365)," ",368-COUNTBLANK($D$6:D365))</f>
        <v xml:space="preserve"> </v>
      </c>
      <c r="B365" s="202"/>
      <c r="C365" s="202"/>
      <c r="D365" s="202"/>
      <c r="E365" s="304"/>
      <c r="F365" s="211"/>
      <c r="G365" s="203"/>
      <c r="H365" s="203"/>
      <c r="I365" s="203"/>
      <c r="J365" s="203"/>
      <c r="K365" s="205"/>
      <c r="L365" s="295"/>
      <c r="M365" s="264"/>
      <c r="N365" s="265"/>
      <c r="O365" s="266"/>
      <c r="P365" s="266"/>
      <c r="Q365" s="266"/>
      <c r="R365" s="266"/>
      <c r="S365" s="266"/>
      <c r="T365" s="266"/>
      <c r="U365" s="266"/>
    </row>
    <row r="366" spans="1:24" ht="30" customHeight="1">
      <c r="A366" s="204" t="str">
        <f>IF(ISBLANK(D366)," ",369-COUNTBLANK($D$6:D366))</f>
        <v xml:space="preserve"> </v>
      </c>
      <c r="B366" s="202"/>
      <c r="C366" s="202"/>
      <c r="D366" s="202"/>
      <c r="E366" s="304"/>
      <c r="F366" s="211"/>
      <c r="G366" s="203"/>
      <c r="H366" s="203"/>
      <c r="I366" s="203"/>
      <c r="J366" s="203"/>
      <c r="K366" s="205"/>
      <c r="L366" s="295"/>
      <c r="M366" s="264"/>
      <c r="N366" s="265"/>
      <c r="O366" s="266"/>
      <c r="P366" s="266"/>
      <c r="Q366" s="266"/>
      <c r="R366" s="266"/>
      <c r="S366" s="266"/>
      <c r="T366" s="266"/>
      <c r="U366" s="266"/>
    </row>
    <row r="367" spans="1:24" ht="30" customHeight="1">
      <c r="A367" s="204" t="str">
        <f>IF(ISBLANK(D367)," ",370-COUNTBLANK($D$6:D367))</f>
        <v xml:space="preserve"> </v>
      </c>
      <c r="B367" s="202"/>
      <c r="C367" s="202"/>
      <c r="D367" s="202"/>
      <c r="E367" s="304"/>
      <c r="F367" s="211"/>
      <c r="G367" s="203"/>
      <c r="H367" s="203"/>
      <c r="I367" s="203"/>
      <c r="J367" s="203"/>
      <c r="K367" s="205"/>
      <c r="L367" s="295"/>
      <c r="M367" s="264"/>
      <c r="N367" s="265"/>
      <c r="O367" s="266"/>
      <c r="P367" s="266"/>
      <c r="Q367" s="266"/>
      <c r="R367" s="266"/>
      <c r="S367" s="266"/>
      <c r="T367" s="266"/>
      <c r="U367" s="266"/>
    </row>
    <row r="368" spans="1:24" ht="30" customHeight="1">
      <c r="A368" s="204" t="str">
        <f>IF(ISBLANK(D368)," ",371-COUNTBLANK($D$6:D368))</f>
        <v xml:space="preserve"> </v>
      </c>
      <c r="B368" s="202"/>
      <c r="C368" s="202"/>
      <c r="D368" s="202"/>
      <c r="E368" s="304"/>
      <c r="F368" s="211"/>
      <c r="G368" s="203"/>
      <c r="H368" s="203"/>
      <c r="I368" s="203"/>
      <c r="J368" s="203"/>
      <c r="K368" s="205"/>
      <c r="L368" s="295"/>
      <c r="M368" s="264"/>
      <c r="N368" s="265"/>
      <c r="O368" s="266"/>
      <c r="P368" s="266"/>
      <c r="Q368" s="266"/>
      <c r="R368" s="266"/>
      <c r="S368" s="266"/>
      <c r="T368" s="266"/>
      <c r="U368" s="266"/>
    </row>
    <row r="369" spans="1:24" ht="30" customHeight="1">
      <c r="A369" s="204" t="str">
        <f>IF(ISBLANK(D369)," ",372-COUNTBLANK($D$6:D369))</f>
        <v xml:space="preserve"> </v>
      </c>
      <c r="B369" s="202"/>
      <c r="C369" s="202"/>
      <c r="D369" s="202"/>
      <c r="E369" s="304"/>
      <c r="F369" s="211"/>
      <c r="G369" s="203"/>
      <c r="H369" s="203"/>
      <c r="I369" s="203"/>
      <c r="J369" s="203"/>
      <c r="K369" s="205"/>
      <c r="L369" s="295"/>
      <c r="M369" s="264"/>
      <c r="N369" s="265"/>
      <c r="O369" s="266"/>
      <c r="P369" s="266"/>
      <c r="Q369" s="266"/>
      <c r="R369" s="266"/>
      <c r="S369" s="266"/>
      <c r="T369" s="266"/>
      <c r="U369" s="266"/>
    </row>
    <row r="370" spans="1:24" ht="30" customHeight="1">
      <c r="A370" s="204" t="str">
        <f>IF(ISBLANK(D370)," ",373-COUNTBLANK($D$6:D370))</f>
        <v xml:space="preserve"> </v>
      </c>
      <c r="B370" s="202"/>
      <c r="C370" s="202"/>
      <c r="D370" s="202"/>
      <c r="E370" s="304"/>
      <c r="F370" s="211"/>
      <c r="G370" s="203"/>
      <c r="H370" s="203"/>
      <c r="I370" s="203"/>
      <c r="J370" s="203"/>
      <c r="K370" s="205"/>
      <c r="L370" s="295"/>
      <c r="M370" s="264"/>
      <c r="N370" s="265"/>
      <c r="O370" s="266"/>
      <c r="P370" s="266"/>
      <c r="Q370" s="266"/>
      <c r="R370" s="266"/>
      <c r="S370" s="266"/>
      <c r="T370" s="266"/>
      <c r="U370" s="266"/>
    </row>
    <row r="371" spans="1:24" ht="30" customHeight="1">
      <c r="A371" s="204" t="str">
        <f>IF(ISBLANK(D371)," ",374-COUNTBLANK($D$6:D371))</f>
        <v xml:space="preserve"> </v>
      </c>
      <c r="B371" s="202"/>
      <c r="C371" s="202"/>
      <c r="D371" s="202"/>
      <c r="E371" s="304"/>
      <c r="F371" s="211"/>
      <c r="G371" s="203"/>
      <c r="H371" s="203"/>
      <c r="I371" s="203"/>
      <c r="J371" s="203"/>
      <c r="K371" s="205"/>
      <c r="L371" s="295"/>
      <c r="M371" s="264"/>
      <c r="N371" s="267"/>
      <c r="O371" s="266"/>
      <c r="P371" s="266"/>
      <c r="Q371" s="266"/>
      <c r="R371" s="266"/>
      <c r="S371" s="266"/>
      <c r="T371" s="266"/>
      <c r="U371" s="268"/>
    </row>
    <row r="372" spans="1:24" ht="30" customHeight="1">
      <c r="A372" s="204" t="str">
        <f>IF(ISBLANK(D372)," ",375-COUNTBLANK($D$6:D372))</f>
        <v xml:space="preserve"> </v>
      </c>
      <c r="B372" s="202"/>
      <c r="C372" s="202"/>
      <c r="D372" s="202"/>
      <c r="E372" s="304"/>
      <c r="F372" s="211"/>
      <c r="G372" s="203"/>
      <c r="H372" s="203"/>
      <c r="I372" s="203"/>
      <c r="J372" s="203"/>
      <c r="K372" s="205"/>
      <c r="L372" s="295"/>
      <c r="M372" s="264"/>
      <c r="N372" s="267"/>
      <c r="O372" s="266"/>
      <c r="P372" s="266"/>
      <c r="Q372" s="266"/>
      <c r="R372" s="266"/>
      <c r="S372" s="266"/>
      <c r="T372" s="266"/>
      <c r="U372" s="268"/>
    </row>
    <row r="373" spans="1:24" ht="30" customHeight="1">
      <c r="A373" s="204" t="str">
        <f>IF(ISBLANK(D373)," ",376-COUNTBLANK($D$6:D373))</f>
        <v xml:space="preserve"> </v>
      </c>
      <c r="B373" s="202"/>
      <c r="C373" s="202"/>
      <c r="D373" s="202"/>
      <c r="E373" s="304"/>
      <c r="F373" s="211"/>
      <c r="G373" s="203"/>
      <c r="H373" s="203"/>
      <c r="I373" s="203"/>
      <c r="J373" s="203"/>
      <c r="K373" s="205"/>
      <c r="L373" s="295"/>
      <c r="M373" s="264"/>
      <c r="N373" s="267"/>
      <c r="O373" s="266"/>
      <c r="P373" s="266"/>
      <c r="Q373" s="266"/>
      <c r="R373" s="266"/>
      <c r="S373" s="266"/>
      <c r="T373" s="266"/>
      <c r="U373" s="268"/>
    </row>
    <row r="374" spans="1:24" ht="30" customHeight="1">
      <c r="A374" s="204" t="str">
        <f>IF(ISBLANK(D374)," ",377-COUNTBLANK($D$6:D374))</f>
        <v xml:space="preserve"> </v>
      </c>
      <c r="B374" s="202"/>
      <c r="C374" s="202"/>
      <c r="D374" s="202"/>
      <c r="E374" s="304"/>
      <c r="F374" s="211"/>
      <c r="G374" s="203"/>
      <c r="H374" s="203"/>
      <c r="I374" s="203"/>
      <c r="J374" s="203"/>
      <c r="K374" s="205"/>
      <c r="L374" s="295"/>
      <c r="M374" s="264"/>
      <c r="N374" s="267"/>
      <c r="O374" s="266"/>
      <c r="P374" s="266"/>
      <c r="Q374" s="266"/>
      <c r="R374" s="266"/>
      <c r="S374" s="266"/>
      <c r="T374" s="266"/>
      <c r="U374" s="268"/>
    </row>
    <row r="375" spans="1:24" ht="30" customHeight="1">
      <c r="A375" s="308" t="s">
        <v>58</v>
      </c>
      <c r="B375" s="300"/>
      <c r="C375" s="309"/>
      <c r="D375" s="310"/>
      <c r="E375" s="301"/>
      <c r="F375" s="302">
        <f>SUM(F355:F374)</f>
        <v>0</v>
      </c>
      <c r="G375" s="286"/>
      <c r="H375" s="286"/>
      <c r="I375" s="286"/>
      <c r="J375" s="286"/>
      <c r="K375" s="287"/>
      <c r="L375" s="307"/>
      <c r="M375" s="264"/>
      <c r="N375" s="265"/>
      <c r="O375" s="266"/>
      <c r="P375" s="266"/>
      <c r="Q375" s="266"/>
      <c r="R375" s="266"/>
      <c r="S375" s="266"/>
      <c r="T375" s="266"/>
      <c r="U375" s="288"/>
      <c r="V375" s="266"/>
      <c r="W375" s="266"/>
      <c r="X375" s="266"/>
    </row>
    <row r="376" spans="1:24" ht="30" customHeight="1">
      <c r="A376" s="261" t="str">
        <f>IF(ISBLANK(D376)," ",379-COUNTBLANK($D$6:D376))</f>
        <v xml:space="preserve"> </v>
      </c>
      <c r="B376" s="200"/>
      <c r="C376" s="200"/>
      <c r="D376" s="200"/>
      <c r="E376" s="303"/>
      <c r="F376" s="210"/>
      <c r="G376" s="201"/>
      <c r="H376" s="201"/>
      <c r="I376" s="201"/>
      <c r="J376" s="201"/>
      <c r="K376" s="263"/>
      <c r="L376" s="295"/>
      <c r="M376" s="264"/>
      <c r="N376" s="267"/>
      <c r="O376" s="266"/>
      <c r="P376" s="266"/>
      <c r="Q376" s="266"/>
      <c r="R376" s="266"/>
      <c r="S376" s="266"/>
      <c r="T376" s="266"/>
      <c r="U376" s="288"/>
      <c r="V376" s="266"/>
      <c r="W376" s="266"/>
      <c r="X376" s="266"/>
    </row>
    <row r="377" spans="1:24" ht="30" customHeight="1">
      <c r="A377" s="204" t="str">
        <f>IF(ISBLANK(D377)," ",380-COUNTBLANK($D$6:D377))</f>
        <v xml:space="preserve"> </v>
      </c>
      <c r="B377" s="202"/>
      <c r="C377" s="202"/>
      <c r="D377" s="202"/>
      <c r="E377" s="304"/>
      <c r="F377" s="211"/>
      <c r="G377" s="203"/>
      <c r="H377" s="203"/>
      <c r="I377" s="203"/>
      <c r="J377" s="203"/>
      <c r="K377" s="205"/>
      <c r="L377" s="295"/>
      <c r="M377" s="264"/>
      <c r="N377" s="265"/>
      <c r="O377" s="266"/>
      <c r="P377" s="266"/>
      <c r="Q377" s="266"/>
      <c r="R377" s="266"/>
      <c r="S377" s="266"/>
      <c r="T377" s="266"/>
      <c r="U377" s="266"/>
    </row>
    <row r="378" spans="1:24" ht="30" customHeight="1">
      <c r="A378" s="204" t="str">
        <f>IF(ISBLANK(D378)," ",381-COUNTBLANK($D$6:D378))</f>
        <v xml:space="preserve"> </v>
      </c>
      <c r="B378" s="202"/>
      <c r="C378" s="202"/>
      <c r="D378" s="202"/>
      <c r="E378" s="304"/>
      <c r="F378" s="211"/>
      <c r="G378" s="203"/>
      <c r="H378" s="203"/>
      <c r="I378" s="203"/>
      <c r="J378" s="203"/>
      <c r="K378" s="205"/>
      <c r="L378" s="295"/>
      <c r="M378" s="264"/>
      <c r="N378" s="265"/>
      <c r="O378" s="266"/>
      <c r="P378" s="266"/>
      <c r="Q378" s="266"/>
      <c r="R378" s="266"/>
      <c r="S378" s="266"/>
      <c r="T378" s="266"/>
      <c r="U378" s="266"/>
    </row>
    <row r="379" spans="1:24" ht="30" customHeight="1">
      <c r="A379" s="204" t="str">
        <f>IF(ISBLANK(D379)," ",382-COUNTBLANK($D$6:D379))</f>
        <v xml:space="preserve"> </v>
      </c>
      <c r="B379" s="202"/>
      <c r="C379" s="202"/>
      <c r="D379" s="202"/>
      <c r="E379" s="304"/>
      <c r="F379" s="211"/>
      <c r="G379" s="203"/>
      <c r="H379" s="203"/>
      <c r="I379" s="203"/>
      <c r="J379" s="203"/>
      <c r="K379" s="205"/>
      <c r="L379" s="295"/>
      <c r="M379" s="264"/>
      <c r="N379" s="265"/>
      <c r="O379" s="266"/>
      <c r="P379" s="266"/>
      <c r="Q379" s="266"/>
      <c r="R379" s="266"/>
      <c r="S379" s="266"/>
      <c r="T379" s="266"/>
      <c r="U379" s="266"/>
    </row>
    <row r="380" spans="1:24" ht="30" customHeight="1">
      <c r="A380" s="204" t="str">
        <f>IF(ISBLANK(D380)," ",383-COUNTBLANK($D$6:D380))</f>
        <v xml:space="preserve"> </v>
      </c>
      <c r="B380" s="202"/>
      <c r="C380" s="202"/>
      <c r="D380" s="202"/>
      <c r="E380" s="304"/>
      <c r="F380" s="211"/>
      <c r="G380" s="203"/>
      <c r="H380" s="203"/>
      <c r="I380" s="203"/>
      <c r="J380" s="203"/>
      <c r="K380" s="205"/>
      <c r="L380" s="295"/>
      <c r="M380" s="264"/>
      <c r="N380" s="265"/>
      <c r="O380" s="266"/>
      <c r="P380" s="266"/>
      <c r="Q380" s="266"/>
      <c r="R380" s="266"/>
      <c r="S380" s="266"/>
      <c r="T380" s="266"/>
      <c r="U380" s="266"/>
    </row>
    <row r="381" spans="1:24" ht="30" customHeight="1">
      <c r="A381" s="204" t="str">
        <f>IF(ISBLANK(D381)," ",384-COUNTBLANK($D$6:D381))</f>
        <v xml:space="preserve"> </v>
      </c>
      <c r="B381" s="202"/>
      <c r="C381" s="202"/>
      <c r="D381" s="202"/>
      <c r="E381" s="304"/>
      <c r="F381" s="211"/>
      <c r="G381" s="203"/>
      <c r="H381" s="203"/>
      <c r="I381" s="203"/>
      <c r="J381" s="203"/>
      <c r="K381" s="205"/>
      <c r="L381" s="295"/>
      <c r="M381" s="264"/>
      <c r="N381" s="265"/>
      <c r="O381" s="266"/>
      <c r="P381" s="266"/>
      <c r="Q381" s="266"/>
      <c r="R381" s="266"/>
      <c r="S381" s="266"/>
      <c r="T381" s="266"/>
      <c r="U381" s="266"/>
    </row>
    <row r="382" spans="1:24" ht="30" customHeight="1">
      <c r="A382" s="204" t="str">
        <f>IF(ISBLANK(D382)," ",385-COUNTBLANK($D$6:D382))</f>
        <v xml:space="preserve"> </v>
      </c>
      <c r="B382" s="202"/>
      <c r="C382" s="202"/>
      <c r="D382" s="202"/>
      <c r="E382" s="304"/>
      <c r="F382" s="211"/>
      <c r="G382" s="203"/>
      <c r="H382" s="203"/>
      <c r="I382" s="203"/>
      <c r="J382" s="203"/>
      <c r="K382" s="205"/>
      <c r="L382" s="295"/>
      <c r="M382" s="264"/>
      <c r="N382" s="265"/>
      <c r="O382" s="266"/>
      <c r="P382" s="266"/>
      <c r="Q382" s="266"/>
      <c r="R382" s="266"/>
      <c r="S382" s="266"/>
      <c r="T382" s="266"/>
      <c r="U382" s="266"/>
    </row>
    <row r="383" spans="1:24" ht="30" customHeight="1">
      <c r="A383" s="204" t="str">
        <f>IF(ISBLANK(D383)," ",386-COUNTBLANK($D$6:D383))</f>
        <v xml:space="preserve"> </v>
      </c>
      <c r="B383" s="202"/>
      <c r="C383" s="202"/>
      <c r="D383" s="202"/>
      <c r="E383" s="304"/>
      <c r="F383" s="211"/>
      <c r="G383" s="203"/>
      <c r="H383" s="203"/>
      <c r="I383" s="203"/>
      <c r="J383" s="203"/>
      <c r="K383" s="205"/>
      <c r="L383" s="295"/>
      <c r="M383" s="264"/>
      <c r="N383" s="265"/>
      <c r="O383" s="266"/>
      <c r="P383" s="266"/>
      <c r="Q383" s="266"/>
      <c r="R383" s="266"/>
      <c r="S383" s="266"/>
      <c r="T383" s="266"/>
      <c r="U383" s="266"/>
    </row>
    <row r="384" spans="1:24" ht="30" customHeight="1">
      <c r="A384" s="204" t="str">
        <f>IF(ISBLANK(D384)," ",387-COUNTBLANK($D$6:D384))</f>
        <v xml:space="preserve"> </v>
      </c>
      <c r="B384" s="202"/>
      <c r="C384" s="202"/>
      <c r="D384" s="202"/>
      <c r="E384" s="304"/>
      <c r="F384" s="211"/>
      <c r="G384" s="203"/>
      <c r="H384" s="203"/>
      <c r="I384" s="203"/>
      <c r="J384" s="203"/>
      <c r="K384" s="205"/>
      <c r="L384" s="295"/>
      <c r="M384" s="264"/>
      <c r="N384" s="265"/>
      <c r="O384" s="266"/>
      <c r="P384" s="266"/>
      <c r="Q384" s="266"/>
      <c r="R384" s="266"/>
      <c r="S384" s="266"/>
      <c r="T384" s="266"/>
      <c r="U384" s="266"/>
    </row>
    <row r="385" spans="1:24" ht="30" customHeight="1">
      <c r="A385" s="204" t="str">
        <f>IF(ISBLANK(D385)," ",388-COUNTBLANK($D$6:D385))</f>
        <v xml:space="preserve"> </v>
      </c>
      <c r="B385" s="202"/>
      <c r="C385" s="202"/>
      <c r="D385" s="202"/>
      <c r="E385" s="304"/>
      <c r="F385" s="211"/>
      <c r="G385" s="203"/>
      <c r="H385" s="203"/>
      <c r="I385" s="203"/>
      <c r="J385" s="203"/>
      <c r="K385" s="205"/>
      <c r="L385" s="295"/>
      <c r="M385" s="264"/>
      <c r="N385" s="265"/>
      <c r="O385" s="266"/>
      <c r="P385" s="266"/>
      <c r="Q385" s="266"/>
      <c r="R385" s="266"/>
      <c r="S385" s="266"/>
      <c r="T385" s="266"/>
      <c r="U385" s="266"/>
    </row>
    <row r="386" spans="1:24" ht="30" customHeight="1">
      <c r="A386" s="204" t="str">
        <f>IF(ISBLANK(D386)," ",389-COUNTBLANK($D$6:D386))</f>
        <v xml:space="preserve"> </v>
      </c>
      <c r="B386" s="202"/>
      <c r="C386" s="202"/>
      <c r="D386" s="202"/>
      <c r="E386" s="304"/>
      <c r="F386" s="211"/>
      <c r="G386" s="203"/>
      <c r="H386" s="203"/>
      <c r="I386" s="203"/>
      <c r="J386" s="203"/>
      <c r="K386" s="205"/>
      <c r="L386" s="295"/>
      <c r="M386" s="264"/>
      <c r="N386" s="265"/>
      <c r="O386" s="266"/>
      <c r="P386" s="266"/>
      <c r="Q386" s="266"/>
      <c r="R386" s="266"/>
      <c r="S386" s="266"/>
      <c r="T386" s="266"/>
      <c r="U386" s="266"/>
    </row>
    <row r="387" spans="1:24" ht="30" customHeight="1">
      <c r="A387" s="204" t="str">
        <f>IF(ISBLANK(D387)," ",390-COUNTBLANK($D$6:D387))</f>
        <v xml:space="preserve"> </v>
      </c>
      <c r="B387" s="202"/>
      <c r="C387" s="202"/>
      <c r="D387" s="202"/>
      <c r="E387" s="304"/>
      <c r="F387" s="211"/>
      <c r="G387" s="203"/>
      <c r="H387" s="203"/>
      <c r="I387" s="203"/>
      <c r="J387" s="203"/>
      <c r="K387" s="205"/>
      <c r="L387" s="295"/>
      <c r="M387" s="264"/>
      <c r="N387" s="265"/>
      <c r="O387" s="266"/>
      <c r="P387" s="266"/>
      <c r="Q387" s="266"/>
      <c r="R387" s="266"/>
      <c r="S387" s="266"/>
      <c r="T387" s="266"/>
      <c r="U387" s="266"/>
    </row>
    <row r="388" spans="1:24" ht="30" customHeight="1">
      <c r="A388" s="204" t="str">
        <f>IF(ISBLANK(D388)," ",391-COUNTBLANK($D$6:D388))</f>
        <v xml:space="preserve"> </v>
      </c>
      <c r="B388" s="202"/>
      <c r="C388" s="202"/>
      <c r="D388" s="202"/>
      <c r="E388" s="304"/>
      <c r="F388" s="211"/>
      <c r="G388" s="203"/>
      <c r="H388" s="203"/>
      <c r="I388" s="203"/>
      <c r="J388" s="203"/>
      <c r="K388" s="205"/>
      <c r="L388" s="295"/>
      <c r="M388" s="264"/>
      <c r="N388" s="265"/>
      <c r="O388" s="266"/>
      <c r="P388" s="266"/>
      <c r="Q388" s="266"/>
      <c r="R388" s="266"/>
      <c r="S388" s="266"/>
      <c r="T388" s="266"/>
      <c r="U388" s="266"/>
    </row>
    <row r="389" spans="1:24" ht="30" customHeight="1">
      <c r="A389" s="204" t="str">
        <f>IF(ISBLANK(D389)," ",392-COUNTBLANK($D$6:D389))</f>
        <v xml:space="preserve"> </v>
      </c>
      <c r="B389" s="202"/>
      <c r="C389" s="202"/>
      <c r="D389" s="202"/>
      <c r="E389" s="304"/>
      <c r="F389" s="211"/>
      <c r="G389" s="203"/>
      <c r="H389" s="203"/>
      <c r="I389" s="203"/>
      <c r="J389" s="203"/>
      <c r="K389" s="205"/>
      <c r="L389" s="295"/>
      <c r="M389" s="264"/>
      <c r="N389" s="265"/>
      <c r="O389" s="266"/>
      <c r="P389" s="266"/>
      <c r="Q389" s="266"/>
      <c r="R389" s="266"/>
      <c r="S389" s="266"/>
      <c r="T389" s="266"/>
      <c r="U389" s="266"/>
    </row>
    <row r="390" spans="1:24" ht="30" customHeight="1">
      <c r="A390" s="204" t="str">
        <f>IF(ISBLANK(D390)," ",393-COUNTBLANK($D$6:D390))</f>
        <v xml:space="preserve"> </v>
      </c>
      <c r="B390" s="202"/>
      <c r="C390" s="202"/>
      <c r="D390" s="202"/>
      <c r="E390" s="304"/>
      <c r="F390" s="211"/>
      <c r="G390" s="203"/>
      <c r="H390" s="203"/>
      <c r="I390" s="203"/>
      <c r="J390" s="203"/>
      <c r="K390" s="205"/>
      <c r="L390" s="295"/>
      <c r="M390" s="264"/>
      <c r="N390" s="265"/>
      <c r="O390" s="266"/>
      <c r="P390" s="266"/>
      <c r="Q390" s="266"/>
      <c r="R390" s="266"/>
      <c r="S390" s="266"/>
      <c r="T390" s="266"/>
      <c r="U390" s="266"/>
    </row>
    <row r="391" spans="1:24" ht="30" customHeight="1">
      <c r="A391" s="204" t="str">
        <f>IF(ISBLANK(D391)," ",394-COUNTBLANK($D$6:D391))</f>
        <v xml:space="preserve"> </v>
      </c>
      <c r="B391" s="202"/>
      <c r="C391" s="202"/>
      <c r="D391" s="202"/>
      <c r="E391" s="304"/>
      <c r="F391" s="211"/>
      <c r="G391" s="203"/>
      <c r="H391" s="203"/>
      <c r="I391" s="203"/>
      <c r="J391" s="203"/>
      <c r="K391" s="205"/>
      <c r="L391" s="295"/>
      <c r="M391" s="264"/>
      <c r="N391" s="265"/>
      <c r="O391" s="266"/>
      <c r="P391" s="266"/>
      <c r="Q391" s="266"/>
      <c r="R391" s="266"/>
      <c r="S391" s="266"/>
      <c r="T391" s="266"/>
      <c r="U391" s="266"/>
    </row>
    <row r="392" spans="1:24" ht="30" customHeight="1">
      <c r="A392" s="204" t="str">
        <f>IF(ISBLANK(D392)," ",395-COUNTBLANK($D$6:D392))</f>
        <v xml:space="preserve"> </v>
      </c>
      <c r="B392" s="202"/>
      <c r="C392" s="202"/>
      <c r="D392" s="202"/>
      <c r="E392" s="304"/>
      <c r="F392" s="211"/>
      <c r="G392" s="203"/>
      <c r="H392" s="203"/>
      <c r="I392" s="203"/>
      <c r="J392" s="203"/>
      <c r="K392" s="205"/>
      <c r="L392" s="295"/>
      <c r="M392" s="264"/>
      <c r="N392" s="267"/>
      <c r="O392" s="266"/>
      <c r="P392" s="266"/>
      <c r="Q392" s="266"/>
      <c r="R392" s="266"/>
      <c r="S392" s="266"/>
      <c r="T392" s="266"/>
      <c r="U392" s="268"/>
    </row>
    <row r="393" spans="1:24" ht="30" customHeight="1">
      <c r="A393" s="204" t="str">
        <f>IF(ISBLANK(D393)," ",396-COUNTBLANK($D$6:D393))</f>
        <v xml:space="preserve"> </v>
      </c>
      <c r="B393" s="202"/>
      <c r="C393" s="202"/>
      <c r="D393" s="202"/>
      <c r="E393" s="304"/>
      <c r="F393" s="211"/>
      <c r="G393" s="203"/>
      <c r="H393" s="203"/>
      <c r="I393" s="203"/>
      <c r="J393" s="203"/>
      <c r="K393" s="205"/>
      <c r="L393" s="295"/>
      <c r="M393" s="264"/>
      <c r="N393" s="267"/>
      <c r="O393" s="266"/>
      <c r="P393" s="266"/>
      <c r="Q393" s="266"/>
      <c r="R393" s="266"/>
      <c r="S393" s="266"/>
      <c r="T393" s="266"/>
      <c r="U393" s="268"/>
    </row>
    <row r="394" spans="1:24" ht="30" customHeight="1">
      <c r="A394" s="204" t="str">
        <f>IF(ISBLANK(D394)," ",397-COUNTBLANK($D$6:D394))</f>
        <v xml:space="preserve"> </v>
      </c>
      <c r="B394" s="202"/>
      <c r="C394" s="202"/>
      <c r="D394" s="202"/>
      <c r="E394" s="304"/>
      <c r="F394" s="211"/>
      <c r="G394" s="203"/>
      <c r="H394" s="203"/>
      <c r="I394" s="203"/>
      <c r="J394" s="203"/>
      <c r="K394" s="205"/>
      <c r="L394" s="295"/>
      <c r="M394" s="264"/>
      <c r="N394" s="267"/>
      <c r="O394" s="266"/>
      <c r="P394" s="266"/>
      <c r="Q394" s="266"/>
      <c r="R394" s="266"/>
      <c r="S394" s="266"/>
      <c r="T394" s="266"/>
      <c r="U394" s="268"/>
    </row>
    <row r="395" spans="1:24" ht="30" customHeight="1">
      <c r="A395" s="204" t="str">
        <f>IF(ISBLANK(D395)," ",398-COUNTBLANK($D$6:D395))</f>
        <v xml:space="preserve"> </v>
      </c>
      <c r="B395" s="202"/>
      <c r="C395" s="202"/>
      <c r="D395" s="202"/>
      <c r="E395" s="304"/>
      <c r="F395" s="211"/>
      <c r="G395" s="203"/>
      <c r="H395" s="203"/>
      <c r="I395" s="203"/>
      <c r="J395" s="203"/>
      <c r="K395" s="205"/>
      <c r="L395" s="295"/>
      <c r="M395" s="264"/>
      <c r="N395" s="267"/>
      <c r="O395" s="266"/>
      <c r="P395" s="266"/>
      <c r="Q395" s="266"/>
      <c r="R395" s="266"/>
      <c r="S395" s="266"/>
      <c r="T395" s="266"/>
      <c r="U395" s="268"/>
    </row>
    <row r="396" spans="1:24" ht="30" customHeight="1">
      <c r="A396" s="308" t="s">
        <v>58</v>
      </c>
      <c r="B396" s="300"/>
      <c r="C396" s="309"/>
      <c r="D396" s="310"/>
      <c r="E396" s="301"/>
      <c r="F396" s="302">
        <f>SUM(F376:F395)</f>
        <v>0</v>
      </c>
      <c r="G396" s="286"/>
      <c r="H396" s="286"/>
      <c r="I396" s="286"/>
      <c r="J396" s="286"/>
      <c r="K396" s="287"/>
      <c r="L396" s="307"/>
      <c r="M396" s="264"/>
      <c r="N396" s="265"/>
      <c r="O396" s="266"/>
      <c r="P396" s="266"/>
      <c r="Q396" s="266"/>
      <c r="R396" s="266"/>
      <c r="S396" s="266"/>
      <c r="T396" s="266"/>
      <c r="U396" s="288"/>
      <c r="V396" s="266"/>
      <c r="W396" s="266"/>
      <c r="X396" s="266"/>
    </row>
    <row r="397" spans="1:24" ht="30" customHeight="1">
      <c r="A397" s="261" t="str">
        <f>IF(ISBLANK(D397)," ",400-COUNTBLANK($D$6:D397))</f>
        <v xml:space="preserve"> </v>
      </c>
      <c r="B397" s="200"/>
      <c r="C397" s="200"/>
      <c r="D397" s="200"/>
      <c r="E397" s="303"/>
      <c r="F397" s="210"/>
      <c r="G397" s="201"/>
      <c r="H397" s="201"/>
      <c r="I397" s="201"/>
      <c r="J397" s="201"/>
      <c r="K397" s="263"/>
      <c r="L397" s="295"/>
      <c r="M397" s="264"/>
      <c r="N397" s="267"/>
      <c r="O397" s="266"/>
      <c r="P397" s="266"/>
      <c r="Q397" s="266"/>
      <c r="R397" s="266"/>
      <c r="S397" s="266"/>
      <c r="T397" s="266"/>
      <c r="U397" s="288"/>
      <c r="V397" s="266"/>
      <c r="W397" s="266"/>
      <c r="X397" s="266"/>
    </row>
    <row r="398" spans="1:24" ht="30" customHeight="1">
      <c r="A398" s="204" t="str">
        <f>IF(ISBLANK(D398)," ",401-COUNTBLANK($D$6:D398))</f>
        <v xml:space="preserve"> </v>
      </c>
      <c r="B398" s="202"/>
      <c r="C398" s="202"/>
      <c r="D398" s="202"/>
      <c r="E398" s="304"/>
      <c r="F398" s="211"/>
      <c r="G398" s="203"/>
      <c r="H398" s="203"/>
      <c r="I398" s="203"/>
      <c r="J398" s="203"/>
      <c r="K398" s="205"/>
      <c r="L398" s="295"/>
      <c r="M398" s="264"/>
      <c r="N398" s="265"/>
      <c r="O398" s="266"/>
      <c r="P398" s="266"/>
      <c r="Q398" s="266"/>
      <c r="R398" s="266"/>
      <c r="S398" s="266"/>
      <c r="T398" s="266"/>
      <c r="U398" s="266"/>
    </row>
    <row r="399" spans="1:24" ht="30" customHeight="1">
      <c r="A399" s="204" t="str">
        <f>IF(ISBLANK(D399)," ",402-COUNTBLANK($D$6:D399))</f>
        <v xml:space="preserve"> </v>
      </c>
      <c r="B399" s="202"/>
      <c r="C399" s="202"/>
      <c r="D399" s="202"/>
      <c r="E399" s="304"/>
      <c r="F399" s="211"/>
      <c r="G399" s="203"/>
      <c r="H399" s="203"/>
      <c r="I399" s="203"/>
      <c r="J399" s="203"/>
      <c r="K399" s="205"/>
      <c r="L399" s="295"/>
      <c r="M399" s="264"/>
      <c r="N399" s="265"/>
      <c r="O399" s="266"/>
      <c r="P399" s="266"/>
      <c r="Q399" s="266"/>
      <c r="R399" s="266"/>
      <c r="S399" s="266"/>
      <c r="T399" s="266"/>
      <c r="U399" s="266"/>
    </row>
    <row r="400" spans="1:24" ht="30" customHeight="1">
      <c r="A400" s="204" t="str">
        <f>IF(ISBLANK(D400)," ",403-COUNTBLANK($D$6:D400))</f>
        <v xml:space="preserve"> </v>
      </c>
      <c r="B400" s="202"/>
      <c r="C400" s="202"/>
      <c r="D400" s="202"/>
      <c r="E400" s="304"/>
      <c r="F400" s="211"/>
      <c r="G400" s="203"/>
      <c r="H400" s="203"/>
      <c r="I400" s="203"/>
      <c r="J400" s="203"/>
      <c r="K400" s="205"/>
      <c r="L400" s="295"/>
      <c r="M400" s="264"/>
      <c r="N400" s="265"/>
      <c r="O400" s="266"/>
      <c r="P400" s="266"/>
      <c r="Q400" s="266"/>
      <c r="R400" s="266"/>
      <c r="S400" s="266"/>
      <c r="T400" s="266"/>
      <c r="U400" s="266"/>
    </row>
    <row r="401" spans="1:21" ht="30" customHeight="1">
      <c r="A401" s="204" t="str">
        <f>IF(ISBLANK(D401)," ",404-COUNTBLANK($D$6:D401))</f>
        <v xml:space="preserve"> </v>
      </c>
      <c r="B401" s="202"/>
      <c r="C401" s="202"/>
      <c r="D401" s="202"/>
      <c r="E401" s="304"/>
      <c r="F401" s="211"/>
      <c r="G401" s="203"/>
      <c r="H401" s="203"/>
      <c r="I401" s="203"/>
      <c r="J401" s="203"/>
      <c r="K401" s="205"/>
      <c r="L401" s="295"/>
      <c r="M401" s="264"/>
      <c r="N401" s="265"/>
      <c r="O401" s="266"/>
      <c r="P401" s="266"/>
      <c r="Q401" s="266"/>
      <c r="R401" s="266"/>
      <c r="S401" s="266"/>
      <c r="T401" s="266"/>
      <c r="U401" s="266"/>
    </row>
    <row r="402" spans="1:21" ht="30" customHeight="1">
      <c r="A402" s="204" t="str">
        <f>IF(ISBLANK(D402)," ",405-COUNTBLANK($D$6:D402))</f>
        <v xml:space="preserve"> </v>
      </c>
      <c r="B402" s="202"/>
      <c r="C402" s="202"/>
      <c r="D402" s="202"/>
      <c r="E402" s="304"/>
      <c r="F402" s="211"/>
      <c r="G402" s="203"/>
      <c r="H402" s="203"/>
      <c r="I402" s="203"/>
      <c r="J402" s="203"/>
      <c r="K402" s="205"/>
      <c r="L402" s="295"/>
      <c r="M402" s="264"/>
      <c r="N402" s="265"/>
      <c r="O402" s="266"/>
      <c r="P402" s="266"/>
      <c r="Q402" s="266"/>
      <c r="R402" s="266"/>
      <c r="S402" s="266"/>
      <c r="T402" s="266"/>
      <c r="U402" s="266"/>
    </row>
    <row r="403" spans="1:21" ht="30" customHeight="1">
      <c r="A403" s="204" t="str">
        <f>IF(ISBLANK(D403)," ",406-COUNTBLANK($D$6:D403))</f>
        <v xml:space="preserve"> </v>
      </c>
      <c r="B403" s="202"/>
      <c r="C403" s="202"/>
      <c r="D403" s="202"/>
      <c r="E403" s="304"/>
      <c r="F403" s="211"/>
      <c r="G403" s="203"/>
      <c r="H403" s="203"/>
      <c r="I403" s="203"/>
      <c r="J403" s="203"/>
      <c r="K403" s="205"/>
      <c r="L403" s="295"/>
      <c r="M403" s="264"/>
      <c r="N403" s="265"/>
      <c r="O403" s="266"/>
      <c r="P403" s="266"/>
      <c r="Q403" s="266"/>
      <c r="R403" s="266"/>
      <c r="S403" s="266"/>
      <c r="T403" s="266"/>
      <c r="U403" s="266"/>
    </row>
    <row r="404" spans="1:21" ht="30" customHeight="1">
      <c r="A404" s="204" t="str">
        <f>IF(ISBLANK(D404)," ",407-COUNTBLANK($D$6:D404))</f>
        <v xml:space="preserve"> </v>
      </c>
      <c r="B404" s="202"/>
      <c r="C404" s="202"/>
      <c r="D404" s="202"/>
      <c r="E404" s="304"/>
      <c r="F404" s="211"/>
      <c r="G404" s="203"/>
      <c r="H404" s="203"/>
      <c r="I404" s="203"/>
      <c r="J404" s="203"/>
      <c r="K404" s="205"/>
      <c r="L404" s="295"/>
      <c r="M404" s="264"/>
      <c r="N404" s="265"/>
      <c r="O404" s="266"/>
      <c r="P404" s="266"/>
      <c r="Q404" s="266"/>
      <c r="R404" s="266"/>
      <c r="S404" s="266"/>
      <c r="T404" s="266"/>
      <c r="U404" s="266"/>
    </row>
    <row r="405" spans="1:21" ht="30" customHeight="1">
      <c r="A405" s="204" t="str">
        <f>IF(ISBLANK(D405)," ",408-COUNTBLANK($D$6:D405))</f>
        <v xml:space="preserve"> </v>
      </c>
      <c r="B405" s="202"/>
      <c r="C405" s="202"/>
      <c r="D405" s="202"/>
      <c r="E405" s="304"/>
      <c r="F405" s="211"/>
      <c r="G405" s="203"/>
      <c r="H405" s="203"/>
      <c r="I405" s="203"/>
      <c r="J405" s="203"/>
      <c r="K405" s="205"/>
      <c r="L405" s="295"/>
      <c r="M405" s="264"/>
      <c r="N405" s="265"/>
      <c r="O405" s="266"/>
      <c r="P405" s="266"/>
      <c r="Q405" s="266"/>
      <c r="R405" s="266"/>
      <c r="S405" s="266"/>
      <c r="T405" s="266"/>
      <c r="U405" s="266"/>
    </row>
    <row r="406" spans="1:21" ht="30" customHeight="1">
      <c r="A406" s="204" t="str">
        <f>IF(ISBLANK(D406)," ",409-COUNTBLANK($D$6:D406))</f>
        <v xml:space="preserve"> </v>
      </c>
      <c r="B406" s="202"/>
      <c r="C406" s="202"/>
      <c r="D406" s="202"/>
      <c r="E406" s="304"/>
      <c r="F406" s="211"/>
      <c r="G406" s="203"/>
      <c r="H406" s="203"/>
      <c r="I406" s="203"/>
      <c r="J406" s="203"/>
      <c r="K406" s="205"/>
      <c r="L406" s="295"/>
      <c r="M406" s="264"/>
      <c r="N406" s="265"/>
      <c r="O406" s="266"/>
      <c r="P406" s="266"/>
      <c r="Q406" s="266"/>
      <c r="R406" s="266"/>
      <c r="S406" s="266"/>
      <c r="T406" s="266"/>
      <c r="U406" s="266"/>
    </row>
    <row r="407" spans="1:21" ht="30" customHeight="1">
      <c r="A407" s="204" t="str">
        <f>IF(ISBLANK(D407)," ",410-COUNTBLANK($D$6:D407))</f>
        <v xml:space="preserve"> </v>
      </c>
      <c r="B407" s="202"/>
      <c r="C407" s="202"/>
      <c r="D407" s="202"/>
      <c r="E407" s="304"/>
      <c r="F407" s="211"/>
      <c r="G407" s="203"/>
      <c r="H407" s="203"/>
      <c r="I407" s="203"/>
      <c r="J407" s="203"/>
      <c r="K407" s="205"/>
      <c r="L407" s="295"/>
      <c r="M407" s="264"/>
      <c r="N407" s="265"/>
      <c r="O407" s="266"/>
      <c r="P407" s="266"/>
      <c r="Q407" s="266"/>
      <c r="R407" s="266"/>
      <c r="S407" s="266"/>
      <c r="T407" s="266"/>
      <c r="U407" s="266"/>
    </row>
    <row r="408" spans="1:21" ht="30" customHeight="1">
      <c r="A408" s="204" t="str">
        <f>IF(ISBLANK(D408)," ",411-COUNTBLANK($D$6:D408))</f>
        <v xml:space="preserve"> </v>
      </c>
      <c r="B408" s="202"/>
      <c r="C408" s="202"/>
      <c r="D408" s="202"/>
      <c r="E408" s="304"/>
      <c r="F408" s="211"/>
      <c r="G408" s="203"/>
      <c r="H408" s="203"/>
      <c r="I408" s="203"/>
      <c r="J408" s="203"/>
      <c r="K408" s="205"/>
      <c r="L408" s="295"/>
      <c r="M408" s="264"/>
      <c r="N408" s="265"/>
      <c r="O408" s="266"/>
      <c r="P408" s="266"/>
      <c r="Q408" s="266"/>
      <c r="R408" s="266"/>
      <c r="S408" s="266"/>
      <c r="T408" s="266"/>
      <c r="U408" s="266"/>
    </row>
    <row r="409" spans="1:21" ht="30" customHeight="1">
      <c r="A409" s="204" t="str">
        <f>IF(ISBLANK(D409)," ",412-COUNTBLANK($D$6:D409))</f>
        <v xml:space="preserve"> </v>
      </c>
      <c r="B409" s="202"/>
      <c r="C409" s="202"/>
      <c r="D409" s="202"/>
      <c r="E409" s="304"/>
      <c r="F409" s="211"/>
      <c r="G409" s="203"/>
      <c r="H409" s="203"/>
      <c r="I409" s="203"/>
      <c r="J409" s="203"/>
      <c r="K409" s="205"/>
      <c r="L409" s="295"/>
      <c r="M409" s="264"/>
      <c r="N409" s="265"/>
      <c r="O409" s="266"/>
      <c r="P409" s="266"/>
      <c r="Q409" s="266"/>
      <c r="R409" s="266"/>
      <c r="S409" s="266"/>
      <c r="T409" s="266"/>
      <c r="U409" s="266"/>
    </row>
    <row r="410" spans="1:21" ht="30" customHeight="1">
      <c r="A410" s="204" t="str">
        <f>IF(ISBLANK(D410)," ",413-COUNTBLANK($D$6:D410))</f>
        <v xml:space="preserve"> </v>
      </c>
      <c r="B410" s="202"/>
      <c r="C410" s="202"/>
      <c r="D410" s="202"/>
      <c r="E410" s="304"/>
      <c r="F410" s="211"/>
      <c r="G410" s="203"/>
      <c r="H410" s="203"/>
      <c r="I410" s="203"/>
      <c r="J410" s="203"/>
      <c r="K410" s="205"/>
      <c r="L410" s="295"/>
      <c r="M410" s="264"/>
      <c r="N410" s="265"/>
      <c r="O410" s="266"/>
      <c r="P410" s="266"/>
      <c r="Q410" s="266"/>
      <c r="R410" s="266"/>
      <c r="S410" s="266"/>
      <c r="T410" s="266"/>
      <c r="U410" s="266"/>
    </row>
    <row r="411" spans="1:21" ht="30" customHeight="1">
      <c r="A411" s="204" t="str">
        <f>IF(ISBLANK(D411)," ",414-COUNTBLANK($D$6:D411))</f>
        <v xml:space="preserve"> </v>
      </c>
      <c r="B411" s="202"/>
      <c r="C411" s="202"/>
      <c r="D411" s="202"/>
      <c r="E411" s="304"/>
      <c r="F411" s="211"/>
      <c r="G411" s="203"/>
      <c r="H411" s="203"/>
      <c r="I411" s="203"/>
      <c r="J411" s="203"/>
      <c r="K411" s="205"/>
      <c r="L411" s="295"/>
      <c r="M411" s="264"/>
      <c r="N411" s="265"/>
      <c r="O411" s="266"/>
      <c r="P411" s="266"/>
      <c r="Q411" s="266"/>
      <c r="R411" s="266"/>
      <c r="S411" s="266"/>
      <c r="T411" s="266"/>
      <c r="U411" s="266"/>
    </row>
    <row r="412" spans="1:21" ht="30" customHeight="1">
      <c r="A412" s="204" t="str">
        <f>IF(ISBLANK(D412)," ",415-COUNTBLANK($D$6:D412))</f>
        <v xml:space="preserve"> </v>
      </c>
      <c r="B412" s="202"/>
      <c r="C412" s="202"/>
      <c r="D412" s="202"/>
      <c r="E412" s="304"/>
      <c r="F412" s="211"/>
      <c r="G412" s="203"/>
      <c r="H412" s="203"/>
      <c r="I412" s="203"/>
      <c r="J412" s="203"/>
      <c r="K412" s="205"/>
      <c r="L412" s="295"/>
      <c r="M412" s="264"/>
      <c r="N412" s="265"/>
      <c r="O412" s="266"/>
      <c r="P412" s="266"/>
      <c r="Q412" s="266"/>
      <c r="R412" s="266"/>
      <c r="S412" s="266"/>
      <c r="T412" s="266"/>
      <c r="U412" s="266"/>
    </row>
    <row r="413" spans="1:21" ht="30" customHeight="1">
      <c r="A413" s="204" t="str">
        <f>IF(ISBLANK(D413)," ",416-COUNTBLANK($D$6:D413))</f>
        <v xml:space="preserve"> </v>
      </c>
      <c r="B413" s="202"/>
      <c r="C413" s="202"/>
      <c r="D413" s="202"/>
      <c r="E413" s="304"/>
      <c r="F413" s="211"/>
      <c r="G413" s="203"/>
      <c r="H413" s="203"/>
      <c r="I413" s="203"/>
      <c r="J413" s="203"/>
      <c r="K413" s="205"/>
      <c r="L413" s="295"/>
      <c r="M413" s="264"/>
      <c r="N413" s="267"/>
      <c r="O413" s="266"/>
      <c r="P413" s="266"/>
      <c r="Q413" s="266"/>
      <c r="R413" s="266"/>
      <c r="S413" s="266"/>
      <c r="T413" s="266"/>
      <c r="U413" s="268"/>
    </row>
    <row r="414" spans="1:21" ht="30" customHeight="1">
      <c r="A414" s="204" t="str">
        <f>IF(ISBLANK(D414)," ",417-COUNTBLANK($D$6:D414))</f>
        <v xml:space="preserve"> </v>
      </c>
      <c r="B414" s="202"/>
      <c r="C414" s="202"/>
      <c r="D414" s="202"/>
      <c r="E414" s="304"/>
      <c r="F414" s="211"/>
      <c r="G414" s="203"/>
      <c r="H414" s="203"/>
      <c r="I414" s="203"/>
      <c r="J414" s="203"/>
      <c r="K414" s="205"/>
      <c r="L414" s="295"/>
      <c r="M414" s="264"/>
      <c r="N414" s="267"/>
      <c r="O414" s="266"/>
      <c r="P414" s="266"/>
      <c r="Q414" s="266"/>
      <c r="R414" s="266"/>
      <c r="S414" s="266"/>
      <c r="T414" s="266"/>
      <c r="U414" s="268"/>
    </row>
    <row r="415" spans="1:21" ht="30" customHeight="1">
      <c r="A415" s="204" t="str">
        <f>IF(ISBLANK(D415)," ",418-COUNTBLANK($D$6:D415))</f>
        <v xml:space="preserve"> </v>
      </c>
      <c r="B415" s="202"/>
      <c r="C415" s="202"/>
      <c r="D415" s="202"/>
      <c r="E415" s="304"/>
      <c r="F415" s="211"/>
      <c r="G415" s="203"/>
      <c r="H415" s="203"/>
      <c r="I415" s="203"/>
      <c r="J415" s="203"/>
      <c r="K415" s="205"/>
      <c r="L415" s="295"/>
      <c r="M415" s="264"/>
      <c r="N415" s="267"/>
      <c r="O415" s="266"/>
      <c r="P415" s="266"/>
      <c r="Q415" s="266"/>
      <c r="R415" s="266"/>
      <c r="S415" s="266"/>
      <c r="T415" s="266"/>
      <c r="U415" s="268"/>
    </row>
    <row r="416" spans="1:21" ht="30" customHeight="1">
      <c r="A416" s="204" t="str">
        <f>IF(ISBLANK(D416)," ",419-COUNTBLANK($D$6:D416))</f>
        <v xml:space="preserve"> </v>
      </c>
      <c r="B416" s="202"/>
      <c r="C416" s="202"/>
      <c r="D416" s="202"/>
      <c r="E416" s="304"/>
      <c r="F416" s="211"/>
      <c r="G416" s="203"/>
      <c r="H416" s="203"/>
      <c r="I416" s="203"/>
      <c r="J416" s="203"/>
      <c r="K416" s="205"/>
      <c r="L416" s="295"/>
      <c r="M416" s="264"/>
      <c r="N416" s="267"/>
      <c r="O416" s="266"/>
      <c r="P416" s="266"/>
      <c r="Q416" s="266"/>
      <c r="R416" s="266"/>
      <c r="S416" s="266"/>
      <c r="T416" s="266"/>
      <c r="U416" s="268"/>
    </row>
    <row r="417" spans="1:24" ht="30" customHeight="1">
      <c r="A417" s="308" t="s">
        <v>58</v>
      </c>
      <c r="B417" s="300"/>
      <c r="C417" s="309"/>
      <c r="D417" s="310"/>
      <c r="E417" s="301"/>
      <c r="F417" s="302">
        <f>SUM(F397:F416)</f>
        <v>0</v>
      </c>
      <c r="G417" s="286"/>
      <c r="H417" s="286"/>
      <c r="I417" s="286"/>
      <c r="J417" s="286"/>
      <c r="K417" s="287"/>
      <c r="L417" s="307"/>
      <c r="M417" s="264"/>
      <c r="N417" s="265"/>
      <c r="O417" s="266"/>
      <c r="P417" s="266"/>
      <c r="Q417" s="266"/>
      <c r="R417" s="266"/>
      <c r="S417" s="266"/>
      <c r="T417" s="266"/>
      <c r="U417" s="288"/>
      <c r="V417" s="266"/>
      <c r="W417" s="266"/>
      <c r="X417" s="266"/>
    </row>
    <row r="418" spans="1:24" ht="30" customHeight="1">
      <c r="A418" s="261" t="str">
        <f>IF(ISBLANK(D418)," ",421-COUNTBLANK($D$6:D418))</f>
        <v xml:space="preserve"> </v>
      </c>
      <c r="B418" s="200"/>
      <c r="C418" s="200"/>
      <c r="D418" s="200"/>
      <c r="E418" s="303"/>
      <c r="F418" s="210"/>
      <c r="G418" s="201"/>
      <c r="H418" s="201"/>
      <c r="I418" s="201"/>
      <c r="J418" s="201"/>
      <c r="K418" s="263"/>
      <c r="L418" s="295"/>
      <c r="M418" s="264"/>
      <c r="N418" s="267"/>
      <c r="O418" s="266"/>
      <c r="P418" s="266"/>
      <c r="Q418" s="266"/>
      <c r="R418" s="266"/>
      <c r="S418" s="266"/>
      <c r="T418" s="266"/>
      <c r="U418" s="288"/>
      <c r="V418" s="266"/>
      <c r="W418" s="266"/>
      <c r="X418" s="266"/>
    </row>
    <row r="419" spans="1:24" ht="30" customHeight="1">
      <c r="A419" s="204" t="str">
        <f>IF(ISBLANK(D419)," ",422-COUNTBLANK($D$6:D419))</f>
        <v xml:space="preserve"> </v>
      </c>
      <c r="B419" s="202"/>
      <c r="C419" s="202"/>
      <c r="D419" s="202"/>
      <c r="E419" s="304"/>
      <c r="F419" s="211"/>
      <c r="G419" s="203"/>
      <c r="H419" s="203"/>
      <c r="I419" s="203"/>
      <c r="J419" s="203"/>
      <c r="K419" s="205"/>
      <c r="L419" s="295"/>
      <c r="M419" s="264"/>
      <c r="N419" s="265"/>
      <c r="O419" s="266"/>
      <c r="P419" s="266"/>
      <c r="Q419" s="266"/>
      <c r="R419" s="266"/>
      <c r="S419" s="266"/>
      <c r="T419" s="266"/>
      <c r="U419" s="266"/>
    </row>
    <row r="420" spans="1:24" ht="30" customHeight="1">
      <c r="A420" s="204" t="str">
        <f>IF(ISBLANK(D420)," ",423-COUNTBLANK($D$6:D420))</f>
        <v xml:space="preserve"> </v>
      </c>
      <c r="B420" s="202"/>
      <c r="C420" s="202"/>
      <c r="D420" s="202"/>
      <c r="E420" s="304"/>
      <c r="F420" s="211"/>
      <c r="G420" s="203"/>
      <c r="H420" s="203"/>
      <c r="I420" s="203"/>
      <c r="J420" s="203"/>
      <c r="K420" s="205"/>
      <c r="L420" s="295"/>
      <c r="M420" s="264"/>
      <c r="N420" s="265"/>
      <c r="O420" s="266"/>
      <c r="P420" s="266"/>
      <c r="Q420" s="266"/>
      <c r="R420" s="266"/>
      <c r="S420" s="266"/>
      <c r="T420" s="266"/>
      <c r="U420" s="266"/>
    </row>
    <row r="421" spans="1:24" ht="30" customHeight="1">
      <c r="A421" s="204" t="str">
        <f>IF(ISBLANK(D421)," ",424-COUNTBLANK($D$6:D421))</f>
        <v xml:space="preserve"> </v>
      </c>
      <c r="B421" s="202"/>
      <c r="C421" s="202"/>
      <c r="D421" s="202"/>
      <c r="E421" s="304"/>
      <c r="F421" s="211"/>
      <c r="G421" s="203"/>
      <c r="H421" s="203"/>
      <c r="I421" s="203"/>
      <c r="J421" s="203"/>
      <c r="K421" s="205"/>
      <c r="L421" s="295"/>
      <c r="M421" s="264"/>
      <c r="N421" s="265"/>
      <c r="O421" s="266"/>
      <c r="P421" s="266"/>
      <c r="Q421" s="266"/>
      <c r="R421" s="266"/>
      <c r="S421" s="266"/>
      <c r="T421" s="266"/>
      <c r="U421" s="266"/>
    </row>
    <row r="422" spans="1:24" ht="30" customHeight="1">
      <c r="A422" s="204" t="str">
        <f>IF(ISBLANK(D422)," ",425-COUNTBLANK($D$6:D422))</f>
        <v xml:space="preserve"> </v>
      </c>
      <c r="B422" s="202"/>
      <c r="C422" s="202"/>
      <c r="D422" s="202"/>
      <c r="E422" s="304"/>
      <c r="F422" s="211"/>
      <c r="G422" s="203"/>
      <c r="H422" s="203"/>
      <c r="I422" s="203"/>
      <c r="J422" s="203"/>
      <c r="K422" s="205"/>
      <c r="L422" s="295"/>
      <c r="M422" s="264"/>
      <c r="N422" s="265"/>
      <c r="O422" s="266"/>
      <c r="P422" s="266"/>
      <c r="Q422" s="266"/>
      <c r="R422" s="266"/>
      <c r="S422" s="266"/>
      <c r="T422" s="266"/>
      <c r="U422" s="266"/>
    </row>
    <row r="423" spans="1:24" ht="30" customHeight="1">
      <c r="A423" s="204" t="str">
        <f>IF(ISBLANK(D423)," ",426-COUNTBLANK($D$6:D423))</f>
        <v xml:space="preserve"> </v>
      </c>
      <c r="B423" s="202"/>
      <c r="C423" s="202"/>
      <c r="D423" s="202"/>
      <c r="E423" s="304"/>
      <c r="F423" s="211"/>
      <c r="G423" s="203"/>
      <c r="H423" s="203"/>
      <c r="I423" s="203"/>
      <c r="J423" s="203"/>
      <c r="K423" s="205"/>
      <c r="L423" s="295"/>
      <c r="M423" s="264"/>
      <c r="N423" s="265"/>
      <c r="O423" s="266"/>
      <c r="P423" s="266"/>
      <c r="Q423" s="266"/>
      <c r="R423" s="266"/>
      <c r="S423" s="266"/>
      <c r="T423" s="266"/>
      <c r="U423" s="266"/>
    </row>
    <row r="424" spans="1:24" ht="30" customHeight="1">
      <c r="A424" s="204" t="str">
        <f>IF(ISBLANK(D424)," ",427-COUNTBLANK($D$6:D424))</f>
        <v xml:space="preserve"> </v>
      </c>
      <c r="B424" s="202"/>
      <c r="C424" s="202"/>
      <c r="D424" s="202"/>
      <c r="E424" s="304"/>
      <c r="F424" s="211"/>
      <c r="G424" s="203"/>
      <c r="H424" s="203"/>
      <c r="I424" s="203"/>
      <c r="J424" s="203"/>
      <c r="K424" s="205"/>
      <c r="L424" s="295"/>
      <c r="M424" s="264"/>
      <c r="N424" s="265"/>
      <c r="O424" s="266"/>
      <c r="P424" s="266"/>
      <c r="Q424" s="266"/>
      <c r="R424" s="266"/>
      <c r="S424" s="266"/>
      <c r="T424" s="266"/>
      <c r="U424" s="266"/>
    </row>
    <row r="425" spans="1:24" ht="30" customHeight="1">
      <c r="A425" s="204" t="str">
        <f>IF(ISBLANK(D425)," ",428-COUNTBLANK($D$6:D425))</f>
        <v xml:space="preserve"> </v>
      </c>
      <c r="B425" s="202"/>
      <c r="C425" s="202"/>
      <c r="D425" s="202"/>
      <c r="E425" s="304"/>
      <c r="F425" s="211"/>
      <c r="G425" s="203"/>
      <c r="H425" s="203"/>
      <c r="I425" s="203"/>
      <c r="J425" s="203"/>
      <c r="K425" s="205"/>
      <c r="L425" s="295"/>
      <c r="M425" s="264"/>
      <c r="N425" s="265"/>
      <c r="O425" s="266"/>
      <c r="P425" s="266"/>
      <c r="Q425" s="266"/>
      <c r="R425" s="266"/>
      <c r="S425" s="266"/>
      <c r="T425" s="266"/>
      <c r="U425" s="266"/>
    </row>
    <row r="426" spans="1:24" ht="30" customHeight="1">
      <c r="A426" s="204" t="str">
        <f>IF(ISBLANK(D426)," ",429-COUNTBLANK($D$6:D426))</f>
        <v xml:space="preserve"> </v>
      </c>
      <c r="B426" s="202"/>
      <c r="C426" s="202"/>
      <c r="D426" s="202"/>
      <c r="E426" s="304"/>
      <c r="F426" s="211"/>
      <c r="G426" s="203"/>
      <c r="H426" s="203"/>
      <c r="I426" s="203"/>
      <c r="J426" s="203"/>
      <c r="K426" s="205"/>
      <c r="L426" s="295"/>
      <c r="M426" s="264"/>
      <c r="N426" s="265"/>
      <c r="O426" s="266"/>
      <c r="P426" s="266"/>
      <c r="Q426" s="266"/>
      <c r="R426" s="266"/>
      <c r="S426" s="266"/>
      <c r="T426" s="266"/>
      <c r="U426" s="266"/>
    </row>
    <row r="427" spans="1:24" ht="30" customHeight="1">
      <c r="A427" s="204" t="str">
        <f>IF(ISBLANK(D427)," ",430-COUNTBLANK($D$6:D427))</f>
        <v xml:space="preserve"> </v>
      </c>
      <c r="B427" s="202"/>
      <c r="C427" s="202"/>
      <c r="D427" s="202"/>
      <c r="E427" s="304"/>
      <c r="F427" s="211"/>
      <c r="G427" s="203"/>
      <c r="H427" s="203"/>
      <c r="I427" s="203"/>
      <c r="J427" s="203"/>
      <c r="K427" s="205"/>
      <c r="L427" s="295"/>
      <c r="M427" s="264"/>
      <c r="N427" s="265"/>
      <c r="O427" s="266"/>
      <c r="P427" s="266"/>
      <c r="Q427" s="266"/>
      <c r="R427" s="266"/>
      <c r="S427" s="266"/>
      <c r="T427" s="266"/>
      <c r="U427" s="266"/>
    </row>
    <row r="428" spans="1:24" ht="30" customHeight="1">
      <c r="A428" s="204" t="str">
        <f>IF(ISBLANK(D428)," ",431-COUNTBLANK($D$6:D428))</f>
        <v xml:space="preserve"> </v>
      </c>
      <c r="B428" s="202"/>
      <c r="C428" s="202"/>
      <c r="D428" s="202"/>
      <c r="E428" s="304"/>
      <c r="F428" s="211"/>
      <c r="G428" s="203"/>
      <c r="H428" s="203"/>
      <c r="I428" s="203"/>
      <c r="J428" s="203"/>
      <c r="K428" s="205"/>
      <c r="L428" s="295"/>
      <c r="M428" s="264"/>
      <c r="N428" s="265"/>
      <c r="O428" s="266"/>
      <c r="P428" s="266"/>
      <c r="Q428" s="266"/>
      <c r="R428" s="266"/>
      <c r="S428" s="266"/>
      <c r="T428" s="266"/>
      <c r="U428" s="266"/>
    </row>
    <row r="429" spans="1:24" ht="30" customHeight="1">
      <c r="A429" s="204" t="str">
        <f>IF(ISBLANK(D429)," ",432-COUNTBLANK($D$6:D429))</f>
        <v xml:space="preserve"> </v>
      </c>
      <c r="B429" s="202"/>
      <c r="C429" s="202"/>
      <c r="D429" s="202"/>
      <c r="E429" s="304"/>
      <c r="F429" s="211"/>
      <c r="G429" s="203"/>
      <c r="H429" s="203"/>
      <c r="I429" s="203"/>
      <c r="J429" s="203"/>
      <c r="K429" s="205"/>
      <c r="L429" s="295"/>
      <c r="M429" s="264"/>
      <c r="N429" s="265"/>
      <c r="O429" s="266"/>
      <c r="P429" s="266"/>
      <c r="Q429" s="266"/>
      <c r="R429" s="266"/>
      <c r="S429" s="266"/>
      <c r="T429" s="266"/>
      <c r="U429" s="266"/>
    </row>
    <row r="430" spans="1:24" ht="30" customHeight="1">
      <c r="A430" s="204" t="str">
        <f>IF(ISBLANK(D430)," ",433-COUNTBLANK($D$6:D430))</f>
        <v xml:space="preserve"> </v>
      </c>
      <c r="B430" s="202"/>
      <c r="C430" s="202"/>
      <c r="D430" s="202"/>
      <c r="E430" s="304"/>
      <c r="F430" s="211"/>
      <c r="G430" s="203"/>
      <c r="H430" s="203"/>
      <c r="I430" s="203"/>
      <c r="J430" s="203"/>
      <c r="K430" s="205"/>
      <c r="L430" s="295"/>
      <c r="M430" s="264"/>
      <c r="N430" s="265"/>
      <c r="O430" s="266"/>
      <c r="P430" s="266"/>
      <c r="Q430" s="266"/>
      <c r="R430" s="266"/>
      <c r="S430" s="266"/>
      <c r="T430" s="266"/>
      <c r="U430" s="266"/>
    </row>
    <row r="431" spans="1:24" ht="30" customHeight="1">
      <c r="A431" s="204" t="str">
        <f>IF(ISBLANK(D431)," ",434-COUNTBLANK($D$6:D431))</f>
        <v xml:space="preserve"> </v>
      </c>
      <c r="B431" s="202"/>
      <c r="C431" s="202"/>
      <c r="D431" s="202"/>
      <c r="E431" s="304"/>
      <c r="F431" s="211"/>
      <c r="G431" s="203"/>
      <c r="H431" s="203"/>
      <c r="I431" s="203"/>
      <c r="J431" s="203"/>
      <c r="K431" s="205"/>
      <c r="L431" s="295"/>
      <c r="M431" s="264"/>
      <c r="N431" s="265"/>
      <c r="O431" s="266"/>
      <c r="P431" s="266"/>
      <c r="Q431" s="266"/>
      <c r="R431" s="266"/>
      <c r="S431" s="266"/>
      <c r="T431" s="266"/>
      <c r="U431" s="266"/>
    </row>
    <row r="432" spans="1:24" ht="30" customHeight="1">
      <c r="A432" s="204" t="str">
        <f>IF(ISBLANK(D432)," ",435-COUNTBLANK($D$6:D432))</f>
        <v xml:space="preserve"> </v>
      </c>
      <c r="B432" s="202"/>
      <c r="C432" s="202"/>
      <c r="D432" s="202"/>
      <c r="E432" s="304"/>
      <c r="F432" s="211"/>
      <c r="G432" s="203"/>
      <c r="H432" s="203"/>
      <c r="I432" s="203"/>
      <c r="J432" s="203"/>
      <c r="K432" s="205"/>
      <c r="L432" s="295"/>
      <c r="M432" s="264"/>
      <c r="N432" s="265"/>
      <c r="O432" s="266"/>
      <c r="P432" s="266"/>
      <c r="Q432" s="266"/>
      <c r="R432" s="266"/>
      <c r="S432" s="266"/>
      <c r="T432" s="266"/>
      <c r="U432" s="266"/>
    </row>
    <row r="433" spans="1:24" ht="27.75" customHeight="1">
      <c r="A433" s="204" t="str">
        <f>IF(ISBLANK(D433)," ",436-COUNTBLANK($D$6:D433))</f>
        <v xml:space="preserve"> </v>
      </c>
      <c r="B433" s="202"/>
      <c r="C433" s="202"/>
      <c r="D433" s="202"/>
      <c r="E433" s="304"/>
      <c r="F433" s="211"/>
      <c r="G433" s="203"/>
      <c r="H433" s="203"/>
      <c r="I433" s="203"/>
      <c r="J433" s="203"/>
      <c r="K433" s="205"/>
      <c r="L433" s="295"/>
      <c r="M433" s="264"/>
      <c r="N433" s="265"/>
      <c r="O433" s="266"/>
      <c r="P433" s="266"/>
      <c r="Q433" s="266"/>
      <c r="R433" s="266"/>
      <c r="S433" s="266"/>
      <c r="T433" s="266"/>
      <c r="U433" s="266"/>
    </row>
    <row r="434" spans="1:24" ht="27.75" customHeight="1">
      <c r="A434" s="204" t="str">
        <f>IF(ISBLANK(D434)," ",437-COUNTBLANK($D$6:D434))</f>
        <v xml:space="preserve"> </v>
      </c>
      <c r="B434" s="202"/>
      <c r="C434" s="202"/>
      <c r="D434" s="202"/>
      <c r="E434" s="304"/>
      <c r="F434" s="211"/>
      <c r="G434" s="203"/>
      <c r="H434" s="203"/>
      <c r="I434" s="203"/>
      <c r="J434" s="203"/>
      <c r="K434" s="205"/>
      <c r="L434" s="295"/>
      <c r="M434" s="264"/>
      <c r="N434" s="267"/>
      <c r="O434" s="266"/>
      <c r="P434" s="266"/>
      <c r="Q434" s="266"/>
      <c r="R434" s="266"/>
      <c r="S434" s="266"/>
      <c r="T434" s="266"/>
      <c r="U434" s="268"/>
    </row>
    <row r="435" spans="1:24" ht="27.75" customHeight="1">
      <c r="A435" s="204" t="str">
        <f>IF(ISBLANK(D435)," ",438-COUNTBLANK($D$6:D435))</f>
        <v xml:space="preserve"> </v>
      </c>
      <c r="B435" s="202"/>
      <c r="C435" s="202"/>
      <c r="D435" s="202"/>
      <c r="E435" s="304"/>
      <c r="F435" s="211"/>
      <c r="G435" s="203"/>
      <c r="H435" s="203"/>
      <c r="I435" s="203"/>
      <c r="J435" s="203"/>
      <c r="K435" s="205"/>
      <c r="L435" s="295"/>
      <c r="M435" s="264"/>
      <c r="N435" s="267"/>
      <c r="O435" s="266"/>
      <c r="P435" s="266"/>
      <c r="Q435" s="266"/>
      <c r="R435" s="266"/>
      <c r="S435" s="266"/>
      <c r="T435" s="266"/>
      <c r="U435" s="268"/>
    </row>
    <row r="436" spans="1:24" ht="27.75" customHeight="1">
      <c r="A436" s="204" t="str">
        <f>IF(ISBLANK(D436)," ",439-COUNTBLANK($D$6:D436))</f>
        <v xml:space="preserve"> </v>
      </c>
      <c r="B436" s="202"/>
      <c r="C436" s="202"/>
      <c r="D436" s="202"/>
      <c r="E436" s="304"/>
      <c r="F436" s="211"/>
      <c r="G436" s="203"/>
      <c r="H436" s="203"/>
      <c r="I436" s="203"/>
      <c r="J436" s="203"/>
      <c r="K436" s="205"/>
      <c r="L436" s="295"/>
      <c r="M436" s="264"/>
      <c r="N436" s="267"/>
      <c r="O436" s="266"/>
      <c r="P436" s="266"/>
      <c r="Q436" s="266"/>
      <c r="R436" s="266"/>
      <c r="S436" s="266"/>
      <c r="T436" s="266"/>
      <c r="U436" s="268"/>
    </row>
    <row r="437" spans="1:24" ht="27.75" customHeight="1">
      <c r="A437" s="204" t="str">
        <f>IF(ISBLANK(D437)," ",440-COUNTBLANK($D$6:D437))</f>
        <v xml:space="preserve"> </v>
      </c>
      <c r="B437" s="202"/>
      <c r="C437" s="202"/>
      <c r="D437" s="202"/>
      <c r="E437" s="304"/>
      <c r="F437" s="211"/>
      <c r="G437" s="203"/>
      <c r="H437" s="203"/>
      <c r="I437" s="203"/>
      <c r="J437" s="203"/>
      <c r="K437" s="205"/>
      <c r="L437" s="295"/>
      <c r="M437" s="264"/>
      <c r="N437" s="267"/>
      <c r="O437" s="266"/>
      <c r="P437" s="266"/>
      <c r="Q437" s="266"/>
      <c r="R437" s="266"/>
      <c r="S437" s="266"/>
      <c r="T437" s="266"/>
      <c r="U437" s="268"/>
    </row>
    <row r="438" spans="1:24" ht="27.75" customHeight="1">
      <c r="A438" s="308" t="s">
        <v>58</v>
      </c>
      <c r="B438" s="300"/>
      <c r="C438" s="309"/>
      <c r="D438" s="310"/>
      <c r="E438" s="301"/>
      <c r="F438" s="302">
        <f>SUM(F418:F437)</f>
        <v>0</v>
      </c>
      <c r="G438" s="286"/>
      <c r="H438" s="286"/>
      <c r="I438" s="286"/>
      <c r="J438" s="286"/>
      <c r="K438" s="287"/>
      <c r="L438" s="307"/>
      <c r="M438" s="264"/>
      <c r="N438" s="265"/>
      <c r="O438" s="266"/>
      <c r="P438" s="266"/>
      <c r="Q438" s="266"/>
      <c r="R438" s="266"/>
      <c r="S438" s="266"/>
      <c r="T438" s="266"/>
      <c r="U438" s="288"/>
      <c r="V438" s="266"/>
      <c r="W438" s="266"/>
      <c r="X438" s="266"/>
    </row>
    <row r="439" spans="1:24" ht="27.75" customHeight="1">
      <c r="A439" s="261" t="str">
        <f>IF(ISBLANK(D439)," ",442-COUNTBLANK($D$6:D439))</f>
        <v xml:space="preserve"> </v>
      </c>
      <c r="B439" s="200"/>
      <c r="C439" s="200"/>
      <c r="D439" s="200"/>
      <c r="E439" s="303"/>
      <c r="F439" s="210"/>
      <c r="G439" s="201"/>
      <c r="H439" s="201"/>
      <c r="I439" s="201"/>
      <c r="J439" s="201"/>
      <c r="K439" s="263"/>
      <c r="L439" s="295"/>
      <c r="M439" s="264"/>
      <c r="N439" s="267"/>
      <c r="O439" s="266"/>
      <c r="P439" s="266"/>
      <c r="Q439" s="266"/>
      <c r="R439" s="266"/>
      <c r="S439" s="266"/>
      <c r="T439" s="266"/>
      <c r="U439" s="288"/>
      <c r="V439" s="266"/>
      <c r="W439" s="266"/>
      <c r="X439" s="266"/>
    </row>
    <row r="440" spans="1:24" ht="27.75" customHeight="1">
      <c r="A440" s="204" t="str">
        <f>IF(ISBLANK(D440)," ",443-COUNTBLANK($D$6:D440))</f>
        <v xml:space="preserve"> </v>
      </c>
      <c r="B440" s="202"/>
      <c r="C440" s="202"/>
      <c r="D440" s="202"/>
      <c r="E440" s="304"/>
      <c r="F440" s="211"/>
      <c r="G440" s="203"/>
      <c r="H440" s="203"/>
      <c r="I440" s="203"/>
      <c r="J440" s="203"/>
      <c r="K440" s="205"/>
      <c r="L440" s="295"/>
      <c r="M440" s="264"/>
      <c r="N440" s="265"/>
      <c r="O440" s="266"/>
      <c r="P440" s="266"/>
      <c r="Q440" s="266"/>
      <c r="R440" s="266"/>
      <c r="S440" s="266"/>
      <c r="T440" s="266"/>
      <c r="U440" s="266"/>
    </row>
    <row r="441" spans="1:24" ht="27.75" customHeight="1">
      <c r="A441" s="204" t="str">
        <f>IF(ISBLANK(D441)," ",444-COUNTBLANK($D$6:D441))</f>
        <v xml:space="preserve"> </v>
      </c>
      <c r="B441" s="202"/>
      <c r="C441" s="202"/>
      <c r="D441" s="202"/>
      <c r="E441" s="304"/>
      <c r="F441" s="211"/>
      <c r="G441" s="203"/>
      <c r="H441" s="203"/>
      <c r="I441" s="203"/>
      <c r="J441" s="203"/>
      <c r="K441" s="205"/>
      <c r="L441" s="295"/>
      <c r="M441" s="264"/>
      <c r="N441" s="265"/>
      <c r="O441" s="266"/>
      <c r="P441" s="266"/>
      <c r="Q441" s="266"/>
      <c r="R441" s="266"/>
      <c r="S441" s="266"/>
      <c r="T441" s="266"/>
      <c r="U441" s="266"/>
    </row>
    <row r="442" spans="1:24" ht="27.75" customHeight="1">
      <c r="A442" s="204" t="str">
        <f>IF(ISBLANK(D442)," ",445-COUNTBLANK($D$6:D442))</f>
        <v xml:space="preserve"> </v>
      </c>
      <c r="B442" s="202"/>
      <c r="C442" s="202"/>
      <c r="D442" s="202"/>
      <c r="E442" s="304"/>
      <c r="F442" s="211"/>
      <c r="G442" s="203"/>
      <c r="H442" s="203"/>
      <c r="I442" s="203"/>
      <c r="J442" s="203"/>
      <c r="K442" s="205"/>
      <c r="L442" s="295"/>
      <c r="M442" s="264"/>
      <c r="N442" s="265"/>
      <c r="O442" s="266"/>
      <c r="P442" s="266"/>
      <c r="Q442" s="266"/>
      <c r="R442" s="266"/>
      <c r="S442" s="266"/>
      <c r="T442" s="266"/>
      <c r="U442" s="266"/>
    </row>
    <row r="443" spans="1:24" ht="27.75" customHeight="1">
      <c r="A443" s="204" t="str">
        <f>IF(ISBLANK(D443)," ",446-COUNTBLANK($D$6:D443))</f>
        <v xml:space="preserve"> </v>
      </c>
      <c r="B443" s="202"/>
      <c r="C443" s="202"/>
      <c r="D443" s="202"/>
      <c r="E443" s="304"/>
      <c r="F443" s="211"/>
      <c r="G443" s="203"/>
      <c r="H443" s="203"/>
      <c r="I443" s="203"/>
      <c r="J443" s="203"/>
      <c r="K443" s="205"/>
      <c r="L443" s="295"/>
      <c r="M443" s="264"/>
      <c r="N443" s="265"/>
      <c r="O443" s="266"/>
      <c r="P443" s="266"/>
      <c r="Q443" s="266"/>
      <c r="R443" s="266"/>
      <c r="S443" s="266"/>
      <c r="T443" s="266"/>
      <c r="U443" s="266"/>
    </row>
    <row r="444" spans="1:24" ht="27.75" customHeight="1">
      <c r="A444" s="204" t="str">
        <f>IF(ISBLANK(D444)," ",447-COUNTBLANK($D$6:D444))</f>
        <v xml:space="preserve"> </v>
      </c>
      <c r="B444" s="202"/>
      <c r="C444" s="202"/>
      <c r="D444" s="202"/>
      <c r="E444" s="304"/>
      <c r="F444" s="211"/>
      <c r="G444" s="203"/>
      <c r="H444" s="203"/>
      <c r="I444" s="203"/>
      <c r="J444" s="203"/>
      <c r="K444" s="205"/>
      <c r="L444" s="295"/>
      <c r="M444" s="264"/>
      <c r="N444" s="265"/>
      <c r="O444" s="266"/>
      <c r="P444" s="266"/>
      <c r="Q444" s="266"/>
      <c r="R444" s="266"/>
      <c r="S444" s="266"/>
      <c r="T444" s="266"/>
      <c r="U444" s="266"/>
    </row>
    <row r="445" spans="1:24" ht="27.75" customHeight="1">
      <c r="A445" s="204" t="str">
        <f>IF(ISBLANK(D445)," ",448-COUNTBLANK($D$6:D445))</f>
        <v xml:space="preserve"> </v>
      </c>
      <c r="B445" s="202"/>
      <c r="C445" s="202"/>
      <c r="D445" s="202"/>
      <c r="E445" s="304"/>
      <c r="F445" s="211"/>
      <c r="G445" s="203"/>
      <c r="H445" s="203"/>
      <c r="I445" s="203"/>
      <c r="J445" s="203"/>
      <c r="K445" s="205"/>
      <c r="L445" s="295"/>
      <c r="M445" s="264"/>
      <c r="N445" s="265"/>
      <c r="O445" s="266"/>
      <c r="P445" s="266"/>
      <c r="Q445" s="266"/>
      <c r="R445" s="266"/>
      <c r="S445" s="266"/>
      <c r="T445" s="266"/>
      <c r="U445" s="266"/>
    </row>
    <row r="446" spans="1:24" ht="27.75" customHeight="1">
      <c r="A446" s="204" t="str">
        <f>IF(ISBLANK(D446)," ",449-COUNTBLANK($D$6:D446))</f>
        <v xml:space="preserve"> </v>
      </c>
      <c r="B446" s="202"/>
      <c r="C446" s="202"/>
      <c r="D446" s="202"/>
      <c r="E446" s="304"/>
      <c r="F446" s="211"/>
      <c r="G446" s="203"/>
      <c r="H446" s="203"/>
      <c r="I446" s="203"/>
      <c r="J446" s="203"/>
      <c r="K446" s="205"/>
      <c r="L446" s="295"/>
      <c r="M446" s="264"/>
      <c r="N446" s="265"/>
      <c r="O446" s="266"/>
      <c r="P446" s="266"/>
      <c r="Q446" s="266"/>
      <c r="R446" s="266"/>
      <c r="S446" s="266"/>
      <c r="T446" s="266"/>
      <c r="U446" s="266"/>
    </row>
    <row r="447" spans="1:24" ht="27.75" customHeight="1">
      <c r="A447" s="204" t="str">
        <f>IF(ISBLANK(D447)," ",450-COUNTBLANK($D$6:D447))</f>
        <v xml:space="preserve"> </v>
      </c>
      <c r="B447" s="202"/>
      <c r="C447" s="202"/>
      <c r="D447" s="202"/>
      <c r="E447" s="304"/>
      <c r="F447" s="211"/>
      <c r="G447" s="203"/>
      <c r="H447" s="203"/>
      <c r="I447" s="203"/>
      <c r="J447" s="203"/>
      <c r="K447" s="205"/>
      <c r="L447" s="295"/>
      <c r="M447" s="264"/>
      <c r="N447" s="265"/>
      <c r="O447" s="266"/>
      <c r="P447" s="266"/>
      <c r="Q447" s="266"/>
      <c r="R447" s="266"/>
      <c r="S447" s="266"/>
      <c r="T447" s="266"/>
      <c r="U447" s="266"/>
    </row>
    <row r="448" spans="1:24" ht="27.75" customHeight="1">
      <c r="A448" s="204" t="str">
        <f>IF(ISBLANK(D448)," ",451-COUNTBLANK($D$6:D448))</f>
        <v xml:space="preserve"> </v>
      </c>
      <c r="B448" s="202"/>
      <c r="C448" s="202"/>
      <c r="D448" s="202"/>
      <c r="E448" s="304"/>
      <c r="F448" s="211"/>
      <c r="G448" s="203"/>
      <c r="H448" s="203"/>
      <c r="I448" s="203"/>
      <c r="J448" s="203"/>
      <c r="K448" s="205"/>
      <c r="L448" s="295"/>
      <c r="M448" s="264"/>
      <c r="N448" s="265"/>
      <c r="O448" s="266"/>
      <c r="P448" s="266"/>
      <c r="Q448" s="266"/>
      <c r="R448" s="266"/>
      <c r="S448" s="266"/>
      <c r="T448" s="266"/>
      <c r="U448" s="266"/>
    </row>
    <row r="449" spans="1:24" ht="27.75" customHeight="1">
      <c r="A449" s="204" t="str">
        <f>IF(ISBLANK(D449)," ",452-COUNTBLANK($D$6:D449))</f>
        <v xml:space="preserve"> </v>
      </c>
      <c r="B449" s="202"/>
      <c r="C449" s="202"/>
      <c r="D449" s="202"/>
      <c r="E449" s="304"/>
      <c r="F449" s="211"/>
      <c r="G449" s="203"/>
      <c r="H449" s="203"/>
      <c r="I449" s="203"/>
      <c r="J449" s="203"/>
      <c r="K449" s="205"/>
      <c r="L449" s="295"/>
      <c r="M449" s="264"/>
      <c r="N449" s="265"/>
      <c r="O449" s="266"/>
      <c r="P449" s="266"/>
      <c r="Q449" s="266"/>
      <c r="R449" s="266"/>
      <c r="S449" s="266"/>
      <c r="T449" s="266"/>
      <c r="U449" s="266"/>
    </row>
    <row r="450" spans="1:24" ht="27.75" customHeight="1">
      <c r="A450" s="204" t="str">
        <f>IF(ISBLANK(D450)," ",453-COUNTBLANK($D$6:D450))</f>
        <v xml:space="preserve"> </v>
      </c>
      <c r="B450" s="202"/>
      <c r="C450" s="202"/>
      <c r="D450" s="202"/>
      <c r="E450" s="304"/>
      <c r="F450" s="211"/>
      <c r="G450" s="203"/>
      <c r="H450" s="203"/>
      <c r="I450" s="203"/>
      <c r="J450" s="203"/>
      <c r="K450" s="205"/>
      <c r="L450" s="295"/>
      <c r="M450" s="264"/>
      <c r="N450" s="265"/>
      <c r="O450" s="266"/>
      <c r="P450" s="266"/>
      <c r="Q450" s="266"/>
      <c r="R450" s="266"/>
      <c r="S450" s="266"/>
      <c r="T450" s="266"/>
      <c r="U450" s="266"/>
    </row>
    <row r="451" spans="1:24" ht="27.75" customHeight="1">
      <c r="A451" s="204" t="str">
        <f>IF(ISBLANK(D451)," ",454-COUNTBLANK($D$6:D451))</f>
        <v xml:space="preserve"> </v>
      </c>
      <c r="B451" s="202"/>
      <c r="C451" s="202"/>
      <c r="D451" s="202"/>
      <c r="E451" s="304"/>
      <c r="F451" s="211"/>
      <c r="G451" s="203"/>
      <c r="H451" s="203"/>
      <c r="I451" s="203"/>
      <c r="J451" s="203"/>
      <c r="K451" s="205"/>
      <c r="L451" s="295"/>
      <c r="M451" s="264"/>
      <c r="N451" s="265"/>
      <c r="O451" s="266"/>
      <c r="P451" s="266"/>
      <c r="Q451" s="266"/>
      <c r="R451" s="266"/>
      <c r="S451" s="266"/>
      <c r="T451" s="266"/>
      <c r="U451" s="266"/>
    </row>
    <row r="452" spans="1:24" ht="27.75" customHeight="1">
      <c r="A452" s="204" t="str">
        <f>IF(ISBLANK(D452)," ",455-COUNTBLANK($D$6:D452))</f>
        <v xml:space="preserve"> </v>
      </c>
      <c r="B452" s="202"/>
      <c r="C452" s="202"/>
      <c r="D452" s="202"/>
      <c r="E452" s="304"/>
      <c r="F452" s="211"/>
      <c r="G452" s="203"/>
      <c r="H452" s="203"/>
      <c r="I452" s="203"/>
      <c r="J452" s="203"/>
      <c r="K452" s="205"/>
      <c r="L452" s="295"/>
      <c r="M452" s="264"/>
      <c r="N452" s="265"/>
      <c r="O452" s="266"/>
      <c r="P452" s="266"/>
      <c r="Q452" s="266"/>
      <c r="R452" s="266"/>
      <c r="S452" s="266"/>
      <c r="T452" s="266"/>
      <c r="U452" s="266"/>
    </row>
    <row r="453" spans="1:24" ht="27.75" customHeight="1">
      <c r="A453" s="204" t="str">
        <f>IF(ISBLANK(D453)," ",456-COUNTBLANK($D$6:D453))</f>
        <v xml:space="preserve"> </v>
      </c>
      <c r="B453" s="202"/>
      <c r="C453" s="202"/>
      <c r="D453" s="202"/>
      <c r="E453" s="304"/>
      <c r="F453" s="211"/>
      <c r="G453" s="203"/>
      <c r="H453" s="203"/>
      <c r="I453" s="203"/>
      <c r="J453" s="203"/>
      <c r="K453" s="205"/>
      <c r="L453" s="295"/>
      <c r="M453" s="264"/>
      <c r="N453" s="265"/>
      <c r="O453" s="266"/>
      <c r="P453" s="266"/>
      <c r="Q453" s="266"/>
      <c r="R453" s="266"/>
      <c r="S453" s="266"/>
      <c r="T453" s="266"/>
      <c r="U453" s="266"/>
    </row>
    <row r="454" spans="1:24" ht="27.75" customHeight="1">
      <c r="A454" s="204" t="str">
        <f>IF(ISBLANK(D454)," ",457-COUNTBLANK($D$6:D454))</f>
        <v xml:space="preserve"> </v>
      </c>
      <c r="B454" s="202"/>
      <c r="C454" s="202"/>
      <c r="D454" s="202"/>
      <c r="E454" s="304"/>
      <c r="F454" s="211"/>
      <c r="G454" s="203"/>
      <c r="H454" s="203"/>
      <c r="I454" s="203"/>
      <c r="J454" s="203"/>
      <c r="K454" s="205"/>
      <c r="L454" s="295"/>
      <c r="M454" s="264"/>
      <c r="N454" s="265"/>
      <c r="O454" s="266"/>
      <c r="P454" s="266"/>
      <c r="Q454" s="266"/>
      <c r="R454" s="266"/>
      <c r="S454" s="266"/>
      <c r="T454" s="266"/>
      <c r="U454" s="266"/>
    </row>
    <row r="455" spans="1:24" ht="27.75" customHeight="1">
      <c r="A455" s="204" t="str">
        <f>IF(ISBLANK(D455)," ",458-COUNTBLANK($D$6:D455))</f>
        <v xml:space="preserve"> </v>
      </c>
      <c r="B455" s="202"/>
      <c r="C455" s="202"/>
      <c r="D455" s="202"/>
      <c r="E455" s="304"/>
      <c r="F455" s="211"/>
      <c r="G455" s="203"/>
      <c r="H455" s="203"/>
      <c r="I455" s="203"/>
      <c r="J455" s="203"/>
      <c r="K455" s="205"/>
      <c r="L455" s="295"/>
      <c r="M455" s="264"/>
      <c r="N455" s="267"/>
      <c r="O455" s="266"/>
      <c r="P455" s="266"/>
      <c r="Q455" s="266"/>
      <c r="R455" s="266"/>
      <c r="S455" s="266"/>
      <c r="T455" s="266"/>
      <c r="U455" s="268"/>
    </row>
    <row r="456" spans="1:24" ht="27.75" customHeight="1">
      <c r="A456" s="204" t="str">
        <f>IF(ISBLANK(D456)," ",459-COUNTBLANK($D$6:D456))</f>
        <v xml:space="preserve"> </v>
      </c>
      <c r="B456" s="202"/>
      <c r="C456" s="202"/>
      <c r="D456" s="202"/>
      <c r="E456" s="304"/>
      <c r="F456" s="211"/>
      <c r="G456" s="203"/>
      <c r="H456" s="203"/>
      <c r="I456" s="203"/>
      <c r="J456" s="203"/>
      <c r="K456" s="205"/>
      <c r="L456" s="295"/>
      <c r="M456" s="264"/>
      <c r="N456" s="267"/>
      <c r="O456" s="266"/>
      <c r="P456" s="266"/>
      <c r="Q456" s="266"/>
      <c r="R456" s="266"/>
      <c r="S456" s="266"/>
      <c r="T456" s="266"/>
      <c r="U456" s="268"/>
    </row>
    <row r="457" spans="1:24" ht="27.75" customHeight="1">
      <c r="A457" s="204" t="str">
        <f>IF(ISBLANK(D457)," ",460-COUNTBLANK($D$6:D457))</f>
        <v xml:space="preserve"> </v>
      </c>
      <c r="B457" s="202"/>
      <c r="C457" s="202"/>
      <c r="D457" s="202"/>
      <c r="E457" s="304"/>
      <c r="F457" s="211"/>
      <c r="G457" s="203"/>
      <c r="H457" s="203"/>
      <c r="I457" s="203"/>
      <c r="J457" s="203"/>
      <c r="K457" s="205"/>
      <c r="L457" s="295"/>
      <c r="M457" s="264"/>
      <c r="N457" s="267"/>
      <c r="O457" s="266"/>
      <c r="P457" s="266"/>
      <c r="Q457" s="266"/>
      <c r="R457" s="266"/>
      <c r="S457" s="266"/>
      <c r="T457" s="266"/>
      <c r="U457" s="268"/>
    </row>
    <row r="458" spans="1:24" ht="27.75" customHeight="1">
      <c r="A458" s="204" t="str">
        <f>IF(ISBLANK(D458)," ",461-COUNTBLANK($D$6:D458))</f>
        <v xml:space="preserve"> </v>
      </c>
      <c r="B458" s="202"/>
      <c r="C458" s="202"/>
      <c r="D458" s="202"/>
      <c r="E458" s="304"/>
      <c r="F458" s="211"/>
      <c r="G458" s="203"/>
      <c r="H458" s="203"/>
      <c r="I458" s="203"/>
      <c r="J458" s="203"/>
      <c r="K458" s="205"/>
      <c r="L458" s="295"/>
      <c r="M458" s="264"/>
      <c r="N458" s="267"/>
      <c r="O458" s="266"/>
      <c r="P458" s="266"/>
      <c r="Q458" s="266"/>
      <c r="R458" s="266"/>
      <c r="S458" s="266"/>
      <c r="T458" s="266"/>
      <c r="U458" s="268"/>
    </row>
    <row r="459" spans="1:24" ht="27.75" customHeight="1">
      <c r="A459" s="308" t="s">
        <v>58</v>
      </c>
      <c r="B459" s="300"/>
      <c r="C459" s="309"/>
      <c r="D459" s="310"/>
      <c r="E459" s="301"/>
      <c r="F459" s="302">
        <f>SUM(F439:F458)</f>
        <v>0</v>
      </c>
      <c r="G459" s="286"/>
      <c r="H459" s="286"/>
      <c r="I459" s="286"/>
      <c r="J459" s="286"/>
      <c r="K459" s="287"/>
      <c r="L459" s="307"/>
      <c r="M459" s="264"/>
      <c r="N459" s="265"/>
      <c r="O459" s="266"/>
      <c r="P459" s="266"/>
      <c r="Q459" s="266"/>
      <c r="R459" s="266"/>
      <c r="S459" s="266"/>
      <c r="T459" s="266"/>
      <c r="U459" s="288"/>
      <c r="V459" s="266"/>
      <c r="W459" s="266"/>
      <c r="X459" s="266"/>
    </row>
    <row r="460" spans="1:24" ht="27.75" customHeight="1">
      <c r="A460" s="261" t="str">
        <f>IF(ISBLANK(D460)," ",463-COUNTBLANK($D$6:D460))</f>
        <v xml:space="preserve"> </v>
      </c>
      <c r="B460" s="200"/>
      <c r="C460" s="200"/>
      <c r="D460" s="200"/>
      <c r="E460" s="303"/>
      <c r="F460" s="210"/>
      <c r="G460" s="201"/>
      <c r="H460" s="201"/>
      <c r="I460" s="201"/>
      <c r="J460" s="201"/>
      <c r="K460" s="263"/>
      <c r="L460" s="295"/>
      <c r="M460" s="264"/>
      <c r="N460" s="267"/>
      <c r="O460" s="266"/>
      <c r="P460" s="266"/>
      <c r="Q460" s="266"/>
      <c r="R460" s="266"/>
      <c r="S460" s="266"/>
      <c r="T460" s="266"/>
      <c r="U460" s="288"/>
      <c r="V460" s="266"/>
      <c r="W460" s="266"/>
      <c r="X460" s="266"/>
    </row>
    <row r="461" spans="1:24" ht="27.75" customHeight="1">
      <c r="A461" s="204" t="str">
        <f>IF(ISBLANK(D461)," ",464-COUNTBLANK($D$6:D461))</f>
        <v xml:space="preserve"> </v>
      </c>
      <c r="B461" s="202"/>
      <c r="C461" s="202"/>
      <c r="D461" s="202"/>
      <c r="E461" s="304"/>
      <c r="F461" s="211"/>
      <c r="G461" s="203"/>
      <c r="H461" s="203"/>
      <c r="I461" s="203"/>
      <c r="J461" s="203"/>
      <c r="K461" s="205"/>
      <c r="L461" s="295"/>
      <c r="M461" s="264"/>
      <c r="N461" s="265"/>
      <c r="O461" s="266"/>
      <c r="P461" s="266"/>
      <c r="Q461" s="266"/>
      <c r="R461" s="266"/>
      <c r="S461" s="266"/>
      <c r="T461" s="266"/>
      <c r="U461" s="266"/>
    </row>
    <row r="462" spans="1:24" ht="27.75" customHeight="1">
      <c r="A462" s="204" t="str">
        <f>IF(ISBLANK(D462)," ",465-COUNTBLANK($D$6:D462))</f>
        <v xml:space="preserve"> </v>
      </c>
      <c r="B462" s="202"/>
      <c r="C462" s="202"/>
      <c r="D462" s="202"/>
      <c r="E462" s="304"/>
      <c r="F462" s="211"/>
      <c r="G462" s="203"/>
      <c r="H462" s="203"/>
      <c r="I462" s="203"/>
      <c r="J462" s="203"/>
      <c r="K462" s="205"/>
      <c r="L462" s="295"/>
      <c r="M462" s="264"/>
      <c r="N462" s="265"/>
      <c r="O462" s="266"/>
      <c r="P462" s="266"/>
      <c r="Q462" s="266"/>
      <c r="R462" s="266"/>
      <c r="S462" s="266"/>
      <c r="T462" s="266"/>
      <c r="U462" s="266"/>
    </row>
    <row r="463" spans="1:24" ht="27.75" customHeight="1">
      <c r="A463" s="204" t="str">
        <f>IF(ISBLANK(D463)," ",466-COUNTBLANK($D$6:D463))</f>
        <v xml:space="preserve"> </v>
      </c>
      <c r="B463" s="202"/>
      <c r="C463" s="202"/>
      <c r="D463" s="202"/>
      <c r="E463" s="304"/>
      <c r="F463" s="211"/>
      <c r="G463" s="203"/>
      <c r="H463" s="203"/>
      <c r="I463" s="203"/>
      <c r="J463" s="203"/>
      <c r="K463" s="205"/>
      <c r="L463" s="295"/>
      <c r="M463" s="264"/>
      <c r="N463" s="265"/>
      <c r="O463" s="266"/>
      <c r="P463" s="266"/>
      <c r="Q463" s="266"/>
      <c r="R463" s="266"/>
      <c r="S463" s="266"/>
      <c r="T463" s="266"/>
      <c r="U463" s="266"/>
    </row>
    <row r="464" spans="1:24" ht="27.75" customHeight="1">
      <c r="A464" s="204" t="str">
        <f>IF(ISBLANK(D464)," ",467-COUNTBLANK($D$6:D464))</f>
        <v xml:space="preserve"> </v>
      </c>
      <c r="B464" s="202"/>
      <c r="C464" s="202"/>
      <c r="D464" s="202"/>
      <c r="E464" s="304"/>
      <c r="F464" s="211"/>
      <c r="G464" s="203"/>
      <c r="H464" s="203"/>
      <c r="I464" s="203"/>
      <c r="J464" s="203"/>
      <c r="K464" s="205"/>
      <c r="L464" s="295"/>
      <c r="M464" s="264"/>
      <c r="N464" s="265"/>
      <c r="O464" s="266"/>
      <c r="P464" s="266"/>
      <c r="Q464" s="266"/>
      <c r="R464" s="266"/>
      <c r="S464" s="266"/>
      <c r="T464" s="266"/>
      <c r="U464" s="266"/>
    </row>
    <row r="465" spans="1:24" ht="27.75" customHeight="1">
      <c r="A465" s="204" t="str">
        <f>IF(ISBLANK(D465)," ",468-COUNTBLANK($D$6:D465))</f>
        <v xml:space="preserve"> </v>
      </c>
      <c r="B465" s="202"/>
      <c r="C465" s="202"/>
      <c r="D465" s="202"/>
      <c r="E465" s="304"/>
      <c r="F465" s="211"/>
      <c r="G465" s="203"/>
      <c r="H465" s="203"/>
      <c r="I465" s="203"/>
      <c r="J465" s="203"/>
      <c r="K465" s="205"/>
      <c r="L465" s="295"/>
      <c r="M465" s="264"/>
      <c r="N465" s="265"/>
      <c r="O465" s="266"/>
      <c r="P465" s="266"/>
      <c r="Q465" s="266"/>
      <c r="R465" s="266"/>
      <c r="S465" s="266"/>
      <c r="T465" s="266"/>
      <c r="U465" s="266"/>
    </row>
    <row r="466" spans="1:24" ht="27.75" customHeight="1">
      <c r="A466" s="204" t="str">
        <f>IF(ISBLANK(D466)," ",469-COUNTBLANK($D$6:D466))</f>
        <v xml:space="preserve"> </v>
      </c>
      <c r="B466" s="202"/>
      <c r="C466" s="202"/>
      <c r="D466" s="202"/>
      <c r="E466" s="304"/>
      <c r="F466" s="211"/>
      <c r="G466" s="203"/>
      <c r="H466" s="203"/>
      <c r="I466" s="203"/>
      <c r="J466" s="203"/>
      <c r="K466" s="205"/>
      <c r="L466" s="295"/>
      <c r="M466" s="264"/>
      <c r="N466" s="265"/>
      <c r="O466" s="266"/>
      <c r="P466" s="266"/>
      <c r="Q466" s="266"/>
      <c r="R466" s="266"/>
      <c r="S466" s="266"/>
      <c r="T466" s="266"/>
      <c r="U466" s="266"/>
    </row>
    <row r="467" spans="1:24" ht="27.75" customHeight="1">
      <c r="A467" s="204" t="str">
        <f>IF(ISBLANK(D467)," ",470-COUNTBLANK($D$6:D467))</f>
        <v xml:space="preserve"> </v>
      </c>
      <c r="B467" s="202"/>
      <c r="C467" s="202"/>
      <c r="D467" s="202"/>
      <c r="E467" s="304"/>
      <c r="F467" s="211"/>
      <c r="G467" s="203"/>
      <c r="H467" s="203"/>
      <c r="I467" s="203"/>
      <c r="J467" s="203"/>
      <c r="K467" s="205"/>
      <c r="L467" s="295"/>
      <c r="M467" s="264"/>
      <c r="N467" s="265"/>
      <c r="O467" s="266"/>
      <c r="P467" s="266"/>
      <c r="Q467" s="266"/>
      <c r="R467" s="266"/>
      <c r="S467" s="266"/>
      <c r="T467" s="266"/>
      <c r="U467" s="266"/>
    </row>
    <row r="468" spans="1:24" ht="27.75" customHeight="1">
      <c r="A468" s="204" t="str">
        <f>IF(ISBLANK(D468)," ",471-COUNTBLANK($D$6:D468))</f>
        <v xml:space="preserve"> </v>
      </c>
      <c r="B468" s="202"/>
      <c r="C468" s="202"/>
      <c r="D468" s="202"/>
      <c r="E468" s="304"/>
      <c r="F468" s="211"/>
      <c r="G468" s="203"/>
      <c r="H468" s="203"/>
      <c r="I468" s="203"/>
      <c r="J468" s="203"/>
      <c r="K468" s="205"/>
      <c r="L468" s="295"/>
      <c r="M468" s="264"/>
      <c r="N468" s="265"/>
      <c r="O468" s="266"/>
      <c r="P468" s="266"/>
      <c r="Q468" s="266"/>
      <c r="R468" s="266"/>
      <c r="S468" s="266"/>
      <c r="T468" s="266"/>
      <c r="U468" s="266"/>
    </row>
    <row r="469" spans="1:24" ht="27.75" customHeight="1">
      <c r="A469" s="204" t="str">
        <f>IF(ISBLANK(D469)," ",472-COUNTBLANK($D$6:D469))</f>
        <v xml:space="preserve"> </v>
      </c>
      <c r="B469" s="202"/>
      <c r="C469" s="202"/>
      <c r="D469" s="202"/>
      <c r="E469" s="304"/>
      <c r="F469" s="211"/>
      <c r="G469" s="203"/>
      <c r="H469" s="203"/>
      <c r="I469" s="203"/>
      <c r="J469" s="203"/>
      <c r="K469" s="205"/>
      <c r="L469" s="295"/>
      <c r="M469" s="264"/>
      <c r="N469" s="265"/>
      <c r="O469" s="266"/>
      <c r="P469" s="266"/>
      <c r="Q469" s="266"/>
      <c r="R469" s="266"/>
      <c r="S469" s="266"/>
      <c r="T469" s="266"/>
      <c r="U469" s="266"/>
    </row>
    <row r="470" spans="1:24" ht="27.75" customHeight="1">
      <c r="A470" s="204" t="str">
        <f>IF(ISBLANK(D470)," ",473-COUNTBLANK($D$6:D470))</f>
        <v xml:space="preserve"> </v>
      </c>
      <c r="B470" s="202"/>
      <c r="C470" s="202"/>
      <c r="D470" s="202"/>
      <c r="E470" s="304"/>
      <c r="F470" s="211"/>
      <c r="G470" s="203"/>
      <c r="H470" s="203"/>
      <c r="I470" s="203"/>
      <c r="J470" s="203"/>
      <c r="K470" s="205"/>
      <c r="L470" s="295"/>
      <c r="M470" s="264"/>
      <c r="N470" s="265"/>
      <c r="O470" s="266"/>
      <c r="P470" s="266"/>
      <c r="Q470" s="266"/>
      <c r="R470" s="266"/>
      <c r="S470" s="266"/>
      <c r="T470" s="266"/>
      <c r="U470" s="266"/>
    </row>
    <row r="471" spans="1:24" ht="27.75" customHeight="1">
      <c r="A471" s="204" t="str">
        <f>IF(ISBLANK(D471)," ",474-COUNTBLANK($D$6:D471))</f>
        <v xml:space="preserve"> </v>
      </c>
      <c r="B471" s="202"/>
      <c r="C471" s="202"/>
      <c r="D471" s="202"/>
      <c r="E471" s="304"/>
      <c r="F471" s="211"/>
      <c r="G471" s="203"/>
      <c r="H471" s="203"/>
      <c r="I471" s="203"/>
      <c r="J471" s="203"/>
      <c r="K471" s="205"/>
      <c r="L471" s="295"/>
      <c r="M471" s="264"/>
      <c r="N471" s="265"/>
      <c r="O471" s="266"/>
      <c r="P471" s="266"/>
      <c r="Q471" s="266"/>
      <c r="R471" s="266"/>
      <c r="S471" s="266"/>
      <c r="T471" s="266"/>
      <c r="U471" s="266"/>
    </row>
    <row r="472" spans="1:24" ht="27.75" customHeight="1">
      <c r="A472" s="204" t="str">
        <f>IF(ISBLANK(D472)," ",475-COUNTBLANK($D$6:D472))</f>
        <v xml:space="preserve"> </v>
      </c>
      <c r="B472" s="202"/>
      <c r="C472" s="202"/>
      <c r="D472" s="202"/>
      <c r="E472" s="304"/>
      <c r="F472" s="211"/>
      <c r="G472" s="203"/>
      <c r="H472" s="203"/>
      <c r="I472" s="203"/>
      <c r="J472" s="203"/>
      <c r="K472" s="205"/>
      <c r="L472" s="295"/>
      <c r="M472" s="264"/>
      <c r="N472" s="265"/>
      <c r="O472" s="266"/>
      <c r="P472" s="266"/>
      <c r="Q472" s="266"/>
      <c r="R472" s="266"/>
      <c r="S472" s="266"/>
      <c r="T472" s="266"/>
      <c r="U472" s="266"/>
    </row>
    <row r="473" spans="1:24" ht="27.75" customHeight="1">
      <c r="A473" s="204" t="str">
        <f>IF(ISBLANK(D473)," ",476-COUNTBLANK($D$6:D473))</f>
        <v xml:space="preserve"> </v>
      </c>
      <c r="B473" s="202"/>
      <c r="C473" s="202"/>
      <c r="D473" s="202"/>
      <c r="E473" s="304"/>
      <c r="F473" s="211"/>
      <c r="G473" s="203"/>
      <c r="H473" s="203"/>
      <c r="I473" s="203"/>
      <c r="J473" s="203"/>
      <c r="K473" s="205"/>
      <c r="L473" s="295"/>
      <c r="M473" s="264"/>
      <c r="N473" s="265"/>
      <c r="O473" s="266"/>
      <c r="P473" s="266"/>
      <c r="Q473" s="266"/>
      <c r="R473" s="266"/>
      <c r="S473" s="266"/>
      <c r="T473" s="266"/>
      <c r="U473" s="266"/>
    </row>
    <row r="474" spans="1:24" ht="27.75" customHeight="1">
      <c r="A474" s="204" t="str">
        <f>IF(ISBLANK(D474)," ",477-COUNTBLANK($D$6:D474))</f>
        <v xml:space="preserve"> </v>
      </c>
      <c r="B474" s="202"/>
      <c r="C474" s="202"/>
      <c r="D474" s="202"/>
      <c r="E474" s="304"/>
      <c r="F474" s="211"/>
      <c r="G474" s="203"/>
      <c r="H474" s="203"/>
      <c r="I474" s="203"/>
      <c r="J474" s="203"/>
      <c r="K474" s="205"/>
      <c r="L474" s="295"/>
      <c r="M474" s="264"/>
      <c r="N474" s="265"/>
      <c r="O474" s="266"/>
      <c r="P474" s="266"/>
      <c r="Q474" s="266"/>
      <c r="R474" s="266"/>
      <c r="S474" s="266"/>
      <c r="T474" s="266"/>
      <c r="U474" s="266"/>
    </row>
    <row r="475" spans="1:24" ht="27.75" customHeight="1">
      <c r="A475" s="204" t="str">
        <f>IF(ISBLANK(D475)," ",478-COUNTBLANK($D$6:D475))</f>
        <v xml:space="preserve"> </v>
      </c>
      <c r="B475" s="202"/>
      <c r="C475" s="202"/>
      <c r="D475" s="202"/>
      <c r="E475" s="304"/>
      <c r="F475" s="211"/>
      <c r="G475" s="203"/>
      <c r="H475" s="203"/>
      <c r="I475" s="203"/>
      <c r="J475" s="203"/>
      <c r="K475" s="205"/>
      <c r="L475" s="295"/>
      <c r="M475" s="264"/>
      <c r="N475" s="265"/>
      <c r="O475" s="266"/>
      <c r="P475" s="266"/>
      <c r="Q475" s="266"/>
      <c r="R475" s="266"/>
      <c r="S475" s="266"/>
      <c r="T475" s="266"/>
      <c r="U475" s="266"/>
    </row>
    <row r="476" spans="1:24" ht="27.75" customHeight="1">
      <c r="A476" s="204" t="str">
        <f>IF(ISBLANK(D476)," ",479-COUNTBLANK($D$6:D476))</f>
        <v xml:space="preserve"> </v>
      </c>
      <c r="B476" s="202"/>
      <c r="C476" s="202"/>
      <c r="D476" s="202"/>
      <c r="E476" s="304"/>
      <c r="F476" s="211"/>
      <c r="G476" s="203"/>
      <c r="H476" s="203"/>
      <c r="I476" s="203"/>
      <c r="J476" s="203"/>
      <c r="K476" s="205"/>
      <c r="L476" s="295"/>
      <c r="M476" s="264"/>
      <c r="N476" s="267"/>
      <c r="O476" s="266"/>
      <c r="P476" s="266"/>
      <c r="Q476" s="266"/>
      <c r="R476" s="266"/>
      <c r="S476" s="266"/>
      <c r="T476" s="266"/>
      <c r="U476" s="268"/>
    </row>
    <row r="477" spans="1:24" ht="27.75" customHeight="1">
      <c r="A477" s="204" t="str">
        <f>IF(ISBLANK(D477)," ",480-COUNTBLANK($D$6:D477))</f>
        <v xml:space="preserve"> </v>
      </c>
      <c r="B477" s="202"/>
      <c r="C477" s="202"/>
      <c r="D477" s="202"/>
      <c r="E477" s="304"/>
      <c r="F477" s="211"/>
      <c r="G477" s="203"/>
      <c r="H477" s="203"/>
      <c r="I477" s="203"/>
      <c r="J477" s="203"/>
      <c r="K477" s="205"/>
      <c r="L477" s="295"/>
      <c r="M477" s="264"/>
      <c r="N477" s="267"/>
      <c r="O477" s="266"/>
      <c r="P477" s="266"/>
      <c r="Q477" s="266"/>
      <c r="R477" s="266"/>
      <c r="S477" s="266"/>
      <c r="T477" s="266"/>
      <c r="U477" s="268"/>
    </row>
    <row r="478" spans="1:24" ht="27.75" customHeight="1">
      <c r="A478" s="204" t="str">
        <f>IF(ISBLANK(D478)," ",481-COUNTBLANK($D$6:D478))</f>
        <v xml:space="preserve"> </v>
      </c>
      <c r="B478" s="202"/>
      <c r="C478" s="202"/>
      <c r="D478" s="202"/>
      <c r="E478" s="304"/>
      <c r="F478" s="211"/>
      <c r="G478" s="203"/>
      <c r="H478" s="203"/>
      <c r="I478" s="203"/>
      <c r="J478" s="203"/>
      <c r="K478" s="205"/>
      <c r="L478" s="295"/>
      <c r="M478" s="264"/>
      <c r="N478" s="267"/>
      <c r="O478" s="266"/>
      <c r="P478" s="266"/>
      <c r="Q478" s="266"/>
      <c r="R478" s="266"/>
      <c r="S478" s="266"/>
      <c r="T478" s="266"/>
      <c r="U478" s="268"/>
    </row>
    <row r="479" spans="1:24" ht="27.75" customHeight="1">
      <c r="A479" s="204" t="str">
        <f>IF(ISBLANK(D479)," ",482-COUNTBLANK($D$6:D479))</f>
        <v xml:space="preserve"> </v>
      </c>
      <c r="B479" s="202"/>
      <c r="C479" s="202"/>
      <c r="D479" s="202"/>
      <c r="E479" s="304"/>
      <c r="F479" s="211"/>
      <c r="G479" s="203"/>
      <c r="H479" s="203"/>
      <c r="I479" s="203"/>
      <c r="J479" s="203"/>
      <c r="K479" s="205"/>
      <c r="L479" s="295"/>
      <c r="M479" s="264"/>
      <c r="N479" s="267"/>
      <c r="O479" s="266"/>
      <c r="P479" s="266"/>
      <c r="Q479" s="266"/>
      <c r="R479" s="266"/>
      <c r="S479" s="266"/>
      <c r="T479" s="266"/>
      <c r="U479" s="268"/>
    </row>
    <row r="480" spans="1:24" ht="27.75" customHeight="1">
      <c r="A480" s="308" t="s">
        <v>58</v>
      </c>
      <c r="B480" s="300"/>
      <c r="C480" s="309"/>
      <c r="D480" s="310"/>
      <c r="E480" s="301"/>
      <c r="F480" s="302">
        <f>SUM(F460:F479)</f>
        <v>0</v>
      </c>
      <c r="G480" s="286"/>
      <c r="H480" s="286"/>
      <c r="I480" s="286"/>
      <c r="J480" s="286"/>
      <c r="K480" s="287"/>
      <c r="L480" s="307"/>
      <c r="M480" s="264"/>
      <c r="N480" s="265"/>
      <c r="O480" s="266"/>
      <c r="P480" s="266"/>
      <c r="Q480" s="266"/>
      <c r="R480" s="266"/>
      <c r="S480" s="266"/>
      <c r="T480" s="266"/>
      <c r="U480" s="288"/>
      <c r="V480" s="266"/>
      <c r="W480" s="266"/>
      <c r="X480" s="266"/>
    </row>
    <row r="481" spans="1:24" ht="27.75" customHeight="1">
      <c r="A481" s="261" t="str">
        <f>IF(ISBLANK(D481)," ",484-COUNTBLANK($D$6:D481))</f>
        <v xml:space="preserve"> </v>
      </c>
      <c r="B481" s="200"/>
      <c r="C481" s="200"/>
      <c r="D481" s="200"/>
      <c r="E481" s="303"/>
      <c r="F481" s="210"/>
      <c r="G481" s="201"/>
      <c r="H481" s="201"/>
      <c r="I481" s="201"/>
      <c r="J481" s="201"/>
      <c r="K481" s="263"/>
      <c r="L481" s="295"/>
      <c r="M481" s="264"/>
      <c r="N481" s="267"/>
      <c r="O481" s="266"/>
      <c r="P481" s="266"/>
      <c r="Q481" s="266"/>
      <c r="R481" s="266"/>
      <c r="S481" s="266"/>
      <c r="T481" s="266"/>
      <c r="U481" s="288"/>
      <c r="V481" s="266"/>
      <c r="W481" s="266"/>
      <c r="X481" s="266"/>
    </row>
    <row r="482" spans="1:24" ht="27.75" customHeight="1">
      <c r="A482" s="204" t="str">
        <f>IF(ISBLANK(D482)," ",485-COUNTBLANK($D$6:D482))</f>
        <v xml:space="preserve"> </v>
      </c>
      <c r="B482" s="202"/>
      <c r="C482" s="202"/>
      <c r="D482" s="202"/>
      <c r="E482" s="304"/>
      <c r="F482" s="211"/>
      <c r="G482" s="203"/>
      <c r="H482" s="203"/>
      <c r="I482" s="203"/>
      <c r="J482" s="203"/>
      <c r="K482" s="205"/>
      <c r="L482" s="295"/>
      <c r="M482" s="264"/>
      <c r="N482" s="265"/>
      <c r="O482" s="266"/>
      <c r="P482" s="266"/>
      <c r="Q482" s="266"/>
      <c r="R482" s="266"/>
      <c r="S482" s="266"/>
      <c r="T482" s="266"/>
      <c r="U482" s="266"/>
    </row>
    <row r="483" spans="1:24" ht="27.75" customHeight="1">
      <c r="A483" s="204" t="str">
        <f>IF(ISBLANK(D483)," ",486-COUNTBLANK($D$6:D483))</f>
        <v xml:space="preserve"> </v>
      </c>
      <c r="B483" s="202"/>
      <c r="C483" s="202"/>
      <c r="D483" s="202"/>
      <c r="E483" s="304"/>
      <c r="F483" s="211"/>
      <c r="G483" s="203"/>
      <c r="H483" s="203"/>
      <c r="I483" s="203"/>
      <c r="J483" s="203"/>
      <c r="K483" s="205"/>
      <c r="L483" s="295"/>
      <c r="M483" s="264"/>
      <c r="N483" s="265"/>
      <c r="O483" s="266"/>
      <c r="P483" s="266"/>
      <c r="Q483" s="266"/>
      <c r="R483" s="266"/>
      <c r="S483" s="266"/>
      <c r="T483" s="266"/>
      <c r="U483" s="266"/>
    </row>
    <row r="484" spans="1:24" ht="27.75" customHeight="1">
      <c r="A484" s="204" t="str">
        <f>IF(ISBLANK(D484)," ",487-COUNTBLANK($D$6:D484))</f>
        <v xml:space="preserve"> </v>
      </c>
      <c r="B484" s="202"/>
      <c r="C484" s="202"/>
      <c r="D484" s="202"/>
      <c r="E484" s="304"/>
      <c r="F484" s="211"/>
      <c r="G484" s="203"/>
      <c r="H484" s="203"/>
      <c r="I484" s="203"/>
      <c r="J484" s="203"/>
      <c r="K484" s="205"/>
      <c r="L484" s="295"/>
      <c r="M484" s="264"/>
      <c r="N484" s="265"/>
      <c r="O484" s="266"/>
      <c r="P484" s="266"/>
      <c r="Q484" s="266"/>
      <c r="R484" s="266"/>
      <c r="S484" s="266"/>
      <c r="T484" s="266"/>
      <c r="U484" s="266"/>
    </row>
    <row r="485" spans="1:24" ht="27.75" customHeight="1">
      <c r="A485" s="204" t="str">
        <f>IF(ISBLANK(D485)," ",488-COUNTBLANK($D$6:D485))</f>
        <v xml:space="preserve"> </v>
      </c>
      <c r="B485" s="202"/>
      <c r="C485" s="202"/>
      <c r="D485" s="202"/>
      <c r="E485" s="304"/>
      <c r="F485" s="211"/>
      <c r="G485" s="203"/>
      <c r="H485" s="203"/>
      <c r="I485" s="203"/>
      <c r="J485" s="203"/>
      <c r="K485" s="205"/>
      <c r="L485" s="295"/>
      <c r="M485" s="264"/>
      <c r="N485" s="265"/>
      <c r="O485" s="266"/>
      <c r="P485" s="266"/>
      <c r="Q485" s="266"/>
      <c r="R485" s="266"/>
      <c r="S485" s="266"/>
      <c r="T485" s="266"/>
      <c r="U485" s="266"/>
    </row>
    <row r="486" spans="1:24" ht="27.75" customHeight="1">
      <c r="A486" s="204" t="str">
        <f>IF(ISBLANK(D486)," ",489-COUNTBLANK($D$6:D486))</f>
        <v xml:space="preserve"> </v>
      </c>
      <c r="B486" s="202"/>
      <c r="C486" s="202"/>
      <c r="D486" s="202"/>
      <c r="E486" s="304"/>
      <c r="F486" s="211"/>
      <c r="G486" s="203"/>
      <c r="H486" s="203"/>
      <c r="I486" s="203"/>
      <c r="J486" s="203"/>
      <c r="K486" s="205"/>
      <c r="L486" s="295"/>
      <c r="M486" s="264"/>
      <c r="N486" s="265"/>
      <c r="O486" s="266"/>
      <c r="P486" s="266"/>
      <c r="Q486" s="266"/>
      <c r="R486" s="266"/>
      <c r="S486" s="266"/>
      <c r="T486" s="266"/>
      <c r="U486" s="266"/>
    </row>
    <row r="487" spans="1:24" ht="27.75" customHeight="1">
      <c r="A487" s="204" t="str">
        <f>IF(ISBLANK(D487)," ",490-COUNTBLANK($D$6:D487))</f>
        <v xml:space="preserve"> </v>
      </c>
      <c r="B487" s="202"/>
      <c r="C487" s="202"/>
      <c r="D487" s="202"/>
      <c r="E487" s="304"/>
      <c r="F487" s="211"/>
      <c r="G487" s="203"/>
      <c r="H487" s="203"/>
      <c r="I487" s="203"/>
      <c r="J487" s="203"/>
      <c r="K487" s="205"/>
      <c r="L487" s="295"/>
      <c r="M487" s="264"/>
      <c r="N487" s="265"/>
      <c r="O487" s="266"/>
      <c r="P487" s="266"/>
      <c r="Q487" s="266"/>
      <c r="R487" s="266"/>
      <c r="S487" s="266"/>
      <c r="T487" s="266"/>
      <c r="U487" s="266"/>
    </row>
    <row r="488" spans="1:24" ht="27.75" customHeight="1">
      <c r="A488" s="204" t="str">
        <f>IF(ISBLANK(D488)," ",491-COUNTBLANK($D$6:D488))</f>
        <v xml:space="preserve"> </v>
      </c>
      <c r="B488" s="202"/>
      <c r="C488" s="202"/>
      <c r="D488" s="202"/>
      <c r="E488" s="304"/>
      <c r="F488" s="211"/>
      <c r="G488" s="203"/>
      <c r="H488" s="203"/>
      <c r="I488" s="203"/>
      <c r="J488" s="203"/>
      <c r="K488" s="205"/>
      <c r="L488" s="295"/>
      <c r="M488" s="264"/>
      <c r="N488" s="265"/>
      <c r="O488" s="266"/>
      <c r="P488" s="266"/>
      <c r="Q488" s="266"/>
      <c r="R488" s="266"/>
      <c r="S488" s="266"/>
      <c r="T488" s="266"/>
      <c r="U488" s="266"/>
    </row>
    <row r="489" spans="1:24" ht="27.75" customHeight="1">
      <c r="A489" s="204" t="str">
        <f>IF(ISBLANK(D489)," ",492-COUNTBLANK($D$6:D489))</f>
        <v xml:space="preserve"> </v>
      </c>
      <c r="B489" s="202"/>
      <c r="C489" s="202"/>
      <c r="D489" s="202"/>
      <c r="E489" s="304"/>
      <c r="F489" s="211"/>
      <c r="G489" s="203"/>
      <c r="H489" s="203"/>
      <c r="I489" s="203"/>
      <c r="J489" s="203"/>
      <c r="K489" s="205"/>
      <c r="L489" s="295"/>
      <c r="M489" s="264"/>
      <c r="N489" s="265"/>
      <c r="O489" s="266"/>
      <c r="P489" s="266"/>
      <c r="Q489" s="266"/>
      <c r="R489" s="266"/>
      <c r="S489" s="266"/>
      <c r="T489" s="266"/>
      <c r="U489" s="266"/>
    </row>
    <row r="490" spans="1:24" ht="27.75" customHeight="1">
      <c r="A490" s="204" t="str">
        <f>IF(ISBLANK(D490)," ",493-COUNTBLANK($D$6:D490))</f>
        <v xml:space="preserve"> </v>
      </c>
      <c r="B490" s="202"/>
      <c r="C490" s="202"/>
      <c r="D490" s="202"/>
      <c r="E490" s="304"/>
      <c r="F490" s="211"/>
      <c r="G490" s="203"/>
      <c r="H490" s="203"/>
      <c r="I490" s="203"/>
      <c r="J490" s="203"/>
      <c r="K490" s="205"/>
      <c r="L490" s="295"/>
      <c r="M490" s="264"/>
      <c r="N490" s="265"/>
      <c r="O490" s="266"/>
      <c r="P490" s="266"/>
      <c r="Q490" s="266"/>
      <c r="R490" s="266"/>
      <c r="S490" s="266"/>
      <c r="T490" s="266"/>
      <c r="U490" s="266"/>
    </row>
    <row r="491" spans="1:24" ht="27.75" customHeight="1">
      <c r="A491" s="204" t="str">
        <f>IF(ISBLANK(D491)," ",494-COUNTBLANK($D$6:D491))</f>
        <v xml:space="preserve"> </v>
      </c>
      <c r="B491" s="202"/>
      <c r="C491" s="202"/>
      <c r="D491" s="202"/>
      <c r="E491" s="304"/>
      <c r="F491" s="211"/>
      <c r="G491" s="203"/>
      <c r="H491" s="203"/>
      <c r="I491" s="203"/>
      <c r="J491" s="203"/>
      <c r="K491" s="205"/>
      <c r="L491" s="295"/>
      <c r="M491" s="264"/>
      <c r="N491" s="265"/>
      <c r="O491" s="266"/>
      <c r="P491" s="266"/>
      <c r="Q491" s="266"/>
      <c r="R491" s="266"/>
      <c r="S491" s="266"/>
      <c r="T491" s="266"/>
      <c r="U491" s="266"/>
    </row>
    <row r="492" spans="1:24" ht="27.75" customHeight="1">
      <c r="A492" s="204" t="str">
        <f>IF(ISBLANK(D492)," ",495-COUNTBLANK($D$6:D492))</f>
        <v xml:space="preserve"> </v>
      </c>
      <c r="B492" s="202"/>
      <c r="C492" s="202"/>
      <c r="D492" s="202"/>
      <c r="E492" s="304"/>
      <c r="F492" s="211"/>
      <c r="G492" s="203"/>
      <c r="H492" s="203"/>
      <c r="I492" s="203"/>
      <c r="J492" s="203"/>
      <c r="K492" s="205"/>
      <c r="L492" s="295"/>
      <c r="M492" s="264"/>
      <c r="N492" s="265"/>
      <c r="O492" s="266"/>
      <c r="P492" s="266"/>
      <c r="Q492" s="266"/>
      <c r="R492" s="266"/>
      <c r="S492" s="266"/>
      <c r="T492" s="266"/>
      <c r="U492" s="266"/>
    </row>
    <row r="493" spans="1:24" ht="27.75" customHeight="1">
      <c r="A493" s="204" t="str">
        <f>IF(ISBLANK(D493)," ",496-COUNTBLANK($D$6:D493))</f>
        <v xml:space="preserve"> </v>
      </c>
      <c r="B493" s="202"/>
      <c r="C493" s="202"/>
      <c r="D493" s="202"/>
      <c r="E493" s="304"/>
      <c r="F493" s="211"/>
      <c r="G493" s="203"/>
      <c r="H493" s="203"/>
      <c r="I493" s="203"/>
      <c r="J493" s="203"/>
      <c r="K493" s="205"/>
      <c r="L493" s="295"/>
      <c r="M493" s="264"/>
      <c r="N493" s="265"/>
      <c r="O493" s="266"/>
      <c r="P493" s="266"/>
      <c r="Q493" s="266"/>
      <c r="R493" s="266"/>
      <c r="S493" s="266"/>
      <c r="T493" s="266"/>
      <c r="U493" s="266"/>
    </row>
    <row r="494" spans="1:24" ht="27.75" customHeight="1">
      <c r="A494" s="204" t="str">
        <f>IF(ISBLANK(D494)," ",497-COUNTBLANK($D$6:D494))</f>
        <v xml:space="preserve"> </v>
      </c>
      <c r="B494" s="202"/>
      <c r="C494" s="202"/>
      <c r="D494" s="202"/>
      <c r="E494" s="304"/>
      <c r="F494" s="211"/>
      <c r="G494" s="203"/>
      <c r="H494" s="203"/>
      <c r="I494" s="203"/>
      <c r="J494" s="203"/>
      <c r="K494" s="205"/>
      <c r="L494" s="295"/>
      <c r="M494" s="264"/>
      <c r="N494" s="265"/>
      <c r="O494" s="266"/>
      <c r="P494" s="266"/>
      <c r="Q494" s="266"/>
      <c r="R494" s="266"/>
      <c r="S494" s="266"/>
      <c r="T494" s="266"/>
      <c r="U494" s="266"/>
    </row>
    <row r="495" spans="1:24" ht="27.75" customHeight="1">
      <c r="A495" s="204" t="str">
        <f>IF(ISBLANK(D495)," ",498-COUNTBLANK($D$6:D495))</f>
        <v xml:space="preserve"> </v>
      </c>
      <c r="B495" s="202"/>
      <c r="C495" s="202"/>
      <c r="D495" s="202"/>
      <c r="E495" s="304"/>
      <c r="F495" s="211"/>
      <c r="G495" s="203"/>
      <c r="H495" s="203"/>
      <c r="I495" s="203"/>
      <c r="J495" s="203"/>
      <c r="K495" s="205"/>
      <c r="L495" s="295"/>
      <c r="M495" s="264"/>
      <c r="N495" s="265"/>
      <c r="O495" s="266"/>
      <c r="P495" s="266"/>
      <c r="Q495" s="266"/>
      <c r="R495" s="266"/>
      <c r="S495" s="266"/>
      <c r="T495" s="266"/>
      <c r="U495" s="266"/>
    </row>
    <row r="496" spans="1:24" ht="27.75" customHeight="1">
      <c r="A496" s="204" t="str">
        <f>IF(ISBLANK(D496)," ",499-COUNTBLANK($D$6:D496))</f>
        <v xml:space="preserve"> </v>
      </c>
      <c r="B496" s="202"/>
      <c r="C496" s="202"/>
      <c r="D496" s="202"/>
      <c r="E496" s="304"/>
      <c r="F496" s="211"/>
      <c r="G496" s="203"/>
      <c r="H496" s="203"/>
      <c r="I496" s="203"/>
      <c r="J496" s="203"/>
      <c r="K496" s="205"/>
      <c r="L496" s="295"/>
      <c r="M496" s="264"/>
      <c r="N496" s="265"/>
      <c r="O496" s="266"/>
      <c r="P496" s="266"/>
      <c r="Q496" s="266"/>
      <c r="R496" s="266"/>
      <c r="S496" s="266"/>
      <c r="T496" s="266"/>
      <c r="U496" s="266"/>
    </row>
    <row r="497" spans="1:24" ht="27.75" customHeight="1">
      <c r="A497" s="204" t="str">
        <f>IF(ISBLANK(D497)," ",500-COUNTBLANK($D$6:D497))</f>
        <v xml:space="preserve"> </v>
      </c>
      <c r="B497" s="202"/>
      <c r="C497" s="202"/>
      <c r="D497" s="202"/>
      <c r="E497" s="304"/>
      <c r="F497" s="211"/>
      <c r="G497" s="203"/>
      <c r="H497" s="203"/>
      <c r="I497" s="203"/>
      <c r="J497" s="203"/>
      <c r="K497" s="205"/>
      <c r="L497" s="295"/>
      <c r="M497" s="264"/>
      <c r="N497" s="267"/>
      <c r="O497" s="266"/>
      <c r="P497" s="266"/>
      <c r="Q497" s="266"/>
      <c r="R497" s="266"/>
      <c r="S497" s="266"/>
      <c r="T497" s="266"/>
      <c r="U497" s="268"/>
    </row>
    <row r="498" spans="1:24" ht="27.75" customHeight="1">
      <c r="A498" s="204" t="str">
        <f>IF(ISBLANK(D498)," ",501-COUNTBLANK($D$6:D498))</f>
        <v xml:space="preserve"> </v>
      </c>
      <c r="B498" s="202"/>
      <c r="C498" s="202"/>
      <c r="D498" s="202"/>
      <c r="E498" s="304"/>
      <c r="F498" s="211"/>
      <c r="G498" s="203"/>
      <c r="H498" s="203"/>
      <c r="I498" s="203"/>
      <c r="J498" s="203"/>
      <c r="K498" s="205"/>
      <c r="L498" s="295"/>
      <c r="M498" s="264"/>
      <c r="N498" s="267"/>
      <c r="O498" s="266"/>
      <c r="P498" s="266"/>
      <c r="Q498" s="266"/>
      <c r="R498" s="266"/>
      <c r="S498" s="266"/>
      <c r="T498" s="266"/>
      <c r="U498" s="268"/>
    </row>
    <row r="499" spans="1:24" ht="27.75" customHeight="1">
      <c r="A499" s="204" t="str">
        <f>IF(ISBLANK(D499)," ",502-COUNTBLANK($D$6:D499))</f>
        <v xml:space="preserve"> </v>
      </c>
      <c r="B499" s="202"/>
      <c r="C499" s="202"/>
      <c r="D499" s="202"/>
      <c r="E499" s="304"/>
      <c r="F499" s="211"/>
      <c r="G499" s="203"/>
      <c r="H499" s="203"/>
      <c r="I499" s="203"/>
      <c r="J499" s="203"/>
      <c r="K499" s="205"/>
      <c r="L499" s="295"/>
      <c r="M499" s="264"/>
      <c r="N499" s="267"/>
      <c r="O499" s="266"/>
      <c r="P499" s="266"/>
      <c r="Q499" s="266"/>
      <c r="R499" s="266"/>
      <c r="S499" s="266"/>
      <c r="T499" s="266"/>
      <c r="U499" s="268"/>
    </row>
    <row r="500" spans="1:24" ht="27.75" customHeight="1">
      <c r="A500" s="204" t="str">
        <f>IF(ISBLANK(D500)," ",503-COUNTBLANK($D$6:D500))</f>
        <v xml:space="preserve"> </v>
      </c>
      <c r="B500" s="202"/>
      <c r="C500" s="202"/>
      <c r="D500" s="202"/>
      <c r="E500" s="304"/>
      <c r="F500" s="211"/>
      <c r="G500" s="203"/>
      <c r="H500" s="203"/>
      <c r="I500" s="203"/>
      <c r="J500" s="203"/>
      <c r="K500" s="205"/>
      <c r="L500" s="295"/>
      <c r="M500" s="264"/>
      <c r="N500" s="267"/>
      <c r="O500" s="266"/>
      <c r="P500" s="266"/>
      <c r="Q500" s="266"/>
      <c r="R500" s="266"/>
      <c r="S500" s="266"/>
      <c r="T500" s="266"/>
      <c r="U500" s="268"/>
    </row>
    <row r="501" spans="1:24" ht="27.75" customHeight="1">
      <c r="A501" s="308" t="s">
        <v>58</v>
      </c>
      <c r="B501" s="300"/>
      <c r="C501" s="309"/>
      <c r="D501" s="310"/>
      <c r="E501" s="301"/>
      <c r="F501" s="302">
        <f>SUM(F481:F500)</f>
        <v>0</v>
      </c>
      <c r="G501" s="286"/>
      <c r="H501" s="286"/>
      <c r="I501" s="286"/>
      <c r="J501" s="286"/>
      <c r="K501" s="287"/>
      <c r="L501" s="307"/>
      <c r="M501" s="264"/>
      <c r="N501" s="265"/>
      <c r="O501" s="266"/>
      <c r="P501" s="266"/>
      <c r="Q501" s="266"/>
      <c r="R501" s="266"/>
      <c r="S501" s="266"/>
      <c r="T501" s="266"/>
      <c r="U501" s="288"/>
      <c r="V501" s="266"/>
      <c r="W501" s="266"/>
      <c r="X501" s="266"/>
    </row>
    <row r="502" spans="1:24" ht="27.75" customHeight="1">
      <c r="A502" s="261" t="str">
        <f>IF(ISBLANK(D502)," ",505-COUNTBLANK($D$6:D502))</f>
        <v xml:space="preserve"> </v>
      </c>
      <c r="B502" s="200"/>
      <c r="C502" s="200"/>
      <c r="D502" s="200"/>
      <c r="E502" s="303"/>
      <c r="F502" s="210"/>
      <c r="G502" s="201"/>
      <c r="H502" s="201"/>
      <c r="I502" s="201"/>
      <c r="J502" s="201"/>
      <c r="K502" s="263"/>
      <c r="L502" s="295"/>
      <c r="M502" s="264"/>
      <c r="N502" s="267"/>
      <c r="O502" s="266"/>
      <c r="P502" s="266"/>
      <c r="Q502" s="266"/>
      <c r="R502" s="266"/>
      <c r="S502" s="266"/>
      <c r="T502" s="266"/>
      <c r="U502" s="288"/>
      <c r="V502" s="266"/>
      <c r="W502" s="266"/>
      <c r="X502" s="266"/>
    </row>
    <row r="503" spans="1:24" ht="27.75" customHeight="1">
      <c r="A503" s="204" t="str">
        <f>IF(ISBLANK(D503)," ",506-COUNTBLANK($D$6:D503))</f>
        <v xml:space="preserve"> </v>
      </c>
      <c r="B503" s="202"/>
      <c r="C503" s="202"/>
      <c r="D503" s="202"/>
      <c r="E503" s="304"/>
      <c r="F503" s="211"/>
      <c r="G503" s="203"/>
      <c r="H503" s="203"/>
      <c r="I503" s="203"/>
      <c r="J503" s="203"/>
      <c r="K503" s="205"/>
      <c r="L503" s="295"/>
      <c r="M503" s="264"/>
      <c r="N503" s="265"/>
      <c r="O503" s="266"/>
      <c r="P503" s="266"/>
      <c r="Q503" s="266"/>
      <c r="R503" s="266"/>
      <c r="S503" s="266"/>
      <c r="T503" s="266"/>
      <c r="U503" s="266"/>
    </row>
    <row r="504" spans="1:24" ht="27.75" customHeight="1">
      <c r="A504" s="204" t="str">
        <f>IF(ISBLANK(D504)," ",507-COUNTBLANK($D$6:D504))</f>
        <v xml:space="preserve"> </v>
      </c>
      <c r="B504" s="202"/>
      <c r="C504" s="202"/>
      <c r="D504" s="202"/>
      <c r="E504" s="304"/>
      <c r="F504" s="211"/>
      <c r="G504" s="203"/>
      <c r="H504" s="203"/>
      <c r="I504" s="203"/>
      <c r="J504" s="203"/>
      <c r="K504" s="205"/>
      <c r="L504" s="295"/>
      <c r="M504" s="264"/>
      <c r="N504" s="265"/>
      <c r="O504" s="266"/>
      <c r="P504" s="266"/>
      <c r="Q504" s="266"/>
      <c r="R504" s="266"/>
      <c r="S504" s="266"/>
      <c r="T504" s="266"/>
      <c r="U504" s="266"/>
    </row>
    <row r="505" spans="1:24" ht="27.75" customHeight="1">
      <c r="A505" s="204" t="str">
        <f>IF(ISBLANK(D505)," ",508-COUNTBLANK($D$6:D505))</f>
        <v xml:space="preserve"> </v>
      </c>
      <c r="B505" s="202"/>
      <c r="C505" s="202"/>
      <c r="D505" s="202"/>
      <c r="E505" s="304"/>
      <c r="F505" s="211"/>
      <c r="G505" s="203"/>
      <c r="H505" s="203"/>
      <c r="I505" s="203"/>
      <c r="J505" s="203"/>
      <c r="K505" s="205"/>
      <c r="L505" s="295"/>
      <c r="M505" s="264"/>
      <c r="N505" s="265"/>
      <c r="O505" s="266"/>
      <c r="P505" s="266"/>
      <c r="Q505" s="266"/>
      <c r="R505" s="266"/>
      <c r="S505" s="266"/>
      <c r="T505" s="266"/>
      <c r="U505" s="266"/>
    </row>
    <row r="506" spans="1:24" ht="27.75" customHeight="1">
      <c r="A506" s="204" t="str">
        <f>IF(ISBLANK(D506)," ",509-COUNTBLANK($D$6:D506))</f>
        <v xml:space="preserve"> </v>
      </c>
      <c r="B506" s="202"/>
      <c r="C506" s="202"/>
      <c r="D506" s="202"/>
      <c r="E506" s="304"/>
      <c r="F506" s="211"/>
      <c r="G506" s="203"/>
      <c r="H506" s="203"/>
      <c r="I506" s="203"/>
      <c r="J506" s="203"/>
      <c r="K506" s="205"/>
      <c r="L506" s="295"/>
      <c r="M506" s="264"/>
      <c r="N506" s="265"/>
      <c r="O506" s="266"/>
      <c r="P506" s="266"/>
      <c r="Q506" s="266"/>
      <c r="R506" s="266"/>
      <c r="S506" s="266"/>
      <c r="T506" s="266"/>
      <c r="U506" s="266"/>
    </row>
    <row r="507" spans="1:24" ht="27.75" customHeight="1">
      <c r="A507" s="204" t="str">
        <f>IF(ISBLANK(D507)," ",510-COUNTBLANK($D$6:D507))</f>
        <v xml:space="preserve"> </v>
      </c>
      <c r="B507" s="202"/>
      <c r="C507" s="202"/>
      <c r="D507" s="202"/>
      <c r="E507" s="304"/>
      <c r="F507" s="211"/>
      <c r="G507" s="203"/>
      <c r="H507" s="203"/>
      <c r="I507" s="203"/>
      <c r="J507" s="203"/>
      <c r="K507" s="205"/>
      <c r="L507" s="295"/>
      <c r="M507" s="264"/>
      <c r="N507" s="265"/>
      <c r="O507" s="266"/>
      <c r="P507" s="266"/>
      <c r="Q507" s="266"/>
      <c r="R507" s="266"/>
      <c r="S507" s="266"/>
      <c r="T507" s="266"/>
      <c r="U507" s="266"/>
    </row>
    <row r="508" spans="1:24" ht="27.75" customHeight="1">
      <c r="A508" s="204" t="str">
        <f>IF(ISBLANK(D508)," ",511-COUNTBLANK($D$6:D508))</f>
        <v xml:space="preserve"> </v>
      </c>
      <c r="B508" s="202"/>
      <c r="C508" s="202"/>
      <c r="D508" s="202"/>
      <c r="E508" s="304"/>
      <c r="F508" s="211"/>
      <c r="G508" s="203"/>
      <c r="H508" s="203"/>
      <c r="I508" s="203"/>
      <c r="J508" s="203"/>
      <c r="K508" s="205"/>
      <c r="L508" s="295"/>
      <c r="M508" s="264"/>
      <c r="N508" s="265"/>
      <c r="O508" s="266"/>
      <c r="P508" s="266"/>
      <c r="Q508" s="266"/>
      <c r="R508" s="266"/>
      <c r="S508" s="266"/>
      <c r="T508" s="266"/>
      <c r="U508" s="266"/>
    </row>
    <row r="509" spans="1:24" ht="27.75" customHeight="1">
      <c r="A509" s="204" t="str">
        <f>IF(ISBLANK(D509)," ",512-COUNTBLANK($D$6:D509))</f>
        <v xml:space="preserve"> </v>
      </c>
      <c r="B509" s="202"/>
      <c r="C509" s="202"/>
      <c r="D509" s="202"/>
      <c r="E509" s="304"/>
      <c r="F509" s="211"/>
      <c r="G509" s="203"/>
      <c r="H509" s="203"/>
      <c r="I509" s="203"/>
      <c r="J509" s="203"/>
      <c r="K509" s="205"/>
      <c r="L509" s="295"/>
      <c r="M509" s="264"/>
      <c r="N509" s="265"/>
      <c r="O509" s="266"/>
      <c r="P509" s="266"/>
      <c r="Q509" s="266"/>
      <c r="R509" s="266"/>
      <c r="S509" s="266"/>
      <c r="T509" s="266"/>
      <c r="U509" s="266"/>
    </row>
    <row r="510" spans="1:24" ht="27.75" customHeight="1">
      <c r="A510" s="204" t="str">
        <f>IF(ISBLANK(D510)," ",513-COUNTBLANK($D$6:D510))</f>
        <v xml:space="preserve"> </v>
      </c>
      <c r="B510" s="202"/>
      <c r="C510" s="202"/>
      <c r="D510" s="202"/>
      <c r="E510" s="304"/>
      <c r="F510" s="211"/>
      <c r="G510" s="203"/>
      <c r="H510" s="203"/>
      <c r="I510" s="203"/>
      <c r="J510" s="203"/>
      <c r="K510" s="205"/>
      <c r="L510" s="295"/>
      <c r="M510" s="264"/>
      <c r="N510" s="265"/>
      <c r="O510" s="266"/>
      <c r="P510" s="266"/>
      <c r="Q510" s="266"/>
      <c r="R510" s="266"/>
      <c r="S510" s="266"/>
      <c r="T510" s="266"/>
      <c r="U510" s="266"/>
    </row>
    <row r="511" spans="1:24" ht="27.75" customHeight="1">
      <c r="A511" s="204" t="str">
        <f>IF(ISBLANK(D511)," ",514-COUNTBLANK($D$6:D511))</f>
        <v xml:space="preserve"> </v>
      </c>
      <c r="B511" s="202"/>
      <c r="C511" s="202"/>
      <c r="D511" s="202"/>
      <c r="E511" s="304"/>
      <c r="F511" s="211"/>
      <c r="G511" s="203"/>
      <c r="H511" s="203"/>
      <c r="I511" s="203"/>
      <c r="J511" s="203"/>
      <c r="K511" s="205"/>
      <c r="L511" s="295"/>
      <c r="M511" s="264"/>
      <c r="N511" s="265"/>
      <c r="O511" s="266"/>
      <c r="P511" s="266"/>
      <c r="Q511" s="266"/>
      <c r="R511" s="266"/>
      <c r="S511" s="266"/>
      <c r="T511" s="266"/>
      <c r="U511" s="266"/>
    </row>
    <row r="512" spans="1:24" ht="27.75" customHeight="1">
      <c r="A512" s="204" t="str">
        <f>IF(ISBLANK(D512)," ",515-COUNTBLANK($D$6:D512))</f>
        <v xml:space="preserve"> </v>
      </c>
      <c r="B512" s="202"/>
      <c r="C512" s="202"/>
      <c r="D512" s="202"/>
      <c r="E512" s="304"/>
      <c r="F512" s="211"/>
      <c r="G512" s="203"/>
      <c r="H512" s="203"/>
      <c r="I512" s="203"/>
      <c r="J512" s="203"/>
      <c r="K512" s="205"/>
      <c r="L512" s="295"/>
      <c r="M512" s="264"/>
      <c r="N512" s="265"/>
      <c r="O512" s="266"/>
      <c r="P512" s="266"/>
      <c r="Q512" s="266"/>
      <c r="R512" s="266"/>
      <c r="S512" s="266"/>
      <c r="T512" s="266"/>
      <c r="U512" s="266"/>
    </row>
    <row r="513" spans="1:24" ht="27.75" customHeight="1">
      <c r="A513" s="204" t="str">
        <f>IF(ISBLANK(D513)," ",516-COUNTBLANK($D$6:D513))</f>
        <v xml:space="preserve"> </v>
      </c>
      <c r="B513" s="202"/>
      <c r="C513" s="202"/>
      <c r="D513" s="202"/>
      <c r="E513" s="304"/>
      <c r="F513" s="211"/>
      <c r="G513" s="203"/>
      <c r="H513" s="203"/>
      <c r="I513" s="203"/>
      <c r="J513" s="203"/>
      <c r="K513" s="205"/>
      <c r="L513" s="295"/>
      <c r="M513" s="264"/>
      <c r="N513" s="265"/>
      <c r="O513" s="266"/>
      <c r="P513" s="266"/>
      <c r="Q513" s="266"/>
      <c r="R513" s="266"/>
      <c r="S513" s="266"/>
      <c r="T513" s="266"/>
      <c r="U513" s="266"/>
    </row>
    <row r="514" spans="1:24" ht="27.75" customHeight="1">
      <c r="A514" s="204" t="str">
        <f>IF(ISBLANK(D514)," ",517-COUNTBLANK($D$6:D514))</f>
        <v xml:space="preserve"> </v>
      </c>
      <c r="B514" s="202"/>
      <c r="C514" s="202"/>
      <c r="D514" s="202"/>
      <c r="E514" s="304"/>
      <c r="F514" s="211"/>
      <c r="G514" s="203"/>
      <c r="H514" s="203"/>
      <c r="I514" s="203"/>
      <c r="J514" s="203"/>
      <c r="K514" s="205"/>
      <c r="L514" s="295"/>
      <c r="M514" s="264"/>
      <c r="N514" s="265"/>
      <c r="O514" s="266"/>
      <c r="P514" s="266"/>
      <c r="Q514" s="266"/>
      <c r="R514" s="266"/>
      <c r="S514" s="266"/>
      <c r="T514" s="266"/>
      <c r="U514" s="266"/>
    </row>
    <row r="515" spans="1:24" ht="27.75" customHeight="1">
      <c r="A515" s="204" t="str">
        <f>IF(ISBLANK(D515)," ",518-COUNTBLANK($D$6:D515))</f>
        <v xml:space="preserve"> </v>
      </c>
      <c r="B515" s="202"/>
      <c r="C515" s="202"/>
      <c r="D515" s="202"/>
      <c r="E515" s="304"/>
      <c r="F515" s="211"/>
      <c r="G515" s="203"/>
      <c r="H515" s="203"/>
      <c r="I515" s="203"/>
      <c r="J515" s="203"/>
      <c r="K515" s="205"/>
      <c r="L515" s="295"/>
      <c r="M515" s="264"/>
      <c r="N515" s="265"/>
      <c r="O515" s="266"/>
      <c r="P515" s="266"/>
      <c r="Q515" s="266"/>
      <c r="R515" s="266"/>
      <c r="S515" s="266"/>
      <c r="T515" s="266"/>
      <c r="U515" s="266"/>
    </row>
    <row r="516" spans="1:24" ht="27.75" customHeight="1">
      <c r="A516" s="204" t="str">
        <f>IF(ISBLANK(D516)," ",519-COUNTBLANK($D$6:D516))</f>
        <v xml:space="preserve"> </v>
      </c>
      <c r="B516" s="202"/>
      <c r="C516" s="202"/>
      <c r="D516" s="202"/>
      <c r="E516" s="304"/>
      <c r="F516" s="211"/>
      <c r="G516" s="203"/>
      <c r="H516" s="203"/>
      <c r="I516" s="203"/>
      <c r="J516" s="203"/>
      <c r="K516" s="205"/>
      <c r="L516" s="295"/>
      <c r="M516" s="264"/>
      <c r="N516" s="265"/>
      <c r="O516" s="266"/>
      <c r="P516" s="266"/>
      <c r="Q516" s="266"/>
      <c r="R516" s="266"/>
      <c r="S516" s="266"/>
      <c r="T516" s="266"/>
      <c r="U516" s="266"/>
    </row>
    <row r="517" spans="1:24" ht="27.75" customHeight="1">
      <c r="A517" s="204" t="str">
        <f>IF(ISBLANK(D517)," ",520-COUNTBLANK($D$6:D517))</f>
        <v xml:space="preserve"> </v>
      </c>
      <c r="B517" s="202"/>
      <c r="C517" s="202"/>
      <c r="D517" s="202"/>
      <c r="E517" s="304"/>
      <c r="F517" s="211"/>
      <c r="G517" s="203"/>
      <c r="H517" s="203"/>
      <c r="I517" s="203"/>
      <c r="J517" s="203"/>
      <c r="K517" s="205"/>
      <c r="L517" s="295"/>
      <c r="M517" s="264"/>
      <c r="N517" s="265"/>
      <c r="O517" s="266"/>
      <c r="P517" s="266"/>
      <c r="Q517" s="266"/>
      <c r="R517" s="266"/>
      <c r="S517" s="266"/>
      <c r="T517" s="266"/>
      <c r="U517" s="266"/>
    </row>
    <row r="518" spans="1:24" ht="27.75" customHeight="1">
      <c r="A518" s="204" t="str">
        <f>IF(ISBLANK(D518)," ",521-COUNTBLANK($D$6:D518))</f>
        <v xml:space="preserve"> </v>
      </c>
      <c r="B518" s="202"/>
      <c r="C518" s="202"/>
      <c r="D518" s="202"/>
      <c r="E518" s="304"/>
      <c r="F518" s="211"/>
      <c r="G518" s="203"/>
      <c r="H518" s="203"/>
      <c r="I518" s="203"/>
      <c r="J518" s="203"/>
      <c r="K518" s="205"/>
      <c r="L518" s="295"/>
      <c r="M518" s="264"/>
      <c r="N518" s="267"/>
      <c r="O518" s="266"/>
      <c r="P518" s="266"/>
      <c r="Q518" s="266"/>
      <c r="R518" s="266"/>
      <c r="S518" s="266"/>
      <c r="T518" s="266"/>
      <c r="U518" s="268"/>
    </row>
    <row r="519" spans="1:24" ht="27.75" customHeight="1">
      <c r="A519" s="204" t="str">
        <f>IF(ISBLANK(D519)," ",522-COUNTBLANK($D$6:D519))</f>
        <v xml:space="preserve"> </v>
      </c>
      <c r="B519" s="202"/>
      <c r="C519" s="202"/>
      <c r="D519" s="202"/>
      <c r="E519" s="304"/>
      <c r="F519" s="211"/>
      <c r="G519" s="203"/>
      <c r="H519" s="203"/>
      <c r="I519" s="203"/>
      <c r="J519" s="203"/>
      <c r="K519" s="205"/>
      <c r="L519" s="295"/>
      <c r="M519" s="264"/>
      <c r="N519" s="267"/>
      <c r="O519" s="266"/>
      <c r="P519" s="266"/>
      <c r="Q519" s="266"/>
      <c r="R519" s="266"/>
      <c r="S519" s="266"/>
      <c r="T519" s="266"/>
      <c r="U519" s="268"/>
    </row>
    <row r="520" spans="1:24" ht="27.75" customHeight="1">
      <c r="A520" s="204" t="str">
        <f>IF(ISBLANK(D520)," ",523-COUNTBLANK($D$6:D520))</f>
        <v xml:space="preserve"> </v>
      </c>
      <c r="B520" s="202"/>
      <c r="C520" s="202"/>
      <c r="D520" s="202"/>
      <c r="E520" s="304"/>
      <c r="F520" s="211"/>
      <c r="G520" s="203"/>
      <c r="H520" s="203"/>
      <c r="I520" s="203"/>
      <c r="J520" s="203"/>
      <c r="K520" s="205"/>
      <c r="L520" s="295"/>
      <c r="M520" s="264"/>
      <c r="N520" s="267"/>
      <c r="O520" s="266"/>
      <c r="P520" s="266"/>
      <c r="Q520" s="266"/>
      <c r="R520" s="266"/>
      <c r="S520" s="266"/>
      <c r="T520" s="266"/>
      <c r="U520" s="268"/>
    </row>
    <row r="521" spans="1:24" ht="27.75" customHeight="1">
      <c r="A521" s="204" t="str">
        <f>IF(ISBLANK(D521)," ",524-COUNTBLANK($D$6:D521))</f>
        <v xml:space="preserve"> </v>
      </c>
      <c r="B521" s="202"/>
      <c r="C521" s="202"/>
      <c r="D521" s="202"/>
      <c r="E521" s="304"/>
      <c r="F521" s="211"/>
      <c r="G521" s="203"/>
      <c r="H521" s="203"/>
      <c r="I521" s="203"/>
      <c r="J521" s="203"/>
      <c r="K521" s="205"/>
      <c r="L521" s="295"/>
      <c r="M521" s="264"/>
      <c r="N521" s="267"/>
      <c r="O521" s="266"/>
      <c r="P521" s="266"/>
      <c r="Q521" s="266"/>
      <c r="R521" s="266"/>
      <c r="S521" s="266"/>
      <c r="T521" s="266"/>
      <c r="U521" s="268"/>
    </row>
    <row r="522" spans="1:24" ht="27.75" customHeight="1">
      <c r="A522" s="308" t="s">
        <v>58</v>
      </c>
      <c r="B522" s="300"/>
      <c r="C522" s="309"/>
      <c r="D522" s="310"/>
      <c r="E522" s="301"/>
      <c r="F522" s="302">
        <f>SUM(F502:F521)</f>
        <v>0</v>
      </c>
      <c r="G522" s="286"/>
      <c r="H522" s="286"/>
      <c r="I522" s="286"/>
      <c r="J522" s="286"/>
      <c r="K522" s="287"/>
      <c r="L522" s="307"/>
      <c r="M522" s="264"/>
      <c r="N522" s="265"/>
      <c r="O522" s="266"/>
      <c r="P522" s="266"/>
      <c r="Q522" s="266"/>
      <c r="R522" s="266"/>
      <c r="S522" s="266"/>
      <c r="T522" s="266"/>
      <c r="U522" s="288"/>
      <c r="V522" s="266"/>
      <c r="W522" s="266"/>
      <c r="X522" s="266"/>
    </row>
    <row r="523" spans="1:24" ht="27.75" customHeight="1">
      <c r="M523" s="264"/>
      <c r="N523" s="267"/>
      <c r="O523" s="266"/>
      <c r="P523" s="266"/>
      <c r="Q523" s="266"/>
      <c r="R523" s="266"/>
      <c r="S523" s="266"/>
      <c r="T523" s="266"/>
      <c r="U523" s="288"/>
      <c r="V523" s="266"/>
      <c r="W523" s="266"/>
      <c r="X523" s="266"/>
    </row>
    <row r="524" spans="1:24" ht="27.75" customHeight="1">
      <c r="M524" s="264"/>
      <c r="N524" s="265"/>
      <c r="O524" s="266"/>
      <c r="P524" s="266"/>
      <c r="Q524" s="266"/>
      <c r="R524" s="266"/>
      <c r="S524" s="266"/>
      <c r="T524" s="266"/>
      <c r="U524" s="266"/>
    </row>
    <row r="525" spans="1:24" ht="27.75" customHeight="1">
      <c r="M525" s="264"/>
      <c r="N525" s="265"/>
      <c r="O525" s="266"/>
      <c r="P525" s="266"/>
      <c r="Q525" s="266"/>
      <c r="R525" s="266"/>
      <c r="S525" s="266"/>
      <c r="T525" s="266"/>
      <c r="U525" s="266"/>
    </row>
    <row r="526" spans="1:24" ht="27.75" customHeight="1">
      <c r="M526" s="264"/>
      <c r="N526" s="265"/>
      <c r="O526" s="266"/>
      <c r="P526" s="266"/>
      <c r="Q526" s="266"/>
      <c r="R526" s="266"/>
      <c r="S526" s="266"/>
      <c r="T526" s="266"/>
      <c r="U526" s="266"/>
    </row>
    <row r="527" spans="1:24" ht="27.75" customHeight="1">
      <c r="M527" s="264"/>
      <c r="N527" s="265"/>
      <c r="O527" s="266"/>
      <c r="P527" s="266"/>
      <c r="Q527" s="266"/>
      <c r="R527" s="266"/>
      <c r="S527" s="266"/>
      <c r="T527" s="266"/>
      <c r="U527" s="266"/>
    </row>
    <row r="528" spans="1:24" ht="27.75" customHeight="1">
      <c r="M528" s="264"/>
      <c r="N528" s="265"/>
      <c r="O528" s="266"/>
      <c r="P528" s="266"/>
      <c r="Q528" s="266"/>
      <c r="R528" s="266"/>
      <c r="S528" s="266"/>
      <c r="T528" s="266"/>
      <c r="U528" s="266"/>
    </row>
    <row r="529" spans="13:24" ht="27.75" customHeight="1">
      <c r="M529" s="264"/>
      <c r="N529" s="265"/>
      <c r="O529" s="266"/>
      <c r="P529" s="266"/>
      <c r="Q529" s="266"/>
      <c r="R529" s="266"/>
      <c r="S529" s="266"/>
      <c r="T529" s="266"/>
      <c r="U529" s="266"/>
    </row>
    <row r="530" spans="13:24" ht="27.75" customHeight="1">
      <c r="M530" s="264"/>
      <c r="N530" s="265"/>
      <c r="O530" s="266"/>
      <c r="P530" s="266"/>
      <c r="Q530" s="266"/>
      <c r="R530" s="266"/>
      <c r="S530" s="266"/>
      <c r="T530" s="266"/>
      <c r="U530" s="266"/>
    </row>
    <row r="531" spans="13:24" ht="27.75" customHeight="1">
      <c r="M531" s="264"/>
      <c r="N531" s="265"/>
      <c r="O531" s="266"/>
      <c r="P531" s="266"/>
      <c r="Q531" s="266"/>
      <c r="R531" s="266"/>
      <c r="S531" s="266"/>
      <c r="T531" s="266"/>
      <c r="U531" s="266"/>
    </row>
    <row r="532" spans="13:24" ht="27.75" customHeight="1">
      <c r="M532" s="264"/>
      <c r="N532" s="265"/>
      <c r="O532" s="266"/>
      <c r="P532" s="266"/>
      <c r="Q532" s="266"/>
      <c r="R532" s="266"/>
      <c r="S532" s="266"/>
      <c r="T532" s="266"/>
      <c r="U532" s="266"/>
    </row>
    <row r="533" spans="13:24" ht="27.75" customHeight="1">
      <c r="M533" s="264"/>
      <c r="N533" s="265"/>
      <c r="O533" s="266"/>
      <c r="P533" s="266"/>
      <c r="Q533" s="266"/>
      <c r="R533" s="266"/>
      <c r="S533" s="266"/>
      <c r="T533" s="266"/>
      <c r="U533" s="266"/>
    </row>
    <row r="534" spans="13:24" ht="27.75" customHeight="1">
      <c r="M534" s="264"/>
      <c r="N534" s="265"/>
      <c r="O534" s="266"/>
      <c r="P534" s="266"/>
      <c r="Q534" s="266"/>
      <c r="R534" s="266"/>
      <c r="S534" s="266"/>
      <c r="T534" s="266"/>
      <c r="U534" s="266"/>
    </row>
    <row r="535" spans="13:24" ht="27.75" customHeight="1">
      <c r="M535" s="264"/>
      <c r="N535" s="265"/>
      <c r="O535" s="266"/>
      <c r="P535" s="266"/>
      <c r="Q535" s="266"/>
      <c r="R535" s="266"/>
      <c r="S535" s="266"/>
      <c r="T535" s="266"/>
      <c r="U535" s="266"/>
    </row>
    <row r="536" spans="13:24" ht="27.75" customHeight="1">
      <c r="M536" s="264"/>
      <c r="N536" s="265"/>
      <c r="O536" s="266"/>
      <c r="P536" s="266"/>
      <c r="Q536" s="266"/>
      <c r="R536" s="266"/>
      <c r="S536" s="266"/>
      <c r="T536" s="266"/>
      <c r="U536" s="266"/>
    </row>
    <row r="537" spans="13:24" ht="27.75" customHeight="1">
      <c r="M537" s="264"/>
      <c r="N537" s="265"/>
      <c r="O537" s="266"/>
      <c r="P537" s="266"/>
      <c r="Q537" s="266"/>
      <c r="R537" s="266"/>
      <c r="S537" s="266"/>
      <c r="T537" s="266"/>
      <c r="U537" s="266"/>
    </row>
    <row r="538" spans="13:24" ht="27.75" customHeight="1">
      <c r="M538" s="264"/>
      <c r="N538" s="265"/>
      <c r="O538" s="266"/>
      <c r="P538" s="266"/>
      <c r="Q538" s="266"/>
      <c r="R538" s="266"/>
      <c r="S538" s="266"/>
      <c r="T538" s="266"/>
      <c r="U538" s="266"/>
    </row>
    <row r="539" spans="13:24" ht="27.75" customHeight="1">
      <c r="M539" s="264"/>
      <c r="N539" s="267"/>
      <c r="O539" s="266"/>
      <c r="P539" s="266"/>
      <c r="Q539" s="266"/>
      <c r="R539" s="266"/>
      <c r="S539" s="266"/>
      <c r="T539" s="266"/>
      <c r="U539" s="268"/>
    </row>
    <row r="540" spans="13:24" ht="27.75" customHeight="1">
      <c r="M540" s="264"/>
      <c r="N540" s="267"/>
      <c r="O540" s="266"/>
      <c r="P540" s="266"/>
      <c r="Q540" s="266"/>
      <c r="R540" s="266"/>
      <c r="S540" s="266"/>
      <c r="T540" s="266"/>
      <c r="U540" s="268"/>
    </row>
    <row r="541" spans="13:24" ht="27.75" customHeight="1">
      <c r="M541" s="264"/>
      <c r="N541" s="267"/>
      <c r="O541" s="266"/>
      <c r="P541" s="266"/>
      <c r="Q541" s="266"/>
      <c r="R541" s="266"/>
      <c r="S541" s="266"/>
      <c r="T541" s="266"/>
      <c r="U541" s="268"/>
    </row>
    <row r="542" spans="13:24" ht="27.75" customHeight="1">
      <c r="M542" s="264"/>
      <c r="N542" s="267"/>
      <c r="O542" s="266"/>
      <c r="P542" s="266"/>
      <c r="Q542" s="266"/>
      <c r="R542" s="266"/>
      <c r="S542" s="266"/>
      <c r="T542" s="266"/>
      <c r="U542" s="268"/>
    </row>
    <row r="543" spans="13:24" ht="27.75" customHeight="1">
      <c r="M543" s="264"/>
      <c r="N543" s="265"/>
      <c r="O543" s="266"/>
      <c r="P543" s="266"/>
      <c r="Q543" s="266"/>
      <c r="R543" s="266"/>
      <c r="S543" s="266"/>
      <c r="T543" s="266"/>
      <c r="U543" s="288"/>
      <c r="V543" s="266"/>
      <c r="W543" s="266"/>
      <c r="X543" s="266"/>
    </row>
    <row r="544" spans="13:24" ht="27.75" customHeight="1">
      <c r="M544" s="264"/>
      <c r="N544" s="267"/>
      <c r="O544" s="266"/>
      <c r="P544" s="266"/>
      <c r="Q544" s="266"/>
      <c r="R544" s="266"/>
      <c r="S544" s="266"/>
      <c r="T544" s="266"/>
      <c r="U544" s="288"/>
      <c r="V544" s="266"/>
      <c r="W544" s="266"/>
      <c r="X544" s="266"/>
    </row>
    <row r="545" spans="13:21" ht="27.75" customHeight="1">
      <c r="M545" s="264"/>
      <c r="N545" s="265"/>
      <c r="O545" s="266"/>
      <c r="P545" s="266"/>
      <c r="Q545" s="266"/>
      <c r="R545" s="266"/>
      <c r="S545" s="266"/>
      <c r="T545" s="266"/>
      <c r="U545" s="266"/>
    </row>
    <row r="546" spans="13:21" ht="27.75" customHeight="1">
      <c r="M546" s="264"/>
      <c r="N546" s="265"/>
      <c r="O546" s="266"/>
      <c r="P546" s="266"/>
      <c r="Q546" s="266"/>
      <c r="R546" s="266"/>
      <c r="S546" s="266"/>
      <c r="T546" s="266"/>
      <c r="U546" s="266"/>
    </row>
    <row r="547" spans="13:21" ht="27.75" customHeight="1">
      <c r="M547" s="264"/>
      <c r="N547" s="265"/>
      <c r="O547" s="266"/>
      <c r="P547" s="266"/>
      <c r="Q547" s="266"/>
      <c r="R547" s="266"/>
      <c r="S547" s="266"/>
      <c r="T547" s="266"/>
      <c r="U547" s="266"/>
    </row>
    <row r="548" spans="13:21" ht="27.75" customHeight="1">
      <c r="M548" s="264"/>
      <c r="N548" s="265"/>
      <c r="O548" s="266"/>
      <c r="P548" s="266"/>
      <c r="Q548" s="266"/>
      <c r="R548" s="266"/>
      <c r="S548" s="266"/>
      <c r="T548" s="266"/>
      <c r="U548" s="266"/>
    </row>
    <row r="549" spans="13:21" ht="27.75" customHeight="1">
      <c r="M549" s="264"/>
      <c r="N549" s="265"/>
      <c r="O549" s="266"/>
      <c r="P549" s="266"/>
      <c r="Q549" s="266"/>
      <c r="R549" s="266"/>
      <c r="S549" s="266"/>
      <c r="T549" s="266"/>
      <c r="U549" s="266"/>
    </row>
    <row r="550" spans="13:21" ht="27.75" customHeight="1">
      <c r="M550" s="264"/>
      <c r="N550" s="265"/>
      <c r="O550" s="266"/>
      <c r="P550" s="266"/>
      <c r="Q550" s="266"/>
      <c r="R550" s="266"/>
      <c r="S550" s="266"/>
      <c r="T550" s="266"/>
      <c r="U550" s="266"/>
    </row>
    <row r="551" spans="13:21" ht="27.75" customHeight="1">
      <c r="M551" s="264"/>
      <c r="N551" s="265"/>
      <c r="O551" s="266"/>
      <c r="P551" s="266"/>
      <c r="Q551" s="266"/>
      <c r="R551" s="266"/>
      <c r="S551" s="266"/>
      <c r="T551" s="266"/>
      <c r="U551" s="266"/>
    </row>
    <row r="552" spans="13:21" ht="27.75" customHeight="1">
      <c r="M552" s="264"/>
      <c r="N552" s="265"/>
      <c r="O552" s="266"/>
      <c r="P552" s="266"/>
      <c r="Q552" s="266"/>
      <c r="R552" s="266"/>
      <c r="S552" s="266"/>
      <c r="T552" s="266"/>
      <c r="U552" s="266"/>
    </row>
    <row r="553" spans="13:21" ht="27.75" customHeight="1">
      <c r="M553" s="264"/>
      <c r="N553" s="265"/>
      <c r="O553" s="266"/>
      <c r="P553" s="266"/>
      <c r="Q553" s="266"/>
      <c r="R553" s="266"/>
      <c r="S553" s="266"/>
      <c r="T553" s="266"/>
      <c r="U553" s="266"/>
    </row>
    <row r="554" spans="13:21" ht="27.75" customHeight="1">
      <c r="M554" s="264"/>
      <c r="N554" s="265"/>
      <c r="O554" s="266"/>
      <c r="P554" s="266"/>
      <c r="Q554" s="266"/>
      <c r="R554" s="266"/>
      <c r="S554" s="266"/>
      <c r="T554" s="266"/>
      <c r="U554" s="266"/>
    </row>
    <row r="555" spans="13:21" ht="27.75" customHeight="1">
      <c r="M555" s="264"/>
      <c r="N555" s="265"/>
      <c r="O555" s="266"/>
      <c r="P555" s="266"/>
      <c r="Q555" s="266"/>
      <c r="R555" s="266"/>
      <c r="S555" s="266"/>
      <c r="T555" s="266"/>
      <c r="U555" s="266"/>
    </row>
    <row r="556" spans="13:21" ht="27.75" customHeight="1">
      <c r="M556" s="264"/>
      <c r="N556" s="265"/>
      <c r="O556" s="266"/>
      <c r="P556" s="266"/>
      <c r="Q556" s="266"/>
      <c r="R556" s="266"/>
      <c r="S556" s="266"/>
      <c r="T556" s="266"/>
      <c r="U556" s="266"/>
    </row>
    <row r="557" spans="13:21" ht="27.75" customHeight="1">
      <c r="M557" s="264"/>
      <c r="N557" s="265"/>
      <c r="O557" s="266"/>
      <c r="P557" s="266"/>
      <c r="Q557" s="266"/>
      <c r="R557" s="266"/>
      <c r="S557" s="266"/>
      <c r="T557" s="266"/>
      <c r="U557" s="266"/>
    </row>
    <row r="558" spans="13:21" ht="27.75" customHeight="1">
      <c r="M558" s="264"/>
      <c r="N558" s="265"/>
      <c r="O558" s="266"/>
      <c r="P558" s="266"/>
      <c r="Q558" s="266"/>
      <c r="R558" s="266"/>
      <c r="S558" s="266"/>
      <c r="T558" s="266"/>
      <c r="U558" s="266"/>
    </row>
    <row r="559" spans="13:21" ht="27.75" customHeight="1">
      <c r="M559" s="264"/>
      <c r="N559" s="265"/>
      <c r="O559" s="266"/>
      <c r="P559" s="266"/>
      <c r="Q559" s="266"/>
      <c r="R559" s="266"/>
      <c r="S559" s="266"/>
      <c r="T559" s="266"/>
      <c r="U559" s="266"/>
    </row>
    <row r="560" spans="13:21" ht="27.75" customHeight="1">
      <c r="M560" s="264"/>
      <c r="N560" s="267"/>
      <c r="O560" s="266"/>
      <c r="P560" s="266"/>
      <c r="Q560" s="266"/>
      <c r="R560" s="266"/>
      <c r="S560" s="266"/>
      <c r="T560" s="266"/>
      <c r="U560" s="268"/>
    </row>
    <row r="561" spans="13:24" ht="27.75" customHeight="1">
      <c r="M561" s="264"/>
      <c r="N561" s="267"/>
      <c r="O561" s="266"/>
      <c r="P561" s="266"/>
      <c r="Q561" s="266"/>
      <c r="R561" s="266"/>
      <c r="S561" s="266"/>
      <c r="T561" s="266"/>
      <c r="U561" s="268"/>
    </row>
    <row r="562" spans="13:24" ht="27.75" customHeight="1">
      <c r="M562" s="264"/>
      <c r="N562" s="267"/>
      <c r="O562" s="266"/>
      <c r="P562" s="266"/>
      <c r="Q562" s="266"/>
      <c r="R562" s="266"/>
      <c r="S562" s="266"/>
      <c r="T562" s="266"/>
      <c r="U562" s="268"/>
    </row>
    <row r="563" spans="13:24" ht="27.75" customHeight="1">
      <c r="M563" s="264"/>
      <c r="N563" s="267"/>
      <c r="O563" s="266"/>
      <c r="P563" s="266"/>
      <c r="Q563" s="266"/>
      <c r="R563" s="266"/>
      <c r="S563" s="266"/>
      <c r="T563" s="266"/>
      <c r="U563" s="268"/>
    </row>
    <row r="564" spans="13:24" ht="27.75" customHeight="1">
      <c r="M564" s="264"/>
      <c r="N564" s="265"/>
      <c r="O564" s="266"/>
      <c r="P564" s="266"/>
      <c r="Q564" s="266"/>
      <c r="R564" s="266"/>
      <c r="S564" s="266"/>
      <c r="T564" s="266"/>
      <c r="U564" s="288"/>
      <c r="V564" s="266"/>
      <c r="W564" s="266"/>
      <c r="X564" s="266"/>
    </row>
    <row r="565" spans="13:24" ht="27.75" customHeight="1">
      <c r="M565" s="264"/>
      <c r="N565" s="267"/>
      <c r="O565" s="266"/>
      <c r="P565" s="266"/>
      <c r="Q565" s="266"/>
      <c r="R565" s="266"/>
      <c r="S565" s="266"/>
      <c r="T565" s="266"/>
      <c r="U565" s="288"/>
      <c r="V565" s="266"/>
      <c r="W565" s="266"/>
      <c r="X565" s="266"/>
    </row>
    <row r="566" spans="13:24" ht="27.75" customHeight="1">
      <c r="M566" s="264"/>
      <c r="N566" s="265"/>
      <c r="O566" s="266"/>
      <c r="P566" s="266"/>
      <c r="Q566" s="266"/>
      <c r="R566" s="266"/>
      <c r="S566" s="266"/>
      <c r="T566" s="266"/>
      <c r="U566" s="266"/>
    </row>
    <row r="567" spans="13:24" ht="27.75" customHeight="1">
      <c r="M567" s="264"/>
      <c r="N567" s="265"/>
      <c r="O567" s="266"/>
      <c r="P567" s="266"/>
      <c r="Q567" s="266"/>
      <c r="R567" s="266"/>
      <c r="S567" s="266"/>
      <c r="T567" s="266"/>
      <c r="U567" s="266"/>
    </row>
    <row r="568" spans="13:24" ht="27.75" customHeight="1">
      <c r="M568" s="264"/>
      <c r="N568" s="265"/>
      <c r="O568" s="266"/>
      <c r="P568" s="266"/>
      <c r="Q568" s="266"/>
      <c r="R568" s="266"/>
      <c r="S568" s="266"/>
      <c r="T568" s="266"/>
      <c r="U568" s="266"/>
    </row>
    <row r="569" spans="13:24" ht="27.75" customHeight="1">
      <c r="M569" s="264"/>
      <c r="N569" s="265"/>
      <c r="O569" s="266"/>
      <c r="P569" s="266"/>
      <c r="Q569" s="266"/>
      <c r="R569" s="266"/>
      <c r="S569" s="266"/>
      <c r="T569" s="266"/>
      <c r="U569" s="266"/>
    </row>
    <row r="570" spans="13:24" ht="27.75" customHeight="1">
      <c r="M570" s="264"/>
      <c r="N570" s="265"/>
      <c r="O570" s="266"/>
      <c r="P570" s="266"/>
      <c r="Q570" s="266"/>
      <c r="R570" s="266"/>
      <c r="S570" s="266"/>
      <c r="T570" s="266"/>
      <c r="U570" s="266"/>
    </row>
    <row r="571" spans="13:24" ht="27.75" customHeight="1">
      <c r="M571" s="264"/>
      <c r="N571" s="265"/>
      <c r="O571" s="266"/>
      <c r="P571" s="266"/>
      <c r="Q571" s="266"/>
      <c r="R571" s="266"/>
      <c r="S571" s="266"/>
      <c r="T571" s="266"/>
      <c r="U571" s="266"/>
    </row>
    <row r="572" spans="13:24" ht="27.75" customHeight="1">
      <c r="M572" s="264"/>
      <c r="N572" s="265"/>
      <c r="O572" s="266"/>
      <c r="P572" s="266"/>
      <c r="Q572" s="266"/>
      <c r="R572" s="266"/>
      <c r="S572" s="266"/>
      <c r="T572" s="266"/>
      <c r="U572" s="266"/>
    </row>
    <row r="573" spans="13:24" ht="27.75" customHeight="1">
      <c r="M573" s="264"/>
      <c r="N573" s="265"/>
      <c r="O573" s="266"/>
      <c r="P573" s="266"/>
      <c r="Q573" s="266"/>
      <c r="R573" s="266"/>
      <c r="S573" s="266"/>
      <c r="T573" s="266"/>
      <c r="U573" s="266"/>
    </row>
    <row r="574" spans="13:24" ht="27.75" customHeight="1">
      <c r="M574" s="264"/>
      <c r="N574" s="265"/>
      <c r="O574" s="266"/>
      <c r="P574" s="266"/>
      <c r="Q574" s="266"/>
      <c r="R574" s="266"/>
      <c r="S574" s="266"/>
      <c r="T574" s="266"/>
      <c r="U574" s="266"/>
    </row>
    <row r="575" spans="13:24" ht="27.75" customHeight="1">
      <c r="M575" s="264"/>
      <c r="N575" s="265"/>
      <c r="O575" s="266"/>
      <c r="P575" s="266"/>
      <c r="Q575" s="266"/>
      <c r="R575" s="266"/>
      <c r="S575" s="266"/>
      <c r="T575" s="266"/>
      <c r="U575" s="266"/>
    </row>
    <row r="576" spans="13:24" ht="27.75" customHeight="1">
      <c r="M576" s="264"/>
      <c r="N576" s="265"/>
      <c r="O576" s="266"/>
      <c r="P576" s="266"/>
      <c r="Q576" s="266"/>
      <c r="R576" s="266"/>
      <c r="S576" s="266"/>
      <c r="T576" s="266"/>
      <c r="U576" s="266"/>
    </row>
    <row r="577" spans="13:24" ht="27.75" customHeight="1">
      <c r="M577" s="264"/>
      <c r="N577" s="265"/>
      <c r="O577" s="266"/>
      <c r="P577" s="266"/>
      <c r="Q577" s="266"/>
      <c r="R577" s="266"/>
      <c r="S577" s="266"/>
      <c r="T577" s="266"/>
      <c r="U577" s="266"/>
    </row>
    <row r="578" spans="13:24" ht="27.75" customHeight="1">
      <c r="M578" s="264"/>
      <c r="N578" s="265"/>
      <c r="O578" s="266"/>
      <c r="P578" s="266"/>
      <c r="Q578" s="266"/>
      <c r="R578" s="266"/>
      <c r="S578" s="266"/>
      <c r="T578" s="266"/>
      <c r="U578" s="266"/>
    </row>
    <row r="579" spans="13:24" ht="27.75" customHeight="1">
      <c r="M579" s="264"/>
      <c r="N579" s="265"/>
      <c r="O579" s="266"/>
      <c r="P579" s="266"/>
      <c r="Q579" s="266"/>
      <c r="R579" s="266"/>
      <c r="S579" s="266"/>
      <c r="T579" s="266"/>
      <c r="U579" s="266"/>
    </row>
    <row r="580" spans="13:24" ht="27.75" customHeight="1">
      <c r="M580" s="264"/>
      <c r="N580" s="265"/>
      <c r="O580" s="266"/>
      <c r="P580" s="266"/>
      <c r="Q580" s="266"/>
      <c r="R580" s="266"/>
      <c r="S580" s="266"/>
      <c r="T580" s="266"/>
      <c r="U580" s="266"/>
    </row>
    <row r="581" spans="13:24" ht="27.75" customHeight="1">
      <c r="M581" s="264"/>
      <c r="N581" s="267"/>
      <c r="O581" s="266"/>
      <c r="P581" s="266"/>
      <c r="Q581" s="266"/>
      <c r="R581" s="266"/>
      <c r="S581" s="266"/>
      <c r="T581" s="266"/>
      <c r="U581" s="268"/>
    </row>
    <row r="582" spans="13:24" ht="27.75" customHeight="1">
      <c r="M582" s="264"/>
      <c r="N582" s="267"/>
      <c r="O582" s="266"/>
      <c r="P582" s="266"/>
      <c r="Q582" s="266"/>
      <c r="R582" s="266"/>
      <c r="S582" s="266"/>
      <c r="T582" s="266"/>
      <c r="U582" s="268"/>
    </row>
    <row r="583" spans="13:24" ht="27.75" customHeight="1">
      <c r="M583" s="264"/>
      <c r="N583" s="267"/>
      <c r="O583" s="266"/>
      <c r="P583" s="266"/>
      <c r="Q583" s="266"/>
      <c r="R583" s="266"/>
      <c r="S583" s="266"/>
      <c r="T583" s="266"/>
      <c r="U583" s="268"/>
    </row>
    <row r="584" spans="13:24" ht="27.75" customHeight="1">
      <c r="M584" s="264"/>
      <c r="N584" s="267"/>
      <c r="O584" s="266"/>
      <c r="P584" s="266"/>
      <c r="Q584" s="266"/>
      <c r="R584" s="266"/>
      <c r="S584" s="266"/>
      <c r="T584" s="266"/>
      <c r="U584" s="268"/>
    </row>
    <row r="585" spans="13:24" ht="27.75" customHeight="1">
      <c r="M585" s="264"/>
      <c r="N585" s="265"/>
      <c r="O585" s="266"/>
      <c r="P585" s="266"/>
      <c r="Q585" s="266"/>
      <c r="R585" s="266"/>
      <c r="S585" s="266"/>
      <c r="T585" s="266"/>
      <c r="U585" s="288"/>
      <c r="V585" s="266"/>
      <c r="W585" s="266"/>
      <c r="X585" s="266"/>
    </row>
    <row r="586" spans="13:24" ht="27.75" customHeight="1">
      <c r="M586" s="264"/>
      <c r="N586" s="267"/>
      <c r="O586" s="266"/>
      <c r="P586" s="266"/>
      <c r="Q586" s="266"/>
      <c r="R586" s="266"/>
      <c r="S586" s="266"/>
      <c r="T586" s="266"/>
      <c r="U586" s="288"/>
      <c r="V586" s="266"/>
      <c r="W586" s="266"/>
      <c r="X586" s="266"/>
    </row>
    <row r="587" spans="13:24" ht="27.75" customHeight="1">
      <c r="M587" s="264"/>
      <c r="N587" s="265"/>
      <c r="O587" s="266"/>
      <c r="P587" s="266"/>
      <c r="Q587" s="266"/>
      <c r="R587" s="266"/>
      <c r="S587" s="266"/>
      <c r="T587" s="266"/>
      <c r="U587" s="266"/>
    </row>
    <row r="588" spans="13:24" ht="27.75" customHeight="1">
      <c r="M588" s="264"/>
      <c r="N588" s="265"/>
      <c r="O588" s="266"/>
      <c r="P588" s="266"/>
      <c r="Q588" s="266"/>
      <c r="R588" s="266"/>
      <c r="S588" s="266"/>
      <c r="T588" s="266"/>
      <c r="U588" s="266"/>
    </row>
    <row r="589" spans="13:24" ht="27.75" customHeight="1">
      <c r="M589" s="264"/>
      <c r="N589" s="265"/>
      <c r="O589" s="266"/>
      <c r="P589" s="266"/>
      <c r="Q589" s="266"/>
      <c r="R589" s="266"/>
      <c r="S589" s="266"/>
      <c r="T589" s="266"/>
      <c r="U589" s="266"/>
    </row>
    <row r="590" spans="13:24" ht="27.75" customHeight="1">
      <c r="M590" s="264"/>
      <c r="N590" s="265"/>
      <c r="O590" s="266"/>
      <c r="P590" s="266"/>
      <c r="Q590" s="266"/>
      <c r="R590" s="266"/>
      <c r="S590" s="266"/>
      <c r="T590" s="266"/>
      <c r="U590" s="266"/>
    </row>
    <row r="591" spans="13:24" ht="27.75" customHeight="1">
      <c r="M591" s="264"/>
      <c r="N591" s="265"/>
      <c r="O591" s="266"/>
      <c r="P591" s="266"/>
      <c r="Q591" s="266"/>
      <c r="R591" s="266"/>
      <c r="S591" s="266"/>
      <c r="T591" s="266"/>
      <c r="U591" s="266"/>
    </row>
    <row r="592" spans="13:24" ht="27.75" customHeight="1">
      <c r="M592" s="264"/>
      <c r="N592" s="265"/>
      <c r="O592" s="266"/>
      <c r="P592" s="266"/>
      <c r="Q592" s="266"/>
      <c r="R592" s="266"/>
      <c r="S592" s="266"/>
      <c r="T592" s="266"/>
      <c r="U592" s="266"/>
    </row>
    <row r="593" spans="13:24" ht="27.75" customHeight="1">
      <c r="M593" s="264"/>
      <c r="N593" s="265"/>
      <c r="O593" s="266"/>
      <c r="P593" s="266"/>
      <c r="Q593" s="266"/>
      <c r="R593" s="266"/>
      <c r="S593" s="266"/>
      <c r="T593" s="266"/>
      <c r="U593" s="266"/>
    </row>
    <row r="594" spans="13:24" ht="27.75" customHeight="1">
      <c r="M594" s="264"/>
      <c r="N594" s="265"/>
      <c r="O594" s="266"/>
      <c r="P594" s="266"/>
      <c r="Q594" s="266"/>
      <c r="R594" s="266"/>
      <c r="S594" s="266"/>
      <c r="T594" s="266"/>
      <c r="U594" s="266"/>
    </row>
    <row r="595" spans="13:24" ht="27.75" customHeight="1">
      <c r="M595" s="264"/>
      <c r="N595" s="265"/>
      <c r="O595" s="266"/>
      <c r="P595" s="266"/>
      <c r="Q595" s="266"/>
      <c r="R595" s="266"/>
      <c r="S595" s="266"/>
      <c r="T595" s="266"/>
      <c r="U595" s="266"/>
    </row>
    <row r="596" spans="13:24" ht="27.75" customHeight="1">
      <c r="M596" s="264"/>
      <c r="N596" s="265"/>
      <c r="O596" s="266"/>
      <c r="P596" s="266"/>
      <c r="Q596" s="266"/>
      <c r="R596" s="266"/>
      <c r="S596" s="266"/>
      <c r="T596" s="266"/>
      <c r="U596" s="266"/>
    </row>
    <row r="597" spans="13:24" ht="27.75" customHeight="1">
      <c r="M597" s="264"/>
      <c r="N597" s="265"/>
      <c r="O597" s="266"/>
      <c r="P597" s="266"/>
      <c r="Q597" s="266"/>
      <c r="R597" s="266"/>
      <c r="S597" s="266"/>
      <c r="T597" s="266"/>
      <c r="U597" s="266"/>
    </row>
    <row r="598" spans="13:24" ht="27.75" customHeight="1">
      <c r="M598" s="264"/>
      <c r="N598" s="265"/>
      <c r="O598" s="266"/>
      <c r="P598" s="266"/>
      <c r="Q598" s="266"/>
      <c r="R598" s="266"/>
      <c r="S598" s="266"/>
      <c r="T598" s="266"/>
      <c r="U598" s="266"/>
    </row>
    <row r="599" spans="13:24" ht="27.75" customHeight="1">
      <c r="M599" s="264"/>
      <c r="N599" s="265"/>
      <c r="O599" s="266"/>
      <c r="P599" s="266"/>
      <c r="Q599" s="266"/>
      <c r="R599" s="266"/>
      <c r="S599" s="266"/>
      <c r="T599" s="266"/>
      <c r="U599" s="266"/>
    </row>
    <row r="600" spans="13:24" ht="27.75" customHeight="1">
      <c r="M600" s="264"/>
      <c r="N600" s="265"/>
      <c r="O600" s="266"/>
      <c r="P600" s="266"/>
      <c r="Q600" s="266"/>
      <c r="R600" s="266"/>
      <c r="S600" s="266"/>
      <c r="T600" s="266"/>
      <c r="U600" s="266"/>
    </row>
    <row r="601" spans="13:24" ht="27.75" customHeight="1">
      <c r="M601" s="264"/>
      <c r="N601" s="265"/>
      <c r="O601" s="266"/>
      <c r="P601" s="266"/>
      <c r="Q601" s="266"/>
      <c r="R601" s="266"/>
      <c r="S601" s="266"/>
      <c r="T601" s="266"/>
      <c r="U601" s="266"/>
    </row>
    <row r="602" spans="13:24" ht="27.75" customHeight="1">
      <c r="M602" s="264"/>
      <c r="N602" s="267"/>
      <c r="O602" s="266"/>
      <c r="P602" s="266"/>
      <c r="Q602" s="266"/>
      <c r="R602" s="266"/>
      <c r="S602" s="266"/>
      <c r="T602" s="266"/>
      <c r="U602" s="268"/>
    </row>
    <row r="603" spans="13:24" ht="27.75" customHeight="1">
      <c r="M603" s="264"/>
      <c r="N603" s="267"/>
      <c r="O603" s="266"/>
      <c r="P603" s="266"/>
      <c r="Q603" s="266"/>
      <c r="R603" s="266"/>
      <c r="S603" s="266"/>
      <c r="T603" s="266"/>
      <c r="U603" s="268"/>
    </row>
    <row r="604" spans="13:24" ht="27.75" customHeight="1">
      <c r="M604" s="264"/>
      <c r="N604" s="267"/>
      <c r="O604" s="266"/>
      <c r="P604" s="266"/>
      <c r="Q604" s="266"/>
      <c r="R604" s="266"/>
      <c r="S604" s="266"/>
      <c r="T604" s="266"/>
      <c r="U604" s="268"/>
    </row>
    <row r="605" spans="13:24" ht="27.75" customHeight="1">
      <c r="M605" s="264"/>
      <c r="N605" s="267"/>
      <c r="O605" s="266"/>
      <c r="P605" s="266"/>
      <c r="Q605" s="266"/>
      <c r="R605" s="266"/>
      <c r="S605" s="266"/>
      <c r="T605" s="266"/>
      <c r="U605" s="268"/>
    </row>
    <row r="606" spans="13:24" ht="27.75" customHeight="1">
      <c r="M606" s="264"/>
      <c r="N606" s="265"/>
      <c r="O606" s="266"/>
      <c r="P606" s="266"/>
      <c r="Q606" s="266"/>
      <c r="R606" s="266"/>
      <c r="S606" s="266"/>
      <c r="T606" s="266"/>
      <c r="U606" s="288"/>
      <c r="V606" s="266"/>
      <c r="W606" s="266"/>
      <c r="X606" s="266"/>
    </row>
    <row r="607" spans="13:24" ht="27.75" customHeight="1">
      <c r="M607" s="264"/>
      <c r="N607" s="267"/>
      <c r="O607" s="266"/>
      <c r="P607" s="266"/>
      <c r="Q607" s="266"/>
      <c r="R607" s="266"/>
      <c r="S607" s="266"/>
      <c r="T607" s="266"/>
      <c r="U607" s="288"/>
      <c r="V607" s="266"/>
      <c r="W607" s="266"/>
      <c r="X607" s="266"/>
    </row>
    <row r="608" spans="13:24">
      <c r="N608" s="316"/>
      <c r="O608" s="315"/>
      <c r="P608" s="315"/>
      <c r="Q608" s="315"/>
      <c r="R608" s="315"/>
      <c r="S608" s="315"/>
      <c r="T608" s="315"/>
      <c r="U608" s="315"/>
    </row>
    <row r="609" spans="14:21">
      <c r="N609" s="316"/>
      <c r="O609" s="315"/>
      <c r="P609" s="315"/>
      <c r="Q609" s="315"/>
      <c r="R609" s="315"/>
      <c r="S609" s="315"/>
      <c r="T609" s="315"/>
      <c r="U609" s="315"/>
    </row>
  </sheetData>
  <mergeCells count="6">
    <mergeCell ref="M4:M5"/>
    <mergeCell ref="N4:N5"/>
    <mergeCell ref="B4:C4"/>
    <mergeCell ref="D4:D5"/>
    <mergeCell ref="G4:H4"/>
    <mergeCell ref="L4:L5"/>
  </mergeCells>
  <phoneticPr fontId="5" type="noConversion"/>
  <printOptions horizontalCentered="1" verticalCentered="1"/>
  <pageMargins left="0.19685039370078741" right="0.19685039370078741" top="1.3779527559055118" bottom="0.59055118110236227" header="0.78740157480314965" footer="0.19685039370078741"/>
  <pageSetup paperSize="9" scale="64" orientation="portrait" horizontalDpi="4294967292" r:id="rId1"/>
  <headerFooter alignWithMargins="0"/>
  <rowBreaks count="3" manualBreakCount="3">
    <brk id="46" max="11" man="1"/>
    <brk id="66" max="11" man="1"/>
    <brk id="103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315"/>
  <sheetViews>
    <sheetView showGridLines="0" showZeros="0" tabSelected="1" view="pageBreakPreview" topLeftCell="A810" zoomScaleNormal="100" zoomScaleSheetLayoutView="100" workbookViewId="0">
      <selection activeCell="J814" sqref="J814"/>
    </sheetView>
  </sheetViews>
  <sheetFormatPr defaultRowHeight="11.25"/>
  <cols>
    <col min="1" max="1" width="4.33203125" style="241" customWidth="1"/>
    <col min="2" max="2" width="11" style="241" customWidth="1"/>
    <col min="3" max="3" width="6.88671875" style="311" customWidth="1"/>
    <col min="4" max="4" width="7.6640625" style="311" hidden="1" customWidth="1"/>
    <col min="5" max="5" width="4.44140625" style="241" customWidth="1"/>
    <col min="6" max="6" width="7.88671875" style="312" customWidth="1"/>
    <col min="7" max="8" width="8" style="313" customWidth="1"/>
    <col min="9" max="9" width="7.21875" style="241" customWidth="1"/>
    <col min="10" max="10" width="8.33203125" style="314" customWidth="1"/>
    <col min="11" max="11" width="17.44140625" style="241" customWidth="1"/>
    <col min="12" max="12" width="8.33203125" style="314" customWidth="1"/>
    <col min="13" max="13" width="17.44140625" style="241" customWidth="1"/>
    <col min="14" max="14" width="7.77734375" style="241" customWidth="1"/>
    <col min="15" max="15" width="12.109375" style="241" customWidth="1"/>
    <col min="16" max="17" width="6.77734375" style="241" customWidth="1"/>
    <col min="18" max="19" width="9.77734375" style="241" customWidth="1"/>
    <col min="20" max="20" width="10.77734375" style="241" customWidth="1"/>
    <col min="21" max="16384" width="8.88671875" style="241"/>
  </cols>
  <sheetData>
    <row r="1" spans="1:20" ht="39" customHeight="1">
      <c r="A1" s="318" t="s">
        <v>1198</v>
      </c>
      <c r="B1" s="318"/>
      <c r="C1" s="319"/>
      <c r="D1" s="319"/>
      <c r="E1" s="249"/>
      <c r="F1" s="320"/>
      <c r="G1" s="321"/>
      <c r="H1" s="321"/>
      <c r="I1" s="249"/>
      <c r="J1" s="249"/>
      <c r="K1" s="249"/>
      <c r="L1" s="249"/>
      <c r="M1" s="249"/>
      <c r="N1" s="249"/>
      <c r="O1" s="249"/>
      <c r="P1" s="249"/>
      <c r="Q1" s="249"/>
      <c r="R1" s="240"/>
      <c r="S1" s="240"/>
      <c r="T1" s="240"/>
    </row>
    <row r="2" spans="1:20" ht="19.899999999999999" customHeight="1">
      <c r="A2" s="240"/>
      <c r="B2" s="240"/>
      <c r="C2" s="243"/>
      <c r="D2" s="243"/>
      <c r="E2" s="240"/>
      <c r="F2" s="244"/>
      <c r="G2" s="245"/>
      <c r="H2" s="245"/>
      <c r="I2" s="240"/>
      <c r="J2" s="246"/>
      <c r="K2" s="247"/>
      <c r="L2" s="246"/>
      <c r="M2" s="247"/>
      <c r="N2" s="248"/>
      <c r="O2" s="249"/>
      <c r="P2" s="249"/>
      <c r="Q2" s="249"/>
      <c r="R2" s="240"/>
      <c r="S2" s="240"/>
      <c r="T2" s="240"/>
    </row>
    <row r="3" spans="1:20" ht="10.15" customHeight="1">
      <c r="A3" s="253"/>
      <c r="B3" s="253"/>
      <c r="C3" s="252"/>
      <c r="D3" s="252"/>
      <c r="E3" s="253"/>
      <c r="F3" s="254"/>
      <c r="G3" s="255"/>
      <c r="H3" s="255"/>
      <c r="I3" s="253"/>
      <c r="J3" s="256"/>
      <c r="K3" s="253"/>
      <c r="L3" s="256"/>
      <c r="M3" s="253"/>
      <c r="N3" s="253"/>
      <c r="O3" s="253"/>
      <c r="P3" s="253"/>
      <c r="Q3" s="253"/>
      <c r="R3" s="240"/>
      <c r="S3" s="240"/>
      <c r="T3" s="240"/>
    </row>
    <row r="4" spans="1:20" ht="30" customHeight="1">
      <c r="A4" s="377" t="s">
        <v>1199</v>
      </c>
      <c r="B4" s="377" t="s">
        <v>1200</v>
      </c>
      <c r="C4" s="379" t="s">
        <v>46</v>
      </c>
      <c r="D4" s="350"/>
      <c r="E4" s="377" t="s">
        <v>47</v>
      </c>
      <c r="F4" s="377" t="s">
        <v>1201</v>
      </c>
      <c r="G4" s="377" t="s">
        <v>1202</v>
      </c>
      <c r="H4" s="377"/>
      <c r="I4" s="377"/>
      <c r="J4" s="377" t="s">
        <v>296</v>
      </c>
      <c r="K4" s="377"/>
      <c r="L4" s="377" t="s">
        <v>295</v>
      </c>
      <c r="M4" s="377"/>
      <c r="N4" s="336" t="s">
        <v>52</v>
      </c>
      <c r="O4" s="336"/>
      <c r="P4" s="336"/>
      <c r="Q4" s="378" t="s">
        <v>37</v>
      </c>
      <c r="R4" s="259"/>
      <c r="S4" s="259"/>
      <c r="T4" s="259"/>
    </row>
    <row r="5" spans="1:20" ht="30" customHeight="1">
      <c r="A5" s="378" t="s">
        <v>53</v>
      </c>
      <c r="B5" s="378"/>
      <c r="C5" s="380"/>
      <c r="D5" s="337"/>
      <c r="E5" s="377"/>
      <c r="F5" s="378" t="s">
        <v>65</v>
      </c>
      <c r="G5" s="337" t="s">
        <v>293</v>
      </c>
      <c r="H5" s="337" t="s">
        <v>294</v>
      </c>
      <c r="I5" s="337" t="s">
        <v>303</v>
      </c>
      <c r="J5" s="337" t="s">
        <v>55</v>
      </c>
      <c r="K5" s="338" t="s">
        <v>56</v>
      </c>
      <c r="L5" s="337" t="s">
        <v>55</v>
      </c>
      <c r="M5" s="338" t="s">
        <v>56</v>
      </c>
      <c r="N5" s="337" t="s">
        <v>55</v>
      </c>
      <c r="O5" s="337" t="s">
        <v>56</v>
      </c>
      <c r="P5" s="339" t="s">
        <v>57</v>
      </c>
      <c r="Q5" s="378"/>
      <c r="R5" s="260"/>
      <c r="S5" s="260"/>
      <c r="T5" s="240"/>
    </row>
    <row r="6" spans="1:20" ht="30" customHeight="1">
      <c r="A6" s="340">
        <v>1</v>
      </c>
      <c r="B6" s="340" t="s">
        <v>1203</v>
      </c>
      <c r="C6" s="340" t="s">
        <v>103</v>
      </c>
      <c r="D6" s="340"/>
      <c r="E6" s="340" t="s">
        <v>87</v>
      </c>
      <c r="F6" s="341">
        <v>9821</v>
      </c>
      <c r="G6" s="341">
        <v>22</v>
      </c>
      <c r="H6" s="341">
        <v>158</v>
      </c>
      <c r="I6" s="341">
        <f>H6-G6</f>
        <v>136</v>
      </c>
      <c r="J6" s="342" t="s">
        <v>1209</v>
      </c>
      <c r="K6" s="342"/>
      <c r="L6" s="342" t="s">
        <v>1209</v>
      </c>
      <c r="M6" s="342"/>
      <c r="N6" s="342"/>
      <c r="O6" s="342"/>
      <c r="P6" s="342"/>
      <c r="Q6" s="343"/>
      <c r="R6" s="266"/>
      <c r="S6" s="266"/>
      <c r="T6" s="266"/>
    </row>
    <row r="7" spans="1:20" ht="30" customHeight="1">
      <c r="A7" s="340">
        <v>2</v>
      </c>
      <c r="B7" s="340" t="s">
        <v>1203</v>
      </c>
      <c r="C7" s="340" t="s">
        <v>104</v>
      </c>
      <c r="D7" s="340"/>
      <c r="E7" s="340" t="s">
        <v>105</v>
      </c>
      <c r="F7" s="341">
        <v>10</v>
      </c>
      <c r="G7" s="341">
        <v>10</v>
      </c>
      <c r="H7" s="341">
        <v>10</v>
      </c>
      <c r="I7" s="341">
        <f t="shared" ref="I7:I70" si="0">H7-G7</f>
        <v>0</v>
      </c>
      <c r="J7" s="342" t="s">
        <v>995</v>
      </c>
      <c r="K7" s="342"/>
      <c r="L7" s="342" t="s">
        <v>995</v>
      </c>
      <c r="M7" s="342"/>
      <c r="N7" s="342"/>
      <c r="O7" s="342"/>
      <c r="P7" s="342"/>
      <c r="Q7" s="343"/>
      <c r="R7" s="266"/>
      <c r="S7" s="266"/>
      <c r="T7" s="266"/>
    </row>
    <row r="8" spans="1:20" ht="30" customHeight="1">
      <c r="A8" s="340">
        <v>3</v>
      </c>
      <c r="B8" s="340" t="s">
        <v>1203</v>
      </c>
      <c r="C8" s="340" t="s">
        <v>751</v>
      </c>
      <c r="D8" s="340"/>
      <c r="E8" s="340" t="s">
        <v>109</v>
      </c>
      <c r="F8" s="341">
        <v>34</v>
      </c>
      <c r="G8" s="341">
        <v>34</v>
      </c>
      <c r="H8" s="341">
        <v>34</v>
      </c>
      <c r="I8" s="341">
        <f t="shared" si="0"/>
        <v>0</v>
      </c>
      <c r="J8" s="342" t="s">
        <v>1215</v>
      </c>
      <c r="K8" s="342" t="s">
        <v>752</v>
      </c>
      <c r="L8" s="342" t="s">
        <v>1214</v>
      </c>
      <c r="M8" s="342" t="s">
        <v>752</v>
      </c>
      <c r="N8" s="342"/>
      <c r="O8" s="342"/>
      <c r="P8" s="342"/>
      <c r="Q8" s="343"/>
      <c r="R8" s="266"/>
      <c r="S8" s="266"/>
      <c r="T8" s="266"/>
    </row>
    <row r="9" spans="1:20" ht="30" customHeight="1">
      <c r="A9" s="340">
        <v>4</v>
      </c>
      <c r="B9" s="340" t="s">
        <v>1203</v>
      </c>
      <c r="C9" s="340" t="s">
        <v>107</v>
      </c>
      <c r="D9" s="340"/>
      <c r="E9" s="340" t="s">
        <v>85</v>
      </c>
      <c r="F9" s="341">
        <v>777</v>
      </c>
      <c r="G9" s="341">
        <v>0</v>
      </c>
      <c r="H9" s="341">
        <v>23</v>
      </c>
      <c r="I9" s="341">
        <f t="shared" si="0"/>
        <v>23</v>
      </c>
      <c r="J9" s="342" t="s">
        <v>1212</v>
      </c>
      <c r="K9" s="342" t="s">
        <v>2</v>
      </c>
      <c r="L9" s="342" t="s">
        <v>1213</v>
      </c>
      <c r="M9" s="342" t="s">
        <v>2</v>
      </c>
      <c r="N9" s="342"/>
      <c r="O9" s="342"/>
      <c r="P9" s="342"/>
      <c r="Q9" s="343"/>
      <c r="R9" s="266"/>
      <c r="S9" s="266"/>
      <c r="T9" s="266"/>
    </row>
    <row r="10" spans="1:20" ht="30" customHeight="1">
      <c r="A10" s="340">
        <v>5</v>
      </c>
      <c r="B10" s="340" t="s">
        <v>1203</v>
      </c>
      <c r="C10" s="340" t="s">
        <v>1181</v>
      </c>
      <c r="D10" s="340"/>
      <c r="E10" s="340" t="s">
        <v>992</v>
      </c>
      <c r="F10" s="341">
        <v>1401</v>
      </c>
      <c r="G10" s="341">
        <v>152</v>
      </c>
      <c r="H10" s="341">
        <v>152</v>
      </c>
      <c r="I10" s="341">
        <f t="shared" si="0"/>
        <v>0</v>
      </c>
      <c r="J10" s="342" t="s">
        <v>993</v>
      </c>
      <c r="K10" s="342" t="s">
        <v>993</v>
      </c>
      <c r="L10" s="342" t="s">
        <v>995</v>
      </c>
      <c r="M10" s="342"/>
      <c r="N10" s="342"/>
      <c r="O10" s="342"/>
      <c r="P10" s="342"/>
      <c r="Q10" s="343"/>
      <c r="R10" s="266"/>
      <c r="S10" s="266"/>
      <c r="T10" s="266"/>
    </row>
    <row r="11" spans="1:20" ht="30" customHeight="1">
      <c r="A11" s="340">
        <v>6</v>
      </c>
      <c r="B11" s="340" t="s">
        <v>1203</v>
      </c>
      <c r="C11" s="340" t="s">
        <v>991</v>
      </c>
      <c r="D11" s="340"/>
      <c r="E11" s="340" t="s">
        <v>992</v>
      </c>
      <c r="F11" s="341">
        <v>81</v>
      </c>
      <c r="G11" s="341">
        <v>26</v>
      </c>
      <c r="H11" s="341">
        <v>26</v>
      </c>
      <c r="I11" s="341">
        <f t="shared" si="0"/>
        <v>0</v>
      </c>
      <c r="J11" s="342" t="s">
        <v>993</v>
      </c>
      <c r="K11" s="342" t="s">
        <v>993</v>
      </c>
      <c r="L11" s="342" t="s">
        <v>1212</v>
      </c>
      <c r="M11" s="342" t="s">
        <v>2</v>
      </c>
      <c r="N11" s="342"/>
      <c r="O11" s="342"/>
      <c r="P11" s="342"/>
      <c r="Q11" s="343"/>
      <c r="R11" s="266"/>
      <c r="S11" s="266"/>
      <c r="T11" s="266"/>
    </row>
    <row r="12" spans="1:20" ht="30" customHeight="1">
      <c r="A12" s="340">
        <v>7</v>
      </c>
      <c r="B12" s="340" t="s">
        <v>1203</v>
      </c>
      <c r="C12" s="340" t="s">
        <v>108</v>
      </c>
      <c r="D12" s="340"/>
      <c r="E12" s="340" t="s">
        <v>109</v>
      </c>
      <c r="F12" s="341">
        <v>1532</v>
      </c>
      <c r="G12" s="341">
        <v>233</v>
      </c>
      <c r="H12" s="341">
        <v>296</v>
      </c>
      <c r="I12" s="341">
        <f t="shared" si="0"/>
        <v>63</v>
      </c>
      <c r="J12" s="342" t="s">
        <v>1212</v>
      </c>
      <c r="K12" s="342" t="s">
        <v>2</v>
      </c>
      <c r="L12" s="342" t="s">
        <v>995</v>
      </c>
      <c r="M12" s="342"/>
      <c r="N12" s="342"/>
      <c r="O12" s="342"/>
      <c r="P12" s="342"/>
      <c r="Q12" s="343"/>
      <c r="R12" s="266"/>
      <c r="S12" s="266"/>
      <c r="T12" s="266"/>
    </row>
    <row r="13" spans="1:20" ht="30" customHeight="1">
      <c r="A13" s="340">
        <v>8</v>
      </c>
      <c r="B13" s="340" t="s">
        <v>1203</v>
      </c>
      <c r="C13" s="340" t="s">
        <v>720</v>
      </c>
      <c r="D13" s="340"/>
      <c r="E13" s="340" t="s">
        <v>85</v>
      </c>
      <c r="F13" s="341">
        <v>2297</v>
      </c>
      <c r="G13" s="341">
        <v>2297</v>
      </c>
      <c r="H13" s="341">
        <v>2297</v>
      </c>
      <c r="I13" s="341">
        <f t="shared" si="0"/>
        <v>0</v>
      </c>
      <c r="J13" s="342" t="s">
        <v>995</v>
      </c>
      <c r="K13" s="342"/>
      <c r="L13" s="342" t="s">
        <v>995</v>
      </c>
      <c r="M13" s="342"/>
      <c r="N13" s="342"/>
      <c r="O13" s="342"/>
      <c r="P13" s="342"/>
      <c r="Q13" s="343"/>
      <c r="R13" s="266"/>
      <c r="S13" s="266"/>
      <c r="T13" s="268"/>
    </row>
    <row r="14" spans="1:20" ht="30" customHeight="1">
      <c r="A14" s="340">
        <v>9</v>
      </c>
      <c r="B14" s="340" t="s">
        <v>1203</v>
      </c>
      <c r="C14" s="340" t="s">
        <v>721</v>
      </c>
      <c r="D14" s="340"/>
      <c r="E14" s="340" t="s">
        <v>382</v>
      </c>
      <c r="F14" s="341">
        <v>1007</v>
      </c>
      <c r="G14" s="341">
        <v>1007</v>
      </c>
      <c r="H14" s="341">
        <v>1007</v>
      </c>
      <c r="I14" s="341">
        <f t="shared" si="0"/>
        <v>0</v>
      </c>
      <c r="J14" s="342" t="s">
        <v>995</v>
      </c>
      <c r="K14" s="342"/>
      <c r="L14" s="342" t="s">
        <v>995</v>
      </c>
      <c r="M14" s="342"/>
      <c r="N14" s="342"/>
      <c r="O14" s="342"/>
      <c r="P14" s="342"/>
      <c r="Q14" s="343"/>
      <c r="R14" s="266"/>
      <c r="S14" s="266"/>
      <c r="T14" s="268"/>
    </row>
    <row r="15" spans="1:20" ht="30" customHeight="1">
      <c r="A15" s="340">
        <v>10</v>
      </c>
      <c r="B15" s="340" t="s">
        <v>1203</v>
      </c>
      <c r="C15" s="340" t="s">
        <v>722</v>
      </c>
      <c r="D15" s="340"/>
      <c r="E15" s="340" t="s">
        <v>382</v>
      </c>
      <c r="F15" s="341">
        <v>594</v>
      </c>
      <c r="G15" s="341">
        <v>594</v>
      </c>
      <c r="H15" s="341">
        <v>594</v>
      </c>
      <c r="I15" s="341">
        <f t="shared" si="0"/>
        <v>0</v>
      </c>
      <c r="J15" s="342" t="s">
        <v>995</v>
      </c>
      <c r="K15" s="342"/>
      <c r="L15" s="342" t="s">
        <v>995</v>
      </c>
      <c r="M15" s="342"/>
      <c r="N15" s="342"/>
      <c r="O15" s="342"/>
      <c r="P15" s="342"/>
      <c r="Q15" s="343"/>
      <c r="R15" s="266"/>
      <c r="S15" s="266"/>
      <c r="T15" s="268"/>
    </row>
    <row r="16" spans="1:20" ht="30" customHeight="1">
      <c r="A16" s="340">
        <v>11</v>
      </c>
      <c r="B16" s="340" t="s">
        <v>1203</v>
      </c>
      <c r="C16" s="340" t="s">
        <v>111</v>
      </c>
      <c r="D16" s="340"/>
      <c r="E16" s="340" t="s">
        <v>87</v>
      </c>
      <c r="F16" s="341">
        <v>10</v>
      </c>
      <c r="G16" s="341">
        <v>10</v>
      </c>
      <c r="H16" s="341">
        <v>10</v>
      </c>
      <c r="I16" s="341">
        <f t="shared" si="0"/>
        <v>0</v>
      </c>
      <c r="J16" s="342" t="s">
        <v>1209</v>
      </c>
      <c r="K16" s="342"/>
      <c r="L16" s="342" t="s">
        <v>1209</v>
      </c>
      <c r="M16" s="342"/>
      <c r="N16" s="342"/>
      <c r="O16" s="342"/>
      <c r="P16" s="342"/>
      <c r="Q16" s="343"/>
      <c r="R16" s="266"/>
      <c r="S16" s="266"/>
      <c r="T16" s="268"/>
    </row>
    <row r="17" spans="1:20" ht="30" customHeight="1">
      <c r="A17" s="340">
        <v>12</v>
      </c>
      <c r="B17" s="340" t="s">
        <v>1203</v>
      </c>
      <c r="C17" s="340" t="s">
        <v>112</v>
      </c>
      <c r="D17" s="340"/>
      <c r="E17" s="340" t="s">
        <v>382</v>
      </c>
      <c r="F17" s="341">
        <v>61</v>
      </c>
      <c r="G17" s="341">
        <v>59</v>
      </c>
      <c r="H17" s="341"/>
      <c r="I17" s="341">
        <f t="shared" si="0"/>
        <v>-59</v>
      </c>
      <c r="J17" s="342" t="s">
        <v>1211</v>
      </c>
      <c r="K17" s="342" t="s">
        <v>276</v>
      </c>
      <c r="L17" s="373" t="s">
        <v>1268</v>
      </c>
      <c r="M17" s="374"/>
      <c r="N17" s="374"/>
      <c r="O17" s="374"/>
      <c r="P17" s="375"/>
      <c r="Q17" s="343"/>
      <c r="R17" s="266"/>
      <c r="S17" s="266"/>
      <c r="T17" s="268"/>
    </row>
    <row r="18" spans="1:20" ht="30" customHeight="1">
      <c r="A18" s="340">
        <v>13</v>
      </c>
      <c r="B18" s="340" t="s">
        <v>1203</v>
      </c>
      <c r="C18" s="340" t="s">
        <v>113</v>
      </c>
      <c r="D18" s="340"/>
      <c r="E18" s="340" t="s">
        <v>87</v>
      </c>
      <c r="F18" s="341">
        <v>574.29999999999995</v>
      </c>
      <c r="G18" s="341">
        <v>574.29999999999995</v>
      </c>
      <c r="H18" s="341">
        <v>574.29999999999995</v>
      </c>
      <c r="I18" s="341">
        <f t="shared" si="0"/>
        <v>0</v>
      </c>
      <c r="J18" s="342" t="s">
        <v>1209</v>
      </c>
      <c r="K18" s="342"/>
      <c r="L18" s="342" t="s">
        <v>1209</v>
      </c>
      <c r="M18" s="342"/>
      <c r="N18" s="342"/>
      <c r="O18" s="342"/>
      <c r="P18" s="342"/>
      <c r="Q18" s="343"/>
      <c r="R18" s="266"/>
      <c r="S18" s="266"/>
      <c r="T18" s="268"/>
    </row>
    <row r="19" spans="1:20" ht="30" customHeight="1">
      <c r="A19" s="340">
        <v>14</v>
      </c>
      <c r="B19" s="340" t="s">
        <v>1203</v>
      </c>
      <c r="C19" s="340" t="s">
        <v>114</v>
      </c>
      <c r="D19" s="340"/>
      <c r="E19" s="340" t="s">
        <v>382</v>
      </c>
      <c r="F19" s="341">
        <v>134</v>
      </c>
      <c r="G19" s="341">
        <v>134</v>
      </c>
      <c r="H19" s="341">
        <v>134</v>
      </c>
      <c r="I19" s="341">
        <f t="shared" si="0"/>
        <v>0</v>
      </c>
      <c r="J19" s="342" t="s">
        <v>754</v>
      </c>
      <c r="K19" s="342" t="s">
        <v>3</v>
      </c>
      <c r="L19" s="342" t="s">
        <v>995</v>
      </c>
      <c r="M19" s="342"/>
      <c r="N19" s="342"/>
      <c r="O19" s="342"/>
      <c r="P19" s="342"/>
      <c r="Q19" s="343"/>
      <c r="R19" s="266"/>
      <c r="S19" s="266"/>
      <c r="T19" s="268"/>
    </row>
    <row r="20" spans="1:20" ht="30" customHeight="1">
      <c r="A20" s="340">
        <v>15</v>
      </c>
      <c r="B20" s="340" t="s">
        <v>1203</v>
      </c>
      <c r="C20" s="340" t="s">
        <v>709</v>
      </c>
      <c r="D20" s="340"/>
      <c r="E20" s="340" t="s">
        <v>105</v>
      </c>
      <c r="F20" s="341">
        <v>1514.1</v>
      </c>
      <c r="G20" s="341">
        <v>1514.1</v>
      </c>
      <c r="H20" s="341">
        <v>1514.1</v>
      </c>
      <c r="I20" s="341">
        <f t="shared" si="0"/>
        <v>0</v>
      </c>
      <c r="J20" s="342" t="s">
        <v>1216</v>
      </c>
      <c r="K20" s="342" t="s">
        <v>142</v>
      </c>
      <c r="L20" s="342" t="s">
        <v>995</v>
      </c>
      <c r="M20" s="342"/>
      <c r="N20" s="342"/>
      <c r="O20" s="342"/>
      <c r="P20" s="342"/>
      <c r="Q20" s="343"/>
      <c r="R20" s="266"/>
      <c r="S20" s="266"/>
      <c r="T20" s="268"/>
    </row>
    <row r="21" spans="1:20" ht="30" customHeight="1">
      <c r="A21" s="340">
        <v>16</v>
      </c>
      <c r="B21" s="340" t="s">
        <v>1203</v>
      </c>
      <c r="C21" s="340" t="s">
        <v>711</v>
      </c>
      <c r="D21" s="340"/>
      <c r="E21" s="340" t="s">
        <v>105</v>
      </c>
      <c r="F21" s="341">
        <v>1813.3</v>
      </c>
      <c r="G21" s="341">
        <v>1813.3</v>
      </c>
      <c r="H21" s="341">
        <v>1813.3</v>
      </c>
      <c r="I21" s="341">
        <f t="shared" si="0"/>
        <v>0</v>
      </c>
      <c r="J21" s="342" t="s">
        <v>1217</v>
      </c>
      <c r="K21" s="342" t="s">
        <v>756</v>
      </c>
      <c r="L21" s="342" t="s">
        <v>995</v>
      </c>
      <c r="M21" s="342"/>
      <c r="N21" s="342"/>
      <c r="O21" s="342"/>
      <c r="P21" s="342"/>
      <c r="Q21" s="343"/>
      <c r="R21" s="266"/>
      <c r="S21" s="266"/>
      <c r="T21" s="268"/>
    </row>
    <row r="22" spans="1:20" ht="30" customHeight="1">
      <c r="A22" s="340">
        <v>17</v>
      </c>
      <c r="B22" s="340" t="s">
        <v>1203</v>
      </c>
      <c r="C22" s="340" t="s">
        <v>115</v>
      </c>
      <c r="D22" s="340"/>
      <c r="E22" s="340" t="s">
        <v>87</v>
      </c>
      <c r="F22" s="341">
        <v>189.2</v>
      </c>
      <c r="G22" s="341">
        <v>189.2</v>
      </c>
      <c r="H22" s="341">
        <v>189.2</v>
      </c>
      <c r="I22" s="341">
        <f t="shared" si="0"/>
        <v>0</v>
      </c>
      <c r="J22" s="342" t="s">
        <v>1209</v>
      </c>
      <c r="K22" s="342"/>
      <c r="L22" s="342" t="s">
        <v>1209</v>
      </c>
      <c r="M22" s="342"/>
      <c r="N22" s="342"/>
      <c r="O22" s="342"/>
      <c r="P22" s="342"/>
      <c r="Q22" s="343"/>
      <c r="R22" s="266"/>
      <c r="S22" s="266"/>
      <c r="T22" s="268"/>
    </row>
    <row r="23" spans="1:20" ht="30" customHeight="1">
      <c r="A23" s="340">
        <v>18</v>
      </c>
      <c r="B23" s="340" t="s">
        <v>1203</v>
      </c>
      <c r="C23" s="340" t="s">
        <v>757</v>
      </c>
      <c r="D23" s="340"/>
      <c r="E23" s="340" t="s">
        <v>84</v>
      </c>
      <c r="F23" s="341">
        <v>116.8</v>
      </c>
      <c r="G23" s="341">
        <v>116.8</v>
      </c>
      <c r="H23" s="341">
        <v>116.8</v>
      </c>
      <c r="I23" s="341">
        <f t="shared" si="0"/>
        <v>0</v>
      </c>
      <c r="J23" s="342" t="s">
        <v>1209</v>
      </c>
      <c r="K23" s="342"/>
      <c r="L23" s="342" t="s">
        <v>1209</v>
      </c>
      <c r="M23" s="342"/>
      <c r="N23" s="342"/>
      <c r="O23" s="342"/>
      <c r="P23" s="342"/>
      <c r="Q23" s="343"/>
      <c r="R23" s="266"/>
      <c r="S23" s="266"/>
      <c r="T23" s="268"/>
    </row>
    <row r="24" spans="1:20" ht="30" customHeight="1">
      <c r="A24" s="340">
        <v>19</v>
      </c>
      <c r="B24" s="340" t="s">
        <v>1203</v>
      </c>
      <c r="C24" s="340" t="s">
        <v>116</v>
      </c>
      <c r="D24" s="340"/>
      <c r="E24" s="340" t="s">
        <v>105</v>
      </c>
      <c r="F24" s="341">
        <v>1125.8</v>
      </c>
      <c r="G24" s="341">
        <v>1125.8</v>
      </c>
      <c r="H24" s="341">
        <v>1125.8</v>
      </c>
      <c r="I24" s="341">
        <f t="shared" si="0"/>
        <v>0</v>
      </c>
      <c r="J24" s="342" t="s">
        <v>1218</v>
      </c>
      <c r="K24" s="342" t="s">
        <v>279</v>
      </c>
      <c r="L24" s="342" t="s">
        <v>995</v>
      </c>
      <c r="M24" s="342"/>
      <c r="N24" s="342"/>
      <c r="O24" s="342"/>
      <c r="P24" s="342"/>
      <c r="Q24" s="343"/>
      <c r="R24" s="266"/>
      <c r="S24" s="266"/>
      <c r="T24" s="268"/>
    </row>
    <row r="25" spans="1:20" ht="30" customHeight="1">
      <c r="A25" s="340">
        <v>20</v>
      </c>
      <c r="B25" s="340" t="s">
        <v>1203</v>
      </c>
      <c r="C25" s="340" t="s">
        <v>712</v>
      </c>
      <c r="D25" s="340"/>
      <c r="E25" s="340" t="s">
        <v>105</v>
      </c>
      <c r="F25" s="341">
        <v>394.1</v>
      </c>
      <c r="G25" s="341">
        <v>394.1</v>
      </c>
      <c r="H25" s="341">
        <v>394.1</v>
      </c>
      <c r="I25" s="341">
        <f t="shared" si="0"/>
        <v>0</v>
      </c>
      <c r="J25" s="342" t="s">
        <v>1219</v>
      </c>
      <c r="K25" s="342" t="s">
        <v>278</v>
      </c>
      <c r="L25" s="342" t="s">
        <v>995</v>
      </c>
      <c r="M25" s="342"/>
      <c r="N25" s="342"/>
      <c r="O25" s="342"/>
      <c r="P25" s="342"/>
      <c r="Q25" s="343"/>
      <c r="R25" s="266"/>
      <c r="S25" s="266"/>
      <c r="T25" s="268"/>
    </row>
    <row r="26" spans="1:20" ht="30" customHeight="1">
      <c r="A26" s="340">
        <v>21</v>
      </c>
      <c r="B26" s="340" t="s">
        <v>1203</v>
      </c>
      <c r="C26" s="340" t="s">
        <v>117</v>
      </c>
      <c r="D26" s="340"/>
      <c r="E26" s="340" t="s">
        <v>85</v>
      </c>
      <c r="F26" s="341">
        <v>670</v>
      </c>
      <c r="G26" s="341">
        <v>670</v>
      </c>
      <c r="H26" s="341">
        <v>670</v>
      </c>
      <c r="I26" s="341">
        <f t="shared" si="0"/>
        <v>0</v>
      </c>
      <c r="J26" s="342" t="s">
        <v>995</v>
      </c>
      <c r="K26" s="342"/>
      <c r="L26" s="342" t="s">
        <v>995</v>
      </c>
      <c r="M26" s="342"/>
      <c r="N26" s="342"/>
      <c r="O26" s="342"/>
      <c r="P26" s="342"/>
      <c r="Q26" s="343"/>
      <c r="R26" s="266"/>
      <c r="S26" s="266"/>
      <c r="T26" s="268"/>
    </row>
    <row r="27" spans="1:20" ht="30" customHeight="1">
      <c r="A27" s="340">
        <v>22</v>
      </c>
      <c r="B27" s="340" t="s">
        <v>1203</v>
      </c>
      <c r="C27" s="340" t="s">
        <v>119</v>
      </c>
      <c r="D27" s="340"/>
      <c r="E27" s="340" t="s">
        <v>85</v>
      </c>
      <c r="F27" s="341">
        <v>126</v>
      </c>
      <c r="G27" s="341">
        <v>126</v>
      </c>
      <c r="H27" s="341">
        <v>126</v>
      </c>
      <c r="I27" s="341">
        <f t="shared" si="0"/>
        <v>0</v>
      </c>
      <c r="J27" s="342" t="s">
        <v>995</v>
      </c>
      <c r="K27" s="342"/>
      <c r="L27" s="342" t="s">
        <v>995</v>
      </c>
      <c r="M27" s="342"/>
      <c r="N27" s="342"/>
      <c r="O27" s="342"/>
      <c r="P27" s="342"/>
      <c r="Q27" s="343"/>
      <c r="R27" s="266"/>
      <c r="S27" s="266"/>
      <c r="T27" s="268"/>
    </row>
    <row r="28" spans="1:20" ht="30" customHeight="1">
      <c r="A28" s="340">
        <v>23</v>
      </c>
      <c r="B28" s="340" t="s">
        <v>1203</v>
      </c>
      <c r="C28" s="340" t="s">
        <v>758</v>
      </c>
      <c r="D28" s="340"/>
      <c r="E28" s="340" t="s">
        <v>84</v>
      </c>
      <c r="F28" s="341">
        <v>89.4</v>
      </c>
      <c r="G28" s="341">
        <v>89.4</v>
      </c>
      <c r="H28" s="341">
        <v>89.4</v>
      </c>
      <c r="I28" s="341">
        <f t="shared" si="0"/>
        <v>0</v>
      </c>
      <c r="J28" s="342" t="s">
        <v>1209</v>
      </c>
      <c r="K28" s="342"/>
      <c r="L28" s="342" t="s">
        <v>1209</v>
      </c>
      <c r="M28" s="342"/>
      <c r="N28" s="342"/>
      <c r="O28" s="342"/>
      <c r="P28" s="342"/>
      <c r="Q28" s="343"/>
      <c r="R28" s="266"/>
      <c r="S28" s="266"/>
      <c r="T28" s="268"/>
    </row>
    <row r="29" spans="1:20" ht="30" customHeight="1">
      <c r="A29" s="340">
        <v>24</v>
      </c>
      <c r="B29" s="340" t="s">
        <v>1203</v>
      </c>
      <c r="C29" s="340" t="s">
        <v>120</v>
      </c>
      <c r="D29" s="340"/>
      <c r="E29" s="340" t="s">
        <v>105</v>
      </c>
      <c r="F29" s="341">
        <v>502.7</v>
      </c>
      <c r="G29" s="341">
        <v>502.7</v>
      </c>
      <c r="H29" s="341">
        <v>502.7</v>
      </c>
      <c r="I29" s="341">
        <f t="shared" si="0"/>
        <v>0</v>
      </c>
      <c r="J29" s="342" t="s">
        <v>1220</v>
      </c>
      <c r="K29" s="342" t="s">
        <v>278</v>
      </c>
      <c r="L29" s="342" t="s">
        <v>995</v>
      </c>
      <c r="M29" s="342"/>
      <c r="N29" s="342"/>
      <c r="O29" s="342"/>
      <c r="P29" s="342"/>
      <c r="Q29" s="343"/>
      <c r="R29" s="266"/>
      <c r="S29" s="266"/>
      <c r="T29" s="268"/>
    </row>
    <row r="30" spans="1:20" ht="30" customHeight="1">
      <c r="A30" s="340">
        <v>25</v>
      </c>
      <c r="B30" s="340" t="s">
        <v>1203</v>
      </c>
      <c r="C30" s="340" t="s">
        <v>121</v>
      </c>
      <c r="D30" s="340"/>
      <c r="E30" s="340" t="s">
        <v>105</v>
      </c>
      <c r="F30" s="341">
        <v>485.6</v>
      </c>
      <c r="G30" s="341">
        <v>485.6</v>
      </c>
      <c r="H30" s="341">
        <v>485.6</v>
      </c>
      <c r="I30" s="341">
        <f t="shared" si="0"/>
        <v>0</v>
      </c>
      <c r="J30" s="342" t="s">
        <v>1221</v>
      </c>
      <c r="K30" s="342" t="s">
        <v>280</v>
      </c>
      <c r="L30" s="342" t="s">
        <v>995</v>
      </c>
      <c r="M30" s="342"/>
      <c r="N30" s="342"/>
      <c r="O30" s="342"/>
      <c r="P30" s="342"/>
      <c r="Q30" s="343"/>
      <c r="R30" s="266"/>
      <c r="S30" s="266"/>
      <c r="T30" s="268"/>
    </row>
    <row r="31" spans="1:20" ht="30" customHeight="1">
      <c r="A31" s="340">
        <v>26</v>
      </c>
      <c r="B31" s="340" t="s">
        <v>1203</v>
      </c>
      <c r="C31" s="340" t="s">
        <v>122</v>
      </c>
      <c r="D31" s="340"/>
      <c r="E31" s="340" t="s">
        <v>87</v>
      </c>
      <c r="F31" s="341">
        <v>272</v>
      </c>
      <c r="G31" s="341">
        <v>272</v>
      </c>
      <c r="H31" s="341">
        <v>272</v>
      </c>
      <c r="I31" s="341">
        <f t="shared" si="0"/>
        <v>0</v>
      </c>
      <c r="J31" s="342" t="s">
        <v>1209</v>
      </c>
      <c r="K31" s="342"/>
      <c r="L31" s="342" t="s">
        <v>1209</v>
      </c>
      <c r="M31" s="342"/>
      <c r="N31" s="342"/>
      <c r="O31" s="342"/>
      <c r="P31" s="342"/>
      <c r="Q31" s="343"/>
      <c r="R31" s="266"/>
      <c r="S31" s="266"/>
      <c r="T31" s="268"/>
    </row>
    <row r="32" spans="1:20" ht="30" customHeight="1">
      <c r="A32" s="340">
        <v>27</v>
      </c>
      <c r="B32" s="340" t="s">
        <v>1203</v>
      </c>
      <c r="C32" s="340" t="s">
        <v>123</v>
      </c>
      <c r="D32" s="340"/>
      <c r="E32" s="340" t="s">
        <v>105</v>
      </c>
      <c r="F32" s="341">
        <v>618.29999999999995</v>
      </c>
      <c r="G32" s="341">
        <v>618.29999999999995</v>
      </c>
      <c r="H32" s="341">
        <v>618.29999999999995</v>
      </c>
      <c r="I32" s="341">
        <f t="shared" si="0"/>
        <v>0</v>
      </c>
      <c r="J32" s="342" t="s">
        <v>1222</v>
      </c>
      <c r="K32" s="342" t="s">
        <v>761</v>
      </c>
      <c r="L32" s="342" t="s">
        <v>995</v>
      </c>
      <c r="M32" s="342"/>
      <c r="N32" s="342"/>
      <c r="O32" s="342"/>
      <c r="P32" s="342"/>
      <c r="Q32" s="343"/>
      <c r="R32" s="266"/>
      <c r="S32" s="266"/>
      <c r="T32" s="268"/>
    </row>
    <row r="33" spans="1:20" ht="30" customHeight="1">
      <c r="A33" s="340">
        <v>28</v>
      </c>
      <c r="B33" s="340" t="s">
        <v>1203</v>
      </c>
      <c r="C33" s="340" t="s">
        <v>124</v>
      </c>
      <c r="D33" s="340"/>
      <c r="E33" s="340" t="s">
        <v>105</v>
      </c>
      <c r="F33" s="341">
        <v>765</v>
      </c>
      <c r="G33" s="341">
        <v>765</v>
      </c>
      <c r="H33" s="341">
        <v>765</v>
      </c>
      <c r="I33" s="341">
        <f t="shared" si="0"/>
        <v>0</v>
      </c>
      <c r="J33" s="342" t="s">
        <v>1223</v>
      </c>
      <c r="K33" s="342" t="s">
        <v>4</v>
      </c>
      <c r="L33" s="342" t="s">
        <v>995</v>
      </c>
      <c r="M33" s="342"/>
      <c r="N33" s="342"/>
      <c r="O33" s="342"/>
      <c r="P33" s="342"/>
      <c r="Q33" s="343"/>
      <c r="R33" s="266"/>
      <c r="S33" s="266"/>
      <c r="T33" s="268"/>
    </row>
    <row r="34" spans="1:20" ht="30" customHeight="1">
      <c r="A34" s="340">
        <v>29</v>
      </c>
      <c r="B34" s="340" t="s">
        <v>1203</v>
      </c>
      <c r="C34" s="340" t="s">
        <v>126</v>
      </c>
      <c r="D34" s="340"/>
      <c r="E34" s="340" t="s">
        <v>105</v>
      </c>
      <c r="F34" s="341">
        <v>1804</v>
      </c>
      <c r="G34" s="341">
        <v>1804</v>
      </c>
      <c r="H34" s="341">
        <v>1804</v>
      </c>
      <c r="I34" s="341">
        <f t="shared" si="0"/>
        <v>0</v>
      </c>
      <c r="J34" s="342" t="s">
        <v>1224</v>
      </c>
      <c r="K34" s="342" t="s">
        <v>5</v>
      </c>
      <c r="L34" s="342" t="s">
        <v>995</v>
      </c>
      <c r="M34" s="342"/>
      <c r="N34" s="342"/>
      <c r="O34" s="342"/>
      <c r="P34" s="342"/>
      <c r="Q34" s="343"/>
      <c r="R34" s="266"/>
      <c r="S34" s="266"/>
      <c r="T34" s="268"/>
    </row>
    <row r="35" spans="1:20" ht="30" customHeight="1">
      <c r="A35" s="340">
        <v>30</v>
      </c>
      <c r="B35" s="340" t="s">
        <v>1203</v>
      </c>
      <c r="C35" s="340" t="s">
        <v>128</v>
      </c>
      <c r="D35" s="340"/>
      <c r="E35" s="340" t="s">
        <v>105</v>
      </c>
      <c r="F35" s="341">
        <v>378</v>
      </c>
      <c r="G35" s="341">
        <v>378</v>
      </c>
      <c r="H35" s="341">
        <v>378</v>
      </c>
      <c r="I35" s="341">
        <f t="shared" si="0"/>
        <v>0</v>
      </c>
      <c r="J35" s="342" t="s">
        <v>1225</v>
      </c>
      <c r="K35" s="342" t="s">
        <v>281</v>
      </c>
      <c r="L35" s="342" t="s">
        <v>995</v>
      </c>
      <c r="M35" s="342"/>
      <c r="N35" s="342"/>
      <c r="O35" s="342"/>
      <c r="P35" s="342"/>
      <c r="Q35" s="343"/>
      <c r="R35" s="266"/>
      <c r="S35" s="266"/>
      <c r="T35" s="268"/>
    </row>
    <row r="36" spans="1:20" ht="30" customHeight="1">
      <c r="A36" s="340">
        <v>31</v>
      </c>
      <c r="B36" s="340" t="s">
        <v>1203</v>
      </c>
      <c r="C36" s="340" t="s">
        <v>129</v>
      </c>
      <c r="D36" s="340"/>
      <c r="E36" s="340" t="s">
        <v>105</v>
      </c>
      <c r="F36" s="341">
        <v>138</v>
      </c>
      <c r="G36" s="341">
        <v>138</v>
      </c>
      <c r="H36" s="341">
        <v>138</v>
      </c>
      <c r="I36" s="341">
        <f t="shared" si="0"/>
        <v>0</v>
      </c>
      <c r="J36" s="342" t="s">
        <v>1226</v>
      </c>
      <c r="K36" s="342" t="s">
        <v>282</v>
      </c>
      <c r="L36" s="342" t="s">
        <v>995</v>
      </c>
      <c r="M36" s="342"/>
      <c r="N36" s="342"/>
      <c r="O36" s="342"/>
      <c r="P36" s="342"/>
      <c r="Q36" s="343"/>
      <c r="R36" s="266"/>
      <c r="S36" s="266"/>
      <c r="T36" s="268"/>
    </row>
    <row r="37" spans="1:20" ht="30" customHeight="1">
      <c r="A37" s="340">
        <v>32</v>
      </c>
      <c r="B37" s="340" t="s">
        <v>1203</v>
      </c>
      <c r="C37" s="340" t="s">
        <v>713</v>
      </c>
      <c r="D37" s="340"/>
      <c r="E37" s="340" t="s">
        <v>105</v>
      </c>
      <c r="F37" s="341">
        <v>72</v>
      </c>
      <c r="G37" s="341">
        <v>72</v>
      </c>
      <c r="H37" s="341">
        <v>72</v>
      </c>
      <c r="I37" s="341">
        <f t="shared" si="0"/>
        <v>0</v>
      </c>
      <c r="J37" s="342" t="s">
        <v>1226</v>
      </c>
      <c r="K37" s="342" t="s">
        <v>282</v>
      </c>
      <c r="L37" s="342" t="s">
        <v>995</v>
      </c>
      <c r="M37" s="342"/>
      <c r="N37" s="342"/>
      <c r="O37" s="342"/>
      <c r="P37" s="342"/>
      <c r="Q37" s="343"/>
      <c r="R37" s="266"/>
      <c r="S37" s="266"/>
      <c r="T37" s="268"/>
    </row>
    <row r="38" spans="1:20" ht="30" customHeight="1">
      <c r="A38" s="340">
        <v>33</v>
      </c>
      <c r="B38" s="340" t="s">
        <v>1203</v>
      </c>
      <c r="C38" s="340" t="s">
        <v>714</v>
      </c>
      <c r="D38" s="340"/>
      <c r="E38" s="340" t="s">
        <v>105</v>
      </c>
      <c r="F38" s="341">
        <v>37</v>
      </c>
      <c r="G38" s="341">
        <v>37</v>
      </c>
      <c r="H38" s="341">
        <v>37</v>
      </c>
      <c r="I38" s="341">
        <f t="shared" si="0"/>
        <v>0</v>
      </c>
      <c r="J38" s="342" t="s">
        <v>1226</v>
      </c>
      <c r="K38" s="342" t="s">
        <v>282</v>
      </c>
      <c r="L38" s="342" t="s">
        <v>995</v>
      </c>
      <c r="M38" s="342"/>
      <c r="N38" s="342"/>
      <c r="O38" s="342"/>
      <c r="P38" s="342"/>
      <c r="Q38" s="343"/>
      <c r="R38" s="266"/>
      <c r="S38" s="266"/>
      <c r="T38" s="268"/>
    </row>
    <row r="39" spans="1:20" ht="30" customHeight="1">
      <c r="A39" s="340">
        <v>34</v>
      </c>
      <c r="B39" s="340" t="s">
        <v>1203</v>
      </c>
      <c r="C39" s="340" t="s">
        <v>130</v>
      </c>
      <c r="D39" s="340"/>
      <c r="E39" s="340" t="s">
        <v>105</v>
      </c>
      <c r="F39" s="341">
        <v>91</v>
      </c>
      <c r="G39" s="341">
        <v>91</v>
      </c>
      <c r="H39" s="341">
        <v>91</v>
      </c>
      <c r="I39" s="341">
        <f t="shared" si="0"/>
        <v>0</v>
      </c>
      <c r="J39" s="342" t="s">
        <v>1227</v>
      </c>
      <c r="K39" s="342" t="s">
        <v>763</v>
      </c>
      <c r="L39" s="342" t="s">
        <v>995</v>
      </c>
      <c r="M39" s="342"/>
      <c r="N39" s="342"/>
      <c r="O39" s="342"/>
      <c r="P39" s="342"/>
      <c r="Q39" s="343"/>
      <c r="R39" s="266"/>
      <c r="S39" s="266"/>
      <c r="T39" s="268"/>
    </row>
    <row r="40" spans="1:20" ht="30" customHeight="1">
      <c r="A40" s="340">
        <v>35</v>
      </c>
      <c r="B40" s="340" t="s">
        <v>1203</v>
      </c>
      <c r="C40" s="340" t="s">
        <v>132</v>
      </c>
      <c r="D40" s="340"/>
      <c r="E40" s="340" t="s">
        <v>105</v>
      </c>
      <c r="F40" s="341">
        <v>128</v>
      </c>
      <c r="G40" s="341">
        <v>128</v>
      </c>
      <c r="H40" s="341">
        <v>128</v>
      </c>
      <c r="I40" s="341">
        <f t="shared" si="0"/>
        <v>0</v>
      </c>
      <c r="J40" s="342" t="s">
        <v>1228</v>
      </c>
      <c r="K40" s="342" t="s">
        <v>765</v>
      </c>
      <c r="L40" s="342" t="s">
        <v>995</v>
      </c>
      <c r="M40" s="342"/>
      <c r="N40" s="342"/>
      <c r="O40" s="342"/>
      <c r="P40" s="342"/>
      <c r="Q40" s="343"/>
      <c r="R40" s="266"/>
      <c r="S40" s="266"/>
      <c r="T40" s="268"/>
    </row>
    <row r="41" spans="1:20" ht="30" customHeight="1">
      <c r="A41" s="340">
        <v>36</v>
      </c>
      <c r="B41" s="340" t="s">
        <v>1203</v>
      </c>
      <c r="C41" s="340" t="s">
        <v>715</v>
      </c>
      <c r="D41" s="340"/>
      <c r="E41" s="340" t="s">
        <v>105</v>
      </c>
      <c r="F41" s="341">
        <v>84</v>
      </c>
      <c r="G41" s="341">
        <v>84</v>
      </c>
      <c r="H41" s="341">
        <v>84</v>
      </c>
      <c r="I41" s="341">
        <f t="shared" si="0"/>
        <v>0</v>
      </c>
      <c r="J41" s="342" t="s">
        <v>1229</v>
      </c>
      <c r="K41" s="342" t="s">
        <v>283</v>
      </c>
      <c r="L41" s="342" t="s">
        <v>995</v>
      </c>
      <c r="M41" s="342"/>
      <c r="N41" s="342"/>
      <c r="O41" s="342"/>
      <c r="P41" s="342"/>
      <c r="Q41" s="343"/>
      <c r="R41" s="266"/>
      <c r="S41" s="266"/>
      <c r="T41" s="268"/>
    </row>
    <row r="42" spans="1:20" ht="30" customHeight="1">
      <c r="A42" s="340">
        <v>37</v>
      </c>
      <c r="B42" s="340" t="s">
        <v>1203</v>
      </c>
      <c r="C42" s="340" t="s">
        <v>138</v>
      </c>
      <c r="D42" s="340"/>
      <c r="E42" s="340" t="s">
        <v>105</v>
      </c>
      <c r="F42" s="341">
        <v>336</v>
      </c>
      <c r="G42" s="341">
        <v>336</v>
      </c>
      <c r="H42" s="341">
        <v>336</v>
      </c>
      <c r="I42" s="341">
        <f t="shared" si="0"/>
        <v>0</v>
      </c>
      <c r="J42" s="342" t="s">
        <v>995</v>
      </c>
      <c r="K42" s="342"/>
      <c r="L42" s="342" t="s">
        <v>995</v>
      </c>
      <c r="M42" s="342"/>
      <c r="N42" s="342"/>
      <c r="O42" s="342"/>
      <c r="P42" s="342"/>
      <c r="Q42" s="343"/>
      <c r="R42" s="266"/>
      <c r="S42" s="266"/>
      <c r="T42" s="268"/>
    </row>
    <row r="43" spans="1:20" ht="30" customHeight="1">
      <c r="A43" s="340">
        <v>38</v>
      </c>
      <c r="B43" s="340" t="s">
        <v>1203</v>
      </c>
      <c r="C43" s="340" t="s">
        <v>716</v>
      </c>
      <c r="D43" s="340"/>
      <c r="E43" s="340" t="s">
        <v>84</v>
      </c>
      <c r="F43" s="341">
        <v>298</v>
      </c>
      <c r="G43" s="341">
        <v>298</v>
      </c>
      <c r="H43" s="341">
        <v>298</v>
      </c>
      <c r="I43" s="341">
        <f t="shared" si="0"/>
        <v>0</v>
      </c>
      <c r="J43" s="342" t="s">
        <v>1231</v>
      </c>
      <c r="K43" s="342" t="s">
        <v>285</v>
      </c>
      <c r="L43" s="342" t="s">
        <v>1231</v>
      </c>
      <c r="M43" s="342" t="s">
        <v>285</v>
      </c>
      <c r="N43" s="342"/>
      <c r="O43" s="342"/>
      <c r="P43" s="342"/>
      <c r="Q43" s="343"/>
      <c r="R43" s="266"/>
      <c r="S43" s="266"/>
      <c r="T43" s="268"/>
    </row>
    <row r="44" spans="1:20" ht="30" customHeight="1">
      <c r="A44" s="340">
        <v>39</v>
      </c>
      <c r="B44" s="340" t="s">
        <v>1203</v>
      </c>
      <c r="C44" s="340" t="s">
        <v>134</v>
      </c>
      <c r="D44" s="340"/>
      <c r="E44" s="340" t="s">
        <v>85</v>
      </c>
      <c r="F44" s="341">
        <v>266</v>
      </c>
      <c r="G44" s="341">
        <v>266</v>
      </c>
      <c r="H44" s="341">
        <v>266</v>
      </c>
      <c r="I44" s="341">
        <f t="shared" si="0"/>
        <v>0</v>
      </c>
      <c r="J44" s="342" t="s">
        <v>1232</v>
      </c>
      <c r="K44" s="342" t="s">
        <v>767</v>
      </c>
      <c r="L44" s="342" t="s">
        <v>995</v>
      </c>
      <c r="M44" s="342"/>
      <c r="N44" s="342"/>
      <c r="O44" s="342"/>
      <c r="P44" s="342"/>
      <c r="Q44" s="343"/>
      <c r="R44" s="266"/>
      <c r="S44" s="266"/>
      <c r="T44" s="268"/>
    </row>
    <row r="45" spans="1:20" ht="30" customHeight="1">
      <c r="A45" s="340">
        <v>40</v>
      </c>
      <c r="B45" s="340" t="s">
        <v>1203</v>
      </c>
      <c r="C45" s="340" t="s">
        <v>768</v>
      </c>
      <c r="D45" s="340"/>
      <c r="E45" s="340" t="s">
        <v>135</v>
      </c>
      <c r="F45" s="341">
        <v>35</v>
      </c>
      <c r="G45" s="341">
        <v>35</v>
      </c>
      <c r="H45" s="341">
        <v>35</v>
      </c>
      <c r="I45" s="341">
        <f t="shared" si="0"/>
        <v>0</v>
      </c>
      <c r="J45" s="342" t="s">
        <v>995</v>
      </c>
      <c r="K45" s="342"/>
      <c r="L45" s="342" t="s">
        <v>995</v>
      </c>
      <c r="M45" s="342"/>
      <c r="N45" s="342"/>
      <c r="O45" s="342"/>
      <c r="P45" s="342"/>
      <c r="Q45" s="343"/>
      <c r="R45" s="266"/>
      <c r="S45" s="266"/>
      <c r="T45" s="268"/>
    </row>
    <row r="46" spans="1:20" ht="30" customHeight="1">
      <c r="A46" s="340">
        <v>41</v>
      </c>
      <c r="B46" s="340" t="s">
        <v>1203</v>
      </c>
      <c r="C46" s="340" t="s">
        <v>136</v>
      </c>
      <c r="D46" s="340"/>
      <c r="E46" s="340" t="s">
        <v>135</v>
      </c>
      <c r="F46" s="341">
        <v>11</v>
      </c>
      <c r="G46" s="341">
        <v>11</v>
      </c>
      <c r="H46" s="341">
        <v>11</v>
      </c>
      <c r="I46" s="341">
        <f t="shared" si="0"/>
        <v>0</v>
      </c>
      <c r="J46" s="342" t="s">
        <v>1230</v>
      </c>
      <c r="K46" s="342" t="s">
        <v>284</v>
      </c>
      <c r="L46" s="342" t="s">
        <v>995</v>
      </c>
      <c r="M46" s="342"/>
      <c r="N46" s="342"/>
      <c r="O46" s="342"/>
      <c r="P46" s="342"/>
      <c r="Q46" s="343"/>
      <c r="R46" s="266"/>
      <c r="S46" s="266"/>
      <c r="T46" s="268"/>
    </row>
    <row r="47" spans="1:20" ht="30" customHeight="1">
      <c r="A47" s="340">
        <v>42</v>
      </c>
      <c r="B47" s="340" t="s">
        <v>1203</v>
      </c>
      <c r="C47" s="340" t="s">
        <v>769</v>
      </c>
      <c r="D47" s="340"/>
      <c r="E47" s="340" t="s">
        <v>84</v>
      </c>
      <c r="F47" s="341">
        <v>1633</v>
      </c>
      <c r="G47" s="341">
        <v>645</v>
      </c>
      <c r="H47" s="341">
        <v>910</v>
      </c>
      <c r="I47" s="341">
        <f t="shared" si="0"/>
        <v>265</v>
      </c>
      <c r="J47" s="342" t="s">
        <v>1208</v>
      </c>
      <c r="K47" s="342"/>
      <c r="L47" s="342" t="s">
        <v>1208</v>
      </c>
      <c r="M47" s="342"/>
      <c r="N47" s="342"/>
      <c r="O47" s="342"/>
      <c r="P47" s="342"/>
      <c r="Q47" s="343"/>
      <c r="R47" s="266"/>
      <c r="S47" s="266"/>
      <c r="T47" s="268"/>
    </row>
    <row r="48" spans="1:20" ht="30" customHeight="1">
      <c r="A48" s="340">
        <v>43</v>
      </c>
      <c r="B48" s="340" t="s">
        <v>1203</v>
      </c>
      <c r="C48" s="340" t="s">
        <v>139</v>
      </c>
      <c r="D48" s="340"/>
      <c r="E48" s="340" t="s">
        <v>84</v>
      </c>
      <c r="F48" s="341">
        <v>198</v>
      </c>
      <c r="G48" s="341">
        <v>198</v>
      </c>
      <c r="H48" s="341">
        <v>198</v>
      </c>
      <c r="I48" s="341">
        <f t="shared" si="0"/>
        <v>0</v>
      </c>
      <c r="J48" s="342" t="s">
        <v>995</v>
      </c>
      <c r="K48" s="342"/>
      <c r="L48" s="342" t="s">
        <v>995</v>
      </c>
      <c r="M48" s="342"/>
      <c r="N48" s="342"/>
      <c r="O48" s="342"/>
      <c r="P48" s="342"/>
      <c r="Q48" s="343"/>
      <c r="R48" s="266"/>
      <c r="S48" s="266"/>
      <c r="T48" s="268"/>
    </row>
    <row r="49" spans="1:20" ht="30" customHeight="1">
      <c r="A49" s="340">
        <v>44</v>
      </c>
      <c r="B49" s="340" t="s">
        <v>1203</v>
      </c>
      <c r="C49" s="340" t="s">
        <v>770</v>
      </c>
      <c r="D49" s="340"/>
      <c r="E49" s="340" t="s">
        <v>84</v>
      </c>
      <c r="F49" s="341">
        <v>1348</v>
      </c>
      <c r="G49" s="341">
        <v>108</v>
      </c>
      <c r="H49" s="341">
        <v>385</v>
      </c>
      <c r="I49" s="341">
        <f t="shared" si="0"/>
        <v>277</v>
      </c>
      <c r="J49" s="342" t="s">
        <v>995</v>
      </c>
      <c r="K49" s="342"/>
      <c r="L49" s="342" t="s">
        <v>995</v>
      </c>
      <c r="M49" s="342"/>
      <c r="N49" s="342"/>
      <c r="O49" s="342"/>
      <c r="P49" s="342"/>
      <c r="Q49" s="343"/>
      <c r="R49" s="266"/>
      <c r="S49" s="266"/>
      <c r="T49" s="268"/>
    </row>
    <row r="50" spans="1:20" ht="30" customHeight="1">
      <c r="A50" s="340">
        <v>45</v>
      </c>
      <c r="B50" s="340" t="s">
        <v>1203</v>
      </c>
      <c r="C50" s="340" t="s">
        <v>140</v>
      </c>
      <c r="D50" s="340"/>
      <c r="E50" s="340" t="s">
        <v>84</v>
      </c>
      <c r="F50" s="341">
        <v>193</v>
      </c>
      <c r="G50" s="341">
        <v>193</v>
      </c>
      <c r="H50" s="341">
        <v>193</v>
      </c>
      <c r="I50" s="341">
        <f t="shared" si="0"/>
        <v>0</v>
      </c>
      <c r="J50" s="342" t="s">
        <v>995</v>
      </c>
      <c r="K50" s="342"/>
      <c r="L50" s="342" t="s">
        <v>995</v>
      </c>
      <c r="M50" s="342"/>
      <c r="N50" s="342"/>
      <c r="O50" s="342"/>
      <c r="P50" s="342"/>
      <c r="Q50" s="343"/>
      <c r="R50" s="266"/>
      <c r="S50" s="266"/>
      <c r="T50" s="268"/>
    </row>
    <row r="51" spans="1:20" ht="30" customHeight="1">
      <c r="A51" s="340">
        <v>46</v>
      </c>
      <c r="B51" s="340" t="s">
        <v>1203</v>
      </c>
      <c r="C51" s="340" t="s">
        <v>717</v>
      </c>
      <c r="D51" s="340"/>
      <c r="E51" s="340" t="s">
        <v>135</v>
      </c>
      <c r="F51" s="341">
        <v>887</v>
      </c>
      <c r="G51" s="341">
        <v>887</v>
      </c>
      <c r="H51" s="341">
        <v>887</v>
      </c>
      <c r="I51" s="341">
        <f t="shared" si="0"/>
        <v>0</v>
      </c>
      <c r="J51" s="342" t="s">
        <v>1233</v>
      </c>
      <c r="K51" s="342" t="s">
        <v>772</v>
      </c>
      <c r="L51" s="342" t="s">
        <v>995</v>
      </c>
      <c r="M51" s="342"/>
      <c r="N51" s="342"/>
      <c r="O51" s="342"/>
      <c r="P51" s="342"/>
      <c r="Q51" s="343"/>
      <c r="R51" s="266"/>
      <c r="S51" s="266"/>
      <c r="T51" s="268"/>
    </row>
    <row r="52" spans="1:20" ht="30" customHeight="1">
      <c r="A52" s="340">
        <v>47</v>
      </c>
      <c r="B52" s="340" t="s">
        <v>1203</v>
      </c>
      <c r="C52" s="340" t="s">
        <v>157</v>
      </c>
      <c r="D52" s="340"/>
      <c r="E52" s="340" t="s">
        <v>84</v>
      </c>
      <c r="F52" s="341">
        <v>1010</v>
      </c>
      <c r="G52" s="341">
        <v>130</v>
      </c>
      <c r="H52" s="341">
        <v>324</v>
      </c>
      <c r="I52" s="341">
        <f t="shared" si="0"/>
        <v>194</v>
      </c>
      <c r="J52" s="342" t="s">
        <v>995</v>
      </c>
      <c r="K52" s="342"/>
      <c r="L52" s="342" t="s">
        <v>995</v>
      </c>
      <c r="M52" s="342"/>
      <c r="N52" s="342"/>
      <c r="O52" s="342"/>
      <c r="P52" s="342"/>
      <c r="Q52" s="343"/>
      <c r="R52" s="266"/>
      <c r="S52" s="266"/>
      <c r="T52" s="268"/>
    </row>
    <row r="53" spans="1:20" ht="30" customHeight="1">
      <c r="A53" s="340">
        <v>48</v>
      </c>
      <c r="B53" s="340" t="s">
        <v>1203</v>
      </c>
      <c r="C53" s="340" t="s">
        <v>773</v>
      </c>
      <c r="D53" s="340"/>
      <c r="E53" s="340" t="s">
        <v>84</v>
      </c>
      <c r="F53" s="341">
        <v>770</v>
      </c>
      <c r="G53" s="341">
        <v>42</v>
      </c>
      <c r="H53" s="341">
        <v>635</v>
      </c>
      <c r="I53" s="341">
        <f t="shared" si="0"/>
        <v>593</v>
      </c>
      <c r="J53" s="342" t="s">
        <v>995</v>
      </c>
      <c r="K53" s="342"/>
      <c r="L53" s="342" t="s">
        <v>995</v>
      </c>
      <c r="M53" s="342"/>
      <c r="N53" s="342"/>
      <c r="O53" s="342"/>
      <c r="P53" s="342"/>
      <c r="Q53" s="343"/>
      <c r="R53" s="266"/>
      <c r="S53" s="266"/>
      <c r="T53" s="268"/>
    </row>
    <row r="54" spans="1:20" ht="30" customHeight="1">
      <c r="A54" s="340">
        <v>49</v>
      </c>
      <c r="B54" s="340" t="s">
        <v>1203</v>
      </c>
      <c r="C54" s="340" t="s">
        <v>774</v>
      </c>
      <c r="D54" s="340"/>
      <c r="E54" s="340" t="s">
        <v>84</v>
      </c>
      <c r="F54" s="341">
        <v>463</v>
      </c>
      <c r="G54" s="341">
        <v>70</v>
      </c>
      <c r="H54" s="341">
        <v>325</v>
      </c>
      <c r="I54" s="341">
        <f t="shared" si="0"/>
        <v>255</v>
      </c>
      <c r="J54" s="342" t="s">
        <v>1208</v>
      </c>
      <c r="K54" s="342"/>
      <c r="L54" s="342" t="s">
        <v>1208</v>
      </c>
      <c r="M54" s="342"/>
      <c r="N54" s="342"/>
      <c r="O54" s="342"/>
      <c r="P54" s="342"/>
      <c r="Q54" s="343"/>
      <c r="R54" s="266"/>
      <c r="S54" s="266"/>
      <c r="T54" s="268"/>
    </row>
    <row r="55" spans="1:20" ht="30" customHeight="1">
      <c r="A55" s="340">
        <v>50</v>
      </c>
      <c r="B55" s="340" t="s">
        <v>1203</v>
      </c>
      <c r="C55" s="340" t="s">
        <v>158</v>
      </c>
      <c r="D55" s="340"/>
      <c r="E55" s="340" t="s">
        <v>84</v>
      </c>
      <c r="F55" s="341">
        <v>278</v>
      </c>
      <c r="G55" s="341">
        <v>106</v>
      </c>
      <c r="H55" s="341">
        <v>195</v>
      </c>
      <c r="I55" s="341">
        <f t="shared" si="0"/>
        <v>89</v>
      </c>
      <c r="J55" s="342" t="s">
        <v>995</v>
      </c>
      <c r="K55" s="342"/>
      <c r="L55" s="342" t="s">
        <v>995</v>
      </c>
      <c r="M55" s="342"/>
      <c r="N55" s="342"/>
      <c r="O55" s="342"/>
      <c r="P55" s="342"/>
      <c r="Q55" s="343"/>
      <c r="R55" s="266"/>
      <c r="S55" s="266"/>
      <c r="T55" s="268"/>
    </row>
    <row r="56" spans="1:20" ht="30" customHeight="1">
      <c r="A56" s="340">
        <v>51</v>
      </c>
      <c r="B56" s="340" t="s">
        <v>1203</v>
      </c>
      <c r="C56" s="340" t="s">
        <v>159</v>
      </c>
      <c r="D56" s="340"/>
      <c r="E56" s="340" t="s">
        <v>84</v>
      </c>
      <c r="F56" s="341">
        <v>377</v>
      </c>
      <c r="G56" s="341">
        <v>7</v>
      </c>
      <c r="H56" s="341"/>
      <c r="I56" s="341">
        <f t="shared" si="0"/>
        <v>-7</v>
      </c>
      <c r="J56" s="342" t="s">
        <v>995</v>
      </c>
      <c r="K56" s="342"/>
      <c r="L56" s="342" t="s">
        <v>995</v>
      </c>
      <c r="M56" s="342"/>
      <c r="N56" s="342"/>
      <c r="O56" s="342"/>
      <c r="P56" s="342"/>
      <c r="Q56" s="343"/>
      <c r="R56" s="266"/>
      <c r="S56" s="266"/>
      <c r="T56" s="268"/>
    </row>
    <row r="57" spans="1:20" ht="30" customHeight="1">
      <c r="A57" s="340">
        <v>52</v>
      </c>
      <c r="B57" s="340" t="s">
        <v>1203</v>
      </c>
      <c r="C57" s="340" t="s">
        <v>775</v>
      </c>
      <c r="D57" s="340"/>
      <c r="E57" s="340" t="s">
        <v>84</v>
      </c>
      <c r="F57" s="341">
        <v>413</v>
      </c>
      <c r="G57" s="341">
        <v>55</v>
      </c>
      <c r="H57" s="341">
        <v>97</v>
      </c>
      <c r="I57" s="341">
        <f t="shared" si="0"/>
        <v>42</v>
      </c>
      <c r="J57" s="342" t="s">
        <v>1208</v>
      </c>
      <c r="K57" s="342"/>
      <c r="L57" s="342" t="s">
        <v>1208</v>
      </c>
      <c r="M57" s="342"/>
      <c r="N57" s="342"/>
      <c r="O57" s="342"/>
      <c r="P57" s="342"/>
      <c r="Q57" s="343"/>
      <c r="R57" s="266"/>
      <c r="S57" s="266"/>
      <c r="T57" s="268"/>
    </row>
    <row r="58" spans="1:20" ht="30" customHeight="1">
      <c r="A58" s="340">
        <v>53</v>
      </c>
      <c r="B58" s="340" t="s">
        <v>1203</v>
      </c>
      <c r="C58" s="340" t="s">
        <v>776</v>
      </c>
      <c r="D58" s="340"/>
      <c r="E58" s="340" t="s">
        <v>84</v>
      </c>
      <c r="F58" s="341">
        <v>4100</v>
      </c>
      <c r="G58" s="341">
        <v>294</v>
      </c>
      <c r="H58" s="341">
        <v>862</v>
      </c>
      <c r="I58" s="341">
        <f t="shared" si="0"/>
        <v>568</v>
      </c>
      <c r="J58" s="342" t="s">
        <v>1208</v>
      </c>
      <c r="K58" s="342"/>
      <c r="L58" s="342" t="s">
        <v>1208</v>
      </c>
      <c r="M58" s="342"/>
      <c r="N58" s="342"/>
      <c r="O58" s="342"/>
      <c r="P58" s="342"/>
      <c r="Q58" s="343"/>
      <c r="R58" s="266"/>
      <c r="S58" s="266"/>
      <c r="T58" s="268"/>
    </row>
    <row r="59" spans="1:20" ht="30" customHeight="1">
      <c r="A59" s="340">
        <v>54</v>
      </c>
      <c r="B59" s="340" t="s">
        <v>1203</v>
      </c>
      <c r="C59" s="340" t="s">
        <v>160</v>
      </c>
      <c r="D59" s="340"/>
      <c r="E59" s="340" t="s">
        <v>84</v>
      </c>
      <c r="F59" s="341">
        <v>440</v>
      </c>
      <c r="G59" s="341">
        <v>287</v>
      </c>
      <c r="H59" s="341">
        <v>328</v>
      </c>
      <c r="I59" s="341">
        <f t="shared" si="0"/>
        <v>41</v>
      </c>
      <c r="J59" s="342" t="s">
        <v>1208</v>
      </c>
      <c r="K59" s="342"/>
      <c r="L59" s="342" t="s">
        <v>1208</v>
      </c>
      <c r="M59" s="342"/>
      <c r="N59" s="342"/>
      <c r="O59" s="342"/>
      <c r="P59" s="342"/>
      <c r="Q59" s="343"/>
      <c r="R59" s="266"/>
      <c r="S59" s="266"/>
      <c r="T59" s="268"/>
    </row>
    <row r="60" spans="1:20" ht="30" customHeight="1">
      <c r="A60" s="340">
        <v>55</v>
      </c>
      <c r="B60" s="340" t="s">
        <v>1203</v>
      </c>
      <c r="C60" s="340" t="s">
        <v>161</v>
      </c>
      <c r="D60" s="340"/>
      <c r="E60" s="340" t="s">
        <v>84</v>
      </c>
      <c r="F60" s="341">
        <v>462</v>
      </c>
      <c r="G60" s="341">
        <v>216</v>
      </c>
      <c r="H60" s="341">
        <v>392</v>
      </c>
      <c r="I60" s="341">
        <f t="shared" si="0"/>
        <v>176</v>
      </c>
      <c r="J60" s="342" t="s">
        <v>995</v>
      </c>
      <c r="K60" s="342"/>
      <c r="L60" s="342" t="s">
        <v>995</v>
      </c>
      <c r="M60" s="342"/>
      <c r="N60" s="342"/>
      <c r="O60" s="342"/>
      <c r="P60" s="342"/>
      <c r="Q60" s="343"/>
      <c r="R60" s="266"/>
      <c r="S60" s="266"/>
      <c r="T60" s="268"/>
    </row>
    <row r="61" spans="1:20" ht="30" customHeight="1">
      <c r="A61" s="340">
        <v>56</v>
      </c>
      <c r="B61" s="340" t="s">
        <v>1203</v>
      </c>
      <c r="C61" s="340" t="s">
        <v>718</v>
      </c>
      <c r="D61" s="340"/>
      <c r="E61" s="340" t="s">
        <v>84</v>
      </c>
      <c r="F61" s="341">
        <v>66</v>
      </c>
      <c r="G61" s="341">
        <v>66</v>
      </c>
      <c r="H61" s="341">
        <v>66</v>
      </c>
      <c r="I61" s="341">
        <f t="shared" si="0"/>
        <v>0</v>
      </c>
      <c r="J61" s="342" t="s">
        <v>1234</v>
      </c>
      <c r="K61" s="342" t="s">
        <v>263</v>
      </c>
      <c r="L61" s="342" t="s">
        <v>995</v>
      </c>
      <c r="M61" s="342"/>
      <c r="N61" s="342"/>
      <c r="O61" s="342"/>
      <c r="P61" s="342"/>
      <c r="Q61" s="343"/>
      <c r="R61" s="266"/>
      <c r="S61" s="266"/>
      <c r="T61" s="268"/>
    </row>
    <row r="62" spans="1:20" ht="30" customHeight="1">
      <c r="A62" s="340">
        <v>57</v>
      </c>
      <c r="B62" s="340" t="s">
        <v>1203</v>
      </c>
      <c r="C62" s="340" t="s">
        <v>162</v>
      </c>
      <c r="D62" s="340"/>
      <c r="E62" s="340" t="s">
        <v>84</v>
      </c>
      <c r="F62" s="341">
        <v>124</v>
      </c>
      <c r="G62" s="341">
        <v>124</v>
      </c>
      <c r="H62" s="341">
        <v>124</v>
      </c>
      <c r="I62" s="341">
        <f t="shared" si="0"/>
        <v>0</v>
      </c>
      <c r="J62" s="342" t="s">
        <v>995</v>
      </c>
      <c r="K62" s="342"/>
      <c r="L62" s="342" t="s">
        <v>995</v>
      </c>
      <c r="M62" s="342"/>
      <c r="N62" s="342"/>
      <c r="O62" s="342"/>
      <c r="P62" s="342"/>
      <c r="Q62" s="343"/>
      <c r="R62" s="266"/>
      <c r="S62" s="266"/>
      <c r="T62" s="268"/>
    </row>
    <row r="63" spans="1:20" ht="30" customHeight="1">
      <c r="A63" s="340">
        <v>58</v>
      </c>
      <c r="B63" s="340" t="s">
        <v>1203</v>
      </c>
      <c r="C63" s="340" t="s">
        <v>719</v>
      </c>
      <c r="D63" s="340"/>
      <c r="E63" s="340" t="s">
        <v>84</v>
      </c>
      <c r="F63" s="341">
        <v>413</v>
      </c>
      <c r="G63" s="341">
        <v>413</v>
      </c>
      <c r="H63" s="341">
        <v>413</v>
      </c>
      <c r="I63" s="341">
        <f t="shared" si="0"/>
        <v>0</v>
      </c>
      <c r="J63" s="342" t="s">
        <v>1217</v>
      </c>
      <c r="K63" s="342" t="s">
        <v>263</v>
      </c>
      <c r="L63" s="342" t="s">
        <v>995</v>
      </c>
      <c r="M63" s="342"/>
      <c r="N63" s="342"/>
      <c r="O63" s="342"/>
      <c r="P63" s="342"/>
      <c r="Q63" s="343"/>
      <c r="R63" s="266"/>
      <c r="S63" s="266"/>
      <c r="T63" s="268"/>
    </row>
    <row r="64" spans="1:20" ht="30" customHeight="1">
      <c r="A64" s="340">
        <v>59</v>
      </c>
      <c r="B64" s="340" t="s">
        <v>1203</v>
      </c>
      <c r="C64" s="340" t="s">
        <v>163</v>
      </c>
      <c r="D64" s="340"/>
      <c r="E64" s="340" t="s">
        <v>84</v>
      </c>
      <c r="F64" s="341">
        <v>132</v>
      </c>
      <c r="G64" s="341">
        <v>132</v>
      </c>
      <c r="H64" s="341">
        <v>132</v>
      </c>
      <c r="I64" s="341">
        <f t="shared" si="0"/>
        <v>0</v>
      </c>
      <c r="J64" s="342" t="s">
        <v>995</v>
      </c>
      <c r="K64" s="342"/>
      <c r="L64" s="342" t="s">
        <v>995</v>
      </c>
      <c r="M64" s="342"/>
      <c r="N64" s="342"/>
      <c r="O64" s="342"/>
      <c r="P64" s="342"/>
      <c r="Q64" s="343"/>
      <c r="R64" s="266"/>
      <c r="S64" s="266"/>
      <c r="T64" s="268"/>
    </row>
    <row r="65" spans="1:20" ht="30" customHeight="1">
      <c r="A65" s="340">
        <v>60</v>
      </c>
      <c r="B65" s="340" t="s">
        <v>1203</v>
      </c>
      <c r="C65" s="340" t="s">
        <v>777</v>
      </c>
      <c r="D65" s="340"/>
      <c r="E65" s="340" t="s">
        <v>84</v>
      </c>
      <c r="F65" s="341">
        <v>466</v>
      </c>
      <c r="G65" s="341">
        <v>466</v>
      </c>
      <c r="H65" s="341">
        <v>466</v>
      </c>
      <c r="I65" s="341">
        <f t="shared" si="0"/>
        <v>0</v>
      </c>
      <c r="J65" s="342" t="s">
        <v>1208</v>
      </c>
      <c r="K65" s="342"/>
      <c r="L65" s="342" t="s">
        <v>1208</v>
      </c>
      <c r="M65" s="342"/>
      <c r="N65" s="342"/>
      <c r="O65" s="342"/>
      <c r="P65" s="342"/>
      <c r="Q65" s="343"/>
      <c r="R65" s="266"/>
      <c r="S65" s="266"/>
      <c r="T65" s="268"/>
    </row>
    <row r="66" spans="1:20" ht="30" customHeight="1">
      <c r="A66" s="340">
        <v>61</v>
      </c>
      <c r="B66" s="340" t="s">
        <v>1203</v>
      </c>
      <c r="C66" s="340" t="s">
        <v>778</v>
      </c>
      <c r="D66" s="340"/>
      <c r="E66" s="340" t="s">
        <v>84</v>
      </c>
      <c r="F66" s="341">
        <v>638</v>
      </c>
      <c r="G66" s="341">
        <v>638</v>
      </c>
      <c r="H66" s="341">
        <v>638</v>
      </c>
      <c r="I66" s="341">
        <f t="shared" si="0"/>
        <v>0</v>
      </c>
      <c r="J66" s="342" t="s">
        <v>995</v>
      </c>
      <c r="K66" s="342"/>
      <c r="L66" s="342" t="s">
        <v>995</v>
      </c>
      <c r="M66" s="342"/>
      <c r="N66" s="342"/>
      <c r="O66" s="342"/>
      <c r="P66" s="342"/>
      <c r="Q66" s="343"/>
      <c r="R66" s="266"/>
      <c r="S66" s="266"/>
      <c r="T66" s="268"/>
    </row>
    <row r="67" spans="1:20" ht="30" customHeight="1">
      <c r="A67" s="340">
        <v>62</v>
      </c>
      <c r="B67" s="340" t="s">
        <v>1203</v>
      </c>
      <c r="C67" s="340" t="s">
        <v>164</v>
      </c>
      <c r="D67" s="340"/>
      <c r="E67" s="340" t="s">
        <v>84</v>
      </c>
      <c r="F67" s="341">
        <v>30</v>
      </c>
      <c r="G67" s="341">
        <v>30</v>
      </c>
      <c r="H67" s="341">
        <v>30</v>
      </c>
      <c r="I67" s="341">
        <f t="shared" si="0"/>
        <v>0</v>
      </c>
      <c r="J67" s="342" t="s">
        <v>995</v>
      </c>
      <c r="K67" s="342"/>
      <c r="L67" s="342" t="s">
        <v>995</v>
      </c>
      <c r="M67" s="342"/>
      <c r="N67" s="342"/>
      <c r="O67" s="342"/>
      <c r="P67" s="342"/>
      <c r="Q67" s="343"/>
      <c r="R67" s="266"/>
      <c r="S67" s="266"/>
      <c r="T67" s="268"/>
    </row>
    <row r="68" spans="1:20" ht="30" customHeight="1">
      <c r="A68" s="340">
        <v>63</v>
      </c>
      <c r="B68" s="340" t="s">
        <v>1203</v>
      </c>
      <c r="C68" s="340" t="s">
        <v>165</v>
      </c>
      <c r="D68" s="340"/>
      <c r="E68" s="340" t="s">
        <v>84</v>
      </c>
      <c r="F68" s="341">
        <v>30</v>
      </c>
      <c r="G68" s="341">
        <v>30</v>
      </c>
      <c r="H68" s="341">
        <v>30</v>
      </c>
      <c r="I68" s="341">
        <f t="shared" si="0"/>
        <v>0</v>
      </c>
      <c r="J68" s="342" t="s">
        <v>995</v>
      </c>
      <c r="K68" s="342"/>
      <c r="L68" s="342" t="s">
        <v>995</v>
      </c>
      <c r="M68" s="342"/>
      <c r="N68" s="342"/>
      <c r="O68" s="342"/>
      <c r="P68" s="342"/>
      <c r="Q68" s="343"/>
      <c r="R68" s="266"/>
      <c r="S68" s="266"/>
      <c r="T68" s="268"/>
    </row>
    <row r="69" spans="1:20" ht="30" customHeight="1">
      <c r="A69" s="340">
        <v>64</v>
      </c>
      <c r="B69" s="340" t="s">
        <v>1203</v>
      </c>
      <c r="C69" s="340" t="s">
        <v>292</v>
      </c>
      <c r="D69" s="340"/>
      <c r="E69" s="340" t="s">
        <v>87</v>
      </c>
      <c r="F69" s="341">
        <v>38</v>
      </c>
      <c r="G69" s="341">
        <v>38</v>
      </c>
      <c r="H69" s="341">
        <v>38</v>
      </c>
      <c r="I69" s="341">
        <f t="shared" si="0"/>
        <v>0</v>
      </c>
      <c r="J69" s="342" t="s">
        <v>1209</v>
      </c>
      <c r="K69" s="342"/>
      <c r="L69" s="342" t="s">
        <v>1209</v>
      </c>
      <c r="M69" s="342"/>
      <c r="N69" s="342"/>
      <c r="O69" s="342"/>
      <c r="P69" s="342"/>
      <c r="Q69" s="343"/>
      <c r="R69" s="266"/>
      <c r="S69" s="266"/>
      <c r="T69" s="268"/>
    </row>
    <row r="70" spans="1:20" ht="30" customHeight="1">
      <c r="A70" s="340">
        <v>65</v>
      </c>
      <c r="B70" s="340" t="s">
        <v>1203</v>
      </c>
      <c r="C70" s="340" t="s">
        <v>166</v>
      </c>
      <c r="D70" s="340"/>
      <c r="E70" s="340" t="s">
        <v>87</v>
      </c>
      <c r="F70" s="341">
        <v>77</v>
      </c>
      <c r="G70" s="341">
        <v>77</v>
      </c>
      <c r="H70" s="341">
        <v>77</v>
      </c>
      <c r="I70" s="341">
        <f t="shared" si="0"/>
        <v>0</v>
      </c>
      <c r="J70" s="342" t="s">
        <v>1209</v>
      </c>
      <c r="K70" s="342"/>
      <c r="L70" s="342" t="s">
        <v>1209</v>
      </c>
      <c r="M70" s="342"/>
      <c r="N70" s="342"/>
      <c r="O70" s="342"/>
      <c r="P70" s="342"/>
      <c r="Q70" s="343"/>
      <c r="R70" s="266"/>
      <c r="S70" s="266"/>
      <c r="T70" s="268"/>
    </row>
    <row r="71" spans="1:20" ht="30" customHeight="1">
      <c r="A71" s="340">
        <v>66</v>
      </c>
      <c r="B71" s="340" t="s">
        <v>1203</v>
      </c>
      <c r="C71" s="340" t="s">
        <v>277</v>
      </c>
      <c r="D71" s="340"/>
      <c r="E71" s="340" t="s">
        <v>84</v>
      </c>
      <c r="F71" s="341">
        <v>77</v>
      </c>
      <c r="G71" s="341">
        <v>77</v>
      </c>
      <c r="H71" s="341">
        <v>77</v>
      </c>
      <c r="I71" s="341">
        <f t="shared" ref="I71:I134" si="1">H71-G71</f>
        <v>0</v>
      </c>
      <c r="J71" s="342" t="s">
        <v>995</v>
      </c>
      <c r="K71" s="342"/>
      <c r="L71" s="342" t="s">
        <v>995</v>
      </c>
      <c r="M71" s="342"/>
      <c r="N71" s="342"/>
      <c r="O71" s="342"/>
      <c r="P71" s="342"/>
      <c r="Q71" s="343"/>
      <c r="R71" s="266"/>
      <c r="S71" s="266"/>
      <c r="T71" s="268"/>
    </row>
    <row r="72" spans="1:20" ht="30" customHeight="1">
      <c r="A72" s="340">
        <v>67</v>
      </c>
      <c r="B72" s="340" t="s">
        <v>1203</v>
      </c>
      <c r="C72" s="340" t="s">
        <v>779</v>
      </c>
      <c r="D72" s="340"/>
      <c r="E72" s="340" t="s">
        <v>84</v>
      </c>
      <c r="F72" s="341">
        <v>691</v>
      </c>
      <c r="G72" s="341">
        <v>691</v>
      </c>
      <c r="H72" s="341">
        <v>691</v>
      </c>
      <c r="I72" s="341">
        <f t="shared" si="1"/>
        <v>0</v>
      </c>
      <c r="J72" s="342" t="s">
        <v>1208</v>
      </c>
      <c r="K72" s="342"/>
      <c r="L72" s="342" t="s">
        <v>1208</v>
      </c>
      <c r="M72" s="342"/>
      <c r="N72" s="342"/>
      <c r="O72" s="342"/>
      <c r="P72" s="342"/>
      <c r="Q72" s="343"/>
      <c r="R72" s="266"/>
      <c r="S72" s="266"/>
      <c r="T72" s="268"/>
    </row>
    <row r="73" spans="1:20" ht="30" customHeight="1">
      <c r="A73" s="340">
        <v>68</v>
      </c>
      <c r="B73" s="340" t="s">
        <v>1203</v>
      </c>
      <c r="C73" s="340" t="s">
        <v>167</v>
      </c>
      <c r="D73" s="340"/>
      <c r="E73" s="340" t="s">
        <v>84</v>
      </c>
      <c r="F73" s="341">
        <v>10</v>
      </c>
      <c r="G73" s="341">
        <v>10</v>
      </c>
      <c r="H73" s="341">
        <v>10</v>
      </c>
      <c r="I73" s="341">
        <f t="shared" si="1"/>
        <v>0</v>
      </c>
      <c r="J73" s="342" t="s">
        <v>1208</v>
      </c>
      <c r="K73" s="342"/>
      <c r="L73" s="342" t="s">
        <v>1208</v>
      </c>
      <c r="M73" s="342"/>
      <c r="N73" s="342"/>
      <c r="O73" s="342"/>
      <c r="P73" s="342"/>
      <c r="Q73" s="343"/>
      <c r="R73" s="266"/>
      <c r="S73" s="266"/>
      <c r="T73" s="268"/>
    </row>
    <row r="74" spans="1:20" ht="30" customHeight="1">
      <c r="A74" s="340">
        <v>69</v>
      </c>
      <c r="B74" s="340" t="s">
        <v>1203</v>
      </c>
      <c r="C74" s="340" t="s">
        <v>168</v>
      </c>
      <c r="D74" s="340"/>
      <c r="E74" s="340" t="s">
        <v>84</v>
      </c>
      <c r="F74" s="341">
        <v>231</v>
      </c>
      <c r="G74" s="341">
        <v>231</v>
      </c>
      <c r="H74" s="341">
        <v>231</v>
      </c>
      <c r="I74" s="341">
        <f t="shared" si="1"/>
        <v>0</v>
      </c>
      <c r="J74" s="342" t="s">
        <v>995</v>
      </c>
      <c r="K74" s="342"/>
      <c r="L74" s="342" t="s">
        <v>995</v>
      </c>
      <c r="M74" s="342"/>
      <c r="N74" s="342"/>
      <c r="O74" s="342"/>
      <c r="P74" s="342"/>
      <c r="Q74" s="343"/>
      <c r="R74" s="266"/>
      <c r="S74" s="266"/>
      <c r="T74" s="268"/>
    </row>
    <row r="75" spans="1:20" ht="30" customHeight="1">
      <c r="A75" s="340">
        <v>70</v>
      </c>
      <c r="B75" s="340" t="s">
        <v>1203</v>
      </c>
      <c r="C75" s="340" t="s">
        <v>780</v>
      </c>
      <c r="D75" s="340"/>
      <c r="E75" s="340" t="s">
        <v>84</v>
      </c>
      <c r="F75" s="341">
        <v>241</v>
      </c>
      <c r="G75" s="341">
        <v>101</v>
      </c>
      <c r="H75" s="341">
        <v>232</v>
      </c>
      <c r="I75" s="341">
        <f t="shared" si="1"/>
        <v>131</v>
      </c>
      <c r="J75" s="342" t="s">
        <v>995</v>
      </c>
      <c r="K75" s="342"/>
      <c r="L75" s="342" t="s">
        <v>995</v>
      </c>
      <c r="M75" s="342"/>
      <c r="N75" s="342"/>
      <c r="O75" s="342"/>
      <c r="P75" s="342"/>
      <c r="Q75" s="343"/>
      <c r="R75" s="266"/>
      <c r="S75" s="266"/>
      <c r="T75" s="268"/>
    </row>
    <row r="76" spans="1:20" ht="30" customHeight="1">
      <c r="A76" s="340">
        <v>71</v>
      </c>
      <c r="B76" s="340" t="s">
        <v>1203</v>
      </c>
      <c r="C76" s="340" t="s">
        <v>169</v>
      </c>
      <c r="D76" s="340"/>
      <c r="E76" s="340" t="s">
        <v>84</v>
      </c>
      <c r="F76" s="341">
        <v>46</v>
      </c>
      <c r="G76" s="341">
        <v>46</v>
      </c>
      <c r="H76" s="341">
        <v>46</v>
      </c>
      <c r="I76" s="341">
        <f t="shared" si="1"/>
        <v>0</v>
      </c>
      <c r="J76" s="342" t="s">
        <v>1208</v>
      </c>
      <c r="K76" s="342"/>
      <c r="L76" s="342" t="s">
        <v>1208</v>
      </c>
      <c r="M76" s="342"/>
      <c r="N76" s="342"/>
      <c r="O76" s="342"/>
      <c r="P76" s="342"/>
      <c r="Q76" s="343"/>
      <c r="R76" s="266"/>
      <c r="S76" s="266"/>
      <c r="T76" s="268"/>
    </row>
    <row r="77" spans="1:20" ht="30" customHeight="1">
      <c r="A77" s="340">
        <v>72</v>
      </c>
      <c r="B77" s="340" t="s">
        <v>1203</v>
      </c>
      <c r="C77" s="340" t="s">
        <v>781</v>
      </c>
      <c r="D77" s="340"/>
      <c r="E77" s="340" t="s">
        <v>84</v>
      </c>
      <c r="F77" s="341">
        <v>221</v>
      </c>
      <c r="G77" s="341">
        <v>135</v>
      </c>
      <c r="H77" s="341">
        <v>194</v>
      </c>
      <c r="I77" s="341">
        <f t="shared" si="1"/>
        <v>59</v>
      </c>
      <c r="J77" s="342" t="s">
        <v>1208</v>
      </c>
      <c r="K77" s="342"/>
      <c r="L77" s="342" t="s">
        <v>1208</v>
      </c>
      <c r="M77" s="342"/>
      <c r="N77" s="342"/>
      <c r="O77" s="342"/>
      <c r="P77" s="342"/>
      <c r="Q77" s="343"/>
      <c r="R77" s="266"/>
      <c r="S77" s="266"/>
      <c r="T77" s="268"/>
    </row>
    <row r="78" spans="1:20" ht="30" customHeight="1">
      <c r="A78" s="340">
        <v>73</v>
      </c>
      <c r="B78" s="340" t="s">
        <v>1203</v>
      </c>
      <c r="C78" s="340" t="s">
        <v>782</v>
      </c>
      <c r="D78" s="340"/>
      <c r="E78" s="340" t="s">
        <v>84</v>
      </c>
      <c r="F78" s="341">
        <v>737</v>
      </c>
      <c r="G78" s="341">
        <v>161</v>
      </c>
      <c r="H78" s="341">
        <v>217</v>
      </c>
      <c r="I78" s="341">
        <f t="shared" si="1"/>
        <v>56</v>
      </c>
      <c r="J78" s="342" t="s">
        <v>1208</v>
      </c>
      <c r="K78" s="342"/>
      <c r="L78" s="342" t="s">
        <v>1208</v>
      </c>
      <c r="M78" s="342"/>
      <c r="N78" s="342"/>
      <c r="O78" s="342"/>
      <c r="P78" s="342"/>
      <c r="Q78" s="343"/>
      <c r="R78" s="266"/>
      <c r="S78" s="266"/>
      <c r="T78" s="268"/>
    </row>
    <row r="79" spans="1:20" ht="30" customHeight="1">
      <c r="A79" s="340">
        <v>74</v>
      </c>
      <c r="B79" s="340" t="s">
        <v>1203</v>
      </c>
      <c r="C79" s="340" t="s">
        <v>96</v>
      </c>
      <c r="D79" s="340"/>
      <c r="E79" s="340" t="s">
        <v>105</v>
      </c>
      <c r="F79" s="341">
        <v>2</v>
      </c>
      <c r="G79" s="341">
        <v>2</v>
      </c>
      <c r="H79" s="341">
        <v>2</v>
      </c>
      <c r="I79" s="341">
        <f t="shared" si="1"/>
        <v>0</v>
      </c>
      <c r="J79" s="342" t="s">
        <v>1223</v>
      </c>
      <c r="K79" s="342" t="s">
        <v>6</v>
      </c>
      <c r="L79" s="342" t="s">
        <v>995</v>
      </c>
      <c r="M79" s="342"/>
      <c r="N79" s="342"/>
      <c r="O79" s="342"/>
      <c r="P79" s="342"/>
      <c r="Q79" s="343"/>
      <c r="R79" s="266"/>
      <c r="S79" s="266"/>
      <c r="T79" s="268"/>
    </row>
    <row r="80" spans="1:20" ht="30" customHeight="1">
      <c r="A80" s="340">
        <v>75</v>
      </c>
      <c r="B80" s="340" t="s">
        <v>1203</v>
      </c>
      <c r="C80" s="340" t="s">
        <v>783</v>
      </c>
      <c r="D80" s="340"/>
      <c r="E80" s="340" t="s">
        <v>105</v>
      </c>
      <c r="F80" s="341">
        <v>566</v>
      </c>
      <c r="G80" s="341">
        <v>404</v>
      </c>
      <c r="H80" s="341">
        <v>426</v>
      </c>
      <c r="I80" s="341">
        <f t="shared" si="1"/>
        <v>22</v>
      </c>
      <c r="J80" s="342" t="s">
        <v>995</v>
      </c>
      <c r="K80" s="342"/>
      <c r="L80" s="342" t="s">
        <v>995</v>
      </c>
      <c r="M80" s="342"/>
      <c r="N80" s="342"/>
      <c r="O80" s="342"/>
      <c r="P80" s="342"/>
      <c r="Q80" s="343"/>
      <c r="R80" s="266"/>
      <c r="S80" s="266"/>
      <c r="T80" s="268"/>
    </row>
    <row r="81" spans="1:20" ht="30" customHeight="1">
      <c r="A81" s="340">
        <v>76</v>
      </c>
      <c r="B81" s="340" t="s">
        <v>1203</v>
      </c>
      <c r="C81" s="340" t="s">
        <v>171</v>
      </c>
      <c r="D81" s="340"/>
      <c r="E81" s="340" t="s">
        <v>105</v>
      </c>
      <c r="F81" s="341">
        <v>195</v>
      </c>
      <c r="G81" s="341">
        <v>195</v>
      </c>
      <c r="H81" s="341">
        <v>195</v>
      </c>
      <c r="I81" s="341">
        <f t="shared" si="1"/>
        <v>0</v>
      </c>
      <c r="J81" s="342" t="s">
        <v>995</v>
      </c>
      <c r="K81" s="342"/>
      <c r="L81" s="342" t="s">
        <v>995</v>
      </c>
      <c r="M81" s="342"/>
      <c r="N81" s="342"/>
      <c r="O81" s="342"/>
      <c r="P81" s="342"/>
      <c r="Q81" s="343"/>
      <c r="R81" s="266"/>
      <c r="S81" s="266"/>
      <c r="T81" s="268"/>
    </row>
    <row r="82" spans="1:20" ht="30" customHeight="1">
      <c r="A82" s="340">
        <v>77</v>
      </c>
      <c r="B82" s="340" t="s">
        <v>1203</v>
      </c>
      <c r="C82" s="340" t="s">
        <v>489</v>
      </c>
      <c r="D82" s="340"/>
      <c r="E82" s="340" t="s">
        <v>84</v>
      </c>
      <c r="F82" s="341">
        <v>76</v>
      </c>
      <c r="G82" s="341">
        <v>9</v>
      </c>
      <c r="H82" s="341">
        <v>65</v>
      </c>
      <c r="I82" s="341">
        <f t="shared" si="1"/>
        <v>56</v>
      </c>
      <c r="J82" s="342" t="s">
        <v>995</v>
      </c>
      <c r="K82" s="342"/>
      <c r="L82" s="342" t="s">
        <v>995</v>
      </c>
      <c r="M82" s="342"/>
      <c r="N82" s="342"/>
      <c r="O82" s="342"/>
      <c r="P82" s="342"/>
      <c r="Q82" s="343"/>
      <c r="R82" s="266"/>
      <c r="S82" s="266"/>
      <c r="T82" s="268"/>
    </row>
    <row r="83" spans="1:20" ht="30" customHeight="1">
      <c r="A83" s="340">
        <v>78</v>
      </c>
      <c r="B83" s="340" t="s">
        <v>1203</v>
      </c>
      <c r="C83" s="340" t="s">
        <v>172</v>
      </c>
      <c r="D83" s="340"/>
      <c r="E83" s="340" t="s">
        <v>84</v>
      </c>
      <c r="F83" s="341">
        <v>46</v>
      </c>
      <c r="G83" s="341">
        <v>19</v>
      </c>
      <c r="H83" s="341">
        <v>46</v>
      </c>
      <c r="I83" s="341">
        <f t="shared" si="1"/>
        <v>27</v>
      </c>
      <c r="J83" s="342" t="s">
        <v>1208</v>
      </c>
      <c r="K83" s="342"/>
      <c r="L83" s="342" t="s">
        <v>1208</v>
      </c>
      <c r="M83" s="342"/>
      <c r="N83" s="342"/>
      <c r="O83" s="342"/>
      <c r="P83" s="342"/>
      <c r="Q83" s="343"/>
      <c r="R83" s="266"/>
      <c r="S83" s="266"/>
      <c r="T83" s="268"/>
    </row>
    <row r="84" spans="1:20" ht="30" customHeight="1">
      <c r="A84" s="340">
        <v>79</v>
      </c>
      <c r="B84" s="340" t="s">
        <v>1203</v>
      </c>
      <c r="C84" s="340" t="s">
        <v>173</v>
      </c>
      <c r="D84" s="340"/>
      <c r="E84" s="340" t="s">
        <v>105</v>
      </c>
      <c r="F84" s="341">
        <v>207</v>
      </c>
      <c r="G84" s="341">
        <v>207</v>
      </c>
      <c r="H84" s="341">
        <v>207</v>
      </c>
      <c r="I84" s="341">
        <f t="shared" si="1"/>
        <v>0</v>
      </c>
      <c r="J84" s="342" t="s">
        <v>995</v>
      </c>
      <c r="K84" s="342"/>
      <c r="L84" s="342" t="s">
        <v>995</v>
      </c>
      <c r="M84" s="342"/>
      <c r="N84" s="342"/>
      <c r="O84" s="342"/>
      <c r="P84" s="342"/>
      <c r="Q84" s="343"/>
      <c r="R84" s="266"/>
      <c r="S84" s="266"/>
      <c r="T84" s="268"/>
    </row>
    <row r="85" spans="1:20" ht="30" customHeight="1">
      <c r="A85" s="340">
        <v>80</v>
      </c>
      <c r="B85" s="340" t="s">
        <v>1203</v>
      </c>
      <c r="C85" s="340" t="s">
        <v>784</v>
      </c>
      <c r="D85" s="340"/>
      <c r="E85" s="340" t="s">
        <v>84</v>
      </c>
      <c r="F85" s="341">
        <v>179</v>
      </c>
      <c r="G85" s="341">
        <v>84</v>
      </c>
      <c r="H85" s="341">
        <v>179</v>
      </c>
      <c r="I85" s="341">
        <f t="shared" si="1"/>
        <v>95</v>
      </c>
      <c r="J85" s="342" t="s">
        <v>995</v>
      </c>
      <c r="K85" s="342"/>
      <c r="L85" s="342" t="s">
        <v>995</v>
      </c>
      <c r="M85" s="342"/>
      <c r="N85" s="342"/>
      <c r="O85" s="342"/>
      <c r="P85" s="342"/>
      <c r="Q85" s="343"/>
      <c r="R85" s="266"/>
      <c r="S85" s="266"/>
      <c r="T85" s="268"/>
    </row>
    <row r="86" spans="1:20" ht="30" customHeight="1">
      <c r="A86" s="340">
        <v>81</v>
      </c>
      <c r="B86" s="340" t="s">
        <v>1203</v>
      </c>
      <c r="C86" s="340" t="s">
        <v>785</v>
      </c>
      <c r="D86" s="340"/>
      <c r="E86" s="340" t="s">
        <v>105</v>
      </c>
      <c r="F86" s="341">
        <v>541</v>
      </c>
      <c r="G86" s="341">
        <v>541</v>
      </c>
      <c r="H86" s="341">
        <v>541</v>
      </c>
      <c r="I86" s="341">
        <f t="shared" si="1"/>
        <v>0</v>
      </c>
      <c r="J86" s="342" t="s">
        <v>995</v>
      </c>
      <c r="K86" s="342"/>
      <c r="L86" s="342" t="s">
        <v>995</v>
      </c>
      <c r="M86" s="342"/>
      <c r="N86" s="342"/>
      <c r="O86" s="342"/>
      <c r="P86" s="342"/>
      <c r="Q86" s="343"/>
      <c r="R86" s="266"/>
      <c r="S86" s="266"/>
      <c r="T86" s="268"/>
    </row>
    <row r="87" spans="1:20" ht="30" customHeight="1">
      <c r="A87" s="340">
        <v>82</v>
      </c>
      <c r="B87" s="340" t="s">
        <v>1203</v>
      </c>
      <c r="C87" s="340" t="s">
        <v>174</v>
      </c>
      <c r="D87" s="340"/>
      <c r="E87" s="340" t="s">
        <v>84</v>
      </c>
      <c r="F87" s="341">
        <v>99</v>
      </c>
      <c r="G87" s="341">
        <v>67</v>
      </c>
      <c r="H87" s="341">
        <v>99</v>
      </c>
      <c r="I87" s="341">
        <f t="shared" si="1"/>
        <v>32</v>
      </c>
      <c r="J87" s="342" t="s">
        <v>1208</v>
      </c>
      <c r="K87" s="342"/>
      <c r="L87" s="342" t="s">
        <v>1208</v>
      </c>
      <c r="M87" s="342"/>
      <c r="N87" s="342"/>
      <c r="O87" s="342"/>
      <c r="P87" s="342"/>
      <c r="Q87" s="343"/>
      <c r="R87" s="266"/>
      <c r="S87" s="266"/>
      <c r="T87" s="268"/>
    </row>
    <row r="88" spans="1:20" ht="30" customHeight="1">
      <c r="A88" s="340">
        <v>83</v>
      </c>
      <c r="B88" s="340" t="s">
        <v>1203</v>
      </c>
      <c r="C88" s="340" t="s">
        <v>179</v>
      </c>
      <c r="D88" s="340"/>
      <c r="E88" s="340" t="s">
        <v>84</v>
      </c>
      <c r="F88" s="341">
        <v>21</v>
      </c>
      <c r="G88" s="341">
        <v>21</v>
      </c>
      <c r="H88" s="341">
        <v>21</v>
      </c>
      <c r="I88" s="341">
        <f t="shared" si="1"/>
        <v>0</v>
      </c>
      <c r="J88" s="342" t="s">
        <v>995</v>
      </c>
      <c r="K88" s="342"/>
      <c r="L88" s="342" t="s">
        <v>995</v>
      </c>
      <c r="M88" s="342"/>
      <c r="N88" s="342"/>
      <c r="O88" s="342"/>
      <c r="P88" s="342"/>
      <c r="Q88" s="343"/>
      <c r="R88" s="266"/>
      <c r="S88" s="266"/>
      <c r="T88" s="268"/>
    </row>
    <row r="89" spans="1:20" ht="30" customHeight="1">
      <c r="A89" s="340">
        <v>84</v>
      </c>
      <c r="B89" s="340" t="s">
        <v>1203</v>
      </c>
      <c r="C89" s="340" t="s">
        <v>175</v>
      </c>
      <c r="D89" s="340"/>
      <c r="E89" s="340" t="s">
        <v>105</v>
      </c>
      <c r="F89" s="341">
        <v>322</v>
      </c>
      <c r="G89" s="341">
        <v>322</v>
      </c>
      <c r="H89" s="341">
        <v>322</v>
      </c>
      <c r="I89" s="341">
        <f t="shared" si="1"/>
        <v>0</v>
      </c>
      <c r="J89" s="342" t="s">
        <v>995</v>
      </c>
      <c r="K89" s="342"/>
      <c r="L89" s="342" t="s">
        <v>995</v>
      </c>
      <c r="M89" s="342"/>
      <c r="N89" s="342"/>
      <c r="O89" s="342"/>
      <c r="P89" s="342"/>
      <c r="Q89" s="343"/>
      <c r="R89" s="266"/>
      <c r="S89" s="266"/>
      <c r="T89" s="268"/>
    </row>
    <row r="90" spans="1:20" ht="30" customHeight="1">
      <c r="A90" s="340">
        <v>85</v>
      </c>
      <c r="B90" s="340" t="s">
        <v>1203</v>
      </c>
      <c r="C90" s="340" t="s">
        <v>786</v>
      </c>
      <c r="D90" s="340"/>
      <c r="E90" s="340" t="s">
        <v>105</v>
      </c>
      <c r="F90" s="341">
        <v>553</v>
      </c>
      <c r="G90" s="341">
        <v>553</v>
      </c>
      <c r="H90" s="341">
        <v>553</v>
      </c>
      <c r="I90" s="341">
        <f t="shared" si="1"/>
        <v>0</v>
      </c>
      <c r="J90" s="342" t="s">
        <v>995</v>
      </c>
      <c r="K90" s="342"/>
      <c r="L90" s="342" t="s">
        <v>995</v>
      </c>
      <c r="M90" s="342"/>
      <c r="N90" s="342"/>
      <c r="O90" s="342"/>
      <c r="P90" s="342"/>
      <c r="Q90" s="343"/>
      <c r="R90" s="266"/>
      <c r="S90" s="266"/>
      <c r="T90" s="268"/>
    </row>
    <row r="91" spans="1:20" ht="30" customHeight="1">
      <c r="A91" s="340">
        <v>86</v>
      </c>
      <c r="B91" s="340" t="s">
        <v>1203</v>
      </c>
      <c r="C91" s="340" t="s">
        <v>176</v>
      </c>
      <c r="D91" s="340"/>
      <c r="E91" s="340" t="s">
        <v>84</v>
      </c>
      <c r="F91" s="341">
        <v>105</v>
      </c>
      <c r="G91" s="341">
        <v>105</v>
      </c>
      <c r="H91" s="341">
        <v>105</v>
      </c>
      <c r="I91" s="341">
        <f t="shared" si="1"/>
        <v>0</v>
      </c>
      <c r="J91" s="342" t="s">
        <v>995</v>
      </c>
      <c r="K91" s="342"/>
      <c r="L91" s="342" t="s">
        <v>995</v>
      </c>
      <c r="M91" s="342"/>
      <c r="N91" s="342"/>
      <c r="O91" s="342"/>
      <c r="P91" s="342"/>
      <c r="Q91" s="343"/>
      <c r="R91" s="266"/>
      <c r="S91" s="266"/>
      <c r="T91" s="268"/>
    </row>
    <row r="92" spans="1:20" ht="30" customHeight="1">
      <c r="A92" s="340">
        <v>87</v>
      </c>
      <c r="B92" s="340" t="s">
        <v>1203</v>
      </c>
      <c r="C92" s="340" t="s">
        <v>180</v>
      </c>
      <c r="D92" s="340"/>
      <c r="E92" s="340" t="s">
        <v>84</v>
      </c>
      <c r="F92" s="341">
        <v>228</v>
      </c>
      <c r="G92" s="341">
        <v>49</v>
      </c>
      <c r="H92" s="341">
        <v>176</v>
      </c>
      <c r="I92" s="341">
        <f t="shared" si="1"/>
        <v>127</v>
      </c>
      <c r="J92" s="342" t="s">
        <v>1208</v>
      </c>
      <c r="K92" s="342"/>
      <c r="L92" s="342" t="s">
        <v>1208</v>
      </c>
      <c r="M92" s="342"/>
      <c r="N92" s="342"/>
      <c r="O92" s="342"/>
      <c r="P92" s="342"/>
      <c r="Q92" s="343"/>
      <c r="R92" s="266"/>
      <c r="S92" s="266"/>
      <c r="T92" s="268"/>
    </row>
    <row r="93" spans="1:20" ht="30" customHeight="1">
      <c r="A93" s="340">
        <v>88</v>
      </c>
      <c r="B93" s="340" t="s">
        <v>1203</v>
      </c>
      <c r="C93" s="340" t="s">
        <v>787</v>
      </c>
      <c r="D93" s="340"/>
      <c r="E93" s="340" t="s">
        <v>105</v>
      </c>
      <c r="F93" s="341">
        <v>350</v>
      </c>
      <c r="G93" s="341">
        <v>350</v>
      </c>
      <c r="H93" s="341">
        <v>350</v>
      </c>
      <c r="I93" s="341">
        <f t="shared" si="1"/>
        <v>0</v>
      </c>
      <c r="J93" s="342" t="s">
        <v>995</v>
      </c>
      <c r="K93" s="342"/>
      <c r="L93" s="342" t="s">
        <v>995</v>
      </c>
      <c r="M93" s="342"/>
      <c r="N93" s="342"/>
      <c r="O93" s="342"/>
      <c r="P93" s="342"/>
      <c r="Q93" s="343"/>
      <c r="R93" s="266"/>
      <c r="S93" s="266"/>
      <c r="T93" s="268"/>
    </row>
    <row r="94" spans="1:20" ht="30" customHeight="1">
      <c r="A94" s="340">
        <v>89</v>
      </c>
      <c r="B94" s="340" t="s">
        <v>1203</v>
      </c>
      <c r="C94" s="340" t="s">
        <v>788</v>
      </c>
      <c r="D94" s="340"/>
      <c r="E94" s="340" t="s">
        <v>84</v>
      </c>
      <c r="F94" s="341">
        <v>296</v>
      </c>
      <c r="G94" s="341">
        <v>296</v>
      </c>
      <c r="H94" s="341">
        <v>296</v>
      </c>
      <c r="I94" s="341">
        <f t="shared" si="1"/>
        <v>0</v>
      </c>
      <c r="J94" s="342" t="s">
        <v>995</v>
      </c>
      <c r="K94" s="342"/>
      <c r="L94" s="342" t="s">
        <v>995</v>
      </c>
      <c r="M94" s="342"/>
      <c r="N94" s="342"/>
      <c r="O94" s="342"/>
      <c r="P94" s="342"/>
      <c r="Q94" s="343"/>
      <c r="R94" s="266"/>
      <c r="S94" s="266"/>
      <c r="T94" s="268"/>
    </row>
    <row r="95" spans="1:20" ht="30" customHeight="1">
      <c r="A95" s="340">
        <v>90</v>
      </c>
      <c r="B95" s="340" t="s">
        <v>1203</v>
      </c>
      <c r="C95" s="340" t="s">
        <v>177</v>
      </c>
      <c r="D95" s="340"/>
      <c r="E95" s="340" t="s">
        <v>84</v>
      </c>
      <c r="F95" s="341">
        <v>241</v>
      </c>
      <c r="G95" s="341">
        <v>191</v>
      </c>
      <c r="H95" s="341">
        <v>225</v>
      </c>
      <c r="I95" s="341">
        <f t="shared" si="1"/>
        <v>34</v>
      </c>
      <c r="J95" s="342" t="s">
        <v>1208</v>
      </c>
      <c r="K95" s="342"/>
      <c r="L95" s="342" t="s">
        <v>1208</v>
      </c>
      <c r="M95" s="342"/>
      <c r="N95" s="342"/>
      <c r="O95" s="342"/>
      <c r="P95" s="342"/>
      <c r="Q95" s="343"/>
      <c r="R95" s="266"/>
      <c r="S95" s="266"/>
      <c r="T95" s="268"/>
    </row>
    <row r="96" spans="1:20" ht="30" customHeight="1">
      <c r="A96" s="340">
        <v>91</v>
      </c>
      <c r="B96" s="340" t="s">
        <v>1203</v>
      </c>
      <c r="C96" s="340" t="s">
        <v>178</v>
      </c>
      <c r="D96" s="340"/>
      <c r="E96" s="340" t="s">
        <v>105</v>
      </c>
      <c r="F96" s="341">
        <v>7</v>
      </c>
      <c r="G96" s="341">
        <v>7</v>
      </c>
      <c r="H96" s="341">
        <v>7</v>
      </c>
      <c r="I96" s="341">
        <f t="shared" si="1"/>
        <v>0</v>
      </c>
      <c r="J96" s="342" t="s">
        <v>995</v>
      </c>
      <c r="K96" s="342"/>
      <c r="L96" s="342" t="s">
        <v>995</v>
      </c>
      <c r="M96" s="342"/>
      <c r="N96" s="342"/>
      <c r="O96" s="342"/>
      <c r="P96" s="342"/>
      <c r="Q96" s="343"/>
      <c r="R96" s="266"/>
      <c r="S96" s="266"/>
      <c r="T96" s="268"/>
    </row>
    <row r="97" spans="1:20" ht="30" customHeight="1">
      <c r="A97" s="340">
        <v>92</v>
      </c>
      <c r="B97" s="340" t="s">
        <v>1203</v>
      </c>
      <c r="C97" s="340" t="s">
        <v>181</v>
      </c>
      <c r="D97" s="340"/>
      <c r="E97" s="340" t="s">
        <v>84</v>
      </c>
      <c r="F97" s="341">
        <v>444</v>
      </c>
      <c r="G97" s="341">
        <v>64</v>
      </c>
      <c r="H97" s="341">
        <v>187</v>
      </c>
      <c r="I97" s="341">
        <f t="shared" si="1"/>
        <v>123</v>
      </c>
      <c r="J97" s="342" t="s">
        <v>995</v>
      </c>
      <c r="K97" s="342"/>
      <c r="L97" s="342" t="s">
        <v>995</v>
      </c>
      <c r="M97" s="342"/>
      <c r="N97" s="342"/>
      <c r="O97" s="342"/>
      <c r="P97" s="342"/>
      <c r="Q97" s="343"/>
      <c r="R97" s="266"/>
      <c r="S97" s="266"/>
      <c r="T97" s="268"/>
    </row>
    <row r="98" spans="1:20" ht="30" customHeight="1">
      <c r="A98" s="340">
        <v>93</v>
      </c>
      <c r="B98" s="340" t="s">
        <v>1203</v>
      </c>
      <c r="C98" s="340" t="s">
        <v>183</v>
      </c>
      <c r="D98" s="340"/>
      <c r="E98" s="340" t="s">
        <v>105</v>
      </c>
      <c r="F98" s="341">
        <v>217</v>
      </c>
      <c r="G98" s="341">
        <v>217</v>
      </c>
      <c r="H98" s="341">
        <v>217</v>
      </c>
      <c r="I98" s="341">
        <f t="shared" si="1"/>
        <v>0</v>
      </c>
      <c r="J98" s="342" t="s">
        <v>995</v>
      </c>
      <c r="K98" s="342"/>
      <c r="L98" s="342" t="s">
        <v>995</v>
      </c>
      <c r="M98" s="342"/>
      <c r="N98" s="342"/>
      <c r="O98" s="342"/>
      <c r="P98" s="342"/>
      <c r="Q98" s="343"/>
      <c r="R98" s="266"/>
      <c r="S98" s="266"/>
      <c r="T98" s="268"/>
    </row>
    <row r="99" spans="1:20" ht="30" customHeight="1">
      <c r="A99" s="340">
        <v>94</v>
      </c>
      <c r="B99" s="340" t="s">
        <v>1203</v>
      </c>
      <c r="C99" s="340" t="s">
        <v>182</v>
      </c>
      <c r="D99" s="340"/>
      <c r="E99" s="340" t="s">
        <v>84</v>
      </c>
      <c r="F99" s="341">
        <v>100</v>
      </c>
      <c r="G99" s="341">
        <v>100</v>
      </c>
      <c r="H99" s="341">
        <v>100</v>
      </c>
      <c r="I99" s="341">
        <f t="shared" si="1"/>
        <v>0</v>
      </c>
      <c r="J99" s="342" t="s">
        <v>995</v>
      </c>
      <c r="K99" s="342"/>
      <c r="L99" s="342" t="s">
        <v>995</v>
      </c>
      <c r="M99" s="342"/>
      <c r="N99" s="342"/>
      <c r="O99" s="342"/>
      <c r="P99" s="342"/>
      <c r="Q99" s="343"/>
      <c r="R99" s="266"/>
      <c r="S99" s="266"/>
      <c r="T99" s="268"/>
    </row>
    <row r="100" spans="1:20" ht="30" customHeight="1">
      <c r="A100" s="340">
        <v>95</v>
      </c>
      <c r="B100" s="340" t="s">
        <v>1203</v>
      </c>
      <c r="C100" s="340" t="s">
        <v>184</v>
      </c>
      <c r="D100" s="340"/>
      <c r="E100" s="340" t="s">
        <v>105</v>
      </c>
      <c r="F100" s="341">
        <v>200</v>
      </c>
      <c r="G100" s="341">
        <v>200</v>
      </c>
      <c r="H100" s="341">
        <v>200</v>
      </c>
      <c r="I100" s="341">
        <f t="shared" si="1"/>
        <v>0</v>
      </c>
      <c r="J100" s="342" t="s">
        <v>995</v>
      </c>
      <c r="K100" s="342"/>
      <c r="L100" s="342" t="s">
        <v>995</v>
      </c>
      <c r="M100" s="342"/>
      <c r="N100" s="342"/>
      <c r="O100" s="342"/>
      <c r="P100" s="342"/>
      <c r="Q100" s="343"/>
      <c r="R100" s="266"/>
      <c r="S100" s="266"/>
      <c r="T100" s="268"/>
    </row>
    <row r="101" spans="1:20" ht="30" customHeight="1">
      <c r="A101" s="340">
        <v>96</v>
      </c>
      <c r="B101" s="340" t="s">
        <v>1203</v>
      </c>
      <c r="C101" s="340" t="s">
        <v>789</v>
      </c>
      <c r="D101" s="340"/>
      <c r="E101" s="340" t="s">
        <v>135</v>
      </c>
      <c r="F101" s="341">
        <v>2457</v>
      </c>
      <c r="G101" s="341">
        <v>1709</v>
      </c>
      <c r="H101" s="341">
        <v>2457</v>
      </c>
      <c r="I101" s="341">
        <f t="shared" si="1"/>
        <v>748</v>
      </c>
      <c r="J101" s="342" t="s">
        <v>995</v>
      </c>
      <c r="K101" s="342"/>
      <c r="L101" s="342" t="s">
        <v>995</v>
      </c>
      <c r="M101" s="342"/>
      <c r="N101" s="342"/>
      <c r="O101" s="342"/>
      <c r="P101" s="342"/>
      <c r="Q101" s="343"/>
      <c r="R101" s="266"/>
      <c r="S101" s="266"/>
      <c r="T101" s="268"/>
    </row>
    <row r="102" spans="1:20" ht="30" customHeight="1">
      <c r="A102" s="340">
        <v>97</v>
      </c>
      <c r="B102" s="340" t="s">
        <v>1203</v>
      </c>
      <c r="C102" s="340" t="s">
        <v>997</v>
      </c>
      <c r="D102" s="340"/>
      <c r="E102" s="340" t="s">
        <v>998</v>
      </c>
      <c r="F102" s="341">
        <v>219</v>
      </c>
      <c r="G102" s="341"/>
      <c r="H102" s="341">
        <v>212</v>
      </c>
      <c r="I102" s="341">
        <f t="shared" si="1"/>
        <v>212</v>
      </c>
      <c r="J102" s="342" t="s">
        <v>993</v>
      </c>
      <c r="K102" s="342" t="s">
        <v>993</v>
      </c>
      <c r="L102" s="342" t="s">
        <v>995</v>
      </c>
      <c r="M102" s="342"/>
      <c r="N102" s="342"/>
      <c r="O102" s="342"/>
      <c r="P102" s="342"/>
      <c r="Q102" s="343"/>
      <c r="R102" s="266"/>
      <c r="S102" s="266"/>
      <c r="T102" s="268"/>
    </row>
    <row r="103" spans="1:20" ht="30" customHeight="1">
      <c r="A103" s="340">
        <v>98</v>
      </c>
      <c r="B103" s="340" t="s">
        <v>1203</v>
      </c>
      <c r="C103" s="340" t="s">
        <v>999</v>
      </c>
      <c r="D103" s="340"/>
      <c r="E103" s="340" t="s">
        <v>146</v>
      </c>
      <c r="F103" s="341">
        <v>475</v>
      </c>
      <c r="G103" s="341"/>
      <c r="H103" s="341">
        <v>25</v>
      </c>
      <c r="I103" s="341">
        <f t="shared" si="1"/>
        <v>25</v>
      </c>
      <c r="J103" s="342" t="s">
        <v>993</v>
      </c>
      <c r="K103" s="342" t="s">
        <v>993</v>
      </c>
      <c r="L103" s="342" t="s">
        <v>1052</v>
      </c>
      <c r="M103" s="342" t="s">
        <v>1053</v>
      </c>
      <c r="N103" s="342"/>
      <c r="O103" s="342"/>
      <c r="P103" s="342"/>
      <c r="Q103" s="343"/>
      <c r="R103" s="266"/>
      <c r="S103" s="266"/>
      <c r="T103" s="268"/>
    </row>
    <row r="104" spans="1:20" ht="30" customHeight="1">
      <c r="A104" s="340">
        <v>99</v>
      </c>
      <c r="B104" s="340" t="s">
        <v>1203</v>
      </c>
      <c r="C104" s="340" t="s">
        <v>1000</v>
      </c>
      <c r="D104" s="340"/>
      <c r="E104" s="340" t="s">
        <v>13</v>
      </c>
      <c r="F104" s="341">
        <v>69</v>
      </c>
      <c r="G104" s="341"/>
      <c r="H104" s="341">
        <v>29</v>
      </c>
      <c r="I104" s="341">
        <f t="shared" si="1"/>
        <v>29</v>
      </c>
      <c r="J104" s="342" t="s">
        <v>993</v>
      </c>
      <c r="K104" s="342" t="s">
        <v>993</v>
      </c>
      <c r="L104" s="342" t="s">
        <v>1054</v>
      </c>
      <c r="M104" s="342" t="s">
        <v>1055</v>
      </c>
      <c r="N104" s="342"/>
      <c r="O104" s="342"/>
      <c r="P104" s="342"/>
      <c r="Q104" s="343"/>
      <c r="R104" s="266"/>
      <c r="S104" s="266"/>
      <c r="T104" s="268"/>
    </row>
    <row r="105" spans="1:20" ht="30" customHeight="1">
      <c r="A105" s="340">
        <v>100</v>
      </c>
      <c r="B105" s="340" t="s">
        <v>1203</v>
      </c>
      <c r="C105" s="340" t="s">
        <v>1001</v>
      </c>
      <c r="D105" s="340"/>
      <c r="E105" s="340" t="s">
        <v>1002</v>
      </c>
      <c r="F105" s="341">
        <v>137</v>
      </c>
      <c r="G105" s="341"/>
      <c r="H105" s="341">
        <v>26</v>
      </c>
      <c r="I105" s="341">
        <f t="shared" si="1"/>
        <v>26</v>
      </c>
      <c r="J105" s="342" t="s">
        <v>993</v>
      </c>
      <c r="K105" s="342" t="s">
        <v>993</v>
      </c>
      <c r="L105" s="342" t="s">
        <v>1054</v>
      </c>
      <c r="M105" s="342" t="s">
        <v>1055</v>
      </c>
      <c r="N105" s="342"/>
      <c r="O105" s="342"/>
      <c r="P105" s="342"/>
      <c r="Q105" s="343"/>
      <c r="R105" s="266"/>
      <c r="S105" s="266"/>
      <c r="T105" s="268"/>
    </row>
    <row r="106" spans="1:20" ht="30" customHeight="1">
      <c r="A106" s="340">
        <v>101</v>
      </c>
      <c r="B106" s="340" t="s">
        <v>1203</v>
      </c>
      <c r="C106" s="340" t="s">
        <v>1003</v>
      </c>
      <c r="D106" s="340"/>
      <c r="E106" s="340" t="s">
        <v>1002</v>
      </c>
      <c r="F106" s="341">
        <v>68</v>
      </c>
      <c r="G106" s="341"/>
      <c r="H106" s="341">
        <v>5</v>
      </c>
      <c r="I106" s="341">
        <f t="shared" si="1"/>
        <v>5</v>
      </c>
      <c r="J106" s="342" t="s">
        <v>993</v>
      </c>
      <c r="K106" s="342" t="s">
        <v>993</v>
      </c>
      <c r="L106" s="342" t="s">
        <v>1052</v>
      </c>
      <c r="M106" s="342" t="s">
        <v>1053</v>
      </c>
      <c r="N106" s="342"/>
      <c r="O106" s="342"/>
      <c r="P106" s="342"/>
      <c r="Q106" s="343"/>
      <c r="R106" s="266"/>
      <c r="S106" s="266"/>
      <c r="T106" s="268"/>
    </row>
    <row r="107" spans="1:20" ht="30" customHeight="1">
      <c r="A107" s="340">
        <v>102</v>
      </c>
      <c r="B107" s="340" t="s">
        <v>1203</v>
      </c>
      <c r="C107" s="340" t="s">
        <v>1004</v>
      </c>
      <c r="D107" s="340"/>
      <c r="E107" s="340" t="s">
        <v>1005</v>
      </c>
      <c r="F107" s="341">
        <v>5363.7</v>
      </c>
      <c r="G107" s="341"/>
      <c r="H107" s="341">
        <v>88</v>
      </c>
      <c r="I107" s="341">
        <f t="shared" si="1"/>
        <v>88</v>
      </c>
      <c r="J107" s="342" t="s">
        <v>993</v>
      </c>
      <c r="K107" s="342" t="s">
        <v>993</v>
      </c>
      <c r="L107" s="342" t="s">
        <v>1210</v>
      </c>
      <c r="M107" s="342"/>
      <c r="N107" s="342"/>
      <c r="O107" s="342"/>
      <c r="P107" s="342"/>
      <c r="Q107" s="343"/>
      <c r="R107" s="266"/>
      <c r="S107" s="266"/>
      <c r="T107" s="268"/>
    </row>
    <row r="108" spans="1:20" ht="30" customHeight="1">
      <c r="A108" s="340">
        <v>103</v>
      </c>
      <c r="B108" s="340" t="s">
        <v>1203</v>
      </c>
      <c r="C108" s="340" t="s">
        <v>1006</v>
      </c>
      <c r="D108" s="340"/>
      <c r="E108" s="340" t="s">
        <v>14</v>
      </c>
      <c r="F108" s="341">
        <v>1088.5999999999999</v>
      </c>
      <c r="G108" s="341"/>
      <c r="H108" s="341">
        <v>42</v>
      </c>
      <c r="I108" s="341">
        <f t="shared" si="1"/>
        <v>42</v>
      </c>
      <c r="J108" s="342" t="s">
        <v>993</v>
      </c>
      <c r="K108" s="342" t="s">
        <v>993</v>
      </c>
      <c r="L108" s="342" t="s">
        <v>1057</v>
      </c>
      <c r="M108" s="342" t="s">
        <v>1058</v>
      </c>
      <c r="N108" s="342"/>
      <c r="O108" s="342"/>
      <c r="P108" s="342"/>
      <c r="Q108" s="343"/>
      <c r="R108" s="266"/>
      <c r="S108" s="266"/>
      <c r="T108" s="268"/>
    </row>
    <row r="109" spans="1:20" ht="30" customHeight="1">
      <c r="A109" s="340">
        <v>104</v>
      </c>
      <c r="B109" s="340" t="s">
        <v>1203</v>
      </c>
      <c r="C109" s="340" t="s">
        <v>1007</v>
      </c>
      <c r="D109" s="340"/>
      <c r="E109" s="340" t="s">
        <v>998</v>
      </c>
      <c r="F109" s="341">
        <v>4118</v>
      </c>
      <c r="G109" s="341"/>
      <c r="H109" s="341">
        <v>41</v>
      </c>
      <c r="I109" s="341">
        <f t="shared" si="1"/>
        <v>41</v>
      </c>
      <c r="J109" s="342" t="s">
        <v>993</v>
      </c>
      <c r="K109" s="342" t="s">
        <v>993</v>
      </c>
      <c r="L109" s="342" t="s">
        <v>1210</v>
      </c>
      <c r="M109" s="342"/>
      <c r="N109" s="342"/>
      <c r="O109" s="342"/>
      <c r="P109" s="342"/>
      <c r="Q109" s="343"/>
      <c r="R109" s="266"/>
      <c r="S109" s="266"/>
      <c r="T109" s="268"/>
    </row>
    <row r="110" spans="1:20" ht="30" customHeight="1">
      <c r="A110" s="340">
        <v>105</v>
      </c>
      <c r="B110" s="340" t="s">
        <v>1203</v>
      </c>
      <c r="C110" s="340" t="s">
        <v>1008</v>
      </c>
      <c r="D110" s="340"/>
      <c r="E110" s="340" t="s">
        <v>998</v>
      </c>
      <c r="F110" s="341">
        <v>254</v>
      </c>
      <c r="G110" s="341"/>
      <c r="H110" s="341">
        <v>254</v>
      </c>
      <c r="I110" s="341">
        <f t="shared" si="1"/>
        <v>254</v>
      </c>
      <c r="J110" s="342" t="s">
        <v>993</v>
      </c>
      <c r="K110" s="342" t="s">
        <v>993</v>
      </c>
      <c r="L110" s="342" t="s">
        <v>995</v>
      </c>
      <c r="M110" s="342"/>
      <c r="N110" s="342"/>
      <c r="O110" s="342"/>
      <c r="P110" s="342"/>
      <c r="Q110" s="343"/>
      <c r="R110" s="266"/>
      <c r="S110" s="266"/>
      <c r="T110" s="268"/>
    </row>
    <row r="111" spans="1:20" ht="30" customHeight="1">
      <c r="A111" s="340">
        <v>106</v>
      </c>
      <c r="B111" s="340" t="s">
        <v>1203</v>
      </c>
      <c r="C111" s="340" t="s">
        <v>1009</v>
      </c>
      <c r="D111" s="340"/>
      <c r="E111" s="340" t="s">
        <v>998</v>
      </c>
      <c r="F111" s="341">
        <v>195</v>
      </c>
      <c r="G111" s="341"/>
      <c r="H111" s="341">
        <v>195</v>
      </c>
      <c r="I111" s="341">
        <f t="shared" si="1"/>
        <v>195</v>
      </c>
      <c r="J111" s="342" t="s">
        <v>993</v>
      </c>
      <c r="K111" s="342" t="s">
        <v>993</v>
      </c>
      <c r="L111" s="342" t="s">
        <v>1059</v>
      </c>
      <c r="M111" s="342"/>
      <c r="N111" s="342"/>
      <c r="O111" s="342"/>
      <c r="P111" s="342"/>
      <c r="Q111" s="343"/>
      <c r="R111" s="266"/>
      <c r="S111" s="266"/>
      <c r="T111" s="268"/>
    </row>
    <row r="112" spans="1:20" ht="30" customHeight="1">
      <c r="A112" s="340">
        <v>107</v>
      </c>
      <c r="B112" s="340" t="s">
        <v>1203</v>
      </c>
      <c r="C112" s="340" t="s">
        <v>1010</v>
      </c>
      <c r="D112" s="340"/>
      <c r="E112" s="340" t="s">
        <v>998</v>
      </c>
      <c r="F112" s="341">
        <v>20</v>
      </c>
      <c r="G112" s="341"/>
      <c r="H112" s="341">
        <v>20</v>
      </c>
      <c r="I112" s="341">
        <f t="shared" si="1"/>
        <v>20</v>
      </c>
      <c r="J112" s="342" t="s">
        <v>993</v>
      </c>
      <c r="K112" s="342" t="s">
        <v>993</v>
      </c>
      <c r="L112" s="342" t="s">
        <v>1059</v>
      </c>
      <c r="M112" s="342"/>
      <c r="N112" s="342"/>
      <c r="O112" s="342"/>
      <c r="P112" s="342"/>
      <c r="Q112" s="343"/>
      <c r="R112" s="266"/>
      <c r="S112" s="266"/>
      <c r="T112" s="268"/>
    </row>
    <row r="113" spans="1:20" ht="30" customHeight="1">
      <c r="A113" s="340">
        <v>108</v>
      </c>
      <c r="B113" s="340" t="s">
        <v>1203</v>
      </c>
      <c r="C113" s="340" t="s">
        <v>1011</v>
      </c>
      <c r="D113" s="340"/>
      <c r="E113" s="340" t="s">
        <v>998</v>
      </c>
      <c r="F113" s="341">
        <v>4</v>
      </c>
      <c r="G113" s="341"/>
      <c r="H113" s="341">
        <v>4</v>
      </c>
      <c r="I113" s="341">
        <f t="shared" si="1"/>
        <v>4</v>
      </c>
      <c r="J113" s="342" t="s">
        <v>993</v>
      </c>
      <c r="K113" s="342" t="s">
        <v>993</v>
      </c>
      <c r="L113" s="342" t="s">
        <v>995</v>
      </c>
      <c r="M113" s="342"/>
      <c r="N113" s="342"/>
      <c r="O113" s="342"/>
      <c r="P113" s="342"/>
      <c r="Q113" s="343"/>
      <c r="R113" s="266"/>
      <c r="S113" s="266"/>
      <c r="T113" s="268"/>
    </row>
    <row r="114" spans="1:20" ht="30" customHeight="1">
      <c r="A114" s="340">
        <v>109</v>
      </c>
      <c r="B114" s="340" t="s">
        <v>1203</v>
      </c>
      <c r="C114" s="340" t="s">
        <v>1012</v>
      </c>
      <c r="D114" s="340"/>
      <c r="E114" s="340" t="s">
        <v>998</v>
      </c>
      <c r="F114" s="341">
        <v>40</v>
      </c>
      <c r="G114" s="341"/>
      <c r="H114" s="341">
        <v>40</v>
      </c>
      <c r="I114" s="341">
        <f t="shared" si="1"/>
        <v>40</v>
      </c>
      <c r="J114" s="342" t="s">
        <v>993</v>
      </c>
      <c r="K114" s="342" t="s">
        <v>993</v>
      </c>
      <c r="L114" s="342" t="s">
        <v>995</v>
      </c>
      <c r="M114" s="342"/>
      <c r="N114" s="342"/>
      <c r="O114" s="342"/>
      <c r="P114" s="342"/>
      <c r="Q114" s="343"/>
      <c r="R114" s="266"/>
      <c r="S114" s="266"/>
      <c r="T114" s="268"/>
    </row>
    <row r="115" spans="1:20" ht="30" customHeight="1">
      <c r="A115" s="340">
        <v>110</v>
      </c>
      <c r="B115" s="340" t="s">
        <v>1203</v>
      </c>
      <c r="C115" s="340" t="s">
        <v>1013</v>
      </c>
      <c r="D115" s="340"/>
      <c r="E115" s="340" t="s">
        <v>998</v>
      </c>
      <c r="F115" s="341">
        <v>19</v>
      </c>
      <c r="G115" s="341"/>
      <c r="H115" s="341">
        <v>19</v>
      </c>
      <c r="I115" s="341">
        <f t="shared" si="1"/>
        <v>19</v>
      </c>
      <c r="J115" s="342" t="s">
        <v>993</v>
      </c>
      <c r="K115" s="342" t="s">
        <v>993</v>
      </c>
      <c r="L115" s="342" t="s">
        <v>1052</v>
      </c>
      <c r="M115" s="342" t="s">
        <v>1060</v>
      </c>
      <c r="N115" s="342"/>
      <c r="O115" s="342"/>
      <c r="P115" s="342"/>
      <c r="Q115" s="343"/>
      <c r="R115" s="266"/>
      <c r="S115" s="266"/>
      <c r="T115" s="268"/>
    </row>
    <row r="116" spans="1:20" ht="30" customHeight="1">
      <c r="A116" s="340">
        <v>111</v>
      </c>
      <c r="B116" s="340" t="s">
        <v>1203</v>
      </c>
      <c r="C116" s="340" t="s">
        <v>1014</v>
      </c>
      <c r="D116" s="340"/>
      <c r="E116" s="340" t="s">
        <v>998</v>
      </c>
      <c r="F116" s="341">
        <v>179</v>
      </c>
      <c r="G116" s="341"/>
      <c r="H116" s="341">
        <v>179</v>
      </c>
      <c r="I116" s="341">
        <f t="shared" si="1"/>
        <v>179</v>
      </c>
      <c r="J116" s="342" t="s">
        <v>993</v>
      </c>
      <c r="K116" s="342" t="s">
        <v>993</v>
      </c>
      <c r="L116" s="342" t="s">
        <v>1059</v>
      </c>
      <c r="M116" s="342"/>
      <c r="N116" s="342"/>
      <c r="O116" s="342"/>
      <c r="P116" s="342"/>
      <c r="Q116" s="343"/>
      <c r="R116" s="266"/>
      <c r="S116" s="266"/>
      <c r="T116" s="268"/>
    </row>
    <row r="117" spans="1:20" ht="30" customHeight="1">
      <c r="A117" s="340">
        <v>112</v>
      </c>
      <c r="B117" s="340" t="s">
        <v>1203</v>
      </c>
      <c r="C117" s="340" t="s">
        <v>1015</v>
      </c>
      <c r="D117" s="340"/>
      <c r="E117" s="340" t="s">
        <v>13</v>
      </c>
      <c r="F117" s="341">
        <v>129</v>
      </c>
      <c r="G117" s="341"/>
      <c r="H117" s="341">
        <v>33</v>
      </c>
      <c r="I117" s="341">
        <f t="shared" si="1"/>
        <v>33</v>
      </c>
      <c r="J117" s="342" t="s">
        <v>993</v>
      </c>
      <c r="K117" s="342" t="s">
        <v>993</v>
      </c>
      <c r="L117" s="342" t="s">
        <v>1052</v>
      </c>
      <c r="M117" s="342" t="s">
        <v>1060</v>
      </c>
      <c r="N117" s="342"/>
      <c r="O117" s="342"/>
      <c r="P117" s="342"/>
      <c r="Q117" s="343"/>
      <c r="R117" s="266"/>
      <c r="S117" s="266"/>
      <c r="T117" s="268"/>
    </row>
    <row r="118" spans="1:20" ht="30" customHeight="1">
      <c r="A118" s="340">
        <v>113</v>
      </c>
      <c r="B118" s="340" t="s">
        <v>1203</v>
      </c>
      <c r="C118" s="340" t="s">
        <v>996</v>
      </c>
      <c r="D118" s="340"/>
      <c r="E118" s="340" t="s">
        <v>14</v>
      </c>
      <c r="F118" s="341">
        <v>61.2</v>
      </c>
      <c r="G118" s="341"/>
      <c r="H118" s="341">
        <v>61.2</v>
      </c>
      <c r="I118" s="341">
        <f t="shared" si="1"/>
        <v>61.2</v>
      </c>
      <c r="J118" s="342" t="s">
        <v>993</v>
      </c>
      <c r="K118" s="342" t="s">
        <v>993</v>
      </c>
      <c r="L118" s="342" t="s">
        <v>995</v>
      </c>
      <c r="M118" s="342"/>
      <c r="N118" s="342"/>
      <c r="O118" s="342"/>
      <c r="P118" s="342"/>
      <c r="Q118" s="343"/>
      <c r="R118" s="266"/>
      <c r="S118" s="266"/>
      <c r="T118" s="268"/>
    </row>
    <row r="119" spans="1:20" ht="30" customHeight="1">
      <c r="A119" s="340">
        <v>114</v>
      </c>
      <c r="B119" s="340" t="s">
        <v>1203</v>
      </c>
      <c r="C119" s="340" t="s">
        <v>1016</v>
      </c>
      <c r="D119" s="340"/>
      <c r="E119" s="340" t="s">
        <v>14</v>
      </c>
      <c r="F119" s="341">
        <v>716.7</v>
      </c>
      <c r="G119" s="341"/>
      <c r="H119" s="341">
        <v>350</v>
      </c>
      <c r="I119" s="341">
        <f t="shared" si="1"/>
        <v>350</v>
      </c>
      <c r="J119" s="342" t="s">
        <v>993</v>
      </c>
      <c r="K119" s="342" t="s">
        <v>993</v>
      </c>
      <c r="L119" s="342" t="s">
        <v>1052</v>
      </c>
      <c r="M119" s="342" t="s">
        <v>1061</v>
      </c>
      <c r="N119" s="342"/>
      <c r="O119" s="342"/>
      <c r="P119" s="342"/>
      <c r="Q119" s="343"/>
      <c r="R119" s="266"/>
      <c r="S119" s="266"/>
      <c r="T119" s="268"/>
    </row>
    <row r="120" spans="1:20" ht="30" customHeight="1">
      <c r="A120" s="340">
        <v>115</v>
      </c>
      <c r="B120" s="340" t="s">
        <v>1203</v>
      </c>
      <c r="C120" s="340" t="s">
        <v>1017</v>
      </c>
      <c r="D120" s="340"/>
      <c r="E120" s="340" t="s">
        <v>14</v>
      </c>
      <c r="F120" s="341">
        <v>2617.1</v>
      </c>
      <c r="G120" s="341"/>
      <c r="H120" s="341">
        <v>342</v>
      </c>
      <c r="I120" s="341">
        <f t="shared" si="1"/>
        <v>342</v>
      </c>
      <c r="J120" s="342" t="s">
        <v>993</v>
      </c>
      <c r="K120" s="342" t="s">
        <v>993</v>
      </c>
      <c r="L120" s="342" t="s">
        <v>1062</v>
      </c>
      <c r="M120" s="342" t="s">
        <v>1063</v>
      </c>
      <c r="N120" s="342"/>
      <c r="O120" s="342"/>
      <c r="P120" s="342"/>
      <c r="Q120" s="343"/>
      <c r="R120" s="266"/>
      <c r="S120" s="266"/>
      <c r="T120" s="268"/>
    </row>
    <row r="121" spans="1:20" ht="30" customHeight="1">
      <c r="A121" s="340">
        <v>116</v>
      </c>
      <c r="B121" s="340" t="s">
        <v>1203</v>
      </c>
      <c r="C121" s="340" t="s">
        <v>1018</v>
      </c>
      <c r="D121" s="340"/>
      <c r="E121" s="340" t="s">
        <v>14</v>
      </c>
      <c r="F121" s="341">
        <v>76</v>
      </c>
      <c r="G121" s="341"/>
      <c r="H121" s="341">
        <v>21</v>
      </c>
      <c r="I121" s="341">
        <f t="shared" si="1"/>
        <v>21</v>
      </c>
      <c r="J121" s="342" t="s">
        <v>993</v>
      </c>
      <c r="K121" s="342" t="s">
        <v>993</v>
      </c>
      <c r="L121" s="342" t="s">
        <v>1064</v>
      </c>
      <c r="M121" s="342" t="s">
        <v>1065</v>
      </c>
      <c r="N121" s="342"/>
      <c r="O121" s="342"/>
      <c r="P121" s="342"/>
      <c r="Q121" s="343"/>
      <c r="R121" s="266"/>
      <c r="S121" s="266"/>
      <c r="T121" s="268"/>
    </row>
    <row r="122" spans="1:20" ht="30" customHeight="1">
      <c r="A122" s="340">
        <v>117</v>
      </c>
      <c r="B122" s="340" t="s">
        <v>1203</v>
      </c>
      <c r="C122" s="340" t="s">
        <v>1019</v>
      </c>
      <c r="D122" s="340"/>
      <c r="E122" s="340" t="s">
        <v>1002</v>
      </c>
      <c r="F122" s="341">
        <v>566</v>
      </c>
      <c r="G122" s="341"/>
      <c r="H122" s="341">
        <v>98</v>
      </c>
      <c r="I122" s="341">
        <f t="shared" si="1"/>
        <v>98</v>
      </c>
      <c r="J122" s="342" t="s">
        <v>993</v>
      </c>
      <c r="K122" s="342" t="s">
        <v>993</v>
      </c>
      <c r="L122" s="342" t="s">
        <v>1064</v>
      </c>
      <c r="M122" s="342" t="s">
        <v>1065</v>
      </c>
      <c r="N122" s="342"/>
      <c r="O122" s="342"/>
      <c r="P122" s="342"/>
      <c r="Q122" s="343"/>
      <c r="R122" s="266"/>
      <c r="S122" s="266"/>
      <c r="T122" s="268"/>
    </row>
    <row r="123" spans="1:20" ht="30" customHeight="1">
      <c r="A123" s="340">
        <v>118</v>
      </c>
      <c r="B123" s="340" t="s">
        <v>1203</v>
      </c>
      <c r="C123" s="340" t="s">
        <v>1020</v>
      </c>
      <c r="D123" s="340"/>
      <c r="E123" s="340" t="s">
        <v>14</v>
      </c>
      <c r="F123" s="341">
        <v>2386.3000000000002</v>
      </c>
      <c r="G123" s="341"/>
      <c r="H123" s="341">
        <v>42</v>
      </c>
      <c r="I123" s="341">
        <f t="shared" si="1"/>
        <v>42</v>
      </c>
      <c r="J123" s="342" t="s">
        <v>993</v>
      </c>
      <c r="K123" s="342" t="s">
        <v>993</v>
      </c>
      <c r="L123" s="342" t="s">
        <v>1064</v>
      </c>
      <c r="M123" s="342" t="s">
        <v>1065</v>
      </c>
      <c r="N123" s="342"/>
      <c r="O123" s="342"/>
      <c r="P123" s="342"/>
      <c r="Q123" s="343"/>
      <c r="R123" s="266"/>
      <c r="S123" s="266"/>
      <c r="T123" s="268"/>
    </row>
    <row r="124" spans="1:20" ht="30" customHeight="1">
      <c r="A124" s="340">
        <v>119</v>
      </c>
      <c r="B124" s="340" t="s">
        <v>1203</v>
      </c>
      <c r="C124" s="340" t="s">
        <v>1021</v>
      </c>
      <c r="D124" s="340"/>
      <c r="E124" s="340" t="s">
        <v>1005</v>
      </c>
      <c r="F124" s="341">
        <v>5750</v>
      </c>
      <c r="G124" s="341"/>
      <c r="H124" s="341">
        <v>66</v>
      </c>
      <c r="I124" s="341">
        <f t="shared" si="1"/>
        <v>66</v>
      </c>
      <c r="J124" s="342" t="s">
        <v>993</v>
      </c>
      <c r="K124" s="342" t="s">
        <v>993</v>
      </c>
      <c r="L124" s="342" t="s">
        <v>1210</v>
      </c>
      <c r="M124" s="342"/>
      <c r="N124" s="342"/>
      <c r="O124" s="342"/>
      <c r="P124" s="342"/>
      <c r="Q124" s="343"/>
      <c r="R124" s="266"/>
      <c r="S124" s="266"/>
      <c r="T124" s="268"/>
    </row>
    <row r="125" spans="1:20" ht="30" customHeight="1">
      <c r="A125" s="340">
        <v>120</v>
      </c>
      <c r="B125" s="340" t="s">
        <v>1203</v>
      </c>
      <c r="C125" s="340" t="s">
        <v>1022</v>
      </c>
      <c r="D125" s="340"/>
      <c r="E125" s="340" t="s">
        <v>146</v>
      </c>
      <c r="F125" s="341">
        <v>10663</v>
      </c>
      <c r="G125" s="341"/>
      <c r="H125" s="341">
        <v>64</v>
      </c>
      <c r="I125" s="341">
        <f t="shared" si="1"/>
        <v>64</v>
      </c>
      <c r="J125" s="342" t="s">
        <v>993</v>
      </c>
      <c r="K125" s="342" t="s">
        <v>993</v>
      </c>
      <c r="L125" s="342" t="s">
        <v>1210</v>
      </c>
      <c r="M125" s="342"/>
      <c r="N125" s="342"/>
      <c r="O125" s="342"/>
      <c r="P125" s="342"/>
      <c r="Q125" s="343"/>
      <c r="R125" s="266"/>
      <c r="S125" s="266"/>
      <c r="T125" s="268"/>
    </row>
    <row r="126" spans="1:20" ht="30" customHeight="1">
      <c r="A126" s="340">
        <v>121</v>
      </c>
      <c r="B126" s="340" t="s">
        <v>1203</v>
      </c>
      <c r="C126" s="340" t="s">
        <v>1023</v>
      </c>
      <c r="D126" s="340"/>
      <c r="E126" s="340" t="s">
        <v>1002</v>
      </c>
      <c r="F126" s="341">
        <v>1118</v>
      </c>
      <c r="G126" s="341"/>
      <c r="H126" s="341">
        <v>104</v>
      </c>
      <c r="I126" s="341">
        <f t="shared" si="1"/>
        <v>104</v>
      </c>
      <c r="J126" s="342" t="s">
        <v>993</v>
      </c>
      <c r="K126" s="342" t="s">
        <v>993</v>
      </c>
      <c r="L126" s="342" t="s">
        <v>1066</v>
      </c>
      <c r="M126" s="342" t="s">
        <v>1067</v>
      </c>
      <c r="N126" s="342"/>
      <c r="O126" s="342"/>
      <c r="P126" s="342"/>
      <c r="Q126" s="343"/>
      <c r="R126" s="266"/>
      <c r="S126" s="266"/>
      <c r="T126" s="268"/>
    </row>
    <row r="127" spans="1:20" ht="30" customHeight="1">
      <c r="A127" s="340">
        <v>122</v>
      </c>
      <c r="B127" s="340" t="s">
        <v>1203</v>
      </c>
      <c r="C127" s="340" t="s">
        <v>1024</v>
      </c>
      <c r="D127" s="340"/>
      <c r="E127" s="340" t="s">
        <v>146</v>
      </c>
      <c r="F127" s="341">
        <v>54</v>
      </c>
      <c r="G127" s="341"/>
      <c r="H127" s="341">
        <v>4</v>
      </c>
      <c r="I127" s="341">
        <f t="shared" si="1"/>
        <v>4</v>
      </c>
      <c r="J127" s="342" t="s">
        <v>993</v>
      </c>
      <c r="K127" s="342" t="s">
        <v>993</v>
      </c>
      <c r="L127" s="342" t="s">
        <v>995</v>
      </c>
      <c r="M127" s="342"/>
      <c r="N127" s="342"/>
      <c r="O127" s="342"/>
      <c r="P127" s="342"/>
      <c r="Q127" s="343"/>
      <c r="R127" s="266"/>
      <c r="S127" s="266"/>
      <c r="T127" s="268"/>
    </row>
    <row r="128" spans="1:20" ht="30" customHeight="1">
      <c r="A128" s="340">
        <v>123</v>
      </c>
      <c r="B128" s="340" t="s">
        <v>1203</v>
      </c>
      <c r="C128" s="340" t="s">
        <v>1025</v>
      </c>
      <c r="D128" s="340"/>
      <c r="E128" s="340" t="s">
        <v>146</v>
      </c>
      <c r="F128" s="341">
        <v>3578</v>
      </c>
      <c r="G128" s="341"/>
      <c r="H128" s="341">
        <v>59</v>
      </c>
      <c r="I128" s="341">
        <f t="shared" si="1"/>
        <v>59</v>
      </c>
      <c r="J128" s="342" t="s">
        <v>993</v>
      </c>
      <c r="K128" s="342" t="s">
        <v>993</v>
      </c>
      <c r="L128" s="342" t="s">
        <v>1068</v>
      </c>
      <c r="M128" s="342" t="s">
        <v>1069</v>
      </c>
      <c r="N128" s="342"/>
      <c r="O128" s="342"/>
      <c r="P128" s="342"/>
      <c r="Q128" s="343"/>
      <c r="R128" s="266"/>
      <c r="S128" s="266"/>
      <c r="T128" s="268"/>
    </row>
    <row r="129" spans="1:20" ht="30" customHeight="1">
      <c r="A129" s="340">
        <v>124</v>
      </c>
      <c r="B129" s="340" t="s">
        <v>1203</v>
      </c>
      <c r="C129" s="340" t="s">
        <v>1026</v>
      </c>
      <c r="D129" s="340"/>
      <c r="E129" s="340" t="s">
        <v>1027</v>
      </c>
      <c r="F129" s="341">
        <v>2207</v>
      </c>
      <c r="G129" s="341"/>
      <c r="H129" s="341">
        <v>299</v>
      </c>
      <c r="I129" s="341">
        <f t="shared" si="1"/>
        <v>299</v>
      </c>
      <c r="J129" s="342" t="s">
        <v>993</v>
      </c>
      <c r="K129" s="342" t="s">
        <v>993</v>
      </c>
      <c r="L129" s="342" t="s">
        <v>1070</v>
      </c>
      <c r="M129" s="342" t="s">
        <v>1071</v>
      </c>
      <c r="N129" s="342"/>
      <c r="O129" s="342"/>
      <c r="P129" s="342"/>
      <c r="Q129" s="343"/>
      <c r="R129" s="266"/>
      <c r="S129" s="266"/>
      <c r="T129" s="268"/>
    </row>
    <row r="130" spans="1:20" ht="30" customHeight="1">
      <c r="A130" s="340">
        <v>125</v>
      </c>
      <c r="B130" s="340" t="s">
        <v>1203</v>
      </c>
      <c r="C130" s="340" t="s">
        <v>1028</v>
      </c>
      <c r="D130" s="340"/>
      <c r="E130" s="340" t="s">
        <v>14</v>
      </c>
      <c r="F130" s="341">
        <v>665.5</v>
      </c>
      <c r="G130" s="341"/>
      <c r="H130" s="341">
        <v>265</v>
      </c>
      <c r="I130" s="341">
        <f t="shared" si="1"/>
        <v>265</v>
      </c>
      <c r="J130" s="342" t="s">
        <v>993</v>
      </c>
      <c r="K130" s="342" t="s">
        <v>993</v>
      </c>
      <c r="L130" s="342" t="s">
        <v>1072</v>
      </c>
      <c r="M130" s="342" t="s">
        <v>1073</v>
      </c>
      <c r="N130" s="342"/>
      <c r="O130" s="342"/>
      <c r="P130" s="342"/>
      <c r="Q130" s="343"/>
      <c r="R130" s="266"/>
      <c r="S130" s="266"/>
      <c r="T130" s="268"/>
    </row>
    <row r="131" spans="1:20" ht="30" customHeight="1">
      <c r="A131" s="340">
        <v>126</v>
      </c>
      <c r="B131" s="340" t="s">
        <v>1203</v>
      </c>
      <c r="C131" s="340" t="s">
        <v>1029</v>
      </c>
      <c r="D131" s="340"/>
      <c r="E131" s="340" t="s">
        <v>1005</v>
      </c>
      <c r="F131" s="341">
        <v>122.1</v>
      </c>
      <c r="G131" s="341"/>
      <c r="H131" s="341">
        <v>11</v>
      </c>
      <c r="I131" s="341">
        <f t="shared" si="1"/>
        <v>11</v>
      </c>
      <c r="J131" s="342" t="s">
        <v>993</v>
      </c>
      <c r="K131" s="342" t="s">
        <v>993</v>
      </c>
      <c r="L131" s="342" t="s">
        <v>1210</v>
      </c>
      <c r="M131" s="342"/>
      <c r="N131" s="342"/>
      <c r="O131" s="342"/>
      <c r="P131" s="342"/>
      <c r="Q131" s="343"/>
      <c r="R131" s="266"/>
      <c r="S131" s="266"/>
      <c r="T131" s="268"/>
    </row>
    <row r="132" spans="1:20" ht="30" customHeight="1">
      <c r="A132" s="340">
        <v>127</v>
      </c>
      <c r="B132" s="340" t="s">
        <v>1203</v>
      </c>
      <c r="C132" s="340" t="s">
        <v>1030</v>
      </c>
      <c r="D132" s="340"/>
      <c r="E132" s="340" t="s">
        <v>14</v>
      </c>
      <c r="F132" s="341">
        <v>357</v>
      </c>
      <c r="G132" s="341"/>
      <c r="H132" s="341">
        <v>126</v>
      </c>
      <c r="I132" s="341">
        <f t="shared" si="1"/>
        <v>126</v>
      </c>
      <c r="J132" s="342" t="s">
        <v>993</v>
      </c>
      <c r="K132" s="342" t="s">
        <v>993</v>
      </c>
      <c r="L132" s="342" t="s">
        <v>1074</v>
      </c>
      <c r="M132" s="342" t="s">
        <v>1075</v>
      </c>
      <c r="N132" s="342"/>
      <c r="O132" s="342"/>
      <c r="P132" s="342"/>
      <c r="Q132" s="343"/>
      <c r="R132" s="266"/>
      <c r="S132" s="266"/>
      <c r="T132" s="268"/>
    </row>
    <row r="133" spans="1:20" ht="30" customHeight="1">
      <c r="A133" s="340">
        <v>128</v>
      </c>
      <c r="B133" s="340" t="s">
        <v>1203</v>
      </c>
      <c r="C133" s="340" t="s">
        <v>1031</v>
      </c>
      <c r="D133" s="340"/>
      <c r="E133" s="340" t="s">
        <v>14</v>
      </c>
      <c r="F133" s="341">
        <v>1786.4</v>
      </c>
      <c r="G133" s="341"/>
      <c r="H133" s="341">
        <v>291</v>
      </c>
      <c r="I133" s="341">
        <f t="shared" si="1"/>
        <v>291</v>
      </c>
      <c r="J133" s="342" t="s">
        <v>993</v>
      </c>
      <c r="K133" s="342" t="s">
        <v>993</v>
      </c>
      <c r="L133" s="342" t="s">
        <v>1076</v>
      </c>
      <c r="M133" s="342" t="s">
        <v>1065</v>
      </c>
      <c r="N133" s="342"/>
      <c r="O133" s="342"/>
      <c r="P133" s="342"/>
      <c r="Q133" s="343"/>
      <c r="R133" s="266"/>
      <c r="S133" s="266"/>
      <c r="T133" s="268"/>
    </row>
    <row r="134" spans="1:20" ht="30" customHeight="1">
      <c r="A134" s="340">
        <v>129</v>
      </c>
      <c r="B134" s="340" t="s">
        <v>1203</v>
      </c>
      <c r="C134" s="340" t="s">
        <v>1032</v>
      </c>
      <c r="D134" s="340"/>
      <c r="E134" s="340" t="s">
        <v>1005</v>
      </c>
      <c r="F134" s="341">
        <v>2043.1</v>
      </c>
      <c r="G134" s="341"/>
      <c r="H134" s="341">
        <v>40</v>
      </c>
      <c r="I134" s="341">
        <f t="shared" si="1"/>
        <v>40</v>
      </c>
      <c r="J134" s="342" t="s">
        <v>993</v>
      </c>
      <c r="K134" s="342" t="s">
        <v>993</v>
      </c>
      <c r="L134" s="342" t="s">
        <v>1210</v>
      </c>
      <c r="M134" s="342"/>
      <c r="N134" s="342"/>
      <c r="O134" s="342"/>
      <c r="P134" s="342"/>
      <c r="Q134" s="343"/>
      <c r="R134" s="266"/>
      <c r="S134" s="266"/>
      <c r="T134" s="268"/>
    </row>
    <row r="135" spans="1:20" ht="30" customHeight="1">
      <c r="A135" s="340">
        <v>130</v>
      </c>
      <c r="B135" s="340" t="s">
        <v>1203</v>
      </c>
      <c r="C135" s="340" t="s">
        <v>1033</v>
      </c>
      <c r="D135" s="340"/>
      <c r="E135" s="340" t="s">
        <v>14</v>
      </c>
      <c r="F135" s="341">
        <v>1486.1</v>
      </c>
      <c r="G135" s="341"/>
      <c r="H135" s="341">
        <v>146</v>
      </c>
      <c r="I135" s="341">
        <f t="shared" ref="I135:I153" si="2">H135-G135</f>
        <v>146</v>
      </c>
      <c r="J135" s="342" t="s">
        <v>993</v>
      </c>
      <c r="K135" s="342" t="s">
        <v>993</v>
      </c>
      <c r="L135" s="342" t="s">
        <v>1076</v>
      </c>
      <c r="M135" s="342" t="s">
        <v>1065</v>
      </c>
      <c r="N135" s="342"/>
      <c r="O135" s="342"/>
      <c r="P135" s="342"/>
      <c r="Q135" s="343"/>
      <c r="R135" s="266"/>
      <c r="S135" s="266"/>
      <c r="T135" s="268"/>
    </row>
    <row r="136" spans="1:20" ht="30" customHeight="1">
      <c r="A136" s="340">
        <v>131</v>
      </c>
      <c r="B136" s="340" t="s">
        <v>1203</v>
      </c>
      <c r="C136" s="340" t="s">
        <v>1034</v>
      </c>
      <c r="D136" s="340"/>
      <c r="E136" s="340" t="s">
        <v>14</v>
      </c>
      <c r="F136" s="341">
        <v>1378</v>
      </c>
      <c r="G136" s="341"/>
      <c r="H136" s="341">
        <v>139</v>
      </c>
      <c r="I136" s="341">
        <f t="shared" si="2"/>
        <v>139</v>
      </c>
      <c r="J136" s="342" t="s">
        <v>993</v>
      </c>
      <c r="K136" s="342" t="s">
        <v>993</v>
      </c>
      <c r="L136" s="342" t="s">
        <v>1077</v>
      </c>
      <c r="M136" s="342" t="s">
        <v>1078</v>
      </c>
      <c r="N136" s="342"/>
      <c r="O136" s="342"/>
      <c r="P136" s="342"/>
      <c r="Q136" s="343"/>
      <c r="R136" s="266"/>
      <c r="S136" s="266"/>
      <c r="T136" s="268"/>
    </row>
    <row r="137" spans="1:20" ht="30" customHeight="1">
      <c r="A137" s="340">
        <v>132</v>
      </c>
      <c r="B137" s="340" t="s">
        <v>1203</v>
      </c>
      <c r="C137" s="340" t="s">
        <v>1035</v>
      </c>
      <c r="D137" s="340"/>
      <c r="E137" s="340" t="s">
        <v>14</v>
      </c>
      <c r="F137" s="341">
        <v>1947.4</v>
      </c>
      <c r="G137" s="341"/>
      <c r="H137" s="341">
        <v>233</v>
      </c>
      <c r="I137" s="341">
        <f t="shared" si="2"/>
        <v>233</v>
      </c>
      <c r="J137" s="342" t="s">
        <v>993</v>
      </c>
      <c r="K137" s="342" t="s">
        <v>993</v>
      </c>
      <c r="L137" s="342" t="s">
        <v>1079</v>
      </c>
      <c r="M137" s="342" t="s">
        <v>1080</v>
      </c>
      <c r="N137" s="342"/>
      <c r="O137" s="342"/>
      <c r="P137" s="342"/>
      <c r="Q137" s="343"/>
      <c r="R137" s="266"/>
      <c r="S137" s="266"/>
      <c r="T137" s="268"/>
    </row>
    <row r="138" spans="1:20" ht="30" customHeight="1">
      <c r="A138" s="340">
        <v>133</v>
      </c>
      <c r="B138" s="340" t="s">
        <v>1203</v>
      </c>
      <c r="C138" s="340" t="s">
        <v>1036</v>
      </c>
      <c r="D138" s="340"/>
      <c r="E138" s="340" t="s">
        <v>14</v>
      </c>
      <c r="F138" s="341">
        <v>919</v>
      </c>
      <c r="G138" s="341"/>
      <c r="H138" s="341">
        <v>169</v>
      </c>
      <c r="I138" s="341">
        <f t="shared" si="2"/>
        <v>169</v>
      </c>
      <c r="J138" s="342" t="s">
        <v>993</v>
      </c>
      <c r="K138" s="342" t="s">
        <v>993</v>
      </c>
      <c r="L138" s="342" t="s">
        <v>1081</v>
      </c>
      <c r="M138" s="342" t="s">
        <v>1082</v>
      </c>
      <c r="N138" s="342"/>
      <c r="O138" s="342"/>
      <c r="P138" s="342"/>
      <c r="Q138" s="343"/>
      <c r="R138" s="266"/>
      <c r="S138" s="266"/>
      <c r="T138" s="268"/>
    </row>
    <row r="139" spans="1:20" ht="30" customHeight="1">
      <c r="A139" s="340">
        <v>134</v>
      </c>
      <c r="B139" s="340" t="s">
        <v>1203</v>
      </c>
      <c r="C139" s="340" t="s">
        <v>1037</v>
      </c>
      <c r="D139" s="340"/>
      <c r="E139" s="340" t="s">
        <v>14</v>
      </c>
      <c r="F139" s="341">
        <v>1521</v>
      </c>
      <c r="G139" s="341"/>
      <c r="H139" s="341">
        <v>368</v>
      </c>
      <c r="I139" s="341">
        <f t="shared" si="2"/>
        <v>368</v>
      </c>
      <c r="J139" s="342" t="s">
        <v>993</v>
      </c>
      <c r="K139" s="342" t="s">
        <v>993</v>
      </c>
      <c r="L139" s="342" t="s">
        <v>1083</v>
      </c>
      <c r="M139" s="342" t="s">
        <v>1084</v>
      </c>
      <c r="N139" s="342"/>
      <c r="O139" s="342"/>
      <c r="P139" s="342"/>
      <c r="Q139" s="343"/>
      <c r="R139" s="266"/>
      <c r="S139" s="266"/>
      <c r="T139" s="268"/>
    </row>
    <row r="140" spans="1:20" ht="30" customHeight="1">
      <c r="A140" s="340">
        <v>135</v>
      </c>
      <c r="B140" s="340" t="s">
        <v>1203</v>
      </c>
      <c r="C140" s="340" t="s">
        <v>1038</v>
      </c>
      <c r="D140" s="340"/>
      <c r="E140" s="340" t="s">
        <v>14</v>
      </c>
      <c r="F140" s="341">
        <v>792</v>
      </c>
      <c r="G140" s="341"/>
      <c r="H140" s="341">
        <v>131</v>
      </c>
      <c r="I140" s="341">
        <f t="shared" si="2"/>
        <v>131</v>
      </c>
      <c r="J140" s="342" t="s">
        <v>993</v>
      </c>
      <c r="K140" s="342" t="s">
        <v>993</v>
      </c>
      <c r="L140" s="342" t="s">
        <v>1085</v>
      </c>
      <c r="M140" s="342" t="s">
        <v>1086</v>
      </c>
      <c r="N140" s="342"/>
      <c r="O140" s="342"/>
      <c r="P140" s="342"/>
      <c r="Q140" s="343"/>
      <c r="R140" s="266"/>
      <c r="S140" s="266"/>
      <c r="T140" s="268"/>
    </row>
    <row r="141" spans="1:20" ht="30" customHeight="1">
      <c r="A141" s="340">
        <v>136</v>
      </c>
      <c r="B141" s="340" t="s">
        <v>1203</v>
      </c>
      <c r="C141" s="340" t="s">
        <v>1039</v>
      </c>
      <c r="D141" s="340"/>
      <c r="E141" s="340" t="s">
        <v>13</v>
      </c>
      <c r="F141" s="341">
        <v>597</v>
      </c>
      <c r="G141" s="341"/>
      <c r="H141" s="341">
        <v>99</v>
      </c>
      <c r="I141" s="341">
        <f t="shared" si="2"/>
        <v>99</v>
      </c>
      <c r="J141" s="342" t="s">
        <v>993</v>
      </c>
      <c r="K141" s="342" t="s">
        <v>993</v>
      </c>
      <c r="L141" s="342" t="s">
        <v>1087</v>
      </c>
      <c r="M141" s="342" t="s">
        <v>1088</v>
      </c>
      <c r="N141" s="342"/>
      <c r="O141" s="342"/>
      <c r="P141" s="342"/>
      <c r="Q141" s="343"/>
      <c r="R141" s="266"/>
      <c r="S141" s="266"/>
      <c r="T141" s="268"/>
    </row>
    <row r="142" spans="1:20" ht="30" customHeight="1">
      <c r="A142" s="340">
        <v>137</v>
      </c>
      <c r="B142" s="340" t="s">
        <v>1203</v>
      </c>
      <c r="C142" s="340" t="s">
        <v>1040</v>
      </c>
      <c r="D142" s="340"/>
      <c r="E142" s="340" t="s">
        <v>13</v>
      </c>
      <c r="F142" s="341">
        <v>567</v>
      </c>
      <c r="G142" s="341"/>
      <c r="H142" s="341">
        <v>105</v>
      </c>
      <c r="I142" s="341">
        <f t="shared" si="2"/>
        <v>105</v>
      </c>
      <c r="J142" s="342" t="s">
        <v>993</v>
      </c>
      <c r="K142" s="342" t="s">
        <v>993</v>
      </c>
      <c r="L142" s="342" t="s">
        <v>1087</v>
      </c>
      <c r="M142" s="342" t="s">
        <v>1089</v>
      </c>
      <c r="N142" s="342"/>
      <c r="O142" s="342"/>
      <c r="P142" s="342"/>
      <c r="Q142" s="343"/>
      <c r="R142" s="266"/>
      <c r="S142" s="266"/>
      <c r="T142" s="268"/>
    </row>
    <row r="143" spans="1:20" ht="30" customHeight="1">
      <c r="A143" s="340">
        <v>138</v>
      </c>
      <c r="B143" s="340" t="s">
        <v>1203</v>
      </c>
      <c r="C143" s="340" t="s">
        <v>1041</v>
      </c>
      <c r="D143" s="340"/>
      <c r="E143" s="340" t="s">
        <v>13</v>
      </c>
      <c r="F143" s="341">
        <v>304</v>
      </c>
      <c r="G143" s="341"/>
      <c r="H143" s="341">
        <v>43</v>
      </c>
      <c r="I143" s="341">
        <f t="shared" si="2"/>
        <v>43</v>
      </c>
      <c r="J143" s="342" t="s">
        <v>993</v>
      </c>
      <c r="K143" s="342" t="s">
        <v>993</v>
      </c>
      <c r="L143" s="342" t="s">
        <v>1087</v>
      </c>
      <c r="M143" s="342" t="s">
        <v>1089</v>
      </c>
      <c r="N143" s="342"/>
      <c r="O143" s="342"/>
      <c r="P143" s="342"/>
      <c r="Q143" s="343"/>
      <c r="R143" s="266"/>
      <c r="S143" s="266"/>
      <c r="T143" s="268"/>
    </row>
    <row r="144" spans="1:20" ht="30" customHeight="1">
      <c r="A144" s="340">
        <v>139</v>
      </c>
      <c r="B144" s="340" t="s">
        <v>1203</v>
      </c>
      <c r="C144" s="340" t="s">
        <v>1042</v>
      </c>
      <c r="D144" s="340"/>
      <c r="E144" s="340" t="s">
        <v>14</v>
      </c>
      <c r="F144" s="341">
        <v>286</v>
      </c>
      <c r="G144" s="341"/>
      <c r="H144" s="341">
        <v>60</v>
      </c>
      <c r="I144" s="341">
        <f t="shared" si="2"/>
        <v>60</v>
      </c>
      <c r="J144" s="342" t="s">
        <v>993</v>
      </c>
      <c r="K144" s="342" t="s">
        <v>993</v>
      </c>
      <c r="L144" s="342" t="s">
        <v>1090</v>
      </c>
      <c r="M144" s="342" t="s">
        <v>1091</v>
      </c>
      <c r="N144" s="342"/>
      <c r="O144" s="342"/>
      <c r="P144" s="342"/>
      <c r="Q144" s="343"/>
      <c r="R144" s="266"/>
      <c r="S144" s="266"/>
      <c r="T144" s="268"/>
    </row>
    <row r="145" spans="1:23" ht="30" customHeight="1">
      <c r="A145" s="340">
        <v>140</v>
      </c>
      <c r="B145" s="340" t="s">
        <v>1203</v>
      </c>
      <c r="C145" s="340" t="s">
        <v>1043</v>
      </c>
      <c r="D145" s="340"/>
      <c r="E145" s="340" t="s">
        <v>14</v>
      </c>
      <c r="F145" s="341">
        <v>439</v>
      </c>
      <c r="G145" s="341"/>
      <c r="H145" s="341">
        <v>110</v>
      </c>
      <c r="I145" s="341">
        <f t="shared" si="2"/>
        <v>110</v>
      </c>
      <c r="J145" s="342" t="s">
        <v>993</v>
      </c>
      <c r="K145" s="342" t="s">
        <v>993</v>
      </c>
      <c r="L145" s="342" t="s">
        <v>1092</v>
      </c>
      <c r="M145" s="342" t="s">
        <v>1093</v>
      </c>
      <c r="N145" s="342"/>
      <c r="O145" s="342"/>
      <c r="P145" s="342"/>
      <c r="Q145" s="343"/>
      <c r="R145" s="266"/>
      <c r="S145" s="266"/>
      <c r="T145" s="268"/>
    </row>
    <row r="146" spans="1:23" ht="30" customHeight="1">
      <c r="A146" s="340">
        <v>141</v>
      </c>
      <c r="B146" s="340" t="s">
        <v>1203</v>
      </c>
      <c r="C146" s="340" t="s">
        <v>1044</v>
      </c>
      <c r="D146" s="340"/>
      <c r="E146" s="340" t="s">
        <v>14</v>
      </c>
      <c r="F146" s="341">
        <v>743</v>
      </c>
      <c r="G146" s="341"/>
      <c r="H146" s="341">
        <v>101</v>
      </c>
      <c r="I146" s="341">
        <f t="shared" si="2"/>
        <v>101</v>
      </c>
      <c r="J146" s="342" t="s">
        <v>993</v>
      </c>
      <c r="K146" s="342" t="s">
        <v>993</v>
      </c>
      <c r="L146" s="342" t="s">
        <v>1094</v>
      </c>
      <c r="M146" s="342" t="s">
        <v>1095</v>
      </c>
      <c r="N146" s="342"/>
      <c r="O146" s="342"/>
      <c r="P146" s="342"/>
      <c r="Q146" s="343"/>
      <c r="R146" s="266"/>
      <c r="S146" s="266"/>
      <c r="T146" s="268"/>
    </row>
    <row r="147" spans="1:23" ht="30" customHeight="1">
      <c r="A147" s="340">
        <v>142</v>
      </c>
      <c r="B147" s="340" t="s">
        <v>1203</v>
      </c>
      <c r="C147" s="340" t="s">
        <v>1045</v>
      </c>
      <c r="D147" s="340"/>
      <c r="E147" s="340" t="s">
        <v>1027</v>
      </c>
      <c r="F147" s="341">
        <v>90</v>
      </c>
      <c r="G147" s="341"/>
      <c r="H147" s="341">
        <v>90</v>
      </c>
      <c r="I147" s="341">
        <f t="shared" si="2"/>
        <v>90</v>
      </c>
      <c r="J147" s="342" t="s">
        <v>993</v>
      </c>
      <c r="K147" s="342" t="s">
        <v>993</v>
      </c>
      <c r="L147" s="342" t="s">
        <v>1070</v>
      </c>
      <c r="M147" s="342" t="s">
        <v>1071</v>
      </c>
      <c r="N147" s="342"/>
      <c r="O147" s="342"/>
      <c r="P147" s="342"/>
      <c r="Q147" s="343"/>
      <c r="R147" s="266"/>
      <c r="S147" s="266"/>
      <c r="T147" s="268"/>
    </row>
    <row r="148" spans="1:23" ht="30" customHeight="1">
      <c r="A148" s="340">
        <v>143</v>
      </c>
      <c r="B148" s="340" t="s">
        <v>1203</v>
      </c>
      <c r="C148" s="340" t="s">
        <v>1046</v>
      </c>
      <c r="D148" s="340"/>
      <c r="E148" s="340" t="s">
        <v>1005</v>
      </c>
      <c r="F148" s="341">
        <v>12165</v>
      </c>
      <c r="G148" s="341"/>
      <c r="H148" s="341">
        <v>73</v>
      </c>
      <c r="I148" s="341">
        <f t="shared" si="2"/>
        <v>73</v>
      </c>
      <c r="J148" s="342" t="s">
        <v>993</v>
      </c>
      <c r="K148" s="342" t="s">
        <v>993</v>
      </c>
      <c r="L148" s="342" t="s">
        <v>1210</v>
      </c>
      <c r="M148" s="342"/>
      <c r="N148" s="342"/>
      <c r="O148" s="342"/>
      <c r="P148" s="342"/>
      <c r="Q148" s="343"/>
      <c r="R148" s="266"/>
      <c r="S148" s="266"/>
      <c r="T148" s="268"/>
    </row>
    <row r="149" spans="1:23" ht="30" customHeight="1">
      <c r="A149" s="340">
        <v>144</v>
      </c>
      <c r="B149" s="340" t="s">
        <v>1203</v>
      </c>
      <c r="C149" s="340" t="s">
        <v>1047</v>
      </c>
      <c r="D149" s="340"/>
      <c r="E149" s="340" t="s">
        <v>1027</v>
      </c>
      <c r="F149" s="341">
        <v>1204</v>
      </c>
      <c r="G149" s="341"/>
      <c r="H149" s="341">
        <v>30</v>
      </c>
      <c r="I149" s="341">
        <f t="shared" si="2"/>
        <v>30</v>
      </c>
      <c r="J149" s="342" t="s">
        <v>993</v>
      </c>
      <c r="K149" s="342" t="s">
        <v>993</v>
      </c>
      <c r="L149" s="342" t="s">
        <v>1070</v>
      </c>
      <c r="M149" s="342" t="s">
        <v>1071</v>
      </c>
      <c r="N149" s="342"/>
      <c r="O149" s="342"/>
      <c r="P149" s="342"/>
      <c r="Q149" s="343"/>
      <c r="R149" s="266"/>
      <c r="S149" s="266"/>
      <c r="T149" s="268"/>
    </row>
    <row r="150" spans="1:23" ht="30" customHeight="1">
      <c r="A150" s="340">
        <v>145</v>
      </c>
      <c r="B150" s="340" t="s">
        <v>1203</v>
      </c>
      <c r="C150" s="340" t="s">
        <v>1048</v>
      </c>
      <c r="D150" s="340"/>
      <c r="E150" s="340" t="s">
        <v>998</v>
      </c>
      <c r="F150" s="341">
        <v>74</v>
      </c>
      <c r="G150" s="341"/>
      <c r="H150" s="341">
        <v>0.6</v>
      </c>
      <c r="I150" s="341">
        <f t="shared" si="2"/>
        <v>0.6</v>
      </c>
      <c r="J150" s="342" t="s">
        <v>993</v>
      </c>
      <c r="K150" s="342" t="s">
        <v>993</v>
      </c>
      <c r="L150" s="342" t="s">
        <v>995</v>
      </c>
      <c r="M150" s="342"/>
      <c r="N150" s="342"/>
      <c r="O150" s="342"/>
      <c r="P150" s="342"/>
      <c r="Q150" s="343"/>
      <c r="R150" s="266"/>
      <c r="S150" s="266"/>
      <c r="T150" s="268"/>
    </row>
    <row r="151" spans="1:23" ht="30" customHeight="1">
      <c r="A151" s="340">
        <v>146</v>
      </c>
      <c r="B151" s="340" t="s">
        <v>1203</v>
      </c>
      <c r="C151" s="340" t="s">
        <v>1049</v>
      </c>
      <c r="D151" s="340"/>
      <c r="E151" s="340" t="s">
        <v>998</v>
      </c>
      <c r="F151" s="341">
        <v>42</v>
      </c>
      <c r="G151" s="341"/>
      <c r="H151" s="341">
        <v>5</v>
      </c>
      <c r="I151" s="341">
        <f t="shared" si="2"/>
        <v>5</v>
      </c>
      <c r="J151" s="342" t="s">
        <v>993</v>
      </c>
      <c r="K151" s="342" t="s">
        <v>993</v>
      </c>
      <c r="L151" s="342" t="s">
        <v>995</v>
      </c>
      <c r="M151" s="342"/>
      <c r="N151" s="342"/>
      <c r="O151" s="342"/>
      <c r="P151" s="342"/>
      <c r="Q151" s="343"/>
      <c r="R151" s="266"/>
      <c r="S151" s="266"/>
      <c r="T151" s="268"/>
    </row>
    <row r="152" spans="1:23" ht="30" customHeight="1">
      <c r="A152" s="340">
        <v>147</v>
      </c>
      <c r="B152" s="340" t="s">
        <v>1203</v>
      </c>
      <c r="C152" s="340" t="s">
        <v>1050</v>
      </c>
      <c r="D152" s="340"/>
      <c r="E152" s="340" t="s">
        <v>1005</v>
      </c>
      <c r="F152" s="341">
        <v>368</v>
      </c>
      <c r="G152" s="341"/>
      <c r="H152" s="341">
        <v>19</v>
      </c>
      <c r="I152" s="341">
        <f t="shared" si="2"/>
        <v>19</v>
      </c>
      <c r="J152" s="342" t="s">
        <v>993</v>
      </c>
      <c r="K152" s="342" t="s">
        <v>993</v>
      </c>
      <c r="L152" s="342" t="s">
        <v>1210</v>
      </c>
      <c r="M152" s="342"/>
      <c r="N152" s="342"/>
      <c r="O152" s="342"/>
      <c r="P152" s="342"/>
      <c r="Q152" s="343"/>
      <c r="R152" s="266"/>
      <c r="S152" s="266"/>
      <c r="T152" s="268"/>
    </row>
    <row r="153" spans="1:23" ht="30" customHeight="1">
      <c r="A153" s="340">
        <v>148</v>
      </c>
      <c r="B153" s="340" t="s">
        <v>1203</v>
      </c>
      <c r="C153" s="340" t="s">
        <v>1051</v>
      </c>
      <c r="D153" s="340"/>
      <c r="E153" s="340" t="s">
        <v>998</v>
      </c>
      <c r="F153" s="341">
        <v>34.5</v>
      </c>
      <c r="G153" s="341"/>
      <c r="H153" s="341">
        <v>4</v>
      </c>
      <c r="I153" s="341">
        <f t="shared" si="2"/>
        <v>4</v>
      </c>
      <c r="J153" s="342" t="s">
        <v>993</v>
      </c>
      <c r="K153" s="342" t="s">
        <v>993</v>
      </c>
      <c r="L153" s="342" t="s">
        <v>1210</v>
      </c>
      <c r="M153" s="342"/>
      <c r="N153" s="342"/>
      <c r="O153" s="342"/>
      <c r="P153" s="342"/>
      <c r="Q153" s="343"/>
      <c r="R153" s="266"/>
      <c r="S153" s="266"/>
      <c r="T153" s="268"/>
    </row>
    <row r="154" spans="1:23" ht="30" customHeight="1">
      <c r="A154" s="340">
        <v>149</v>
      </c>
      <c r="B154" s="344" t="s">
        <v>1204</v>
      </c>
      <c r="C154" s="340" t="s">
        <v>304</v>
      </c>
      <c r="D154" s="340"/>
      <c r="E154" s="340" t="s">
        <v>135</v>
      </c>
      <c r="F154" s="345">
        <v>724</v>
      </c>
      <c r="G154" s="346">
        <v>724</v>
      </c>
      <c r="H154" s="346">
        <v>724</v>
      </c>
      <c r="I154" s="346">
        <f>H154-G154</f>
        <v>0</v>
      </c>
      <c r="J154" s="342" t="s">
        <v>995</v>
      </c>
      <c r="K154" s="342"/>
      <c r="L154" s="342" t="s">
        <v>995</v>
      </c>
      <c r="M154" s="342"/>
      <c r="N154" s="342"/>
      <c r="O154" s="342"/>
      <c r="P154" s="342"/>
      <c r="Q154" s="343"/>
      <c r="R154" s="266"/>
      <c r="S154" s="266"/>
      <c r="T154" s="268"/>
    </row>
    <row r="155" spans="1:23" ht="30" customHeight="1">
      <c r="A155" s="340">
        <v>150</v>
      </c>
      <c r="B155" s="344" t="s">
        <v>1204</v>
      </c>
      <c r="C155" s="340" t="s">
        <v>790</v>
      </c>
      <c r="D155" s="340"/>
      <c r="E155" s="340" t="s">
        <v>135</v>
      </c>
      <c r="F155" s="345">
        <v>1558</v>
      </c>
      <c r="G155" s="346">
        <v>1558</v>
      </c>
      <c r="H155" s="346">
        <v>1558</v>
      </c>
      <c r="I155" s="346">
        <f t="shared" ref="I155:I218" si="3">H155-G155</f>
        <v>0</v>
      </c>
      <c r="J155" s="342" t="s">
        <v>995</v>
      </c>
      <c r="K155" s="342"/>
      <c r="L155" s="342" t="s">
        <v>995</v>
      </c>
      <c r="M155" s="342"/>
      <c r="N155" s="342"/>
      <c r="O155" s="342"/>
      <c r="P155" s="342"/>
      <c r="Q155" s="343"/>
      <c r="R155" s="266"/>
      <c r="S155" s="266"/>
      <c r="T155" s="268"/>
    </row>
    <row r="156" spans="1:23" ht="30" customHeight="1">
      <c r="A156" s="340">
        <v>151</v>
      </c>
      <c r="B156" s="344" t="s">
        <v>1204</v>
      </c>
      <c r="C156" s="340" t="s">
        <v>306</v>
      </c>
      <c r="D156" s="340"/>
      <c r="E156" s="340" t="s">
        <v>135</v>
      </c>
      <c r="F156" s="345">
        <v>658</v>
      </c>
      <c r="G156" s="346">
        <v>340</v>
      </c>
      <c r="H156" s="346">
        <v>340</v>
      </c>
      <c r="I156" s="346">
        <f t="shared" si="3"/>
        <v>0</v>
      </c>
      <c r="J156" s="342" t="s">
        <v>995</v>
      </c>
      <c r="K156" s="342"/>
      <c r="L156" s="342" t="s">
        <v>995</v>
      </c>
      <c r="M156" s="342"/>
      <c r="N156" s="342"/>
      <c r="O156" s="342"/>
      <c r="P156" s="342"/>
      <c r="Q156" s="343"/>
      <c r="R156" s="266"/>
      <c r="S156" s="266"/>
      <c r="T156" s="288"/>
      <c r="U156" s="266"/>
      <c r="V156" s="266"/>
      <c r="W156" s="266"/>
    </row>
    <row r="157" spans="1:23" ht="30" customHeight="1">
      <c r="A157" s="340">
        <v>152</v>
      </c>
      <c r="B157" s="344" t="s">
        <v>1204</v>
      </c>
      <c r="C157" s="340" t="s">
        <v>729</v>
      </c>
      <c r="D157" s="340"/>
      <c r="E157" s="340" t="s">
        <v>85</v>
      </c>
      <c r="F157" s="345">
        <v>254</v>
      </c>
      <c r="G157" s="346">
        <v>254</v>
      </c>
      <c r="H157" s="346">
        <v>254</v>
      </c>
      <c r="I157" s="346">
        <f t="shared" si="3"/>
        <v>0</v>
      </c>
      <c r="J157" s="342" t="s">
        <v>995</v>
      </c>
      <c r="K157" s="342"/>
      <c r="L157" s="342" t="s">
        <v>995</v>
      </c>
      <c r="M157" s="342"/>
      <c r="N157" s="342"/>
      <c r="O157" s="342"/>
      <c r="P157" s="342"/>
      <c r="Q157" s="343"/>
      <c r="R157" s="266"/>
      <c r="S157" s="266"/>
      <c r="T157" s="266"/>
    </row>
    <row r="158" spans="1:23" ht="30" customHeight="1">
      <c r="A158" s="340">
        <v>153</v>
      </c>
      <c r="B158" s="344" t="s">
        <v>1204</v>
      </c>
      <c r="C158" s="340">
        <v>857</v>
      </c>
      <c r="D158" s="340"/>
      <c r="E158" s="340" t="s">
        <v>87</v>
      </c>
      <c r="F158" s="345">
        <v>7643</v>
      </c>
      <c r="G158" s="346">
        <v>151</v>
      </c>
      <c r="H158" s="346">
        <v>151</v>
      </c>
      <c r="I158" s="346">
        <f t="shared" si="3"/>
        <v>0</v>
      </c>
      <c r="J158" s="342" t="s">
        <v>1209</v>
      </c>
      <c r="K158" s="342"/>
      <c r="L158" s="342" t="s">
        <v>1209</v>
      </c>
      <c r="M158" s="342"/>
      <c r="N158" s="342"/>
      <c r="O158" s="342"/>
      <c r="P158" s="342"/>
      <c r="Q158" s="343"/>
      <c r="R158" s="266"/>
      <c r="S158" s="266"/>
      <c r="T158" s="266"/>
    </row>
    <row r="159" spans="1:23" ht="30" customHeight="1">
      <c r="A159" s="340">
        <v>154</v>
      </c>
      <c r="B159" s="344" t="s">
        <v>1204</v>
      </c>
      <c r="C159" s="340" t="s">
        <v>791</v>
      </c>
      <c r="D159" s="340"/>
      <c r="E159" s="340" t="s">
        <v>89</v>
      </c>
      <c r="F159" s="345">
        <v>183</v>
      </c>
      <c r="G159" s="346">
        <v>183</v>
      </c>
      <c r="H159" s="346">
        <v>183</v>
      </c>
      <c r="I159" s="346">
        <f t="shared" si="3"/>
        <v>0</v>
      </c>
      <c r="J159" s="342" t="s">
        <v>995</v>
      </c>
      <c r="K159" s="342"/>
      <c r="L159" s="342" t="s">
        <v>995</v>
      </c>
      <c r="M159" s="342"/>
      <c r="N159" s="342"/>
      <c r="O159" s="342"/>
      <c r="P159" s="342"/>
      <c r="Q159" s="343"/>
      <c r="R159" s="266"/>
      <c r="S159" s="266"/>
      <c r="T159" s="266"/>
    </row>
    <row r="160" spans="1:23" ht="30" customHeight="1">
      <c r="A160" s="340">
        <v>155</v>
      </c>
      <c r="B160" s="344" t="s">
        <v>1204</v>
      </c>
      <c r="C160" s="340" t="s">
        <v>310</v>
      </c>
      <c r="D160" s="340"/>
      <c r="E160" s="340" t="s">
        <v>258</v>
      </c>
      <c r="F160" s="345">
        <v>469</v>
      </c>
      <c r="G160" s="346">
        <v>469</v>
      </c>
      <c r="H160" s="346">
        <v>469</v>
      </c>
      <c r="I160" s="346">
        <f t="shared" si="3"/>
        <v>0</v>
      </c>
      <c r="J160" s="342" t="s">
        <v>995</v>
      </c>
      <c r="K160" s="342"/>
      <c r="L160" s="342" t="s">
        <v>995</v>
      </c>
      <c r="M160" s="342"/>
      <c r="N160" s="342"/>
      <c r="O160" s="342"/>
      <c r="P160" s="342"/>
      <c r="Q160" s="343"/>
      <c r="R160" s="266"/>
      <c r="S160" s="266"/>
      <c r="T160" s="266"/>
    </row>
    <row r="161" spans="1:23" ht="30" customHeight="1">
      <c r="A161" s="340">
        <v>156</v>
      </c>
      <c r="B161" s="344" t="s">
        <v>1204</v>
      </c>
      <c r="C161" s="340" t="s">
        <v>311</v>
      </c>
      <c r="D161" s="340"/>
      <c r="E161" s="340" t="s">
        <v>312</v>
      </c>
      <c r="F161" s="345">
        <v>436</v>
      </c>
      <c r="G161" s="346">
        <v>436</v>
      </c>
      <c r="H161" s="346">
        <v>436</v>
      </c>
      <c r="I161" s="346">
        <f t="shared" si="3"/>
        <v>0</v>
      </c>
      <c r="J161" s="342" t="s">
        <v>995</v>
      </c>
      <c r="K161" s="342"/>
      <c r="L161" s="342" t="s">
        <v>995</v>
      </c>
      <c r="M161" s="342"/>
      <c r="N161" s="342"/>
      <c r="O161" s="342"/>
      <c r="P161" s="342"/>
      <c r="Q161" s="343"/>
      <c r="R161" s="266"/>
      <c r="S161" s="266"/>
      <c r="T161" s="266"/>
    </row>
    <row r="162" spans="1:23" ht="30" customHeight="1">
      <c r="A162" s="340">
        <v>157</v>
      </c>
      <c r="B162" s="344" t="s">
        <v>1204</v>
      </c>
      <c r="C162" s="340" t="s">
        <v>313</v>
      </c>
      <c r="D162" s="340"/>
      <c r="E162" s="340" t="s">
        <v>85</v>
      </c>
      <c r="F162" s="345">
        <v>264</v>
      </c>
      <c r="G162" s="346">
        <v>264</v>
      </c>
      <c r="H162" s="346">
        <v>264</v>
      </c>
      <c r="I162" s="346">
        <f t="shared" si="3"/>
        <v>0</v>
      </c>
      <c r="J162" s="342" t="s">
        <v>995</v>
      </c>
      <c r="K162" s="342"/>
      <c r="L162" s="342" t="s">
        <v>995</v>
      </c>
      <c r="M162" s="342"/>
      <c r="N162" s="342"/>
      <c r="O162" s="342"/>
      <c r="P162" s="342"/>
      <c r="Q162" s="343"/>
      <c r="R162" s="266"/>
      <c r="S162" s="266"/>
      <c r="T162" s="266"/>
    </row>
    <row r="163" spans="1:23" ht="30" customHeight="1">
      <c r="A163" s="340">
        <v>158</v>
      </c>
      <c r="B163" s="344" t="s">
        <v>1204</v>
      </c>
      <c r="C163" s="340" t="s">
        <v>725</v>
      </c>
      <c r="D163" s="340"/>
      <c r="E163" s="340" t="s">
        <v>135</v>
      </c>
      <c r="F163" s="345">
        <v>190</v>
      </c>
      <c r="G163" s="346">
        <v>190</v>
      </c>
      <c r="H163" s="346">
        <v>190</v>
      </c>
      <c r="I163" s="346">
        <f t="shared" si="3"/>
        <v>0</v>
      </c>
      <c r="J163" s="342" t="s">
        <v>995</v>
      </c>
      <c r="K163" s="342"/>
      <c r="L163" s="342" t="s">
        <v>995</v>
      </c>
      <c r="M163" s="342"/>
      <c r="N163" s="342"/>
      <c r="O163" s="342"/>
      <c r="P163" s="342"/>
      <c r="Q163" s="343"/>
      <c r="R163" s="266"/>
      <c r="S163" s="266"/>
      <c r="T163" s="266"/>
    </row>
    <row r="164" spans="1:23" ht="30" customHeight="1">
      <c r="A164" s="340">
        <v>159</v>
      </c>
      <c r="B164" s="344" t="s">
        <v>1204</v>
      </c>
      <c r="C164" s="340" t="s">
        <v>723</v>
      </c>
      <c r="D164" s="340"/>
      <c r="E164" s="340" t="s">
        <v>109</v>
      </c>
      <c r="F164" s="345">
        <v>144</v>
      </c>
      <c r="G164" s="346">
        <v>144</v>
      </c>
      <c r="H164" s="346">
        <v>144</v>
      </c>
      <c r="I164" s="346">
        <f t="shared" si="3"/>
        <v>0</v>
      </c>
      <c r="J164" s="342" t="s">
        <v>995</v>
      </c>
      <c r="K164" s="342"/>
      <c r="L164" s="342" t="s">
        <v>995</v>
      </c>
      <c r="M164" s="342"/>
      <c r="N164" s="342"/>
      <c r="O164" s="342"/>
      <c r="P164" s="342"/>
      <c r="Q164" s="343"/>
      <c r="R164" s="266"/>
      <c r="S164" s="266"/>
      <c r="T164" s="266"/>
    </row>
    <row r="165" spans="1:23" ht="30" customHeight="1">
      <c r="A165" s="340">
        <v>160</v>
      </c>
      <c r="B165" s="344" t="s">
        <v>1204</v>
      </c>
      <c r="C165" s="340" t="s">
        <v>792</v>
      </c>
      <c r="D165" s="340"/>
      <c r="E165" s="340" t="s">
        <v>109</v>
      </c>
      <c r="F165" s="345">
        <v>95</v>
      </c>
      <c r="G165" s="346">
        <v>95</v>
      </c>
      <c r="H165" s="346">
        <v>95</v>
      </c>
      <c r="I165" s="346">
        <f t="shared" si="3"/>
        <v>0</v>
      </c>
      <c r="J165" s="342" t="s">
        <v>1209</v>
      </c>
      <c r="K165" s="342"/>
      <c r="L165" s="342" t="s">
        <v>1209</v>
      </c>
      <c r="M165" s="342"/>
      <c r="N165" s="342"/>
      <c r="O165" s="342"/>
      <c r="P165" s="342"/>
      <c r="Q165" s="343"/>
      <c r="R165" s="266"/>
      <c r="S165" s="266"/>
      <c r="T165" s="266"/>
    </row>
    <row r="166" spans="1:23" ht="30" customHeight="1">
      <c r="A166" s="340">
        <v>161</v>
      </c>
      <c r="B166" s="344" t="s">
        <v>1204</v>
      </c>
      <c r="C166" s="340" t="s">
        <v>314</v>
      </c>
      <c r="D166" s="340"/>
      <c r="E166" s="340" t="s">
        <v>135</v>
      </c>
      <c r="F166" s="345">
        <v>17</v>
      </c>
      <c r="G166" s="346">
        <v>17</v>
      </c>
      <c r="H166" s="346">
        <v>17</v>
      </c>
      <c r="I166" s="346">
        <f t="shared" si="3"/>
        <v>0</v>
      </c>
      <c r="J166" s="342" t="s">
        <v>1116</v>
      </c>
      <c r="K166" s="342"/>
      <c r="L166" s="342" t="s">
        <v>1116</v>
      </c>
      <c r="M166" s="342"/>
      <c r="N166" s="342"/>
      <c r="O166" s="342"/>
      <c r="P166" s="342"/>
      <c r="Q166" s="343"/>
      <c r="R166" s="266"/>
      <c r="S166" s="266"/>
      <c r="T166" s="266"/>
    </row>
    <row r="167" spans="1:23" ht="30" customHeight="1">
      <c r="A167" s="340">
        <v>162</v>
      </c>
      <c r="B167" s="344" t="s">
        <v>1204</v>
      </c>
      <c r="C167" s="340" t="s">
        <v>315</v>
      </c>
      <c r="D167" s="340"/>
      <c r="E167" s="340" t="s">
        <v>316</v>
      </c>
      <c r="F167" s="345"/>
      <c r="G167" s="346">
        <v>72</v>
      </c>
      <c r="H167" s="346">
        <v>72</v>
      </c>
      <c r="I167" s="346">
        <f t="shared" si="3"/>
        <v>0</v>
      </c>
      <c r="J167" s="342" t="s">
        <v>1208</v>
      </c>
      <c r="K167" s="342"/>
      <c r="L167" s="342" t="s">
        <v>1208</v>
      </c>
      <c r="M167" s="342"/>
      <c r="N167" s="342"/>
      <c r="O167" s="342"/>
      <c r="P167" s="342"/>
      <c r="Q167" s="343"/>
      <c r="R167" s="266"/>
      <c r="S167" s="266"/>
      <c r="T167" s="266"/>
    </row>
    <row r="168" spans="1:23" ht="30" customHeight="1">
      <c r="A168" s="340">
        <v>163</v>
      </c>
      <c r="B168" s="344" t="s">
        <v>1204</v>
      </c>
      <c r="C168" s="340" t="s">
        <v>317</v>
      </c>
      <c r="D168" s="340"/>
      <c r="E168" s="340" t="s">
        <v>135</v>
      </c>
      <c r="F168" s="345">
        <v>307</v>
      </c>
      <c r="G168" s="346">
        <v>307</v>
      </c>
      <c r="H168" s="346">
        <v>307</v>
      </c>
      <c r="I168" s="346">
        <f t="shared" si="3"/>
        <v>0</v>
      </c>
      <c r="J168" s="342" t="s">
        <v>995</v>
      </c>
      <c r="K168" s="342"/>
      <c r="L168" s="342" t="s">
        <v>995</v>
      </c>
      <c r="M168" s="342"/>
      <c r="N168" s="342"/>
      <c r="O168" s="342"/>
      <c r="P168" s="342"/>
      <c r="Q168" s="343"/>
      <c r="R168" s="266"/>
      <c r="S168" s="266"/>
      <c r="T168" s="266"/>
    </row>
    <row r="169" spans="1:23" ht="30" customHeight="1">
      <c r="A169" s="340">
        <v>164</v>
      </c>
      <c r="B169" s="344" t="s">
        <v>1204</v>
      </c>
      <c r="C169" s="340" t="s">
        <v>793</v>
      </c>
      <c r="D169" s="340"/>
      <c r="E169" s="340" t="s">
        <v>135</v>
      </c>
      <c r="F169" s="345">
        <v>14</v>
      </c>
      <c r="G169" s="346">
        <v>14</v>
      </c>
      <c r="H169" s="346">
        <v>14</v>
      </c>
      <c r="I169" s="346">
        <f t="shared" si="3"/>
        <v>0</v>
      </c>
      <c r="J169" s="342" t="s">
        <v>995</v>
      </c>
      <c r="K169" s="342"/>
      <c r="L169" s="342" t="s">
        <v>995</v>
      </c>
      <c r="M169" s="342"/>
      <c r="N169" s="342"/>
      <c r="O169" s="342"/>
      <c r="P169" s="342"/>
      <c r="Q169" s="343"/>
      <c r="R169" s="266"/>
      <c r="S169" s="266"/>
      <c r="T169" s="266"/>
    </row>
    <row r="170" spans="1:23" ht="30" customHeight="1">
      <c r="A170" s="340">
        <v>165</v>
      </c>
      <c r="B170" s="344" t="s">
        <v>1204</v>
      </c>
      <c r="C170" s="340" t="s">
        <v>724</v>
      </c>
      <c r="D170" s="340"/>
      <c r="E170" s="340" t="s">
        <v>135</v>
      </c>
      <c r="F170" s="345">
        <v>1342</v>
      </c>
      <c r="G170" s="346">
        <v>1342</v>
      </c>
      <c r="H170" s="346">
        <v>1342</v>
      </c>
      <c r="I170" s="346">
        <f t="shared" si="3"/>
        <v>0</v>
      </c>
      <c r="J170" s="342" t="s">
        <v>995</v>
      </c>
      <c r="K170" s="342"/>
      <c r="L170" s="342" t="s">
        <v>995</v>
      </c>
      <c r="M170" s="342"/>
      <c r="N170" s="342"/>
      <c r="O170" s="342"/>
      <c r="P170" s="342"/>
      <c r="Q170" s="343"/>
      <c r="R170" s="266"/>
      <c r="S170" s="266"/>
      <c r="T170" s="266"/>
    </row>
    <row r="171" spans="1:23" ht="30" customHeight="1">
      <c r="A171" s="340">
        <v>166</v>
      </c>
      <c r="B171" s="344" t="s">
        <v>1204</v>
      </c>
      <c r="C171" s="340" t="s">
        <v>318</v>
      </c>
      <c r="D171" s="340"/>
      <c r="E171" s="340" t="s">
        <v>135</v>
      </c>
      <c r="F171" s="345">
        <v>1359</v>
      </c>
      <c r="G171" s="346">
        <v>1359</v>
      </c>
      <c r="H171" s="346">
        <v>1359</v>
      </c>
      <c r="I171" s="346">
        <f t="shared" si="3"/>
        <v>0</v>
      </c>
      <c r="J171" s="342" t="s">
        <v>1116</v>
      </c>
      <c r="K171" s="342"/>
      <c r="L171" s="342" t="s">
        <v>1116</v>
      </c>
      <c r="M171" s="342"/>
      <c r="N171" s="342"/>
      <c r="O171" s="342"/>
      <c r="P171" s="342"/>
      <c r="Q171" s="343"/>
      <c r="R171" s="266"/>
      <c r="S171" s="266"/>
      <c r="T171" s="266"/>
    </row>
    <row r="172" spans="1:23" ht="30" customHeight="1">
      <c r="A172" s="340">
        <v>167</v>
      </c>
      <c r="B172" s="344" t="s">
        <v>1204</v>
      </c>
      <c r="C172" s="340" t="s">
        <v>319</v>
      </c>
      <c r="D172" s="340"/>
      <c r="E172" s="340" t="s">
        <v>135</v>
      </c>
      <c r="F172" s="345">
        <v>2047</v>
      </c>
      <c r="G172" s="346">
        <v>2047</v>
      </c>
      <c r="H172" s="346">
        <v>2047</v>
      </c>
      <c r="I172" s="346">
        <f t="shared" si="3"/>
        <v>0</v>
      </c>
      <c r="J172" s="342" t="s">
        <v>995</v>
      </c>
      <c r="K172" s="342"/>
      <c r="L172" s="342" t="s">
        <v>995</v>
      </c>
      <c r="M172" s="342"/>
      <c r="N172" s="342"/>
      <c r="O172" s="342"/>
      <c r="P172" s="342"/>
      <c r="Q172" s="343"/>
      <c r="R172" s="266"/>
      <c r="S172" s="266"/>
      <c r="T172" s="268"/>
    </row>
    <row r="173" spans="1:23" ht="30" customHeight="1">
      <c r="A173" s="340">
        <v>168</v>
      </c>
      <c r="B173" s="344" t="s">
        <v>1204</v>
      </c>
      <c r="C173" s="340" t="s">
        <v>320</v>
      </c>
      <c r="D173" s="340"/>
      <c r="E173" s="340" t="s">
        <v>85</v>
      </c>
      <c r="F173" s="345">
        <v>34</v>
      </c>
      <c r="G173" s="346">
        <v>34</v>
      </c>
      <c r="H173" s="346">
        <v>34</v>
      </c>
      <c r="I173" s="346">
        <f t="shared" si="3"/>
        <v>0</v>
      </c>
      <c r="J173" s="342" t="s">
        <v>995</v>
      </c>
      <c r="K173" s="342"/>
      <c r="L173" s="342" t="s">
        <v>995</v>
      </c>
      <c r="M173" s="342"/>
      <c r="N173" s="342"/>
      <c r="O173" s="342"/>
      <c r="P173" s="342"/>
      <c r="Q173" s="343"/>
      <c r="R173" s="266"/>
      <c r="S173" s="266"/>
      <c r="T173" s="268"/>
    </row>
    <row r="174" spans="1:23" ht="30" customHeight="1">
      <c r="A174" s="340">
        <v>169</v>
      </c>
      <c r="B174" s="344" t="s">
        <v>1204</v>
      </c>
      <c r="C174" s="340" t="s">
        <v>728</v>
      </c>
      <c r="D174" s="340"/>
      <c r="E174" s="340" t="s">
        <v>135</v>
      </c>
      <c r="F174" s="345">
        <v>297</v>
      </c>
      <c r="G174" s="346">
        <v>297</v>
      </c>
      <c r="H174" s="346">
        <v>297</v>
      </c>
      <c r="I174" s="346">
        <f t="shared" si="3"/>
        <v>0</v>
      </c>
      <c r="J174" s="342" t="s">
        <v>995</v>
      </c>
      <c r="K174" s="342"/>
      <c r="L174" s="342" t="s">
        <v>995</v>
      </c>
      <c r="M174" s="342"/>
      <c r="N174" s="342"/>
      <c r="O174" s="342"/>
      <c r="P174" s="342"/>
      <c r="Q174" s="343"/>
      <c r="R174" s="266"/>
      <c r="S174" s="266"/>
      <c r="T174" s="268"/>
    </row>
    <row r="175" spans="1:23" ht="30" customHeight="1">
      <c r="A175" s="340">
        <v>170</v>
      </c>
      <c r="B175" s="344" t="s">
        <v>1204</v>
      </c>
      <c r="C175" s="340" t="s">
        <v>730</v>
      </c>
      <c r="D175" s="340"/>
      <c r="E175" s="340" t="s">
        <v>85</v>
      </c>
      <c r="F175" s="345">
        <v>8</v>
      </c>
      <c r="G175" s="346">
        <v>8</v>
      </c>
      <c r="H175" s="346">
        <v>8</v>
      </c>
      <c r="I175" s="346">
        <f t="shared" si="3"/>
        <v>0</v>
      </c>
      <c r="J175" s="342" t="s">
        <v>1235</v>
      </c>
      <c r="K175" s="342" t="s">
        <v>322</v>
      </c>
      <c r="L175" s="342" t="s">
        <v>995</v>
      </c>
      <c r="M175" s="342"/>
      <c r="N175" s="342"/>
      <c r="O175" s="342"/>
      <c r="P175" s="342"/>
      <c r="Q175" s="343"/>
      <c r="R175" s="266"/>
      <c r="S175" s="266"/>
      <c r="T175" s="268"/>
    </row>
    <row r="176" spans="1:23" ht="30" customHeight="1">
      <c r="A176" s="340">
        <v>171</v>
      </c>
      <c r="B176" s="344" t="s">
        <v>1204</v>
      </c>
      <c r="C176" s="340" t="s">
        <v>323</v>
      </c>
      <c r="D176" s="340"/>
      <c r="E176" s="340" t="s">
        <v>85</v>
      </c>
      <c r="F176" s="345">
        <v>105</v>
      </c>
      <c r="G176" s="346">
        <v>105</v>
      </c>
      <c r="H176" s="346">
        <v>105</v>
      </c>
      <c r="I176" s="346">
        <f t="shared" si="3"/>
        <v>0</v>
      </c>
      <c r="J176" s="342" t="s">
        <v>995</v>
      </c>
      <c r="K176" s="342"/>
      <c r="L176" s="342" t="s">
        <v>995</v>
      </c>
      <c r="M176" s="342"/>
      <c r="N176" s="342"/>
      <c r="O176" s="342"/>
      <c r="P176" s="342"/>
      <c r="Q176" s="343"/>
      <c r="R176" s="266"/>
      <c r="S176" s="266"/>
      <c r="T176" s="288"/>
      <c r="U176" s="266"/>
      <c r="V176" s="266"/>
      <c r="W176" s="266"/>
    </row>
    <row r="177" spans="1:23" ht="30" customHeight="1">
      <c r="A177" s="340">
        <v>172</v>
      </c>
      <c r="B177" s="344" t="s">
        <v>1204</v>
      </c>
      <c r="C177" s="340" t="s">
        <v>794</v>
      </c>
      <c r="D177" s="340"/>
      <c r="E177" s="340" t="s">
        <v>85</v>
      </c>
      <c r="F177" s="345">
        <v>385</v>
      </c>
      <c r="G177" s="346">
        <v>385</v>
      </c>
      <c r="H177" s="346">
        <v>385</v>
      </c>
      <c r="I177" s="346">
        <f t="shared" si="3"/>
        <v>0</v>
      </c>
      <c r="J177" s="342" t="s">
        <v>995</v>
      </c>
      <c r="K177" s="342"/>
      <c r="L177" s="342" t="s">
        <v>995</v>
      </c>
      <c r="M177" s="342"/>
      <c r="N177" s="342"/>
      <c r="O177" s="342"/>
      <c r="P177" s="342"/>
      <c r="Q177" s="343"/>
      <c r="R177" s="266"/>
      <c r="S177" s="266"/>
      <c r="T177" s="288"/>
      <c r="U177" s="266"/>
      <c r="V177" s="266"/>
      <c r="W177" s="266"/>
    </row>
    <row r="178" spans="1:23" ht="30" customHeight="1">
      <c r="A178" s="340">
        <v>173</v>
      </c>
      <c r="B178" s="344" t="s">
        <v>1204</v>
      </c>
      <c r="C178" s="340" t="s">
        <v>324</v>
      </c>
      <c r="D178" s="340"/>
      <c r="E178" s="340" t="s">
        <v>258</v>
      </c>
      <c r="F178" s="345">
        <v>7</v>
      </c>
      <c r="G178" s="346">
        <v>7</v>
      </c>
      <c r="H178" s="346">
        <v>7</v>
      </c>
      <c r="I178" s="346">
        <f t="shared" si="3"/>
        <v>0</v>
      </c>
      <c r="J178" s="342" t="s">
        <v>995</v>
      </c>
      <c r="K178" s="342"/>
      <c r="L178" s="342" t="s">
        <v>1236</v>
      </c>
      <c r="M178" s="342" t="s">
        <v>795</v>
      </c>
      <c r="N178" s="342"/>
      <c r="O178" s="342"/>
      <c r="P178" s="342"/>
      <c r="Q178" s="343"/>
      <c r="R178" s="266"/>
      <c r="S178" s="266"/>
      <c r="T178" s="266"/>
    </row>
    <row r="179" spans="1:23" ht="30" customHeight="1">
      <c r="A179" s="340">
        <v>174</v>
      </c>
      <c r="B179" s="344" t="s">
        <v>1204</v>
      </c>
      <c r="C179" s="340" t="s">
        <v>796</v>
      </c>
      <c r="D179" s="340"/>
      <c r="E179" s="340" t="s">
        <v>258</v>
      </c>
      <c r="F179" s="345">
        <v>7</v>
      </c>
      <c r="G179" s="346">
        <v>7</v>
      </c>
      <c r="H179" s="346">
        <v>7</v>
      </c>
      <c r="I179" s="346">
        <f t="shared" si="3"/>
        <v>0</v>
      </c>
      <c r="J179" s="342" t="s">
        <v>995</v>
      </c>
      <c r="K179" s="342"/>
      <c r="L179" s="342" t="s">
        <v>1236</v>
      </c>
      <c r="M179" s="342" t="s">
        <v>795</v>
      </c>
      <c r="N179" s="342"/>
      <c r="O179" s="342"/>
      <c r="P179" s="342"/>
      <c r="Q179" s="343"/>
      <c r="R179" s="266"/>
      <c r="S179" s="266"/>
      <c r="T179" s="266"/>
    </row>
    <row r="180" spans="1:23" ht="30" customHeight="1">
      <c r="A180" s="340">
        <v>175</v>
      </c>
      <c r="B180" s="344" t="s">
        <v>1204</v>
      </c>
      <c r="C180" s="340" t="s">
        <v>797</v>
      </c>
      <c r="D180" s="340"/>
      <c r="E180" s="340" t="s">
        <v>85</v>
      </c>
      <c r="F180" s="345">
        <v>1220</v>
      </c>
      <c r="G180" s="346">
        <v>1220</v>
      </c>
      <c r="H180" s="346">
        <v>1220</v>
      </c>
      <c r="I180" s="346">
        <f t="shared" si="3"/>
        <v>0</v>
      </c>
      <c r="J180" s="342" t="s">
        <v>995</v>
      </c>
      <c r="K180" s="342"/>
      <c r="L180" s="342" t="s">
        <v>995</v>
      </c>
      <c r="M180" s="342"/>
      <c r="N180" s="342"/>
      <c r="O180" s="342"/>
      <c r="P180" s="342"/>
      <c r="Q180" s="343"/>
      <c r="R180" s="266"/>
      <c r="S180" s="266"/>
      <c r="T180" s="266"/>
    </row>
    <row r="181" spans="1:23" ht="30" customHeight="1">
      <c r="A181" s="340">
        <v>176</v>
      </c>
      <c r="B181" s="344" t="s">
        <v>1204</v>
      </c>
      <c r="C181" s="340">
        <v>855</v>
      </c>
      <c r="D181" s="340"/>
      <c r="E181" s="340" t="s">
        <v>84</v>
      </c>
      <c r="F181" s="345">
        <v>3832</v>
      </c>
      <c r="G181" s="346">
        <v>84</v>
      </c>
      <c r="H181" s="346">
        <v>84</v>
      </c>
      <c r="I181" s="346">
        <f t="shared" si="3"/>
        <v>0</v>
      </c>
      <c r="J181" s="342" t="s">
        <v>1208</v>
      </c>
      <c r="K181" s="342"/>
      <c r="L181" s="342" t="s">
        <v>1208</v>
      </c>
      <c r="M181" s="342"/>
      <c r="N181" s="342"/>
      <c r="O181" s="342"/>
      <c r="P181" s="342"/>
      <c r="Q181" s="343"/>
      <c r="R181" s="266"/>
      <c r="S181" s="266"/>
      <c r="T181" s="266"/>
    </row>
    <row r="182" spans="1:23" ht="30" customHeight="1">
      <c r="A182" s="340">
        <v>177</v>
      </c>
      <c r="B182" s="344" t="s">
        <v>1204</v>
      </c>
      <c r="C182" s="340" t="s">
        <v>327</v>
      </c>
      <c r="D182" s="340"/>
      <c r="E182" s="340" t="s">
        <v>85</v>
      </c>
      <c r="F182" s="345">
        <v>51</v>
      </c>
      <c r="G182" s="346">
        <v>51</v>
      </c>
      <c r="H182" s="346">
        <v>51</v>
      </c>
      <c r="I182" s="346">
        <f t="shared" si="3"/>
        <v>0</v>
      </c>
      <c r="J182" s="342" t="s">
        <v>995</v>
      </c>
      <c r="K182" s="342"/>
      <c r="L182" s="342" t="s">
        <v>995</v>
      </c>
      <c r="M182" s="342"/>
      <c r="N182" s="342"/>
      <c r="O182" s="342"/>
      <c r="P182" s="342"/>
      <c r="Q182" s="343"/>
      <c r="R182" s="266"/>
      <c r="S182" s="266"/>
      <c r="T182" s="266"/>
    </row>
    <row r="183" spans="1:23" ht="30" customHeight="1">
      <c r="A183" s="340">
        <v>178</v>
      </c>
      <c r="B183" s="344" t="s">
        <v>1204</v>
      </c>
      <c r="C183" s="340" t="s">
        <v>734</v>
      </c>
      <c r="D183" s="340"/>
      <c r="E183" s="340" t="s">
        <v>85</v>
      </c>
      <c r="F183" s="345">
        <v>235</v>
      </c>
      <c r="G183" s="346">
        <v>235</v>
      </c>
      <c r="H183" s="346">
        <v>235</v>
      </c>
      <c r="I183" s="346">
        <f t="shared" si="3"/>
        <v>0</v>
      </c>
      <c r="J183" s="342" t="s">
        <v>995</v>
      </c>
      <c r="K183" s="342"/>
      <c r="L183" s="342" t="s">
        <v>995</v>
      </c>
      <c r="M183" s="342"/>
      <c r="N183" s="342"/>
      <c r="O183" s="342"/>
      <c r="P183" s="342"/>
      <c r="Q183" s="343"/>
      <c r="R183" s="266"/>
      <c r="S183" s="266"/>
      <c r="T183" s="266"/>
    </row>
    <row r="184" spans="1:23" ht="30" customHeight="1">
      <c r="A184" s="340">
        <v>179</v>
      </c>
      <c r="B184" s="344" t="s">
        <v>1204</v>
      </c>
      <c r="C184" s="340" t="s">
        <v>328</v>
      </c>
      <c r="D184" s="340"/>
      <c r="E184" s="340" t="s">
        <v>109</v>
      </c>
      <c r="F184" s="345">
        <v>304</v>
      </c>
      <c r="G184" s="346">
        <v>304</v>
      </c>
      <c r="H184" s="346">
        <v>304</v>
      </c>
      <c r="I184" s="346">
        <f t="shared" si="3"/>
        <v>0</v>
      </c>
      <c r="J184" s="342" t="s">
        <v>995</v>
      </c>
      <c r="K184" s="342"/>
      <c r="L184" s="342" t="s">
        <v>995</v>
      </c>
      <c r="M184" s="342"/>
      <c r="N184" s="342"/>
      <c r="O184" s="342"/>
      <c r="P184" s="342"/>
      <c r="Q184" s="343"/>
      <c r="R184" s="266"/>
      <c r="S184" s="266"/>
      <c r="T184" s="266"/>
    </row>
    <row r="185" spans="1:23" ht="30" customHeight="1">
      <c r="A185" s="340">
        <v>180</v>
      </c>
      <c r="B185" s="344" t="s">
        <v>1204</v>
      </c>
      <c r="C185" s="340" t="s">
        <v>329</v>
      </c>
      <c r="D185" s="340"/>
      <c r="E185" s="340" t="s">
        <v>85</v>
      </c>
      <c r="F185" s="345">
        <v>120</v>
      </c>
      <c r="G185" s="346">
        <v>120</v>
      </c>
      <c r="H185" s="346">
        <v>120</v>
      </c>
      <c r="I185" s="346">
        <f t="shared" si="3"/>
        <v>0</v>
      </c>
      <c r="J185" s="342" t="s">
        <v>995</v>
      </c>
      <c r="K185" s="342"/>
      <c r="L185" s="342" t="s">
        <v>995</v>
      </c>
      <c r="M185" s="342"/>
      <c r="N185" s="342"/>
      <c r="O185" s="342"/>
      <c r="P185" s="342"/>
      <c r="Q185" s="343"/>
      <c r="R185" s="266"/>
      <c r="S185" s="266"/>
      <c r="T185" s="266"/>
    </row>
    <row r="186" spans="1:23" ht="30" customHeight="1">
      <c r="A186" s="340">
        <v>181</v>
      </c>
      <c r="B186" s="344" t="s">
        <v>1204</v>
      </c>
      <c r="C186" s="340" t="s">
        <v>330</v>
      </c>
      <c r="D186" s="340"/>
      <c r="E186" s="340" t="s">
        <v>85</v>
      </c>
      <c r="F186" s="345">
        <v>394</v>
      </c>
      <c r="G186" s="346">
        <v>394</v>
      </c>
      <c r="H186" s="346">
        <v>394</v>
      </c>
      <c r="I186" s="346">
        <f t="shared" si="3"/>
        <v>0</v>
      </c>
      <c r="J186" s="342" t="s">
        <v>995</v>
      </c>
      <c r="K186" s="342"/>
      <c r="L186" s="342" t="s">
        <v>995</v>
      </c>
      <c r="M186" s="342"/>
      <c r="N186" s="342"/>
      <c r="O186" s="342"/>
      <c r="P186" s="342"/>
      <c r="Q186" s="343"/>
      <c r="R186" s="266"/>
      <c r="S186" s="266"/>
      <c r="T186" s="266"/>
    </row>
    <row r="187" spans="1:23" ht="30" customHeight="1">
      <c r="A187" s="340">
        <v>182</v>
      </c>
      <c r="B187" s="344" t="s">
        <v>1204</v>
      </c>
      <c r="C187" s="340" t="s">
        <v>331</v>
      </c>
      <c r="D187" s="340"/>
      <c r="E187" s="340" t="s">
        <v>85</v>
      </c>
      <c r="F187" s="345">
        <v>217</v>
      </c>
      <c r="G187" s="346">
        <v>217</v>
      </c>
      <c r="H187" s="346">
        <v>217</v>
      </c>
      <c r="I187" s="346">
        <f t="shared" si="3"/>
        <v>0</v>
      </c>
      <c r="J187" s="342" t="s">
        <v>995</v>
      </c>
      <c r="K187" s="342"/>
      <c r="L187" s="342" t="s">
        <v>995</v>
      </c>
      <c r="M187" s="342"/>
      <c r="N187" s="342"/>
      <c r="O187" s="342"/>
      <c r="P187" s="342"/>
      <c r="Q187" s="343"/>
      <c r="R187" s="266"/>
      <c r="S187" s="266"/>
      <c r="T187" s="266"/>
    </row>
    <row r="188" spans="1:23" ht="30" customHeight="1">
      <c r="A188" s="340">
        <v>183</v>
      </c>
      <c r="B188" s="344" t="s">
        <v>1204</v>
      </c>
      <c r="C188" s="340" t="s">
        <v>332</v>
      </c>
      <c r="D188" s="340"/>
      <c r="E188" s="340" t="s">
        <v>85</v>
      </c>
      <c r="F188" s="345">
        <v>234</v>
      </c>
      <c r="G188" s="346">
        <v>234</v>
      </c>
      <c r="H188" s="346">
        <v>234</v>
      </c>
      <c r="I188" s="346">
        <f t="shared" si="3"/>
        <v>0</v>
      </c>
      <c r="J188" s="342" t="s">
        <v>995</v>
      </c>
      <c r="K188" s="342"/>
      <c r="L188" s="342" t="s">
        <v>995</v>
      </c>
      <c r="M188" s="342"/>
      <c r="N188" s="342"/>
      <c r="O188" s="342"/>
      <c r="P188" s="342"/>
      <c r="Q188" s="343"/>
      <c r="R188" s="266"/>
      <c r="S188" s="266"/>
      <c r="T188" s="266"/>
    </row>
    <row r="189" spans="1:23" ht="30" customHeight="1">
      <c r="A189" s="340">
        <v>184</v>
      </c>
      <c r="B189" s="344" t="s">
        <v>1204</v>
      </c>
      <c r="C189" s="340" t="s">
        <v>798</v>
      </c>
      <c r="D189" s="340"/>
      <c r="E189" s="340" t="s">
        <v>87</v>
      </c>
      <c r="F189" s="345">
        <v>49.5</v>
      </c>
      <c r="G189" s="346">
        <v>49.5</v>
      </c>
      <c r="H189" s="346">
        <v>49.5</v>
      </c>
      <c r="I189" s="346">
        <f t="shared" si="3"/>
        <v>0</v>
      </c>
      <c r="J189" s="342" t="s">
        <v>1209</v>
      </c>
      <c r="K189" s="342"/>
      <c r="L189" s="342" t="s">
        <v>1209</v>
      </c>
      <c r="M189" s="342"/>
      <c r="N189" s="342"/>
      <c r="O189" s="342"/>
      <c r="P189" s="342"/>
      <c r="Q189" s="343"/>
      <c r="R189" s="266"/>
      <c r="S189" s="266"/>
      <c r="T189" s="266"/>
    </row>
    <row r="190" spans="1:23" ht="30" customHeight="1">
      <c r="A190" s="340">
        <v>185</v>
      </c>
      <c r="B190" s="344" t="s">
        <v>1204</v>
      </c>
      <c r="C190" s="340" t="s">
        <v>799</v>
      </c>
      <c r="D190" s="340"/>
      <c r="E190" s="340" t="s">
        <v>89</v>
      </c>
      <c r="F190" s="345">
        <v>862.8</v>
      </c>
      <c r="G190" s="346">
        <v>862.8</v>
      </c>
      <c r="H190" s="346">
        <v>862.8</v>
      </c>
      <c r="I190" s="346">
        <f t="shared" si="3"/>
        <v>0</v>
      </c>
      <c r="J190" s="342" t="s">
        <v>995</v>
      </c>
      <c r="K190" s="342"/>
      <c r="L190" s="342" t="s">
        <v>995</v>
      </c>
      <c r="M190" s="342"/>
      <c r="N190" s="342"/>
      <c r="O190" s="342"/>
      <c r="P190" s="342"/>
      <c r="Q190" s="343"/>
      <c r="R190" s="266"/>
      <c r="S190" s="266"/>
      <c r="T190" s="266"/>
    </row>
    <row r="191" spans="1:23" ht="30" customHeight="1">
      <c r="A191" s="340">
        <v>186</v>
      </c>
      <c r="B191" s="344" t="s">
        <v>1204</v>
      </c>
      <c r="C191" s="340" t="s">
        <v>334</v>
      </c>
      <c r="D191" s="340"/>
      <c r="E191" s="340" t="s">
        <v>84</v>
      </c>
      <c r="F191" s="345">
        <v>83.7</v>
      </c>
      <c r="G191" s="346">
        <v>83.7</v>
      </c>
      <c r="H191" s="346">
        <v>83.7</v>
      </c>
      <c r="I191" s="346">
        <f t="shared" si="3"/>
        <v>0</v>
      </c>
      <c r="J191" s="342" t="s">
        <v>1208</v>
      </c>
      <c r="K191" s="342"/>
      <c r="L191" s="342" t="s">
        <v>1208</v>
      </c>
      <c r="M191" s="342"/>
      <c r="N191" s="342"/>
      <c r="O191" s="342"/>
      <c r="P191" s="342"/>
      <c r="Q191" s="343"/>
      <c r="R191" s="266"/>
      <c r="S191" s="266"/>
      <c r="T191" s="266"/>
    </row>
    <row r="192" spans="1:23" ht="30" customHeight="1">
      <c r="A192" s="340">
        <v>187</v>
      </c>
      <c r="B192" s="344" t="s">
        <v>1204</v>
      </c>
      <c r="C192" s="340" t="s">
        <v>335</v>
      </c>
      <c r="D192" s="340"/>
      <c r="E192" s="340" t="s">
        <v>87</v>
      </c>
      <c r="F192" s="345">
        <v>57.7</v>
      </c>
      <c r="G192" s="346">
        <v>57.7</v>
      </c>
      <c r="H192" s="346">
        <v>57.7</v>
      </c>
      <c r="I192" s="346">
        <f t="shared" si="3"/>
        <v>0</v>
      </c>
      <c r="J192" s="342" t="s">
        <v>1209</v>
      </c>
      <c r="K192" s="342"/>
      <c r="L192" s="342" t="s">
        <v>1209</v>
      </c>
      <c r="M192" s="342"/>
      <c r="N192" s="342"/>
      <c r="O192" s="342"/>
      <c r="P192" s="342"/>
      <c r="Q192" s="343"/>
      <c r="R192" s="266"/>
      <c r="S192" s="266"/>
      <c r="T192" s="266"/>
    </row>
    <row r="193" spans="1:23" ht="30" customHeight="1">
      <c r="A193" s="340">
        <v>188</v>
      </c>
      <c r="B193" s="344" t="s">
        <v>1204</v>
      </c>
      <c r="C193" s="340" t="s">
        <v>732</v>
      </c>
      <c r="D193" s="340"/>
      <c r="E193" s="340" t="s">
        <v>85</v>
      </c>
      <c r="F193" s="345">
        <v>24</v>
      </c>
      <c r="G193" s="346">
        <v>24</v>
      </c>
      <c r="H193" s="346">
        <v>24</v>
      </c>
      <c r="I193" s="346">
        <f t="shared" si="3"/>
        <v>0</v>
      </c>
      <c r="J193" s="342" t="s">
        <v>995</v>
      </c>
      <c r="K193" s="342"/>
      <c r="L193" s="342" t="s">
        <v>995</v>
      </c>
      <c r="M193" s="342"/>
      <c r="N193" s="342"/>
      <c r="O193" s="342"/>
      <c r="P193" s="342"/>
      <c r="Q193" s="343"/>
      <c r="R193" s="266"/>
      <c r="S193" s="266"/>
      <c r="T193" s="268"/>
    </row>
    <row r="194" spans="1:23" ht="30" customHeight="1">
      <c r="A194" s="340">
        <v>189</v>
      </c>
      <c r="B194" s="344" t="s">
        <v>1204</v>
      </c>
      <c r="C194" s="340" t="s">
        <v>731</v>
      </c>
      <c r="D194" s="340"/>
      <c r="E194" s="340" t="s">
        <v>85</v>
      </c>
      <c r="F194" s="345">
        <v>176</v>
      </c>
      <c r="G194" s="346">
        <v>176</v>
      </c>
      <c r="H194" s="346">
        <v>176</v>
      </c>
      <c r="I194" s="346">
        <f t="shared" si="3"/>
        <v>0</v>
      </c>
      <c r="J194" s="342" t="s">
        <v>1237</v>
      </c>
      <c r="K194" s="342" t="s">
        <v>800</v>
      </c>
      <c r="L194" s="342" t="s">
        <v>995</v>
      </c>
      <c r="M194" s="342"/>
      <c r="N194" s="342"/>
      <c r="O194" s="342"/>
      <c r="P194" s="342"/>
      <c r="Q194" s="343"/>
      <c r="R194" s="266"/>
      <c r="S194" s="266"/>
      <c r="T194" s="268"/>
    </row>
    <row r="195" spans="1:23" ht="30" customHeight="1">
      <c r="A195" s="340">
        <v>190</v>
      </c>
      <c r="B195" s="344" t="s">
        <v>1204</v>
      </c>
      <c r="C195" s="340" t="s">
        <v>337</v>
      </c>
      <c r="D195" s="340"/>
      <c r="E195" s="340" t="s">
        <v>85</v>
      </c>
      <c r="F195" s="345">
        <v>32</v>
      </c>
      <c r="G195" s="346">
        <v>32</v>
      </c>
      <c r="H195" s="346">
        <v>32</v>
      </c>
      <c r="I195" s="346">
        <f t="shared" si="3"/>
        <v>0</v>
      </c>
      <c r="J195" s="342" t="s">
        <v>995</v>
      </c>
      <c r="K195" s="342"/>
      <c r="L195" s="342" t="s">
        <v>995</v>
      </c>
      <c r="M195" s="342"/>
      <c r="N195" s="342"/>
      <c r="O195" s="342"/>
      <c r="P195" s="342"/>
      <c r="Q195" s="343"/>
      <c r="R195" s="266"/>
      <c r="S195" s="266"/>
      <c r="T195" s="268"/>
    </row>
    <row r="196" spans="1:23" ht="30" customHeight="1">
      <c r="A196" s="340">
        <v>191</v>
      </c>
      <c r="B196" s="344" t="s">
        <v>1204</v>
      </c>
      <c r="C196" s="340" t="s">
        <v>735</v>
      </c>
      <c r="D196" s="340"/>
      <c r="E196" s="340" t="s">
        <v>109</v>
      </c>
      <c r="F196" s="345">
        <v>47</v>
      </c>
      <c r="G196" s="346">
        <v>47</v>
      </c>
      <c r="H196" s="346">
        <v>47</v>
      </c>
      <c r="I196" s="346">
        <f t="shared" si="3"/>
        <v>0</v>
      </c>
      <c r="J196" s="342" t="s">
        <v>995</v>
      </c>
      <c r="K196" s="342"/>
      <c r="L196" s="342" t="s">
        <v>995</v>
      </c>
      <c r="M196" s="342"/>
      <c r="N196" s="342"/>
      <c r="O196" s="342"/>
      <c r="P196" s="342"/>
      <c r="Q196" s="343"/>
      <c r="R196" s="266"/>
      <c r="S196" s="266"/>
      <c r="T196" s="268"/>
    </row>
    <row r="197" spans="1:23" ht="30" customHeight="1">
      <c r="A197" s="340">
        <v>192</v>
      </c>
      <c r="B197" s="344" t="s">
        <v>1204</v>
      </c>
      <c r="C197" s="340" t="s">
        <v>338</v>
      </c>
      <c r="D197" s="340"/>
      <c r="E197" s="340" t="s">
        <v>85</v>
      </c>
      <c r="F197" s="345">
        <v>54</v>
      </c>
      <c r="G197" s="346">
        <v>54</v>
      </c>
      <c r="H197" s="346">
        <v>54</v>
      </c>
      <c r="I197" s="346">
        <f t="shared" si="3"/>
        <v>0</v>
      </c>
      <c r="J197" s="342" t="s">
        <v>995</v>
      </c>
      <c r="K197" s="342"/>
      <c r="L197" s="342" t="s">
        <v>995</v>
      </c>
      <c r="M197" s="342"/>
      <c r="N197" s="342"/>
      <c r="O197" s="342"/>
      <c r="P197" s="342"/>
      <c r="Q197" s="343"/>
      <c r="R197" s="266"/>
      <c r="S197" s="266"/>
      <c r="T197" s="288"/>
      <c r="U197" s="266"/>
      <c r="V197" s="266"/>
      <c r="W197" s="266"/>
    </row>
    <row r="198" spans="1:23" ht="30" customHeight="1">
      <c r="A198" s="340">
        <v>193</v>
      </c>
      <c r="B198" s="344" t="s">
        <v>1204</v>
      </c>
      <c r="C198" s="340" t="s">
        <v>339</v>
      </c>
      <c r="D198" s="340"/>
      <c r="E198" s="340" t="s">
        <v>109</v>
      </c>
      <c r="F198" s="345">
        <v>3</v>
      </c>
      <c r="G198" s="346">
        <v>3</v>
      </c>
      <c r="H198" s="346">
        <v>3</v>
      </c>
      <c r="I198" s="346">
        <f t="shared" si="3"/>
        <v>0</v>
      </c>
      <c r="J198" s="342" t="s">
        <v>995</v>
      </c>
      <c r="K198" s="342"/>
      <c r="L198" s="342" t="s">
        <v>995</v>
      </c>
      <c r="M198" s="342"/>
      <c r="N198" s="342"/>
      <c r="O198" s="342"/>
      <c r="P198" s="342"/>
      <c r="Q198" s="343"/>
      <c r="R198" s="266"/>
      <c r="S198" s="266"/>
      <c r="T198" s="288"/>
      <c r="U198" s="266"/>
      <c r="V198" s="266"/>
      <c r="W198" s="266"/>
    </row>
    <row r="199" spans="1:23" ht="30" customHeight="1">
      <c r="A199" s="340">
        <v>194</v>
      </c>
      <c r="B199" s="344" t="s">
        <v>1204</v>
      </c>
      <c r="C199" s="340" t="s">
        <v>340</v>
      </c>
      <c r="D199" s="340"/>
      <c r="E199" s="340" t="s">
        <v>85</v>
      </c>
      <c r="F199" s="345">
        <v>90</v>
      </c>
      <c r="G199" s="346">
        <v>90</v>
      </c>
      <c r="H199" s="346">
        <v>90</v>
      </c>
      <c r="I199" s="346">
        <f t="shared" si="3"/>
        <v>0</v>
      </c>
      <c r="J199" s="342" t="s">
        <v>995</v>
      </c>
      <c r="K199" s="342"/>
      <c r="L199" s="342" t="s">
        <v>995</v>
      </c>
      <c r="M199" s="342"/>
      <c r="N199" s="342"/>
      <c r="O199" s="342"/>
      <c r="P199" s="342"/>
      <c r="Q199" s="343"/>
      <c r="R199" s="266"/>
      <c r="S199" s="266"/>
      <c r="T199" s="266"/>
    </row>
    <row r="200" spans="1:23" ht="30" customHeight="1">
      <c r="A200" s="340">
        <v>195</v>
      </c>
      <c r="B200" s="344" t="s">
        <v>1204</v>
      </c>
      <c r="C200" s="340" t="s">
        <v>341</v>
      </c>
      <c r="D200" s="340"/>
      <c r="E200" s="340" t="s">
        <v>89</v>
      </c>
      <c r="F200" s="345">
        <v>201</v>
      </c>
      <c r="G200" s="346">
        <v>16</v>
      </c>
      <c r="H200" s="346">
        <v>16</v>
      </c>
      <c r="I200" s="346">
        <f t="shared" si="3"/>
        <v>0</v>
      </c>
      <c r="J200" s="342" t="s">
        <v>995</v>
      </c>
      <c r="K200" s="342"/>
      <c r="L200" s="342" t="s">
        <v>995</v>
      </c>
      <c r="M200" s="342"/>
      <c r="N200" s="342"/>
      <c r="O200" s="342"/>
      <c r="P200" s="342"/>
      <c r="Q200" s="343"/>
      <c r="R200" s="266"/>
      <c r="S200" s="266"/>
      <c r="T200" s="266"/>
    </row>
    <row r="201" spans="1:23" ht="30" customHeight="1">
      <c r="A201" s="340">
        <v>196</v>
      </c>
      <c r="B201" s="344" t="s">
        <v>1204</v>
      </c>
      <c r="C201" s="340" t="s">
        <v>342</v>
      </c>
      <c r="D201" s="340"/>
      <c r="E201" s="340" t="s">
        <v>87</v>
      </c>
      <c r="F201" s="345">
        <v>36.4</v>
      </c>
      <c r="G201" s="346">
        <v>36.4</v>
      </c>
      <c r="H201" s="346">
        <v>36.4</v>
      </c>
      <c r="I201" s="346">
        <f t="shared" si="3"/>
        <v>0</v>
      </c>
      <c r="J201" s="342" t="s">
        <v>1209</v>
      </c>
      <c r="K201" s="342"/>
      <c r="L201" s="342" t="s">
        <v>1209</v>
      </c>
      <c r="M201" s="342"/>
      <c r="N201" s="342"/>
      <c r="O201" s="342"/>
      <c r="P201" s="342"/>
      <c r="Q201" s="343"/>
      <c r="R201" s="266"/>
      <c r="S201" s="266"/>
      <c r="T201" s="266"/>
    </row>
    <row r="202" spans="1:23" ht="30" customHeight="1">
      <c r="A202" s="340">
        <v>197</v>
      </c>
      <c r="B202" s="344" t="s">
        <v>1204</v>
      </c>
      <c r="C202" s="340" t="s">
        <v>343</v>
      </c>
      <c r="D202" s="340"/>
      <c r="E202" s="340" t="s">
        <v>84</v>
      </c>
      <c r="F202" s="345">
        <v>76</v>
      </c>
      <c r="G202" s="346">
        <v>45</v>
      </c>
      <c r="H202" s="346">
        <v>76</v>
      </c>
      <c r="I202" s="346">
        <f t="shared" si="3"/>
        <v>31</v>
      </c>
      <c r="J202" s="342" t="s">
        <v>1238</v>
      </c>
      <c r="K202" s="342" t="s">
        <v>801</v>
      </c>
      <c r="L202" s="342" t="s">
        <v>1239</v>
      </c>
      <c r="M202" s="342" t="s">
        <v>801</v>
      </c>
      <c r="N202" s="342"/>
      <c r="O202" s="342"/>
      <c r="P202" s="342"/>
      <c r="Q202" s="343"/>
      <c r="R202" s="266"/>
      <c r="S202" s="266"/>
      <c r="T202" s="266"/>
    </row>
    <row r="203" spans="1:23" ht="30" customHeight="1">
      <c r="A203" s="340">
        <v>198</v>
      </c>
      <c r="B203" s="344" t="s">
        <v>1204</v>
      </c>
      <c r="C203" s="340" t="s">
        <v>345</v>
      </c>
      <c r="D203" s="340"/>
      <c r="E203" s="340" t="s">
        <v>87</v>
      </c>
      <c r="F203" s="345">
        <v>120.2</v>
      </c>
      <c r="G203" s="346">
        <v>120.2</v>
      </c>
      <c r="H203" s="346">
        <v>120.2</v>
      </c>
      <c r="I203" s="346">
        <f t="shared" si="3"/>
        <v>0</v>
      </c>
      <c r="J203" s="342" t="s">
        <v>1209</v>
      </c>
      <c r="K203" s="342"/>
      <c r="L203" s="342" t="s">
        <v>1209</v>
      </c>
      <c r="M203" s="342"/>
      <c r="N203" s="342"/>
      <c r="O203" s="342"/>
      <c r="P203" s="342"/>
      <c r="Q203" s="343"/>
      <c r="R203" s="266"/>
      <c r="S203" s="266"/>
      <c r="T203" s="266"/>
    </row>
    <row r="204" spans="1:23" ht="30" customHeight="1">
      <c r="A204" s="340">
        <v>199</v>
      </c>
      <c r="B204" s="344" t="s">
        <v>1204</v>
      </c>
      <c r="C204" s="340" t="s">
        <v>727</v>
      </c>
      <c r="D204" s="340"/>
      <c r="E204" s="340" t="s">
        <v>89</v>
      </c>
      <c r="F204" s="345">
        <v>2109.9</v>
      </c>
      <c r="G204" s="346">
        <v>2109.9</v>
      </c>
      <c r="H204" s="346">
        <v>2109.9</v>
      </c>
      <c r="I204" s="346">
        <f t="shared" si="3"/>
        <v>0</v>
      </c>
      <c r="J204" s="342" t="s">
        <v>1240</v>
      </c>
      <c r="K204" s="342" t="s">
        <v>802</v>
      </c>
      <c r="L204" s="342" t="s">
        <v>995</v>
      </c>
      <c r="M204" s="342"/>
      <c r="N204" s="342"/>
      <c r="O204" s="342"/>
      <c r="P204" s="342"/>
      <c r="Q204" s="343"/>
      <c r="R204" s="266"/>
      <c r="S204" s="266"/>
      <c r="T204" s="266"/>
    </row>
    <row r="205" spans="1:23" ht="30" customHeight="1">
      <c r="A205" s="340">
        <v>200</v>
      </c>
      <c r="B205" s="344" t="s">
        <v>1204</v>
      </c>
      <c r="C205" s="340" t="s">
        <v>347</v>
      </c>
      <c r="D205" s="340"/>
      <c r="E205" s="340" t="s">
        <v>89</v>
      </c>
      <c r="F205" s="345">
        <v>1704.2</v>
      </c>
      <c r="G205" s="346">
        <v>1704.2</v>
      </c>
      <c r="H205" s="346">
        <v>1704.2</v>
      </c>
      <c r="I205" s="346">
        <f t="shared" si="3"/>
        <v>0</v>
      </c>
      <c r="J205" s="342" t="s">
        <v>995</v>
      </c>
      <c r="K205" s="342"/>
      <c r="L205" s="342" t="s">
        <v>995</v>
      </c>
      <c r="M205" s="342"/>
      <c r="N205" s="342"/>
      <c r="O205" s="342"/>
      <c r="P205" s="342"/>
      <c r="Q205" s="343"/>
      <c r="R205" s="266"/>
      <c r="S205" s="266"/>
      <c r="T205" s="266"/>
    </row>
    <row r="206" spans="1:23" ht="30" customHeight="1">
      <c r="A206" s="340">
        <v>201</v>
      </c>
      <c r="B206" s="344" t="s">
        <v>1204</v>
      </c>
      <c r="C206" s="340" t="s">
        <v>803</v>
      </c>
      <c r="D206" s="340"/>
      <c r="E206" s="340" t="s">
        <v>89</v>
      </c>
      <c r="F206" s="345">
        <v>1475</v>
      </c>
      <c r="G206" s="346">
        <v>1475</v>
      </c>
      <c r="H206" s="346">
        <v>1475</v>
      </c>
      <c r="I206" s="346">
        <f t="shared" si="3"/>
        <v>0</v>
      </c>
      <c r="J206" s="342" t="s">
        <v>995</v>
      </c>
      <c r="K206" s="342"/>
      <c r="L206" s="342" t="s">
        <v>995</v>
      </c>
      <c r="M206" s="342"/>
      <c r="N206" s="342"/>
      <c r="O206" s="342"/>
      <c r="P206" s="342"/>
      <c r="Q206" s="343"/>
      <c r="R206" s="266"/>
      <c r="S206" s="266"/>
      <c r="T206" s="266"/>
    </row>
    <row r="207" spans="1:23" ht="30" customHeight="1">
      <c r="A207" s="340">
        <v>202</v>
      </c>
      <c r="B207" s="344" t="s">
        <v>1204</v>
      </c>
      <c r="C207" s="340" t="s">
        <v>349</v>
      </c>
      <c r="D207" s="340"/>
      <c r="E207" s="340" t="s">
        <v>89</v>
      </c>
      <c r="F207" s="345">
        <v>1524.2</v>
      </c>
      <c r="G207" s="346">
        <v>1524.2</v>
      </c>
      <c r="H207" s="346">
        <v>1524.2</v>
      </c>
      <c r="I207" s="346">
        <f t="shared" si="3"/>
        <v>0</v>
      </c>
      <c r="J207" s="342" t="s">
        <v>995</v>
      </c>
      <c r="K207" s="342"/>
      <c r="L207" s="342" t="s">
        <v>995</v>
      </c>
      <c r="M207" s="342"/>
      <c r="N207" s="342"/>
      <c r="O207" s="342"/>
      <c r="P207" s="342"/>
      <c r="Q207" s="343"/>
      <c r="R207" s="266"/>
      <c r="S207" s="266"/>
      <c r="T207" s="266"/>
    </row>
    <row r="208" spans="1:23" ht="30" customHeight="1">
      <c r="A208" s="340">
        <v>203</v>
      </c>
      <c r="B208" s="344" t="s">
        <v>1204</v>
      </c>
      <c r="C208" s="340" t="s">
        <v>350</v>
      </c>
      <c r="D208" s="340"/>
      <c r="E208" s="340" t="s">
        <v>89</v>
      </c>
      <c r="F208" s="345">
        <v>532.6</v>
      </c>
      <c r="G208" s="346">
        <v>532.6</v>
      </c>
      <c r="H208" s="346">
        <v>532.6</v>
      </c>
      <c r="I208" s="346">
        <f t="shared" si="3"/>
        <v>0</v>
      </c>
      <c r="J208" s="342" t="s">
        <v>995</v>
      </c>
      <c r="K208" s="342"/>
      <c r="L208" s="342" t="s">
        <v>995</v>
      </c>
      <c r="M208" s="342"/>
      <c r="N208" s="342"/>
      <c r="O208" s="342"/>
      <c r="P208" s="342"/>
      <c r="Q208" s="343"/>
      <c r="R208" s="266"/>
      <c r="S208" s="266"/>
      <c r="T208" s="266"/>
    </row>
    <row r="209" spans="1:23" ht="30" customHeight="1">
      <c r="A209" s="340">
        <v>204</v>
      </c>
      <c r="B209" s="344" t="s">
        <v>1204</v>
      </c>
      <c r="C209" s="340" t="s">
        <v>351</v>
      </c>
      <c r="D209" s="340"/>
      <c r="E209" s="340" t="s">
        <v>89</v>
      </c>
      <c r="F209" s="345">
        <v>59.8</v>
      </c>
      <c r="G209" s="346">
        <v>59.8</v>
      </c>
      <c r="H209" s="346">
        <v>59.8</v>
      </c>
      <c r="I209" s="346">
        <f t="shared" si="3"/>
        <v>0</v>
      </c>
      <c r="J209" s="342" t="s">
        <v>995</v>
      </c>
      <c r="K209" s="342"/>
      <c r="L209" s="342" t="s">
        <v>995</v>
      </c>
      <c r="M209" s="342"/>
      <c r="N209" s="342"/>
      <c r="O209" s="342"/>
      <c r="P209" s="342"/>
      <c r="Q209" s="343"/>
      <c r="R209" s="266"/>
      <c r="S209" s="266"/>
      <c r="T209" s="266"/>
    </row>
    <row r="210" spans="1:23" ht="30" customHeight="1">
      <c r="A210" s="340">
        <v>205</v>
      </c>
      <c r="B210" s="344" t="s">
        <v>1204</v>
      </c>
      <c r="C210" s="340" t="s">
        <v>804</v>
      </c>
      <c r="D210" s="340"/>
      <c r="E210" s="340" t="s">
        <v>87</v>
      </c>
      <c r="F210" s="345">
        <v>591.9</v>
      </c>
      <c r="G210" s="346">
        <v>591.9</v>
      </c>
      <c r="H210" s="346">
        <v>591.9</v>
      </c>
      <c r="I210" s="346">
        <f t="shared" si="3"/>
        <v>0</v>
      </c>
      <c r="J210" s="342" t="s">
        <v>1209</v>
      </c>
      <c r="K210" s="342"/>
      <c r="L210" s="342" t="s">
        <v>1209</v>
      </c>
      <c r="M210" s="342"/>
      <c r="N210" s="342"/>
      <c r="O210" s="342"/>
      <c r="P210" s="342"/>
      <c r="Q210" s="343"/>
      <c r="R210" s="266"/>
      <c r="S210" s="266"/>
      <c r="T210" s="266"/>
    </row>
    <row r="211" spans="1:23" ht="30" customHeight="1">
      <c r="A211" s="340">
        <v>206</v>
      </c>
      <c r="B211" s="344" t="s">
        <v>1204</v>
      </c>
      <c r="C211" s="340" t="s">
        <v>805</v>
      </c>
      <c r="D211" s="340"/>
      <c r="E211" s="340" t="s">
        <v>87</v>
      </c>
      <c r="F211" s="345">
        <v>43</v>
      </c>
      <c r="G211" s="346">
        <v>43</v>
      </c>
      <c r="H211" s="346">
        <v>43</v>
      </c>
      <c r="I211" s="346">
        <f t="shared" si="3"/>
        <v>0</v>
      </c>
      <c r="J211" s="342" t="s">
        <v>1209</v>
      </c>
      <c r="K211" s="342"/>
      <c r="L211" s="342" t="s">
        <v>1209</v>
      </c>
      <c r="M211" s="342"/>
      <c r="N211" s="342"/>
      <c r="O211" s="342"/>
      <c r="P211" s="342"/>
      <c r="Q211" s="343"/>
      <c r="R211" s="266"/>
      <c r="S211" s="266"/>
      <c r="T211" s="266"/>
    </row>
    <row r="212" spans="1:23" ht="30" customHeight="1">
      <c r="A212" s="340">
        <v>207</v>
      </c>
      <c r="B212" s="344" t="s">
        <v>1204</v>
      </c>
      <c r="C212" s="340" t="s">
        <v>806</v>
      </c>
      <c r="D212" s="340"/>
      <c r="E212" s="340" t="s">
        <v>85</v>
      </c>
      <c r="F212" s="345">
        <v>584</v>
      </c>
      <c r="G212" s="346">
        <v>584</v>
      </c>
      <c r="H212" s="346">
        <v>584</v>
      </c>
      <c r="I212" s="346">
        <f t="shared" si="3"/>
        <v>0</v>
      </c>
      <c r="J212" s="342" t="s">
        <v>995</v>
      </c>
      <c r="K212" s="342"/>
      <c r="L212" s="342" t="s">
        <v>995</v>
      </c>
      <c r="M212" s="342"/>
      <c r="N212" s="342"/>
      <c r="O212" s="342"/>
      <c r="P212" s="342"/>
      <c r="Q212" s="343"/>
      <c r="R212" s="266"/>
      <c r="S212" s="266"/>
      <c r="T212" s="266"/>
    </row>
    <row r="213" spans="1:23" ht="30" customHeight="1">
      <c r="A213" s="340">
        <v>208</v>
      </c>
      <c r="B213" s="344" t="s">
        <v>1204</v>
      </c>
      <c r="C213" s="340" t="s">
        <v>353</v>
      </c>
      <c r="D213" s="340"/>
      <c r="E213" s="340" t="s">
        <v>85</v>
      </c>
      <c r="F213" s="345">
        <v>3</v>
      </c>
      <c r="G213" s="346">
        <v>3</v>
      </c>
      <c r="H213" s="346">
        <v>3</v>
      </c>
      <c r="I213" s="346">
        <f t="shared" si="3"/>
        <v>0</v>
      </c>
      <c r="J213" s="342" t="s">
        <v>1241</v>
      </c>
      <c r="K213" s="342" t="s">
        <v>807</v>
      </c>
      <c r="L213" s="342" t="s">
        <v>995</v>
      </c>
      <c r="M213" s="342"/>
      <c r="N213" s="342"/>
      <c r="O213" s="342"/>
      <c r="P213" s="342"/>
      <c r="Q213" s="343"/>
      <c r="R213" s="266"/>
      <c r="S213" s="266"/>
      <c r="T213" s="266"/>
    </row>
    <row r="214" spans="1:23" ht="30" customHeight="1">
      <c r="A214" s="340">
        <v>209</v>
      </c>
      <c r="B214" s="344" t="s">
        <v>1204</v>
      </c>
      <c r="C214" s="340" t="s">
        <v>354</v>
      </c>
      <c r="D214" s="340"/>
      <c r="E214" s="340" t="s">
        <v>89</v>
      </c>
      <c r="F214" s="345">
        <v>1034</v>
      </c>
      <c r="G214" s="346">
        <v>1034</v>
      </c>
      <c r="H214" s="346">
        <v>1034</v>
      </c>
      <c r="I214" s="346">
        <f t="shared" si="3"/>
        <v>0</v>
      </c>
      <c r="J214" s="342" t="s">
        <v>995</v>
      </c>
      <c r="K214" s="342"/>
      <c r="L214" s="342" t="s">
        <v>995</v>
      </c>
      <c r="M214" s="342"/>
      <c r="N214" s="342"/>
      <c r="O214" s="342"/>
      <c r="P214" s="342"/>
      <c r="Q214" s="343"/>
      <c r="R214" s="266"/>
      <c r="S214" s="266"/>
      <c r="T214" s="268"/>
    </row>
    <row r="215" spans="1:23" ht="30" customHeight="1">
      <c r="A215" s="340">
        <v>210</v>
      </c>
      <c r="B215" s="344" t="s">
        <v>1204</v>
      </c>
      <c r="C215" s="340" t="s">
        <v>808</v>
      </c>
      <c r="D215" s="340"/>
      <c r="E215" s="340" t="s">
        <v>89</v>
      </c>
      <c r="F215" s="345">
        <v>1240.5999999999999</v>
      </c>
      <c r="G215" s="346">
        <v>1240.5999999999999</v>
      </c>
      <c r="H215" s="346">
        <v>1240.5999999999999</v>
      </c>
      <c r="I215" s="346">
        <f t="shared" si="3"/>
        <v>0</v>
      </c>
      <c r="J215" s="342" t="s">
        <v>995</v>
      </c>
      <c r="K215" s="342"/>
      <c r="L215" s="342" t="s">
        <v>995</v>
      </c>
      <c r="M215" s="342"/>
      <c r="N215" s="342"/>
      <c r="O215" s="342"/>
      <c r="P215" s="342"/>
      <c r="Q215" s="343"/>
      <c r="R215" s="266"/>
      <c r="S215" s="266"/>
      <c r="T215" s="268"/>
    </row>
    <row r="216" spans="1:23" ht="30" customHeight="1">
      <c r="A216" s="340">
        <v>211</v>
      </c>
      <c r="B216" s="344" t="s">
        <v>1204</v>
      </c>
      <c r="C216" s="340" t="s">
        <v>355</v>
      </c>
      <c r="D216" s="340"/>
      <c r="E216" s="340" t="s">
        <v>89</v>
      </c>
      <c r="F216" s="345">
        <v>939.9</v>
      </c>
      <c r="G216" s="346">
        <v>939.9</v>
      </c>
      <c r="H216" s="346">
        <v>939.9</v>
      </c>
      <c r="I216" s="346">
        <f t="shared" si="3"/>
        <v>0</v>
      </c>
      <c r="J216" s="342" t="s">
        <v>995</v>
      </c>
      <c r="K216" s="342"/>
      <c r="L216" s="342" t="s">
        <v>995</v>
      </c>
      <c r="M216" s="342"/>
      <c r="N216" s="342"/>
      <c r="O216" s="342"/>
      <c r="P216" s="342"/>
      <c r="Q216" s="343"/>
      <c r="R216" s="266"/>
      <c r="S216" s="266"/>
      <c r="T216" s="268"/>
    </row>
    <row r="217" spans="1:23" ht="30" customHeight="1">
      <c r="A217" s="340">
        <v>212</v>
      </c>
      <c r="B217" s="344" t="s">
        <v>1204</v>
      </c>
      <c r="C217" s="340" t="s">
        <v>356</v>
      </c>
      <c r="D217" s="340"/>
      <c r="E217" s="340" t="s">
        <v>89</v>
      </c>
      <c r="F217" s="345">
        <v>1357</v>
      </c>
      <c r="G217" s="346">
        <v>1357</v>
      </c>
      <c r="H217" s="346">
        <v>1357</v>
      </c>
      <c r="I217" s="346">
        <f t="shared" si="3"/>
        <v>0</v>
      </c>
      <c r="J217" s="342" t="s">
        <v>995</v>
      </c>
      <c r="K217" s="342"/>
      <c r="L217" s="342" t="s">
        <v>995</v>
      </c>
      <c r="M217" s="342"/>
      <c r="N217" s="342"/>
      <c r="O217" s="342"/>
      <c r="P217" s="342"/>
      <c r="Q217" s="343"/>
      <c r="R217" s="266"/>
      <c r="S217" s="266"/>
      <c r="T217" s="268"/>
    </row>
    <row r="218" spans="1:23" ht="30" customHeight="1">
      <c r="A218" s="340">
        <v>213</v>
      </c>
      <c r="B218" s="344" t="s">
        <v>1204</v>
      </c>
      <c r="C218" s="340" t="s">
        <v>357</v>
      </c>
      <c r="D218" s="340"/>
      <c r="E218" s="340" t="s">
        <v>89</v>
      </c>
      <c r="F218" s="345">
        <v>37</v>
      </c>
      <c r="G218" s="346">
        <v>37</v>
      </c>
      <c r="H218" s="346">
        <v>37</v>
      </c>
      <c r="I218" s="346">
        <f t="shared" si="3"/>
        <v>0</v>
      </c>
      <c r="J218" s="342" t="s">
        <v>995</v>
      </c>
      <c r="K218" s="342"/>
      <c r="L218" s="342" t="s">
        <v>995</v>
      </c>
      <c r="M218" s="342"/>
      <c r="N218" s="342"/>
      <c r="O218" s="342"/>
      <c r="P218" s="342"/>
      <c r="Q218" s="343"/>
      <c r="R218" s="266"/>
      <c r="S218" s="266"/>
      <c r="T218" s="288"/>
      <c r="U218" s="266"/>
      <c r="V218" s="266"/>
      <c r="W218" s="266"/>
    </row>
    <row r="219" spans="1:23" ht="30" customHeight="1">
      <c r="A219" s="340">
        <v>214</v>
      </c>
      <c r="B219" s="344" t="s">
        <v>1204</v>
      </c>
      <c r="C219" s="340" t="s">
        <v>809</v>
      </c>
      <c r="D219" s="340"/>
      <c r="E219" s="340" t="s">
        <v>87</v>
      </c>
      <c r="F219" s="345">
        <v>171.2</v>
      </c>
      <c r="G219" s="346">
        <v>171.2</v>
      </c>
      <c r="H219" s="346">
        <v>171.2</v>
      </c>
      <c r="I219" s="346">
        <f t="shared" ref="I219:I282" si="4">H219-G219</f>
        <v>0</v>
      </c>
      <c r="J219" s="342" t="s">
        <v>1209</v>
      </c>
      <c r="K219" s="342"/>
      <c r="L219" s="342" t="s">
        <v>1209</v>
      </c>
      <c r="M219" s="342"/>
      <c r="N219" s="342"/>
      <c r="O219" s="342"/>
      <c r="P219" s="342"/>
      <c r="Q219" s="343"/>
      <c r="R219" s="266"/>
      <c r="S219" s="266"/>
      <c r="T219" s="288"/>
      <c r="U219" s="266"/>
      <c r="V219" s="266"/>
      <c r="W219" s="266"/>
    </row>
    <row r="220" spans="1:23" ht="30" customHeight="1">
      <c r="A220" s="340">
        <v>215</v>
      </c>
      <c r="B220" s="344" t="s">
        <v>1204</v>
      </c>
      <c r="C220" s="340" t="s">
        <v>810</v>
      </c>
      <c r="D220" s="340"/>
      <c r="E220" s="340" t="s">
        <v>85</v>
      </c>
      <c r="F220" s="345">
        <v>44</v>
      </c>
      <c r="G220" s="346">
        <v>44</v>
      </c>
      <c r="H220" s="346">
        <v>44</v>
      </c>
      <c r="I220" s="346">
        <f t="shared" si="4"/>
        <v>0</v>
      </c>
      <c r="J220" s="342" t="s">
        <v>995</v>
      </c>
      <c r="K220" s="342"/>
      <c r="L220" s="342" t="s">
        <v>995</v>
      </c>
      <c r="M220" s="342"/>
      <c r="N220" s="342"/>
      <c r="O220" s="342"/>
      <c r="P220" s="342"/>
      <c r="Q220" s="343"/>
      <c r="R220" s="266"/>
      <c r="S220" s="266"/>
      <c r="T220" s="266"/>
    </row>
    <row r="221" spans="1:23" ht="30" customHeight="1">
      <c r="A221" s="340">
        <v>216</v>
      </c>
      <c r="B221" s="344" t="s">
        <v>1204</v>
      </c>
      <c r="C221" s="340" t="s">
        <v>358</v>
      </c>
      <c r="D221" s="340"/>
      <c r="E221" s="340" t="s">
        <v>87</v>
      </c>
      <c r="F221" s="345">
        <v>356</v>
      </c>
      <c r="G221" s="346">
        <v>356</v>
      </c>
      <c r="H221" s="346">
        <v>356</v>
      </c>
      <c r="I221" s="346">
        <f t="shared" si="4"/>
        <v>0</v>
      </c>
      <c r="J221" s="342" t="s">
        <v>1209</v>
      </c>
      <c r="K221" s="342"/>
      <c r="L221" s="342" t="s">
        <v>1209</v>
      </c>
      <c r="M221" s="342"/>
      <c r="N221" s="342"/>
      <c r="O221" s="342"/>
      <c r="P221" s="342"/>
      <c r="Q221" s="343"/>
      <c r="R221" s="266"/>
      <c r="S221" s="266"/>
      <c r="T221" s="266"/>
    </row>
    <row r="222" spans="1:23" ht="30" customHeight="1">
      <c r="A222" s="340">
        <v>217</v>
      </c>
      <c r="B222" s="344" t="s">
        <v>1204</v>
      </c>
      <c r="C222" s="340" t="s">
        <v>359</v>
      </c>
      <c r="D222" s="340"/>
      <c r="E222" s="340" t="s">
        <v>89</v>
      </c>
      <c r="F222" s="345">
        <v>691</v>
      </c>
      <c r="G222" s="346">
        <v>691</v>
      </c>
      <c r="H222" s="346">
        <v>691</v>
      </c>
      <c r="I222" s="346">
        <f t="shared" si="4"/>
        <v>0</v>
      </c>
      <c r="J222" s="342" t="s">
        <v>995</v>
      </c>
      <c r="K222" s="342"/>
      <c r="L222" s="342" t="s">
        <v>995</v>
      </c>
      <c r="M222" s="342"/>
      <c r="N222" s="342"/>
      <c r="O222" s="342"/>
      <c r="P222" s="342"/>
      <c r="Q222" s="343"/>
      <c r="R222" s="266"/>
      <c r="S222" s="266"/>
      <c r="T222" s="266"/>
    </row>
    <row r="223" spans="1:23" ht="30" customHeight="1">
      <c r="A223" s="340">
        <v>218</v>
      </c>
      <c r="B223" s="344" t="s">
        <v>1204</v>
      </c>
      <c r="C223" s="340" t="s">
        <v>360</v>
      </c>
      <c r="D223" s="340"/>
      <c r="E223" s="340" t="s">
        <v>85</v>
      </c>
      <c r="F223" s="345">
        <v>173</v>
      </c>
      <c r="G223" s="346">
        <v>173</v>
      </c>
      <c r="H223" s="346">
        <v>173</v>
      </c>
      <c r="I223" s="346">
        <f t="shared" si="4"/>
        <v>0</v>
      </c>
      <c r="J223" s="342" t="s">
        <v>995</v>
      </c>
      <c r="K223" s="342"/>
      <c r="L223" s="342" t="s">
        <v>995</v>
      </c>
      <c r="M223" s="342"/>
      <c r="N223" s="342"/>
      <c r="O223" s="342"/>
      <c r="P223" s="342"/>
      <c r="Q223" s="343"/>
      <c r="R223" s="266"/>
      <c r="S223" s="266"/>
      <c r="T223" s="266"/>
    </row>
    <row r="224" spans="1:23" ht="30" customHeight="1">
      <c r="A224" s="340">
        <v>219</v>
      </c>
      <c r="B224" s="344" t="s">
        <v>1204</v>
      </c>
      <c r="C224" s="340" t="s">
        <v>811</v>
      </c>
      <c r="D224" s="340"/>
      <c r="E224" s="340" t="s">
        <v>85</v>
      </c>
      <c r="F224" s="345">
        <v>197</v>
      </c>
      <c r="G224" s="346">
        <v>197</v>
      </c>
      <c r="H224" s="346">
        <v>197</v>
      </c>
      <c r="I224" s="346">
        <f t="shared" si="4"/>
        <v>0</v>
      </c>
      <c r="J224" s="342" t="s">
        <v>995</v>
      </c>
      <c r="K224" s="342"/>
      <c r="L224" s="342" t="s">
        <v>995</v>
      </c>
      <c r="M224" s="342"/>
      <c r="N224" s="342"/>
      <c r="O224" s="342"/>
      <c r="P224" s="342"/>
      <c r="Q224" s="343"/>
      <c r="R224" s="266"/>
      <c r="S224" s="266"/>
      <c r="T224" s="266"/>
    </row>
    <row r="225" spans="1:23" ht="30" customHeight="1">
      <c r="A225" s="340">
        <v>220</v>
      </c>
      <c r="B225" s="344" t="s">
        <v>1204</v>
      </c>
      <c r="C225" s="340" t="s">
        <v>726</v>
      </c>
      <c r="D225" s="340"/>
      <c r="E225" s="340" t="s">
        <v>109</v>
      </c>
      <c r="F225" s="345">
        <v>39</v>
      </c>
      <c r="G225" s="346">
        <v>39</v>
      </c>
      <c r="H225" s="346">
        <v>39</v>
      </c>
      <c r="I225" s="346">
        <f t="shared" si="4"/>
        <v>0</v>
      </c>
      <c r="J225" s="342" t="s">
        <v>995</v>
      </c>
      <c r="K225" s="342"/>
      <c r="L225" s="342" t="s">
        <v>995</v>
      </c>
      <c r="M225" s="342"/>
      <c r="N225" s="342"/>
      <c r="O225" s="342"/>
      <c r="P225" s="342"/>
      <c r="Q225" s="343"/>
      <c r="R225" s="266"/>
      <c r="S225" s="266"/>
      <c r="T225" s="266"/>
    </row>
    <row r="226" spans="1:23" ht="30" customHeight="1">
      <c r="A226" s="340">
        <v>221</v>
      </c>
      <c r="B226" s="344" t="s">
        <v>1204</v>
      </c>
      <c r="C226" s="340" t="s">
        <v>361</v>
      </c>
      <c r="D226" s="340"/>
      <c r="E226" s="340" t="s">
        <v>109</v>
      </c>
      <c r="F226" s="345">
        <v>22</v>
      </c>
      <c r="G226" s="346">
        <v>22</v>
      </c>
      <c r="H226" s="346">
        <v>22</v>
      </c>
      <c r="I226" s="346">
        <f t="shared" si="4"/>
        <v>0</v>
      </c>
      <c r="J226" s="342" t="s">
        <v>995</v>
      </c>
      <c r="K226" s="342"/>
      <c r="L226" s="342" t="s">
        <v>995</v>
      </c>
      <c r="M226" s="342"/>
      <c r="N226" s="342"/>
      <c r="O226" s="342"/>
      <c r="P226" s="342"/>
      <c r="Q226" s="343"/>
      <c r="R226" s="266"/>
      <c r="S226" s="266"/>
      <c r="T226" s="266"/>
    </row>
    <row r="227" spans="1:23" ht="30" customHeight="1">
      <c r="A227" s="340">
        <v>222</v>
      </c>
      <c r="B227" s="344" t="s">
        <v>1204</v>
      </c>
      <c r="C227" s="340" t="s">
        <v>812</v>
      </c>
      <c r="D227" s="340"/>
      <c r="E227" s="340" t="s">
        <v>84</v>
      </c>
      <c r="F227" s="345">
        <v>1567</v>
      </c>
      <c r="G227" s="346">
        <v>120</v>
      </c>
      <c r="H227" s="346">
        <v>120</v>
      </c>
      <c r="I227" s="346">
        <f t="shared" si="4"/>
        <v>0</v>
      </c>
      <c r="J227" s="342" t="s">
        <v>1208</v>
      </c>
      <c r="K227" s="342"/>
      <c r="L227" s="342" t="s">
        <v>1208</v>
      </c>
      <c r="M227" s="342"/>
      <c r="N227" s="342"/>
      <c r="O227" s="342"/>
      <c r="P227" s="342"/>
      <c r="Q227" s="343"/>
      <c r="R227" s="266"/>
      <c r="S227" s="266"/>
      <c r="T227" s="266"/>
    </row>
    <row r="228" spans="1:23" ht="30" customHeight="1">
      <c r="A228" s="340">
        <v>223</v>
      </c>
      <c r="B228" s="344" t="s">
        <v>1204</v>
      </c>
      <c r="C228" s="340" t="s">
        <v>362</v>
      </c>
      <c r="D228" s="340"/>
      <c r="E228" s="340" t="s">
        <v>85</v>
      </c>
      <c r="F228" s="345">
        <v>1184</v>
      </c>
      <c r="G228" s="346">
        <v>1184</v>
      </c>
      <c r="H228" s="346">
        <v>1184</v>
      </c>
      <c r="I228" s="346">
        <f t="shared" si="4"/>
        <v>0</v>
      </c>
      <c r="J228" s="342" t="s">
        <v>995</v>
      </c>
      <c r="K228" s="342"/>
      <c r="L228" s="342" t="s">
        <v>995</v>
      </c>
      <c r="M228" s="342"/>
      <c r="N228" s="342"/>
      <c r="O228" s="342"/>
      <c r="P228" s="342"/>
      <c r="Q228" s="343"/>
      <c r="R228" s="266"/>
      <c r="S228" s="266"/>
      <c r="T228" s="266"/>
    </row>
    <row r="229" spans="1:23" ht="30" customHeight="1">
      <c r="A229" s="340">
        <v>224</v>
      </c>
      <c r="B229" s="344" t="s">
        <v>1204</v>
      </c>
      <c r="C229" s="340" t="s">
        <v>363</v>
      </c>
      <c r="D229" s="340"/>
      <c r="E229" s="340" t="s">
        <v>109</v>
      </c>
      <c r="F229" s="345">
        <v>10</v>
      </c>
      <c r="G229" s="346">
        <v>10</v>
      </c>
      <c r="H229" s="346">
        <v>10</v>
      </c>
      <c r="I229" s="346">
        <f t="shared" si="4"/>
        <v>0</v>
      </c>
      <c r="J229" s="342" t="s">
        <v>995</v>
      </c>
      <c r="K229" s="342"/>
      <c r="L229" s="342" t="s">
        <v>995</v>
      </c>
      <c r="M229" s="342"/>
      <c r="N229" s="342"/>
      <c r="O229" s="342"/>
      <c r="P229" s="342"/>
      <c r="Q229" s="343"/>
      <c r="R229" s="266"/>
      <c r="S229" s="266"/>
      <c r="T229" s="266"/>
    </row>
    <row r="230" spans="1:23" ht="30" customHeight="1">
      <c r="A230" s="340">
        <v>225</v>
      </c>
      <c r="B230" s="344" t="s">
        <v>1204</v>
      </c>
      <c r="C230" s="340" t="s">
        <v>813</v>
      </c>
      <c r="D230" s="340"/>
      <c r="E230" s="340" t="s">
        <v>85</v>
      </c>
      <c r="F230" s="345">
        <v>489</v>
      </c>
      <c r="G230" s="346">
        <v>489</v>
      </c>
      <c r="H230" s="346">
        <v>489</v>
      </c>
      <c r="I230" s="346">
        <f t="shared" si="4"/>
        <v>0</v>
      </c>
      <c r="J230" s="342" t="s">
        <v>995</v>
      </c>
      <c r="K230" s="342"/>
      <c r="L230" s="342" t="s">
        <v>995</v>
      </c>
      <c r="M230" s="342"/>
      <c r="N230" s="342"/>
      <c r="O230" s="342"/>
      <c r="P230" s="342"/>
      <c r="Q230" s="343"/>
      <c r="R230" s="266"/>
      <c r="S230" s="266"/>
      <c r="T230" s="266"/>
    </row>
    <row r="231" spans="1:23" ht="30" customHeight="1">
      <c r="A231" s="340">
        <v>226</v>
      </c>
      <c r="B231" s="344" t="s">
        <v>1204</v>
      </c>
      <c r="C231" s="340" t="s">
        <v>364</v>
      </c>
      <c r="D231" s="340"/>
      <c r="E231" s="340" t="s">
        <v>85</v>
      </c>
      <c r="F231" s="345">
        <v>196</v>
      </c>
      <c r="G231" s="346">
        <v>196</v>
      </c>
      <c r="H231" s="346">
        <v>196</v>
      </c>
      <c r="I231" s="346">
        <f t="shared" si="4"/>
        <v>0</v>
      </c>
      <c r="J231" s="342" t="s">
        <v>995</v>
      </c>
      <c r="K231" s="342"/>
      <c r="L231" s="342" t="s">
        <v>995</v>
      </c>
      <c r="M231" s="342"/>
      <c r="N231" s="342"/>
      <c r="O231" s="342"/>
      <c r="P231" s="342"/>
      <c r="Q231" s="343"/>
      <c r="R231" s="266"/>
      <c r="S231" s="266"/>
      <c r="T231" s="266"/>
    </row>
    <row r="232" spans="1:23" ht="30" customHeight="1">
      <c r="A232" s="340">
        <v>227</v>
      </c>
      <c r="B232" s="344" t="s">
        <v>1204</v>
      </c>
      <c r="C232" s="340" t="s">
        <v>1102</v>
      </c>
      <c r="D232" s="340"/>
      <c r="E232" s="340" t="s">
        <v>85</v>
      </c>
      <c r="F232" s="345">
        <v>1301</v>
      </c>
      <c r="G232" s="346">
        <v>1301</v>
      </c>
      <c r="H232" s="346">
        <v>1301</v>
      </c>
      <c r="I232" s="346">
        <f t="shared" si="4"/>
        <v>0</v>
      </c>
      <c r="J232" s="342" t="s">
        <v>995</v>
      </c>
      <c r="K232" s="342"/>
      <c r="L232" s="342" t="s">
        <v>995</v>
      </c>
      <c r="M232" s="342"/>
      <c r="N232" s="342"/>
      <c r="O232" s="342"/>
      <c r="P232" s="342"/>
      <c r="Q232" s="343"/>
      <c r="R232" s="266"/>
      <c r="S232" s="266"/>
      <c r="T232" s="266"/>
    </row>
    <row r="233" spans="1:23" ht="30" customHeight="1">
      <c r="A233" s="340">
        <v>228</v>
      </c>
      <c r="B233" s="344" t="s">
        <v>1204</v>
      </c>
      <c r="C233" s="340" t="s">
        <v>365</v>
      </c>
      <c r="D233" s="340"/>
      <c r="E233" s="340" t="s">
        <v>85</v>
      </c>
      <c r="F233" s="345">
        <v>974</v>
      </c>
      <c r="G233" s="346">
        <v>974</v>
      </c>
      <c r="H233" s="346">
        <v>974</v>
      </c>
      <c r="I233" s="346">
        <f t="shared" si="4"/>
        <v>0</v>
      </c>
      <c r="J233" s="342" t="s">
        <v>995</v>
      </c>
      <c r="K233" s="342"/>
      <c r="L233" s="342" t="s">
        <v>995</v>
      </c>
      <c r="M233" s="342"/>
      <c r="N233" s="342"/>
      <c r="O233" s="342"/>
      <c r="P233" s="342"/>
      <c r="Q233" s="343"/>
      <c r="R233" s="266"/>
      <c r="S233" s="266"/>
      <c r="T233" s="266"/>
    </row>
    <row r="234" spans="1:23" ht="30" customHeight="1">
      <c r="A234" s="340">
        <v>229</v>
      </c>
      <c r="B234" s="344" t="s">
        <v>1204</v>
      </c>
      <c r="C234" s="340" t="s">
        <v>733</v>
      </c>
      <c r="D234" s="340"/>
      <c r="E234" s="340" t="s">
        <v>135</v>
      </c>
      <c r="F234" s="345">
        <v>549</v>
      </c>
      <c r="G234" s="346">
        <v>549</v>
      </c>
      <c r="H234" s="346">
        <v>549</v>
      </c>
      <c r="I234" s="346">
        <f t="shared" si="4"/>
        <v>0</v>
      </c>
      <c r="J234" s="342" t="s">
        <v>995</v>
      </c>
      <c r="K234" s="342"/>
      <c r="L234" s="342" t="s">
        <v>995</v>
      </c>
      <c r="M234" s="342"/>
      <c r="N234" s="342"/>
      <c r="O234" s="342"/>
      <c r="P234" s="342"/>
      <c r="Q234" s="343"/>
      <c r="R234" s="266"/>
      <c r="S234" s="266"/>
      <c r="T234" s="266"/>
    </row>
    <row r="235" spans="1:23" ht="30" customHeight="1">
      <c r="A235" s="340">
        <v>230</v>
      </c>
      <c r="B235" s="344" t="s">
        <v>1204</v>
      </c>
      <c r="C235" s="340" t="s">
        <v>93</v>
      </c>
      <c r="D235" s="340"/>
      <c r="E235" s="340" t="s">
        <v>85</v>
      </c>
      <c r="F235" s="345">
        <v>1180</v>
      </c>
      <c r="G235" s="346">
        <v>1180</v>
      </c>
      <c r="H235" s="346">
        <v>1180</v>
      </c>
      <c r="I235" s="346">
        <f t="shared" si="4"/>
        <v>0</v>
      </c>
      <c r="J235" s="342" t="s">
        <v>995</v>
      </c>
      <c r="K235" s="342"/>
      <c r="L235" s="342" t="s">
        <v>995</v>
      </c>
      <c r="M235" s="342"/>
      <c r="N235" s="342"/>
      <c r="O235" s="342"/>
      <c r="P235" s="342"/>
      <c r="Q235" s="343"/>
      <c r="R235" s="266"/>
      <c r="S235" s="266"/>
      <c r="T235" s="268"/>
    </row>
    <row r="236" spans="1:23" ht="30" customHeight="1">
      <c r="A236" s="340">
        <v>231</v>
      </c>
      <c r="B236" s="344" t="s">
        <v>1204</v>
      </c>
      <c r="C236" s="340" t="s">
        <v>814</v>
      </c>
      <c r="D236" s="340"/>
      <c r="E236" s="340" t="s">
        <v>135</v>
      </c>
      <c r="F236" s="345">
        <v>815</v>
      </c>
      <c r="G236" s="346">
        <v>815</v>
      </c>
      <c r="H236" s="346">
        <v>815</v>
      </c>
      <c r="I236" s="346">
        <f t="shared" si="4"/>
        <v>0</v>
      </c>
      <c r="J236" s="342" t="s">
        <v>995</v>
      </c>
      <c r="K236" s="342"/>
      <c r="L236" s="342" t="s">
        <v>995</v>
      </c>
      <c r="M236" s="342"/>
      <c r="N236" s="342"/>
      <c r="O236" s="342"/>
      <c r="P236" s="342"/>
      <c r="Q236" s="343"/>
      <c r="R236" s="266"/>
      <c r="S236" s="266"/>
      <c r="T236" s="268"/>
    </row>
    <row r="237" spans="1:23" ht="30" customHeight="1">
      <c r="A237" s="340">
        <v>232</v>
      </c>
      <c r="B237" s="344" t="s">
        <v>1204</v>
      </c>
      <c r="C237" s="340" t="s">
        <v>815</v>
      </c>
      <c r="D237" s="340"/>
      <c r="E237" s="340" t="s">
        <v>89</v>
      </c>
      <c r="F237" s="345">
        <v>89.2</v>
      </c>
      <c r="G237" s="346">
        <v>89.2</v>
      </c>
      <c r="H237" s="346">
        <v>89.2</v>
      </c>
      <c r="I237" s="346">
        <f t="shared" si="4"/>
        <v>0</v>
      </c>
      <c r="J237" s="342" t="s">
        <v>995</v>
      </c>
      <c r="K237" s="342"/>
      <c r="L237" s="342" t="s">
        <v>995</v>
      </c>
      <c r="M237" s="342"/>
      <c r="N237" s="342"/>
      <c r="O237" s="342"/>
      <c r="P237" s="342"/>
      <c r="Q237" s="343"/>
      <c r="R237" s="266"/>
      <c r="S237" s="266"/>
      <c r="T237" s="268"/>
    </row>
    <row r="238" spans="1:23" ht="30" customHeight="1">
      <c r="A238" s="340">
        <v>233</v>
      </c>
      <c r="B238" s="344" t="s">
        <v>1204</v>
      </c>
      <c r="C238" s="340" t="s">
        <v>816</v>
      </c>
      <c r="D238" s="340"/>
      <c r="E238" s="340" t="s">
        <v>89</v>
      </c>
      <c r="F238" s="345">
        <v>2297.6999999999998</v>
      </c>
      <c r="G238" s="346">
        <v>2297.6999999999998</v>
      </c>
      <c r="H238" s="346">
        <v>2297.6999999999998</v>
      </c>
      <c r="I238" s="346">
        <f t="shared" si="4"/>
        <v>0</v>
      </c>
      <c r="J238" s="342" t="s">
        <v>995</v>
      </c>
      <c r="K238" s="342"/>
      <c r="L238" s="342" t="s">
        <v>995</v>
      </c>
      <c r="M238" s="342"/>
      <c r="N238" s="342"/>
      <c r="O238" s="342"/>
      <c r="P238" s="342"/>
      <c r="Q238" s="343"/>
      <c r="R238" s="266"/>
      <c r="S238" s="266"/>
      <c r="T238" s="268"/>
    </row>
    <row r="239" spans="1:23" ht="30" customHeight="1">
      <c r="A239" s="340">
        <v>234</v>
      </c>
      <c r="B239" s="344" t="s">
        <v>1204</v>
      </c>
      <c r="C239" s="340" t="s">
        <v>817</v>
      </c>
      <c r="D239" s="340"/>
      <c r="E239" s="340" t="s">
        <v>87</v>
      </c>
      <c r="F239" s="345">
        <v>241</v>
      </c>
      <c r="G239" s="346">
        <v>241</v>
      </c>
      <c r="H239" s="346">
        <v>241</v>
      </c>
      <c r="I239" s="346">
        <f t="shared" si="4"/>
        <v>0</v>
      </c>
      <c r="J239" s="342" t="s">
        <v>1209</v>
      </c>
      <c r="K239" s="342"/>
      <c r="L239" s="342" t="s">
        <v>1209</v>
      </c>
      <c r="M239" s="342"/>
      <c r="N239" s="342"/>
      <c r="O239" s="342"/>
      <c r="P239" s="342"/>
      <c r="Q239" s="343"/>
      <c r="R239" s="266"/>
      <c r="S239" s="266"/>
      <c r="T239" s="288"/>
      <c r="U239" s="266"/>
      <c r="V239" s="266"/>
      <c r="W239" s="266"/>
    </row>
    <row r="240" spans="1:23" ht="30" customHeight="1">
      <c r="A240" s="340">
        <v>235</v>
      </c>
      <c r="B240" s="344" t="s">
        <v>1204</v>
      </c>
      <c r="C240" s="340" t="s">
        <v>370</v>
      </c>
      <c r="D240" s="340"/>
      <c r="E240" s="340" t="s">
        <v>87</v>
      </c>
      <c r="F240" s="345">
        <v>346.9</v>
      </c>
      <c r="G240" s="346">
        <v>346.9</v>
      </c>
      <c r="H240" s="346">
        <v>346.9</v>
      </c>
      <c r="I240" s="346">
        <f t="shared" si="4"/>
        <v>0</v>
      </c>
      <c r="J240" s="342" t="s">
        <v>1209</v>
      </c>
      <c r="K240" s="342"/>
      <c r="L240" s="342" t="s">
        <v>1209</v>
      </c>
      <c r="M240" s="342"/>
      <c r="N240" s="342"/>
      <c r="O240" s="342"/>
      <c r="P240" s="342"/>
      <c r="Q240" s="343"/>
      <c r="R240" s="266"/>
      <c r="S240" s="266"/>
      <c r="T240" s="288"/>
      <c r="U240" s="266"/>
      <c r="V240" s="266"/>
      <c r="W240" s="266"/>
    </row>
    <row r="241" spans="1:20" ht="30" customHeight="1">
      <c r="A241" s="340">
        <v>236</v>
      </c>
      <c r="B241" s="344" t="s">
        <v>1204</v>
      </c>
      <c r="C241" s="340" t="s">
        <v>371</v>
      </c>
      <c r="D241" s="340"/>
      <c r="E241" s="340" t="s">
        <v>135</v>
      </c>
      <c r="F241" s="345">
        <v>2573</v>
      </c>
      <c r="G241" s="346">
        <v>2612</v>
      </c>
      <c r="H241" s="346">
        <v>2573</v>
      </c>
      <c r="I241" s="346">
        <f t="shared" si="4"/>
        <v>-39</v>
      </c>
      <c r="J241" s="342" t="s">
        <v>995</v>
      </c>
      <c r="K241" s="342"/>
      <c r="L241" s="342" t="s">
        <v>995</v>
      </c>
      <c r="M241" s="342"/>
      <c r="N241" s="342"/>
      <c r="O241" s="342"/>
      <c r="P241" s="342"/>
      <c r="Q241" s="343"/>
      <c r="R241" s="266"/>
      <c r="S241" s="266"/>
      <c r="T241" s="266"/>
    </row>
    <row r="242" spans="1:20" ht="30" customHeight="1">
      <c r="A242" s="340">
        <v>237</v>
      </c>
      <c r="B242" s="344" t="s">
        <v>1204</v>
      </c>
      <c r="C242" s="340" t="s">
        <v>372</v>
      </c>
      <c r="D242" s="340"/>
      <c r="E242" s="340" t="s">
        <v>84</v>
      </c>
      <c r="F242" s="345">
        <v>115</v>
      </c>
      <c r="G242" s="346">
        <v>115</v>
      </c>
      <c r="H242" s="346">
        <v>115</v>
      </c>
      <c r="I242" s="346">
        <f t="shared" si="4"/>
        <v>0</v>
      </c>
      <c r="J242" s="342" t="s">
        <v>995</v>
      </c>
      <c r="K242" s="342"/>
      <c r="L242" s="342" t="s">
        <v>995</v>
      </c>
      <c r="M242" s="342"/>
      <c r="N242" s="342"/>
      <c r="O242" s="342"/>
      <c r="P242" s="342"/>
      <c r="Q242" s="343"/>
      <c r="R242" s="266"/>
      <c r="S242" s="266"/>
      <c r="T242" s="266"/>
    </row>
    <row r="243" spans="1:20" ht="30" customHeight="1">
      <c r="A243" s="340">
        <v>238</v>
      </c>
      <c r="B243" s="344" t="s">
        <v>1204</v>
      </c>
      <c r="C243" s="340" t="s">
        <v>373</v>
      </c>
      <c r="D243" s="340"/>
      <c r="E243" s="340" t="s">
        <v>85</v>
      </c>
      <c r="F243" s="345">
        <v>115</v>
      </c>
      <c r="G243" s="346">
        <v>115</v>
      </c>
      <c r="H243" s="346">
        <v>115</v>
      </c>
      <c r="I243" s="346">
        <f t="shared" si="4"/>
        <v>0</v>
      </c>
      <c r="J243" s="342" t="s">
        <v>995</v>
      </c>
      <c r="K243" s="342"/>
      <c r="L243" s="342" t="s">
        <v>995</v>
      </c>
      <c r="M243" s="342"/>
      <c r="N243" s="342"/>
      <c r="O243" s="342"/>
      <c r="P243" s="342"/>
      <c r="Q243" s="343"/>
      <c r="R243" s="266"/>
      <c r="S243" s="266"/>
      <c r="T243" s="266"/>
    </row>
    <row r="244" spans="1:20" ht="30" customHeight="1">
      <c r="A244" s="340">
        <v>239</v>
      </c>
      <c r="B244" s="344" t="s">
        <v>1204</v>
      </c>
      <c r="C244" s="340" t="s">
        <v>374</v>
      </c>
      <c r="D244" s="340"/>
      <c r="E244" s="340" t="s">
        <v>84</v>
      </c>
      <c r="F244" s="345">
        <v>331</v>
      </c>
      <c r="G244" s="346">
        <v>331</v>
      </c>
      <c r="H244" s="346">
        <v>331</v>
      </c>
      <c r="I244" s="346">
        <f t="shared" si="4"/>
        <v>0</v>
      </c>
      <c r="J244" s="342" t="s">
        <v>995</v>
      </c>
      <c r="K244" s="342"/>
      <c r="L244" s="342" t="s">
        <v>995</v>
      </c>
      <c r="M244" s="342"/>
      <c r="N244" s="342"/>
      <c r="O244" s="342"/>
      <c r="P244" s="342"/>
      <c r="Q244" s="343"/>
      <c r="R244" s="266"/>
      <c r="S244" s="266"/>
      <c r="T244" s="266"/>
    </row>
    <row r="245" spans="1:20" ht="30" customHeight="1">
      <c r="A245" s="340">
        <v>240</v>
      </c>
      <c r="B245" s="344" t="s">
        <v>1204</v>
      </c>
      <c r="C245" s="340" t="s">
        <v>818</v>
      </c>
      <c r="D245" s="340"/>
      <c r="E245" s="340" t="s">
        <v>135</v>
      </c>
      <c r="F245" s="345">
        <v>25</v>
      </c>
      <c r="G245" s="346">
        <v>25</v>
      </c>
      <c r="H245" s="346">
        <v>25</v>
      </c>
      <c r="I245" s="346">
        <f t="shared" si="4"/>
        <v>0</v>
      </c>
      <c r="J245" s="342" t="s">
        <v>995</v>
      </c>
      <c r="K245" s="342"/>
      <c r="L245" s="342" t="s">
        <v>995</v>
      </c>
      <c r="M245" s="342"/>
      <c r="N245" s="342"/>
      <c r="O245" s="342"/>
      <c r="P245" s="342"/>
      <c r="Q245" s="343"/>
      <c r="R245" s="266"/>
      <c r="S245" s="266"/>
      <c r="T245" s="266"/>
    </row>
    <row r="246" spans="1:20" ht="30" customHeight="1">
      <c r="A246" s="340">
        <v>241</v>
      </c>
      <c r="B246" s="344" t="s">
        <v>1204</v>
      </c>
      <c r="C246" s="340" t="s">
        <v>375</v>
      </c>
      <c r="D246" s="340"/>
      <c r="E246" s="340" t="s">
        <v>84</v>
      </c>
      <c r="F246" s="345">
        <v>1004</v>
      </c>
      <c r="G246" s="346">
        <v>1004</v>
      </c>
      <c r="H246" s="346">
        <v>1004</v>
      </c>
      <c r="I246" s="346">
        <f t="shared" si="4"/>
        <v>0</v>
      </c>
      <c r="J246" s="342" t="s">
        <v>995</v>
      </c>
      <c r="K246" s="342"/>
      <c r="L246" s="342" t="s">
        <v>995</v>
      </c>
      <c r="M246" s="342"/>
      <c r="N246" s="342"/>
      <c r="O246" s="342"/>
      <c r="P246" s="342"/>
      <c r="Q246" s="343"/>
      <c r="R246" s="266"/>
      <c r="S246" s="266"/>
      <c r="T246" s="266"/>
    </row>
    <row r="247" spans="1:20" ht="30" customHeight="1">
      <c r="A247" s="340">
        <v>242</v>
      </c>
      <c r="B247" s="344" t="s">
        <v>1204</v>
      </c>
      <c r="C247" s="340" t="s">
        <v>376</v>
      </c>
      <c r="D247" s="340"/>
      <c r="E247" s="340" t="s">
        <v>84</v>
      </c>
      <c r="F247" s="345">
        <v>60</v>
      </c>
      <c r="G247" s="346">
        <v>60</v>
      </c>
      <c r="H247" s="346">
        <v>60</v>
      </c>
      <c r="I247" s="346">
        <f t="shared" si="4"/>
        <v>0</v>
      </c>
      <c r="J247" s="342" t="s">
        <v>1208</v>
      </c>
      <c r="K247" s="342"/>
      <c r="L247" s="342" t="s">
        <v>1208</v>
      </c>
      <c r="M247" s="342"/>
      <c r="N247" s="342"/>
      <c r="O247" s="342"/>
      <c r="P247" s="342"/>
      <c r="Q247" s="343"/>
      <c r="R247" s="266"/>
      <c r="S247" s="266"/>
      <c r="T247" s="266"/>
    </row>
    <row r="248" spans="1:20" ht="30" customHeight="1">
      <c r="A248" s="340">
        <v>243</v>
      </c>
      <c r="B248" s="344" t="s">
        <v>1204</v>
      </c>
      <c r="C248" s="340" t="s">
        <v>377</v>
      </c>
      <c r="D248" s="340"/>
      <c r="E248" s="340" t="s">
        <v>84</v>
      </c>
      <c r="F248" s="345">
        <v>36</v>
      </c>
      <c r="G248" s="346">
        <v>36</v>
      </c>
      <c r="H248" s="346">
        <v>36</v>
      </c>
      <c r="I248" s="346">
        <f t="shared" si="4"/>
        <v>0</v>
      </c>
      <c r="J248" s="342" t="s">
        <v>995</v>
      </c>
      <c r="K248" s="342"/>
      <c r="L248" s="342" t="s">
        <v>995</v>
      </c>
      <c r="M248" s="342"/>
      <c r="N248" s="342"/>
      <c r="O248" s="342"/>
      <c r="P248" s="342"/>
      <c r="Q248" s="343"/>
      <c r="R248" s="266"/>
      <c r="S248" s="266"/>
      <c r="T248" s="266"/>
    </row>
    <row r="249" spans="1:20" ht="30" customHeight="1">
      <c r="A249" s="340">
        <v>244</v>
      </c>
      <c r="B249" s="344" t="s">
        <v>1204</v>
      </c>
      <c r="C249" s="340" t="s">
        <v>378</v>
      </c>
      <c r="D249" s="340"/>
      <c r="E249" s="340" t="s">
        <v>84</v>
      </c>
      <c r="F249" s="345">
        <v>92</v>
      </c>
      <c r="G249" s="346">
        <v>92</v>
      </c>
      <c r="H249" s="346">
        <v>92</v>
      </c>
      <c r="I249" s="346">
        <f t="shared" si="4"/>
        <v>0</v>
      </c>
      <c r="J249" s="342" t="s">
        <v>995</v>
      </c>
      <c r="K249" s="342"/>
      <c r="L249" s="342" t="s">
        <v>995</v>
      </c>
      <c r="M249" s="342"/>
      <c r="N249" s="342"/>
      <c r="O249" s="342"/>
      <c r="P249" s="342"/>
      <c r="Q249" s="343"/>
      <c r="R249" s="266"/>
      <c r="S249" s="266"/>
      <c r="T249" s="266"/>
    </row>
    <row r="250" spans="1:20" ht="30" customHeight="1">
      <c r="A250" s="340">
        <v>245</v>
      </c>
      <c r="B250" s="344" t="s">
        <v>1204</v>
      </c>
      <c r="C250" s="340" t="s">
        <v>379</v>
      </c>
      <c r="D250" s="340"/>
      <c r="E250" s="340" t="s">
        <v>84</v>
      </c>
      <c r="F250" s="345">
        <v>60</v>
      </c>
      <c r="G250" s="346">
        <v>60</v>
      </c>
      <c r="H250" s="346">
        <v>60</v>
      </c>
      <c r="I250" s="346">
        <f t="shared" si="4"/>
        <v>0</v>
      </c>
      <c r="J250" s="342" t="s">
        <v>1116</v>
      </c>
      <c r="K250" s="342"/>
      <c r="L250" s="342" t="s">
        <v>1116</v>
      </c>
      <c r="M250" s="342"/>
      <c r="N250" s="342"/>
      <c r="O250" s="342"/>
      <c r="P250" s="342"/>
      <c r="Q250" s="343"/>
      <c r="R250" s="266"/>
      <c r="S250" s="266"/>
      <c r="T250" s="266"/>
    </row>
    <row r="251" spans="1:20" ht="30" customHeight="1">
      <c r="A251" s="340">
        <v>246</v>
      </c>
      <c r="B251" s="344" t="s">
        <v>1204</v>
      </c>
      <c r="C251" s="340" t="s">
        <v>381</v>
      </c>
      <c r="D251" s="340"/>
      <c r="E251" s="340" t="s">
        <v>84</v>
      </c>
      <c r="F251" s="345">
        <v>30</v>
      </c>
      <c r="G251" s="346">
        <v>30</v>
      </c>
      <c r="H251" s="346">
        <v>30</v>
      </c>
      <c r="I251" s="346">
        <f t="shared" si="4"/>
        <v>0</v>
      </c>
      <c r="J251" s="342" t="s">
        <v>995</v>
      </c>
      <c r="K251" s="342"/>
      <c r="L251" s="342" t="s">
        <v>995</v>
      </c>
      <c r="M251" s="342"/>
      <c r="N251" s="342"/>
      <c r="O251" s="342"/>
      <c r="P251" s="342"/>
      <c r="Q251" s="343"/>
      <c r="R251" s="266"/>
      <c r="S251" s="266"/>
      <c r="T251" s="266"/>
    </row>
    <row r="252" spans="1:20" ht="30" customHeight="1">
      <c r="A252" s="340">
        <v>247</v>
      </c>
      <c r="B252" s="344" t="s">
        <v>1204</v>
      </c>
      <c r="C252" s="340" t="s">
        <v>185</v>
      </c>
      <c r="D252" s="340"/>
      <c r="E252" s="340" t="s">
        <v>84</v>
      </c>
      <c r="F252" s="345">
        <v>23</v>
      </c>
      <c r="G252" s="346">
        <v>23</v>
      </c>
      <c r="H252" s="346">
        <v>23</v>
      </c>
      <c r="I252" s="346">
        <f t="shared" si="4"/>
        <v>0</v>
      </c>
      <c r="J252" s="342" t="s">
        <v>1234</v>
      </c>
      <c r="K252" s="342" t="s">
        <v>263</v>
      </c>
      <c r="L252" s="342" t="s">
        <v>995</v>
      </c>
      <c r="M252" s="342"/>
      <c r="N252" s="342"/>
      <c r="O252" s="342"/>
      <c r="P252" s="342"/>
      <c r="Q252" s="343"/>
      <c r="R252" s="266"/>
      <c r="S252" s="266"/>
      <c r="T252" s="266"/>
    </row>
    <row r="253" spans="1:20" ht="30" customHeight="1">
      <c r="A253" s="340">
        <v>248</v>
      </c>
      <c r="B253" s="344" t="s">
        <v>1204</v>
      </c>
      <c r="C253" s="340" t="s">
        <v>701</v>
      </c>
      <c r="D253" s="340"/>
      <c r="E253" s="340" t="s">
        <v>84</v>
      </c>
      <c r="F253" s="345">
        <v>36</v>
      </c>
      <c r="G253" s="346">
        <v>36</v>
      </c>
      <c r="H253" s="346">
        <v>36</v>
      </c>
      <c r="I253" s="346">
        <f t="shared" si="4"/>
        <v>0</v>
      </c>
      <c r="J253" s="342" t="s">
        <v>1242</v>
      </c>
      <c r="K253" s="342" t="s">
        <v>263</v>
      </c>
      <c r="L253" s="342" t="s">
        <v>995</v>
      </c>
      <c r="M253" s="342"/>
      <c r="N253" s="342"/>
      <c r="O253" s="342"/>
      <c r="P253" s="342"/>
      <c r="Q253" s="343"/>
      <c r="R253" s="266"/>
      <c r="S253" s="266"/>
      <c r="T253" s="266"/>
    </row>
    <row r="254" spans="1:20" ht="30" customHeight="1">
      <c r="A254" s="340">
        <v>249</v>
      </c>
      <c r="B254" s="344" t="s">
        <v>1204</v>
      </c>
      <c r="C254" s="340" t="s">
        <v>186</v>
      </c>
      <c r="D254" s="340"/>
      <c r="E254" s="340" t="s">
        <v>84</v>
      </c>
      <c r="F254" s="345">
        <v>41</v>
      </c>
      <c r="G254" s="346">
        <v>41</v>
      </c>
      <c r="H254" s="346">
        <v>41</v>
      </c>
      <c r="I254" s="346">
        <f t="shared" si="4"/>
        <v>0</v>
      </c>
      <c r="J254" s="342" t="s">
        <v>995</v>
      </c>
      <c r="K254" s="342"/>
      <c r="L254" s="342" t="s">
        <v>995</v>
      </c>
      <c r="M254" s="342"/>
      <c r="N254" s="342"/>
      <c r="O254" s="342"/>
      <c r="P254" s="342"/>
      <c r="Q254" s="343"/>
      <c r="R254" s="266"/>
      <c r="S254" s="266"/>
      <c r="T254" s="266"/>
    </row>
    <row r="255" spans="1:20" ht="30" customHeight="1">
      <c r="A255" s="340">
        <v>250</v>
      </c>
      <c r="B255" s="344" t="s">
        <v>1204</v>
      </c>
      <c r="C255" s="340" t="s">
        <v>187</v>
      </c>
      <c r="D255" s="340"/>
      <c r="E255" s="340" t="s">
        <v>84</v>
      </c>
      <c r="F255" s="345">
        <v>103</v>
      </c>
      <c r="G255" s="346">
        <v>103</v>
      </c>
      <c r="H255" s="346">
        <v>103</v>
      </c>
      <c r="I255" s="346">
        <f t="shared" si="4"/>
        <v>0</v>
      </c>
      <c r="J255" s="342" t="s">
        <v>995</v>
      </c>
      <c r="K255" s="342"/>
      <c r="L255" s="342" t="s">
        <v>995</v>
      </c>
      <c r="M255" s="342"/>
      <c r="N255" s="342"/>
      <c r="O255" s="342"/>
      <c r="P255" s="342"/>
      <c r="Q255" s="343"/>
      <c r="R255" s="266"/>
      <c r="S255" s="266"/>
      <c r="T255" s="266"/>
    </row>
    <row r="256" spans="1:20" ht="30" customHeight="1">
      <c r="A256" s="340">
        <v>251</v>
      </c>
      <c r="B256" s="344" t="s">
        <v>1204</v>
      </c>
      <c r="C256" s="340" t="s">
        <v>188</v>
      </c>
      <c r="D256" s="340"/>
      <c r="E256" s="340" t="s">
        <v>84</v>
      </c>
      <c r="F256" s="345">
        <v>360</v>
      </c>
      <c r="G256" s="346">
        <v>360</v>
      </c>
      <c r="H256" s="346">
        <v>360</v>
      </c>
      <c r="I256" s="346">
        <f t="shared" si="4"/>
        <v>0</v>
      </c>
      <c r="J256" s="342" t="s">
        <v>1243</v>
      </c>
      <c r="K256" s="342" t="s">
        <v>263</v>
      </c>
      <c r="L256" s="342" t="s">
        <v>995</v>
      </c>
      <c r="M256" s="342"/>
      <c r="N256" s="342"/>
      <c r="O256" s="342"/>
      <c r="P256" s="342"/>
      <c r="Q256" s="343"/>
      <c r="R256" s="266"/>
      <c r="S256" s="266"/>
      <c r="T256" s="268"/>
    </row>
    <row r="257" spans="1:23" ht="30" customHeight="1">
      <c r="A257" s="340">
        <v>252</v>
      </c>
      <c r="B257" s="344" t="s">
        <v>1204</v>
      </c>
      <c r="C257" s="340" t="s">
        <v>189</v>
      </c>
      <c r="D257" s="340"/>
      <c r="E257" s="340" t="s">
        <v>84</v>
      </c>
      <c r="F257" s="345">
        <v>7</v>
      </c>
      <c r="G257" s="346">
        <v>7</v>
      </c>
      <c r="H257" s="346">
        <v>7</v>
      </c>
      <c r="I257" s="346">
        <f t="shared" si="4"/>
        <v>0</v>
      </c>
      <c r="J257" s="342" t="s">
        <v>1208</v>
      </c>
      <c r="K257" s="342"/>
      <c r="L257" s="342" t="s">
        <v>1208</v>
      </c>
      <c r="M257" s="342"/>
      <c r="N257" s="342"/>
      <c r="O257" s="342"/>
      <c r="P257" s="342"/>
      <c r="Q257" s="343"/>
      <c r="R257" s="266"/>
      <c r="S257" s="266"/>
      <c r="T257" s="268"/>
    </row>
    <row r="258" spans="1:23" ht="30" customHeight="1">
      <c r="A258" s="340">
        <v>253</v>
      </c>
      <c r="B258" s="344" t="s">
        <v>1204</v>
      </c>
      <c r="C258" s="340" t="s">
        <v>190</v>
      </c>
      <c r="D258" s="340"/>
      <c r="E258" s="340" t="s">
        <v>84</v>
      </c>
      <c r="F258" s="345">
        <v>196</v>
      </c>
      <c r="G258" s="346">
        <v>196</v>
      </c>
      <c r="H258" s="346">
        <v>196</v>
      </c>
      <c r="I258" s="346">
        <f t="shared" si="4"/>
        <v>0</v>
      </c>
      <c r="J258" s="342" t="s">
        <v>995</v>
      </c>
      <c r="K258" s="342"/>
      <c r="L258" s="342" t="s">
        <v>995</v>
      </c>
      <c r="M258" s="342"/>
      <c r="N258" s="342"/>
      <c r="O258" s="342"/>
      <c r="P258" s="342"/>
      <c r="Q258" s="343"/>
      <c r="R258" s="266"/>
      <c r="S258" s="266"/>
      <c r="T258" s="268"/>
    </row>
    <row r="259" spans="1:23" ht="30" customHeight="1">
      <c r="A259" s="340">
        <v>254</v>
      </c>
      <c r="B259" s="344" t="s">
        <v>1204</v>
      </c>
      <c r="C259" s="340" t="s">
        <v>191</v>
      </c>
      <c r="D259" s="340"/>
      <c r="E259" s="340" t="s">
        <v>84</v>
      </c>
      <c r="F259" s="345">
        <v>1322</v>
      </c>
      <c r="G259" s="346">
        <v>716</v>
      </c>
      <c r="H259" s="346">
        <v>716</v>
      </c>
      <c r="I259" s="346">
        <f t="shared" si="4"/>
        <v>0</v>
      </c>
      <c r="J259" s="342" t="s">
        <v>1208</v>
      </c>
      <c r="K259" s="342"/>
      <c r="L259" s="342" t="s">
        <v>1208</v>
      </c>
      <c r="M259" s="342"/>
      <c r="N259" s="342"/>
      <c r="O259" s="342"/>
      <c r="P259" s="342"/>
      <c r="Q259" s="343"/>
      <c r="R259" s="266"/>
      <c r="S259" s="266"/>
      <c r="T259" s="268"/>
    </row>
    <row r="260" spans="1:23" ht="30" customHeight="1">
      <c r="A260" s="340">
        <v>255</v>
      </c>
      <c r="B260" s="344" t="s">
        <v>1204</v>
      </c>
      <c r="C260" s="340" t="s">
        <v>192</v>
      </c>
      <c r="D260" s="340"/>
      <c r="E260" s="340" t="s">
        <v>84</v>
      </c>
      <c r="F260" s="345">
        <v>1094</v>
      </c>
      <c r="G260" s="346">
        <v>876</v>
      </c>
      <c r="H260" s="346">
        <v>876</v>
      </c>
      <c r="I260" s="346">
        <f t="shared" si="4"/>
        <v>0</v>
      </c>
      <c r="J260" s="342" t="s">
        <v>1208</v>
      </c>
      <c r="K260" s="342"/>
      <c r="L260" s="342" t="s">
        <v>1208</v>
      </c>
      <c r="M260" s="342"/>
      <c r="N260" s="342"/>
      <c r="O260" s="342"/>
      <c r="P260" s="342"/>
      <c r="Q260" s="343"/>
      <c r="R260" s="266"/>
      <c r="S260" s="266"/>
      <c r="T260" s="288"/>
      <c r="U260" s="266"/>
      <c r="V260" s="266"/>
      <c r="W260" s="266"/>
    </row>
    <row r="261" spans="1:23" ht="30" customHeight="1">
      <c r="A261" s="340">
        <v>256</v>
      </c>
      <c r="B261" s="344" t="s">
        <v>1204</v>
      </c>
      <c r="C261" s="340" t="s">
        <v>193</v>
      </c>
      <c r="D261" s="340"/>
      <c r="E261" s="340" t="s">
        <v>84</v>
      </c>
      <c r="F261" s="345">
        <v>258</v>
      </c>
      <c r="G261" s="346">
        <v>258</v>
      </c>
      <c r="H261" s="346">
        <v>258</v>
      </c>
      <c r="I261" s="346">
        <f t="shared" si="4"/>
        <v>0</v>
      </c>
      <c r="J261" s="342" t="s">
        <v>1208</v>
      </c>
      <c r="K261" s="342"/>
      <c r="L261" s="342" t="s">
        <v>1208</v>
      </c>
      <c r="M261" s="342"/>
      <c r="N261" s="342"/>
      <c r="O261" s="342"/>
      <c r="P261" s="342"/>
      <c r="Q261" s="343"/>
      <c r="R261" s="266"/>
      <c r="S261" s="266"/>
      <c r="T261" s="288"/>
      <c r="U261" s="266"/>
      <c r="V261" s="266"/>
      <c r="W261" s="266"/>
    </row>
    <row r="262" spans="1:23" ht="30" customHeight="1">
      <c r="A262" s="340">
        <v>257</v>
      </c>
      <c r="B262" s="344" t="s">
        <v>1204</v>
      </c>
      <c r="C262" s="340" t="s">
        <v>194</v>
      </c>
      <c r="D262" s="340"/>
      <c r="E262" s="340" t="s">
        <v>84</v>
      </c>
      <c r="F262" s="345">
        <v>43</v>
      </c>
      <c r="G262" s="346">
        <v>5</v>
      </c>
      <c r="H262" s="346">
        <v>5</v>
      </c>
      <c r="I262" s="346">
        <f t="shared" si="4"/>
        <v>0</v>
      </c>
      <c r="J262" s="342" t="s">
        <v>995</v>
      </c>
      <c r="K262" s="342"/>
      <c r="L262" s="342" t="s">
        <v>995</v>
      </c>
      <c r="M262" s="342"/>
      <c r="N262" s="342"/>
      <c r="O262" s="342"/>
      <c r="P262" s="342"/>
      <c r="Q262" s="343"/>
      <c r="R262" s="266"/>
      <c r="S262" s="266"/>
      <c r="T262" s="266"/>
    </row>
    <row r="263" spans="1:23" ht="30" customHeight="1">
      <c r="A263" s="340">
        <v>258</v>
      </c>
      <c r="B263" s="344" t="s">
        <v>1204</v>
      </c>
      <c r="C263" s="340" t="s">
        <v>195</v>
      </c>
      <c r="D263" s="340"/>
      <c r="E263" s="340" t="s">
        <v>84</v>
      </c>
      <c r="F263" s="345">
        <v>440</v>
      </c>
      <c r="G263" s="346">
        <v>288</v>
      </c>
      <c r="H263" s="346">
        <v>288</v>
      </c>
      <c r="I263" s="346">
        <f t="shared" si="4"/>
        <v>0</v>
      </c>
      <c r="J263" s="342" t="s">
        <v>995</v>
      </c>
      <c r="K263" s="342"/>
      <c r="L263" s="342" t="s">
        <v>995</v>
      </c>
      <c r="M263" s="342"/>
      <c r="N263" s="342"/>
      <c r="O263" s="342"/>
      <c r="P263" s="342"/>
      <c r="Q263" s="343"/>
      <c r="R263" s="266"/>
      <c r="S263" s="266"/>
      <c r="T263" s="266"/>
    </row>
    <row r="264" spans="1:23" ht="30" customHeight="1">
      <c r="A264" s="340">
        <v>259</v>
      </c>
      <c r="B264" s="344" t="s">
        <v>1204</v>
      </c>
      <c r="C264" s="340" t="s">
        <v>819</v>
      </c>
      <c r="D264" s="340"/>
      <c r="E264" s="340" t="s">
        <v>84</v>
      </c>
      <c r="F264" s="345">
        <v>562</v>
      </c>
      <c r="G264" s="346">
        <v>503</v>
      </c>
      <c r="H264" s="346">
        <v>503</v>
      </c>
      <c r="I264" s="346">
        <f t="shared" si="4"/>
        <v>0</v>
      </c>
      <c r="J264" s="342" t="s">
        <v>1208</v>
      </c>
      <c r="K264" s="342"/>
      <c r="L264" s="342" t="s">
        <v>1208</v>
      </c>
      <c r="M264" s="342"/>
      <c r="N264" s="342"/>
      <c r="O264" s="342"/>
      <c r="P264" s="342"/>
      <c r="Q264" s="343"/>
      <c r="R264" s="266"/>
      <c r="S264" s="266"/>
      <c r="T264" s="266"/>
    </row>
    <row r="265" spans="1:23" ht="30" customHeight="1">
      <c r="A265" s="340">
        <v>260</v>
      </c>
      <c r="B265" s="344" t="s">
        <v>1204</v>
      </c>
      <c r="C265" s="340" t="s">
        <v>196</v>
      </c>
      <c r="D265" s="340"/>
      <c r="E265" s="340" t="s">
        <v>84</v>
      </c>
      <c r="F265" s="345">
        <v>35</v>
      </c>
      <c r="G265" s="346">
        <v>19</v>
      </c>
      <c r="H265" s="346">
        <v>19</v>
      </c>
      <c r="I265" s="346">
        <f t="shared" si="4"/>
        <v>0</v>
      </c>
      <c r="J265" s="342" t="s">
        <v>995</v>
      </c>
      <c r="K265" s="342"/>
      <c r="L265" s="342" t="s">
        <v>995</v>
      </c>
      <c r="M265" s="342"/>
      <c r="N265" s="342"/>
      <c r="O265" s="342"/>
      <c r="P265" s="342"/>
      <c r="Q265" s="343"/>
      <c r="R265" s="266"/>
      <c r="S265" s="266"/>
      <c r="T265" s="266"/>
    </row>
    <row r="266" spans="1:23" ht="30" customHeight="1">
      <c r="A266" s="340">
        <v>261</v>
      </c>
      <c r="B266" s="344" t="s">
        <v>1204</v>
      </c>
      <c r="C266" s="340" t="s">
        <v>197</v>
      </c>
      <c r="D266" s="340"/>
      <c r="E266" s="340" t="s">
        <v>84</v>
      </c>
      <c r="F266" s="345">
        <v>93</v>
      </c>
      <c r="G266" s="346">
        <v>93</v>
      </c>
      <c r="H266" s="346">
        <v>93</v>
      </c>
      <c r="I266" s="346">
        <f t="shared" si="4"/>
        <v>0</v>
      </c>
      <c r="J266" s="342" t="s">
        <v>1244</v>
      </c>
      <c r="K266" s="342" t="s">
        <v>267</v>
      </c>
      <c r="L266" s="342" t="s">
        <v>995</v>
      </c>
      <c r="M266" s="342"/>
      <c r="N266" s="342"/>
      <c r="O266" s="342"/>
      <c r="P266" s="342"/>
      <c r="Q266" s="343"/>
      <c r="R266" s="266"/>
      <c r="S266" s="266"/>
      <c r="T266" s="266"/>
    </row>
    <row r="267" spans="1:23" ht="30" customHeight="1">
      <c r="A267" s="340">
        <v>262</v>
      </c>
      <c r="B267" s="344" t="s">
        <v>1204</v>
      </c>
      <c r="C267" s="340" t="s">
        <v>820</v>
      </c>
      <c r="D267" s="340"/>
      <c r="E267" s="340" t="s">
        <v>84</v>
      </c>
      <c r="F267" s="345">
        <v>123</v>
      </c>
      <c r="G267" s="346">
        <v>123</v>
      </c>
      <c r="H267" s="346">
        <v>123</v>
      </c>
      <c r="I267" s="346">
        <f t="shared" si="4"/>
        <v>0</v>
      </c>
      <c r="J267" s="342" t="s">
        <v>995</v>
      </c>
      <c r="K267" s="342"/>
      <c r="L267" s="342" t="s">
        <v>995</v>
      </c>
      <c r="M267" s="342"/>
      <c r="N267" s="342"/>
      <c r="O267" s="342"/>
      <c r="P267" s="342"/>
      <c r="Q267" s="343"/>
      <c r="R267" s="266"/>
      <c r="S267" s="266"/>
      <c r="T267" s="266"/>
    </row>
    <row r="268" spans="1:23" ht="30" customHeight="1">
      <c r="A268" s="340">
        <v>263</v>
      </c>
      <c r="B268" s="344" t="s">
        <v>1204</v>
      </c>
      <c r="C268" s="340" t="s">
        <v>702</v>
      </c>
      <c r="D268" s="340"/>
      <c r="E268" s="340" t="s">
        <v>87</v>
      </c>
      <c r="F268" s="345">
        <v>7643</v>
      </c>
      <c r="G268" s="346">
        <v>118</v>
      </c>
      <c r="H268" s="346">
        <v>118</v>
      </c>
      <c r="I268" s="346">
        <f t="shared" si="4"/>
        <v>0</v>
      </c>
      <c r="J268" s="342" t="s">
        <v>1209</v>
      </c>
      <c r="K268" s="342"/>
      <c r="L268" s="342" t="s">
        <v>1209</v>
      </c>
      <c r="M268" s="342"/>
      <c r="N268" s="342"/>
      <c r="O268" s="342"/>
      <c r="P268" s="342"/>
      <c r="Q268" s="343"/>
      <c r="R268" s="266"/>
      <c r="S268" s="266"/>
      <c r="T268" s="266"/>
    </row>
    <row r="269" spans="1:23" ht="30" customHeight="1">
      <c r="A269" s="340">
        <v>264</v>
      </c>
      <c r="B269" s="344" t="s">
        <v>1204</v>
      </c>
      <c r="C269" s="340" t="s">
        <v>821</v>
      </c>
      <c r="D269" s="340"/>
      <c r="E269" s="340" t="s">
        <v>84</v>
      </c>
      <c r="F269" s="345">
        <v>281</v>
      </c>
      <c r="G269" s="346">
        <v>281</v>
      </c>
      <c r="H269" s="346">
        <v>281</v>
      </c>
      <c r="I269" s="346">
        <f t="shared" si="4"/>
        <v>0</v>
      </c>
      <c r="J269" s="342" t="s">
        <v>1208</v>
      </c>
      <c r="K269" s="342"/>
      <c r="L269" s="342" t="s">
        <v>1208</v>
      </c>
      <c r="M269" s="342"/>
      <c r="N269" s="342"/>
      <c r="O269" s="342"/>
      <c r="P269" s="342"/>
      <c r="Q269" s="343"/>
      <c r="R269" s="266"/>
      <c r="S269" s="266"/>
      <c r="T269" s="266"/>
    </row>
    <row r="270" spans="1:23" ht="30" customHeight="1">
      <c r="A270" s="340">
        <v>265</v>
      </c>
      <c r="B270" s="344" t="s">
        <v>1204</v>
      </c>
      <c r="C270" s="340" t="s">
        <v>198</v>
      </c>
      <c r="D270" s="340"/>
      <c r="E270" s="340" t="s">
        <v>84</v>
      </c>
      <c r="F270" s="345">
        <v>198</v>
      </c>
      <c r="G270" s="346">
        <v>198</v>
      </c>
      <c r="H270" s="346">
        <v>198</v>
      </c>
      <c r="I270" s="346">
        <f t="shared" si="4"/>
        <v>0</v>
      </c>
      <c r="J270" s="342" t="s">
        <v>1245</v>
      </c>
      <c r="K270" s="342" t="s">
        <v>269</v>
      </c>
      <c r="L270" s="342" t="s">
        <v>995</v>
      </c>
      <c r="M270" s="342"/>
      <c r="N270" s="342"/>
      <c r="O270" s="342"/>
      <c r="P270" s="342"/>
      <c r="Q270" s="343"/>
      <c r="R270" s="266"/>
      <c r="S270" s="266"/>
      <c r="T270" s="266"/>
    </row>
    <row r="271" spans="1:23" ht="30" customHeight="1">
      <c r="A271" s="340">
        <v>266</v>
      </c>
      <c r="B271" s="344" t="s">
        <v>1204</v>
      </c>
      <c r="C271" s="340" t="s">
        <v>822</v>
      </c>
      <c r="D271" s="340"/>
      <c r="E271" s="340" t="s">
        <v>84</v>
      </c>
      <c r="F271" s="345">
        <v>484</v>
      </c>
      <c r="G271" s="346">
        <v>404</v>
      </c>
      <c r="H271" s="346">
        <v>404</v>
      </c>
      <c r="I271" s="346">
        <f t="shared" si="4"/>
        <v>0</v>
      </c>
      <c r="J271" s="342" t="s">
        <v>995</v>
      </c>
      <c r="K271" s="342"/>
      <c r="L271" s="342" t="s">
        <v>995</v>
      </c>
      <c r="M271" s="342"/>
      <c r="N271" s="342"/>
      <c r="O271" s="342"/>
      <c r="P271" s="342"/>
      <c r="Q271" s="343"/>
      <c r="R271" s="266"/>
      <c r="S271" s="266"/>
      <c r="T271" s="266"/>
    </row>
    <row r="272" spans="1:23" ht="30" customHeight="1">
      <c r="A272" s="340">
        <v>267</v>
      </c>
      <c r="B272" s="344" t="s">
        <v>1204</v>
      </c>
      <c r="C272" s="340" t="s">
        <v>199</v>
      </c>
      <c r="D272" s="340"/>
      <c r="E272" s="340" t="s">
        <v>84</v>
      </c>
      <c r="F272" s="345">
        <v>273</v>
      </c>
      <c r="G272" s="346">
        <v>125</v>
      </c>
      <c r="H272" s="346">
        <v>125</v>
      </c>
      <c r="I272" s="346">
        <f t="shared" si="4"/>
        <v>0</v>
      </c>
      <c r="J272" s="342" t="s">
        <v>995</v>
      </c>
      <c r="K272" s="342"/>
      <c r="L272" s="342" t="s">
        <v>995</v>
      </c>
      <c r="M272" s="342"/>
      <c r="N272" s="342"/>
      <c r="O272" s="342"/>
      <c r="P272" s="342"/>
      <c r="Q272" s="343"/>
      <c r="R272" s="266"/>
      <c r="S272" s="266"/>
      <c r="T272" s="266"/>
    </row>
    <row r="273" spans="1:23" ht="30" customHeight="1">
      <c r="A273" s="340">
        <v>268</v>
      </c>
      <c r="B273" s="344" t="s">
        <v>1204</v>
      </c>
      <c r="C273" s="340" t="s">
        <v>200</v>
      </c>
      <c r="D273" s="340"/>
      <c r="E273" s="340" t="s">
        <v>84</v>
      </c>
      <c r="F273" s="345">
        <v>654</v>
      </c>
      <c r="G273" s="346">
        <v>151</v>
      </c>
      <c r="H273" s="346">
        <v>151</v>
      </c>
      <c r="I273" s="346">
        <f t="shared" si="4"/>
        <v>0</v>
      </c>
      <c r="J273" s="342" t="s">
        <v>995</v>
      </c>
      <c r="K273" s="342"/>
      <c r="L273" s="342" t="s">
        <v>995</v>
      </c>
      <c r="M273" s="342"/>
      <c r="N273" s="342"/>
      <c r="O273" s="342"/>
      <c r="P273" s="342"/>
      <c r="Q273" s="343"/>
      <c r="R273" s="266"/>
      <c r="S273" s="266"/>
      <c r="T273" s="266"/>
    </row>
    <row r="274" spans="1:23" ht="30" customHeight="1">
      <c r="A274" s="340">
        <v>269</v>
      </c>
      <c r="B274" s="344" t="s">
        <v>1204</v>
      </c>
      <c r="C274" s="340" t="s">
        <v>201</v>
      </c>
      <c r="D274" s="340"/>
      <c r="E274" s="340" t="s">
        <v>84</v>
      </c>
      <c r="F274" s="345">
        <v>524</v>
      </c>
      <c r="G274" s="346">
        <v>212</v>
      </c>
      <c r="H274" s="346">
        <v>212</v>
      </c>
      <c r="I274" s="346">
        <f t="shared" si="4"/>
        <v>0</v>
      </c>
      <c r="J274" s="342" t="s">
        <v>995</v>
      </c>
      <c r="K274" s="342"/>
      <c r="L274" s="342" t="s">
        <v>995</v>
      </c>
      <c r="M274" s="342"/>
      <c r="N274" s="342"/>
      <c r="O274" s="342"/>
      <c r="P274" s="342"/>
      <c r="Q274" s="343"/>
      <c r="R274" s="266"/>
      <c r="S274" s="266"/>
      <c r="T274" s="266"/>
    </row>
    <row r="275" spans="1:23" ht="30" customHeight="1">
      <c r="A275" s="340">
        <v>270</v>
      </c>
      <c r="B275" s="344" t="s">
        <v>1204</v>
      </c>
      <c r="C275" s="340" t="s">
        <v>823</v>
      </c>
      <c r="D275" s="340"/>
      <c r="E275" s="340" t="s">
        <v>316</v>
      </c>
      <c r="F275" s="345"/>
      <c r="G275" s="346">
        <v>916</v>
      </c>
      <c r="H275" s="346">
        <v>916</v>
      </c>
      <c r="I275" s="346">
        <f t="shared" si="4"/>
        <v>0</v>
      </c>
      <c r="J275" s="342" t="s">
        <v>1208</v>
      </c>
      <c r="K275" s="342"/>
      <c r="L275" s="342" t="s">
        <v>1208</v>
      </c>
      <c r="M275" s="342"/>
      <c r="N275" s="342"/>
      <c r="O275" s="342"/>
      <c r="P275" s="342"/>
      <c r="Q275" s="343"/>
      <c r="R275" s="266"/>
      <c r="S275" s="266"/>
      <c r="T275" s="266"/>
    </row>
    <row r="276" spans="1:23" ht="30" customHeight="1">
      <c r="A276" s="340">
        <v>271</v>
      </c>
      <c r="B276" s="344" t="s">
        <v>1204</v>
      </c>
      <c r="C276" s="340" t="s">
        <v>202</v>
      </c>
      <c r="D276" s="340"/>
      <c r="E276" s="340" t="s">
        <v>316</v>
      </c>
      <c r="F276" s="345"/>
      <c r="G276" s="346">
        <v>420</v>
      </c>
      <c r="H276" s="346">
        <v>420</v>
      </c>
      <c r="I276" s="346">
        <f t="shared" si="4"/>
        <v>0</v>
      </c>
      <c r="J276" s="342" t="s">
        <v>1208</v>
      </c>
      <c r="K276" s="342"/>
      <c r="L276" s="342" t="s">
        <v>1208</v>
      </c>
      <c r="M276" s="342"/>
      <c r="N276" s="342"/>
      <c r="O276" s="342"/>
      <c r="P276" s="342"/>
      <c r="Q276" s="343"/>
      <c r="R276" s="266"/>
      <c r="S276" s="266"/>
      <c r="T276" s="266"/>
    </row>
    <row r="277" spans="1:23" ht="30" customHeight="1">
      <c r="A277" s="340">
        <v>272</v>
      </c>
      <c r="B277" s="344" t="s">
        <v>1204</v>
      </c>
      <c r="C277" s="340" t="s">
        <v>824</v>
      </c>
      <c r="D277" s="340"/>
      <c r="E277" s="340" t="s">
        <v>84</v>
      </c>
      <c r="F277" s="345">
        <v>42</v>
      </c>
      <c r="G277" s="346">
        <v>4</v>
      </c>
      <c r="H277" s="346">
        <v>4</v>
      </c>
      <c r="I277" s="346">
        <f t="shared" si="4"/>
        <v>0</v>
      </c>
      <c r="J277" s="342" t="s">
        <v>995</v>
      </c>
      <c r="K277" s="342"/>
      <c r="L277" s="342" t="s">
        <v>995</v>
      </c>
      <c r="M277" s="342"/>
      <c r="N277" s="342"/>
      <c r="O277" s="342"/>
      <c r="P277" s="342"/>
      <c r="Q277" s="343"/>
      <c r="R277" s="266"/>
      <c r="S277" s="266"/>
      <c r="T277" s="268"/>
    </row>
    <row r="278" spans="1:23" ht="30" customHeight="1">
      <c r="A278" s="340">
        <v>273</v>
      </c>
      <c r="B278" s="344" t="s">
        <v>1204</v>
      </c>
      <c r="C278" s="340" t="s">
        <v>203</v>
      </c>
      <c r="D278" s="340"/>
      <c r="E278" s="340" t="s">
        <v>84</v>
      </c>
      <c r="F278" s="345">
        <v>362</v>
      </c>
      <c r="G278" s="346">
        <v>362</v>
      </c>
      <c r="H278" s="346">
        <v>362</v>
      </c>
      <c r="I278" s="346">
        <f t="shared" si="4"/>
        <v>0</v>
      </c>
      <c r="J278" s="342" t="s">
        <v>995</v>
      </c>
      <c r="K278" s="342"/>
      <c r="L278" s="342" t="s">
        <v>995</v>
      </c>
      <c r="M278" s="342"/>
      <c r="N278" s="342"/>
      <c r="O278" s="342"/>
      <c r="P278" s="342"/>
      <c r="Q278" s="343"/>
      <c r="R278" s="266"/>
      <c r="S278" s="266"/>
      <c r="T278" s="268"/>
    </row>
    <row r="279" spans="1:23" ht="30" customHeight="1">
      <c r="A279" s="340">
        <v>274</v>
      </c>
      <c r="B279" s="344" t="s">
        <v>1204</v>
      </c>
      <c r="C279" s="340" t="s">
        <v>204</v>
      </c>
      <c r="D279" s="340"/>
      <c r="E279" s="340" t="s">
        <v>84</v>
      </c>
      <c r="F279" s="345">
        <v>453</v>
      </c>
      <c r="G279" s="346">
        <v>453</v>
      </c>
      <c r="H279" s="346">
        <v>453</v>
      </c>
      <c r="I279" s="346">
        <f t="shared" si="4"/>
        <v>0</v>
      </c>
      <c r="J279" s="342" t="s">
        <v>1208</v>
      </c>
      <c r="K279" s="342"/>
      <c r="L279" s="342" t="s">
        <v>1208</v>
      </c>
      <c r="M279" s="342"/>
      <c r="N279" s="342"/>
      <c r="O279" s="342"/>
      <c r="P279" s="342"/>
      <c r="Q279" s="343"/>
      <c r="R279" s="266"/>
      <c r="S279" s="266"/>
      <c r="T279" s="268"/>
    </row>
    <row r="280" spans="1:23" ht="30" customHeight="1">
      <c r="A280" s="340">
        <v>275</v>
      </c>
      <c r="B280" s="344" t="s">
        <v>1204</v>
      </c>
      <c r="C280" s="340" t="s">
        <v>205</v>
      </c>
      <c r="D280" s="340"/>
      <c r="E280" s="340" t="s">
        <v>84</v>
      </c>
      <c r="F280" s="345">
        <v>132</v>
      </c>
      <c r="G280" s="346">
        <v>132</v>
      </c>
      <c r="H280" s="346">
        <v>132</v>
      </c>
      <c r="I280" s="346">
        <f t="shared" si="4"/>
        <v>0</v>
      </c>
      <c r="J280" s="342" t="s">
        <v>1208</v>
      </c>
      <c r="K280" s="342"/>
      <c r="L280" s="342" t="s">
        <v>1208</v>
      </c>
      <c r="M280" s="342"/>
      <c r="N280" s="342"/>
      <c r="O280" s="342"/>
      <c r="P280" s="342"/>
      <c r="Q280" s="343"/>
      <c r="R280" s="266"/>
      <c r="S280" s="266"/>
      <c r="T280" s="268"/>
    </row>
    <row r="281" spans="1:23" ht="30" customHeight="1">
      <c r="A281" s="340">
        <v>276</v>
      </c>
      <c r="B281" s="344" t="s">
        <v>1204</v>
      </c>
      <c r="C281" s="340" t="s">
        <v>206</v>
      </c>
      <c r="D281" s="340"/>
      <c r="E281" s="340" t="s">
        <v>84</v>
      </c>
      <c r="F281" s="345">
        <v>102</v>
      </c>
      <c r="G281" s="346">
        <v>102</v>
      </c>
      <c r="H281" s="346">
        <v>102</v>
      </c>
      <c r="I281" s="346">
        <f t="shared" si="4"/>
        <v>0</v>
      </c>
      <c r="J281" s="342" t="s">
        <v>1116</v>
      </c>
      <c r="K281" s="342"/>
      <c r="L281" s="342" t="s">
        <v>1116</v>
      </c>
      <c r="M281" s="342"/>
      <c r="N281" s="342"/>
      <c r="O281" s="342"/>
      <c r="P281" s="342"/>
      <c r="Q281" s="343"/>
      <c r="R281" s="266"/>
      <c r="S281" s="266"/>
      <c r="T281" s="288"/>
      <c r="U281" s="266"/>
      <c r="V281" s="266"/>
      <c r="W281" s="266"/>
    </row>
    <row r="282" spans="1:23" ht="30" customHeight="1">
      <c r="A282" s="340">
        <v>277</v>
      </c>
      <c r="B282" s="344" t="s">
        <v>1204</v>
      </c>
      <c r="C282" s="340" t="s">
        <v>207</v>
      </c>
      <c r="D282" s="340"/>
      <c r="E282" s="340" t="s">
        <v>84</v>
      </c>
      <c r="F282" s="345">
        <v>571</v>
      </c>
      <c r="G282" s="346">
        <v>571</v>
      </c>
      <c r="H282" s="346">
        <v>571</v>
      </c>
      <c r="I282" s="346">
        <f t="shared" si="4"/>
        <v>0</v>
      </c>
      <c r="J282" s="342" t="s">
        <v>995</v>
      </c>
      <c r="K282" s="342"/>
      <c r="L282" s="342" t="s">
        <v>995</v>
      </c>
      <c r="M282" s="342"/>
      <c r="N282" s="342"/>
      <c r="O282" s="342"/>
      <c r="P282" s="342"/>
      <c r="Q282" s="343"/>
      <c r="R282" s="266"/>
      <c r="S282" s="266"/>
      <c r="T282" s="288"/>
      <c r="U282" s="266"/>
      <c r="V282" s="266"/>
      <c r="W282" s="266"/>
    </row>
    <row r="283" spans="1:23" ht="30" customHeight="1">
      <c r="A283" s="340">
        <v>278</v>
      </c>
      <c r="B283" s="344" t="s">
        <v>1204</v>
      </c>
      <c r="C283" s="340" t="s">
        <v>825</v>
      </c>
      <c r="D283" s="340"/>
      <c r="E283" s="340" t="s">
        <v>84</v>
      </c>
      <c r="F283" s="345">
        <v>271</v>
      </c>
      <c r="G283" s="346">
        <v>271</v>
      </c>
      <c r="H283" s="346">
        <v>271</v>
      </c>
      <c r="I283" s="346">
        <f t="shared" ref="I283:I303" si="5">H283-G283</f>
        <v>0</v>
      </c>
      <c r="J283" s="342" t="s">
        <v>1208</v>
      </c>
      <c r="K283" s="342"/>
      <c r="L283" s="342" t="s">
        <v>1208</v>
      </c>
      <c r="M283" s="342"/>
      <c r="N283" s="342"/>
      <c r="O283" s="342"/>
      <c r="P283" s="342"/>
      <c r="Q283" s="343"/>
      <c r="R283" s="266"/>
      <c r="S283" s="266"/>
      <c r="T283" s="266"/>
    </row>
    <row r="284" spans="1:23" ht="30" customHeight="1">
      <c r="A284" s="340">
        <v>279</v>
      </c>
      <c r="B284" s="344" t="s">
        <v>1204</v>
      </c>
      <c r="C284" s="340" t="s">
        <v>826</v>
      </c>
      <c r="D284" s="340"/>
      <c r="E284" s="340" t="s">
        <v>84</v>
      </c>
      <c r="F284" s="345">
        <v>261</v>
      </c>
      <c r="G284" s="346">
        <v>261</v>
      </c>
      <c r="H284" s="346">
        <v>261</v>
      </c>
      <c r="I284" s="346">
        <f t="shared" si="5"/>
        <v>0</v>
      </c>
      <c r="J284" s="342" t="s">
        <v>1246</v>
      </c>
      <c r="K284" s="342" t="s">
        <v>270</v>
      </c>
      <c r="L284" s="342" t="s">
        <v>995</v>
      </c>
      <c r="M284" s="342"/>
      <c r="N284" s="342"/>
      <c r="O284" s="342"/>
      <c r="P284" s="342"/>
      <c r="Q284" s="343"/>
      <c r="R284" s="266"/>
      <c r="S284" s="266"/>
      <c r="T284" s="266"/>
    </row>
    <row r="285" spans="1:23" ht="30" customHeight="1">
      <c r="A285" s="340">
        <v>280</v>
      </c>
      <c r="B285" s="344" t="s">
        <v>1204</v>
      </c>
      <c r="C285" s="340" t="s">
        <v>208</v>
      </c>
      <c r="D285" s="340"/>
      <c r="E285" s="340" t="s">
        <v>84</v>
      </c>
      <c r="F285" s="345">
        <v>81</v>
      </c>
      <c r="G285" s="346">
        <v>81</v>
      </c>
      <c r="H285" s="346">
        <v>81</v>
      </c>
      <c r="I285" s="346">
        <f t="shared" si="5"/>
        <v>0</v>
      </c>
      <c r="J285" s="342" t="s">
        <v>995</v>
      </c>
      <c r="K285" s="342"/>
      <c r="L285" s="342" t="s">
        <v>995</v>
      </c>
      <c r="M285" s="342"/>
      <c r="N285" s="342"/>
      <c r="O285" s="342"/>
      <c r="P285" s="342"/>
      <c r="Q285" s="343"/>
      <c r="R285" s="266"/>
      <c r="S285" s="266"/>
      <c r="T285" s="266"/>
    </row>
    <row r="286" spans="1:23" ht="30" customHeight="1">
      <c r="A286" s="340">
        <v>281</v>
      </c>
      <c r="B286" s="344" t="s">
        <v>1204</v>
      </c>
      <c r="C286" s="340" t="s">
        <v>828</v>
      </c>
      <c r="D286" s="340"/>
      <c r="E286" s="340" t="s">
        <v>84</v>
      </c>
      <c r="F286" s="345">
        <v>23</v>
      </c>
      <c r="G286" s="346">
        <v>23</v>
      </c>
      <c r="H286" s="346">
        <v>23</v>
      </c>
      <c r="I286" s="346">
        <f t="shared" si="5"/>
        <v>0</v>
      </c>
      <c r="J286" s="342" t="s">
        <v>1116</v>
      </c>
      <c r="K286" s="342"/>
      <c r="L286" s="342" t="s">
        <v>1116</v>
      </c>
      <c r="M286" s="342"/>
      <c r="N286" s="342"/>
      <c r="O286" s="342"/>
      <c r="P286" s="342"/>
      <c r="Q286" s="343"/>
      <c r="R286" s="266"/>
      <c r="S286" s="266"/>
      <c r="T286" s="266"/>
    </row>
    <row r="287" spans="1:23" ht="30" customHeight="1">
      <c r="A287" s="340">
        <v>282</v>
      </c>
      <c r="B287" s="344" t="s">
        <v>1204</v>
      </c>
      <c r="C287" s="340" t="s">
        <v>209</v>
      </c>
      <c r="D287" s="340"/>
      <c r="E287" s="340" t="s">
        <v>84</v>
      </c>
      <c r="F287" s="345">
        <v>76</v>
      </c>
      <c r="G287" s="346">
        <v>76</v>
      </c>
      <c r="H287" s="346">
        <v>76</v>
      </c>
      <c r="I287" s="346">
        <f t="shared" si="5"/>
        <v>0</v>
      </c>
      <c r="J287" s="342" t="s">
        <v>995</v>
      </c>
      <c r="K287" s="342"/>
      <c r="L287" s="342" t="s">
        <v>995</v>
      </c>
      <c r="M287" s="342"/>
      <c r="N287" s="342"/>
      <c r="O287" s="342"/>
      <c r="P287" s="342"/>
      <c r="Q287" s="343"/>
      <c r="R287" s="266"/>
      <c r="S287" s="266"/>
      <c r="T287" s="266"/>
    </row>
    <row r="288" spans="1:23" ht="30" customHeight="1">
      <c r="A288" s="340">
        <v>283</v>
      </c>
      <c r="B288" s="344" t="s">
        <v>1204</v>
      </c>
      <c r="C288" s="340" t="s">
        <v>829</v>
      </c>
      <c r="D288" s="340"/>
      <c r="E288" s="340" t="s">
        <v>84</v>
      </c>
      <c r="F288" s="345">
        <v>415</v>
      </c>
      <c r="G288" s="346">
        <v>415</v>
      </c>
      <c r="H288" s="346">
        <v>415</v>
      </c>
      <c r="I288" s="346">
        <f t="shared" si="5"/>
        <v>0</v>
      </c>
      <c r="J288" s="342" t="s">
        <v>995</v>
      </c>
      <c r="K288" s="342"/>
      <c r="L288" s="342" t="s">
        <v>995</v>
      </c>
      <c r="M288" s="342"/>
      <c r="N288" s="342"/>
      <c r="O288" s="342"/>
      <c r="P288" s="342"/>
      <c r="Q288" s="343"/>
      <c r="R288" s="266"/>
      <c r="S288" s="266"/>
      <c r="T288" s="266"/>
    </row>
    <row r="289" spans="1:23" ht="30" customHeight="1">
      <c r="A289" s="340">
        <v>284</v>
      </c>
      <c r="B289" s="344" t="s">
        <v>1204</v>
      </c>
      <c r="C289" s="340" t="s">
        <v>830</v>
      </c>
      <c r="D289" s="340"/>
      <c r="E289" s="340" t="s">
        <v>84</v>
      </c>
      <c r="F289" s="345">
        <v>274</v>
      </c>
      <c r="G289" s="346">
        <v>274</v>
      </c>
      <c r="H289" s="346">
        <v>274</v>
      </c>
      <c r="I289" s="346">
        <f t="shared" si="5"/>
        <v>0</v>
      </c>
      <c r="J289" s="342" t="s">
        <v>1242</v>
      </c>
      <c r="K289" s="342" t="s">
        <v>263</v>
      </c>
      <c r="L289" s="342" t="s">
        <v>995</v>
      </c>
      <c r="M289" s="342"/>
      <c r="N289" s="342"/>
      <c r="O289" s="342"/>
      <c r="P289" s="342"/>
      <c r="Q289" s="343"/>
      <c r="R289" s="266"/>
      <c r="S289" s="266"/>
      <c r="T289" s="266"/>
    </row>
    <row r="290" spans="1:23" ht="30" customHeight="1">
      <c r="A290" s="340">
        <v>285</v>
      </c>
      <c r="B290" s="344" t="s">
        <v>1204</v>
      </c>
      <c r="C290" s="340" t="s">
        <v>210</v>
      </c>
      <c r="D290" s="340"/>
      <c r="E290" s="340" t="s">
        <v>87</v>
      </c>
      <c r="F290" s="345">
        <v>220</v>
      </c>
      <c r="G290" s="346">
        <v>120</v>
      </c>
      <c r="H290" s="346">
        <v>120</v>
      </c>
      <c r="I290" s="346">
        <f t="shared" si="5"/>
        <v>0</v>
      </c>
      <c r="J290" s="342" t="s">
        <v>1209</v>
      </c>
      <c r="K290" s="342"/>
      <c r="L290" s="342" t="s">
        <v>1209</v>
      </c>
      <c r="M290" s="342"/>
      <c r="N290" s="342"/>
      <c r="O290" s="342"/>
      <c r="P290" s="342"/>
      <c r="Q290" s="343"/>
      <c r="R290" s="266"/>
      <c r="S290" s="266"/>
      <c r="T290" s="266"/>
    </row>
    <row r="291" spans="1:23" ht="30" customHeight="1">
      <c r="A291" s="340">
        <v>286</v>
      </c>
      <c r="B291" s="344" t="s">
        <v>1204</v>
      </c>
      <c r="C291" s="340" t="s">
        <v>211</v>
      </c>
      <c r="D291" s="340"/>
      <c r="E291" s="340" t="s">
        <v>84</v>
      </c>
      <c r="F291" s="345">
        <v>430</v>
      </c>
      <c r="G291" s="346">
        <v>430</v>
      </c>
      <c r="H291" s="346">
        <v>430</v>
      </c>
      <c r="I291" s="346">
        <f t="shared" si="5"/>
        <v>0</v>
      </c>
      <c r="J291" s="342" t="s">
        <v>1208</v>
      </c>
      <c r="K291" s="342"/>
      <c r="L291" s="342" t="s">
        <v>1208</v>
      </c>
      <c r="M291" s="342"/>
      <c r="N291" s="342"/>
      <c r="O291" s="342"/>
      <c r="P291" s="342"/>
      <c r="Q291" s="343"/>
      <c r="R291" s="266"/>
      <c r="S291" s="266"/>
      <c r="T291" s="266"/>
    </row>
    <row r="292" spans="1:23" ht="30" customHeight="1">
      <c r="A292" s="340">
        <v>287</v>
      </c>
      <c r="B292" s="344" t="s">
        <v>1204</v>
      </c>
      <c r="C292" s="340" t="s">
        <v>212</v>
      </c>
      <c r="D292" s="340"/>
      <c r="E292" s="340" t="s">
        <v>84</v>
      </c>
      <c r="F292" s="345">
        <v>3</v>
      </c>
      <c r="G292" s="346">
        <v>3</v>
      </c>
      <c r="H292" s="346">
        <v>3</v>
      </c>
      <c r="I292" s="346">
        <f t="shared" si="5"/>
        <v>0</v>
      </c>
      <c r="J292" s="342" t="s">
        <v>1208</v>
      </c>
      <c r="K292" s="342"/>
      <c r="L292" s="342" t="s">
        <v>1208</v>
      </c>
      <c r="M292" s="342"/>
      <c r="N292" s="342"/>
      <c r="O292" s="342"/>
      <c r="P292" s="342"/>
      <c r="Q292" s="343"/>
      <c r="R292" s="266"/>
      <c r="S292" s="266"/>
      <c r="T292" s="266"/>
    </row>
    <row r="293" spans="1:23" ht="30" customHeight="1">
      <c r="A293" s="340">
        <v>288</v>
      </c>
      <c r="B293" s="344" t="s">
        <v>1204</v>
      </c>
      <c r="C293" s="340" t="s">
        <v>703</v>
      </c>
      <c r="D293" s="340"/>
      <c r="E293" s="340" t="s">
        <v>84</v>
      </c>
      <c r="F293" s="345">
        <v>56</v>
      </c>
      <c r="G293" s="346">
        <v>56</v>
      </c>
      <c r="H293" s="346">
        <v>56</v>
      </c>
      <c r="I293" s="346">
        <f t="shared" si="5"/>
        <v>0</v>
      </c>
      <c r="J293" s="342" t="s">
        <v>1208</v>
      </c>
      <c r="K293" s="342"/>
      <c r="L293" s="342" t="s">
        <v>1208</v>
      </c>
      <c r="M293" s="342"/>
      <c r="N293" s="342"/>
      <c r="O293" s="342"/>
      <c r="P293" s="342"/>
      <c r="Q293" s="343"/>
      <c r="R293" s="266"/>
      <c r="S293" s="266"/>
      <c r="T293" s="266"/>
    </row>
    <row r="294" spans="1:23" ht="30" customHeight="1">
      <c r="A294" s="340">
        <v>289</v>
      </c>
      <c r="B294" s="344" t="s">
        <v>1204</v>
      </c>
      <c r="C294" s="340" t="s">
        <v>213</v>
      </c>
      <c r="D294" s="340"/>
      <c r="E294" s="340" t="s">
        <v>84</v>
      </c>
      <c r="F294" s="345">
        <v>66</v>
      </c>
      <c r="G294" s="346">
        <v>66</v>
      </c>
      <c r="H294" s="346">
        <v>66</v>
      </c>
      <c r="I294" s="346">
        <f t="shared" si="5"/>
        <v>0</v>
      </c>
      <c r="J294" s="342" t="s">
        <v>1247</v>
      </c>
      <c r="K294" s="342" t="s">
        <v>272</v>
      </c>
      <c r="L294" s="342" t="s">
        <v>995</v>
      </c>
      <c r="M294" s="342"/>
      <c r="N294" s="342"/>
      <c r="O294" s="342"/>
      <c r="P294" s="342"/>
      <c r="Q294" s="343"/>
      <c r="R294" s="266"/>
      <c r="S294" s="266"/>
      <c r="T294" s="266"/>
    </row>
    <row r="295" spans="1:23" ht="30" customHeight="1">
      <c r="A295" s="340">
        <v>290</v>
      </c>
      <c r="B295" s="344" t="s">
        <v>1204</v>
      </c>
      <c r="C295" s="340" t="s">
        <v>214</v>
      </c>
      <c r="D295" s="340"/>
      <c r="E295" s="340" t="s">
        <v>84</v>
      </c>
      <c r="F295" s="345">
        <v>109</v>
      </c>
      <c r="G295" s="346">
        <v>109</v>
      </c>
      <c r="H295" s="346">
        <v>109</v>
      </c>
      <c r="I295" s="346">
        <f t="shared" si="5"/>
        <v>0</v>
      </c>
      <c r="J295" s="342" t="s">
        <v>995</v>
      </c>
      <c r="K295" s="342"/>
      <c r="L295" s="342" t="s">
        <v>995</v>
      </c>
      <c r="M295" s="342"/>
      <c r="N295" s="342"/>
      <c r="O295" s="342"/>
      <c r="P295" s="342"/>
      <c r="Q295" s="343"/>
      <c r="R295" s="266"/>
      <c r="S295" s="266"/>
      <c r="T295" s="266"/>
    </row>
    <row r="296" spans="1:23" ht="30" customHeight="1">
      <c r="A296" s="340">
        <v>291</v>
      </c>
      <c r="B296" s="344" t="s">
        <v>1204</v>
      </c>
      <c r="C296" s="340" t="s">
        <v>831</v>
      </c>
      <c r="D296" s="340"/>
      <c r="E296" s="340" t="s">
        <v>84</v>
      </c>
      <c r="F296" s="345">
        <v>306</v>
      </c>
      <c r="G296" s="346">
        <v>306</v>
      </c>
      <c r="H296" s="346">
        <v>306</v>
      </c>
      <c r="I296" s="346">
        <f t="shared" si="5"/>
        <v>0</v>
      </c>
      <c r="J296" s="342" t="s">
        <v>995</v>
      </c>
      <c r="K296" s="342"/>
      <c r="L296" s="342" t="s">
        <v>995</v>
      </c>
      <c r="M296" s="342"/>
      <c r="N296" s="342"/>
      <c r="O296" s="342"/>
      <c r="P296" s="342"/>
      <c r="Q296" s="343"/>
      <c r="R296" s="266"/>
      <c r="S296" s="266"/>
      <c r="T296" s="266"/>
    </row>
    <row r="297" spans="1:23" ht="30" customHeight="1">
      <c r="A297" s="340">
        <v>292</v>
      </c>
      <c r="B297" s="344" t="s">
        <v>1204</v>
      </c>
      <c r="C297" s="340" t="s">
        <v>832</v>
      </c>
      <c r="D297" s="340"/>
      <c r="E297" s="340" t="s">
        <v>84</v>
      </c>
      <c r="F297" s="345">
        <v>149</v>
      </c>
      <c r="G297" s="346">
        <v>149</v>
      </c>
      <c r="H297" s="346">
        <v>149</v>
      </c>
      <c r="I297" s="346">
        <f t="shared" si="5"/>
        <v>0</v>
      </c>
      <c r="J297" s="342" t="s">
        <v>995</v>
      </c>
      <c r="K297" s="342"/>
      <c r="L297" s="342" t="s">
        <v>995</v>
      </c>
      <c r="M297" s="342"/>
      <c r="N297" s="342"/>
      <c r="O297" s="342"/>
      <c r="P297" s="342"/>
      <c r="Q297" s="343"/>
      <c r="R297" s="266"/>
      <c r="S297" s="266"/>
      <c r="T297" s="266"/>
    </row>
    <row r="298" spans="1:23" ht="30" customHeight="1">
      <c r="A298" s="340">
        <v>293</v>
      </c>
      <c r="B298" s="344" t="s">
        <v>1204</v>
      </c>
      <c r="C298" s="340" t="s">
        <v>215</v>
      </c>
      <c r="D298" s="340"/>
      <c r="E298" s="340" t="s">
        <v>84</v>
      </c>
      <c r="F298" s="345">
        <v>144</v>
      </c>
      <c r="G298" s="346">
        <v>97</v>
      </c>
      <c r="H298" s="346">
        <v>97</v>
      </c>
      <c r="I298" s="346">
        <f t="shared" si="5"/>
        <v>0</v>
      </c>
      <c r="J298" s="342" t="s">
        <v>995</v>
      </c>
      <c r="K298" s="342"/>
      <c r="L298" s="342" t="s">
        <v>995</v>
      </c>
      <c r="M298" s="342"/>
      <c r="N298" s="342"/>
      <c r="O298" s="342"/>
      <c r="P298" s="342"/>
      <c r="Q298" s="343"/>
      <c r="R298" s="266"/>
      <c r="S298" s="266"/>
      <c r="T298" s="268"/>
    </row>
    <row r="299" spans="1:23" ht="30" customHeight="1">
      <c r="A299" s="340">
        <v>294</v>
      </c>
      <c r="B299" s="344" t="s">
        <v>1204</v>
      </c>
      <c r="C299" s="340" t="s">
        <v>833</v>
      </c>
      <c r="D299" s="340"/>
      <c r="E299" s="340" t="s">
        <v>84</v>
      </c>
      <c r="F299" s="345">
        <v>3832</v>
      </c>
      <c r="G299" s="346">
        <v>966</v>
      </c>
      <c r="H299" s="346">
        <v>966</v>
      </c>
      <c r="I299" s="346">
        <f t="shared" si="5"/>
        <v>0</v>
      </c>
      <c r="J299" s="342" t="s">
        <v>1208</v>
      </c>
      <c r="K299" s="342"/>
      <c r="L299" s="342" t="s">
        <v>1208</v>
      </c>
      <c r="M299" s="342"/>
      <c r="N299" s="342"/>
      <c r="O299" s="342"/>
      <c r="P299" s="342"/>
      <c r="Q299" s="343"/>
      <c r="R299" s="266"/>
      <c r="S299" s="266"/>
      <c r="T299" s="268"/>
    </row>
    <row r="300" spans="1:23" ht="30" customHeight="1">
      <c r="A300" s="340">
        <v>295</v>
      </c>
      <c r="B300" s="344" t="s">
        <v>1204</v>
      </c>
      <c r="C300" s="340" t="s">
        <v>736</v>
      </c>
      <c r="D300" s="340"/>
      <c r="E300" s="340" t="s">
        <v>84</v>
      </c>
      <c r="F300" s="345">
        <v>2</v>
      </c>
      <c r="G300" s="346">
        <v>2</v>
      </c>
      <c r="H300" s="346">
        <v>2</v>
      </c>
      <c r="I300" s="346">
        <f t="shared" si="5"/>
        <v>0</v>
      </c>
      <c r="J300" s="342" t="s">
        <v>1248</v>
      </c>
      <c r="K300" s="342" t="s">
        <v>835</v>
      </c>
      <c r="L300" s="342" t="s">
        <v>995</v>
      </c>
      <c r="M300" s="342"/>
      <c r="N300" s="342"/>
      <c r="O300" s="342"/>
      <c r="P300" s="342"/>
      <c r="Q300" s="343"/>
      <c r="R300" s="266"/>
      <c r="S300" s="266"/>
      <c r="T300" s="268"/>
    </row>
    <row r="301" spans="1:23" ht="30" customHeight="1">
      <c r="A301" s="340">
        <v>296</v>
      </c>
      <c r="B301" s="344" t="s">
        <v>1204</v>
      </c>
      <c r="C301" s="340" t="s">
        <v>1096</v>
      </c>
      <c r="D301" s="340"/>
      <c r="E301" s="340" t="s">
        <v>88</v>
      </c>
      <c r="F301" s="345">
        <v>984</v>
      </c>
      <c r="G301" s="346">
        <v>984</v>
      </c>
      <c r="H301" s="346">
        <v>984</v>
      </c>
      <c r="I301" s="346">
        <f t="shared" si="5"/>
        <v>0</v>
      </c>
      <c r="J301" s="342" t="s">
        <v>1098</v>
      </c>
      <c r="K301" s="342" t="s">
        <v>1117</v>
      </c>
      <c r="L301" s="342" t="s">
        <v>1098</v>
      </c>
      <c r="M301" s="342" t="s">
        <v>1099</v>
      </c>
      <c r="N301" s="342"/>
      <c r="O301" s="342"/>
      <c r="P301" s="342"/>
      <c r="Q301" s="343"/>
      <c r="R301" s="266"/>
      <c r="S301" s="266"/>
      <c r="T301" s="268"/>
    </row>
    <row r="302" spans="1:23" ht="30" customHeight="1">
      <c r="A302" s="340">
        <v>297</v>
      </c>
      <c r="B302" s="344" t="s">
        <v>1204</v>
      </c>
      <c r="C302" s="340" t="s">
        <v>1100</v>
      </c>
      <c r="D302" s="340"/>
      <c r="E302" s="340" t="s">
        <v>849</v>
      </c>
      <c r="F302" s="345">
        <v>3</v>
      </c>
      <c r="G302" s="346">
        <v>3</v>
      </c>
      <c r="H302" s="346">
        <v>3</v>
      </c>
      <c r="I302" s="346">
        <f t="shared" si="5"/>
        <v>0</v>
      </c>
      <c r="J302" s="342" t="s">
        <v>995</v>
      </c>
      <c r="K302" s="342"/>
      <c r="L302" s="342" t="s">
        <v>995</v>
      </c>
      <c r="M302" s="342"/>
      <c r="N302" s="342"/>
      <c r="O302" s="342"/>
      <c r="P302" s="342"/>
      <c r="Q302" s="343"/>
      <c r="R302" s="266"/>
      <c r="S302" s="266"/>
      <c r="T302" s="288"/>
      <c r="U302" s="266"/>
      <c r="V302" s="266"/>
      <c r="W302" s="266"/>
    </row>
    <row r="303" spans="1:23" ht="30" customHeight="1">
      <c r="A303" s="340">
        <v>298</v>
      </c>
      <c r="B303" s="344" t="s">
        <v>1204</v>
      </c>
      <c r="C303" s="340" t="s">
        <v>1101</v>
      </c>
      <c r="D303" s="340"/>
      <c r="E303" s="340" t="s">
        <v>88</v>
      </c>
      <c r="F303" s="345">
        <v>1661</v>
      </c>
      <c r="G303" s="346">
        <v>187</v>
      </c>
      <c r="H303" s="346">
        <v>187</v>
      </c>
      <c r="I303" s="346">
        <f t="shared" si="5"/>
        <v>0</v>
      </c>
      <c r="J303" s="342" t="s">
        <v>995</v>
      </c>
      <c r="K303" s="342"/>
      <c r="L303" s="342" t="s">
        <v>995</v>
      </c>
      <c r="M303" s="342"/>
      <c r="N303" s="342"/>
      <c r="O303" s="342"/>
      <c r="P303" s="342"/>
      <c r="Q303" s="343"/>
      <c r="R303" s="266"/>
      <c r="S303" s="266"/>
      <c r="T303" s="288"/>
      <c r="U303" s="266"/>
      <c r="V303" s="266"/>
      <c r="W303" s="266"/>
    </row>
    <row r="304" spans="1:23" ht="30" customHeight="1">
      <c r="A304" s="340">
        <v>299</v>
      </c>
      <c r="B304" s="344" t="s">
        <v>1205</v>
      </c>
      <c r="C304" s="340" t="s">
        <v>837</v>
      </c>
      <c r="D304" s="340"/>
      <c r="E304" s="340" t="s">
        <v>382</v>
      </c>
      <c r="F304" s="345">
        <v>5</v>
      </c>
      <c r="G304" s="346">
        <v>5</v>
      </c>
      <c r="H304" s="346">
        <v>5</v>
      </c>
      <c r="I304" s="346">
        <f>H304-G304</f>
        <v>0</v>
      </c>
      <c r="J304" s="342" t="s">
        <v>1209</v>
      </c>
      <c r="K304" s="342"/>
      <c r="L304" s="342" t="s">
        <v>1209</v>
      </c>
      <c r="M304" s="342"/>
      <c r="N304" s="342"/>
      <c r="O304" s="342"/>
      <c r="P304" s="342"/>
      <c r="Q304" s="343"/>
      <c r="R304" s="266"/>
      <c r="S304" s="266"/>
      <c r="T304" s="266"/>
    </row>
    <row r="305" spans="1:20" ht="30" customHeight="1">
      <c r="A305" s="340">
        <v>300</v>
      </c>
      <c r="B305" s="344" t="s">
        <v>1205</v>
      </c>
      <c r="C305" s="340" t="s">
        <v>383</v>
      </c>
      <c r="D305" s="340"/>
      <c r="E305" s="340" t="s">
        <v>85</v>
      </c>
      <c r="F305" s="345">
        <v>1514</v>
      </c>
      <c r="G305" s="346">
        <v>1514</v>
      </c>
      <c r="H305" s="346">
        <v>1514</v>
      </c>
      <c r="I305" s="346">
        <f t="shared" ref="I305:I368" si="6">H305-G305</f>
        <v>0</v>
      </c>
      <c r="J305" s="342" t="s">
        <v>995</v>
      </c>
      <c r="K305" s="342"/>
      <c r="L305" s="342" t="s">
        <v>995</v>
      </c>
      <c r="M305" s="342"/>
      <c r="N305" s="342"/>
      <c r="O305" s="342"/>
      <c r="P305" s="342"/>
      <c r="Q305" s="343"/>
      <c r="R305" s="266"/>
      <c r="S305" s="266"/>
      <c r="T305" s="266"/>
    </row>
    <row r="306" spans="1:20" ht="30" customHeight="1">
      <c r="A306" s="340">
        <v>301</v>
      </c>
      <c r="B306" s="344" t="s">
        <v>1205</v>
      </c>
      <c r="C306" s="340" t="s">
        <v>839</v>
      </c>
      <c r="D306" s="340"/>
      <c r="E306" s="340" t="s">
        <v>88</v>
      </c>
      <c r="F306" s="345">
        <v>1116</v>
      </c>
      <c r="G306" s="346">
        <v>694</v>
      </c>
      <c r="H306" s="346">
        <v>1116</v>
      </c>
      <c r="I306" s="346">
        <f t="shared" si="6"/>
        <v>422</v>
      </c>
      <c r="J306" s="342" t="s">
        <v>1249</v>
      </c>
      <c r="K306" s="342" t="s">
        <v>841</v>
      </c>
      <c r="L306" s="342" t="s">
        <v>1249</v>
      </c>
      <c r="M306" s="342" t="s">
        <v>842</v>
      </c>
      <c r="N306" s="342" t="s">
        <v>748</v>
      </c>
      <c r="O306" s="343" t="s">
        <v>749</v>
      </c>
      <c r="P306" s="342" t="s">
        <v>750</v>
      </c>
      <c r="Q306" s="343"/>
      <c r="R306" s="266"/>
      <c r="S306" s="266"/>
      <c r="T306" s="266"/>
    </row>
    <row r="307" spans="1:20" ht="30" customHeight="1">
      <c r="A307" s="340">
        <v>302</v>
      </c>
      <c r="B307" s="344" t="s">
        <v>1205</v>
      </c>
      <c r="C307" s="340" t="s">
        <v>385</v>
      </c>
      <c r="D307" s="340"/>
      <c r="E307" s="340" t="s">
        <v>305</v>
      </c>
      <c r="F307" s="345">
        <v>188</v>
      </c>
      <c r="G307" s="346">
        <v>99</v>
      </c>
      <c r="H307" s="346">
        <v>99</v>
      </c>
      <c r="I307" s="346">
        <f t="shared" si="6"/>
        <v>0</v>
      </c>
      <c r="J307" s="342" t="s">
        <v>995</v>
      </c>
      <c r="K307" s="342"/>
      <c r="L307" s="342" t="s">
        <v>995</v>
      </c>
      <c r="M307" s="342"/>
      <c r="N307" s="342"/>
      <c r="O307" s="342"/>
      <c r="P307" s="342"/>
      <c r="Q307" s="343"/>
      <c r="R307" s="266"/>
      <c r="S307" s="266"/>
      <c r="T307" s="266"/>
    </row>
    <row r="308" spans="1:20" ht="30" customHeight="1">
      <c r="A308" s="340">
        <v>303</v>
      </c>
      <c r="B308" s="344" t="s">
        <v>1205</v>
      </c>
      <c r="C308" s="340" t="s">
        <v>843</v>
      </c>
      <c r="D308" s="340"/>
      <c r="E308" s="340" t="s">
        <v>88</v>
      </c>
      <c r="F308" s="345">
        <v>1222</v>
      </c>
      <c r="G308" s="346">
        <v>1222</v>
      </c>
      <c r="H308" s="346">
        <v>1222</v>
      </c>
      <c r="I308" s="346">
        <f t="shared" si="6"/>
        <v>0</v>
      </c>
      <c r="J308" s="342" t="s">
        <v>995</v>
      </c>
      <c r="K308" s="342"/>
      <c r="L308" s="342" t="s">
        <v>995</v>
      </c>
      <c r="M308" s="342"/>
      <c r="N308" s="342"/>
      <c r="O308" s="342"/>
      <c r="P308" s="342"/>
      <c r="Q308" s="343"/>
      <c r="R308" s="266"/>
      <c r="S308" s="266"/>
      <c r="T308" s="266"/>
    </row>
    <row r="309" spans="1:20" ht="30" customHeight="1">
      <c r="A309" s="340">
        <v>304</v>
      </c>
      <c r="B309" s="344" t="s">
        <v>1205</v>
      </c>
      <c r="C309" s="340" t="s">
        <v>386</v>
      </c>
      <c r="D309" s="340"/>
      <c r="E309" s="340" t="s">
        <v>90</v>
      </c>
      <c r="F309" s="345">
        <v>424</v>
      </c>
      <c r="G309" s="346">
        <v>424</v>
      </c>
      <c r="H309" s="346">
        <v>424</v>
      </c>
      <c r="I309" s="346">
        <f t="shared" si="6"/>
        <v>0</v>
      </c>
      <c r="J309" s="342" t="s">
        <v>995</v>
      </c>
      <c r="K309" s="342"/>
      <c r="L309" s="342" t="s">
        <v>995</v>
      </c>
      <c r="M309" s="342"/>
      <c r="N309" s="342"/>
      <c r="O309" s="342"/>
      <c r="P309" s="342"/>
      <c r="Q309" s="343"/>
      <c r="R309" s="266"/>
      <c r="S309" s="266"/>
      <c r="T309" s="266"/>
    </row>
    <row r="310" spans="1:20" ht="30" customHeight="1">
      <c r="A310" s="340">
        <v>305</v>
      </c>
      <c r="B310" s="344" t="s">
        <v>1205</v>
      </c>
      <c r="C310" s="340" t="s">
        <v>844</v>
      </c>
      <c r="D310" s="340"/>
      <c r="E310" s="340" t="s">
        <v>85</v>
      </c>
      <c r="F310" s="345">
        <v>584</v>
      </c>
      <c r="G310" s="346">
        <v>584</v>
      </c>
      <c r="H310" s="346">
        <v>584</v>
      </c>
      <c r="I310" s="346">
        <f t="shared" si="6"/>
        <v>0</v>
      </c>
      <c r="J310" s="342" t="s">
        <v>995</v>
      </c>
      <c r="K310" s="342"/>
      <c r="L310" s="342" t="s">
        <v>995</v>
      </c>
      <c r="M310" s="342"/>
      <c r="N310" s="342"/>
      <c r="O310" s="342"/>
      <c r="P310" s="342"/>
      <c r="Q310" s="343"/>
      <c r="R310" s="266"/>
      <c r="S310" s="266"/>
      <c r="T310" s="266"/>
    </row>
    <row r="311" spans="1:20" ht="30" customHeight="1">
      <c r="A311" s="340">
        <v>306</v>
      </c>
      <c r="B311" s="344" t="s">
        <v>1205</v>
      </c>
      <c r="C311" s="340" t="s">
        <v>387</v>
      </c>
      <c r="D311" s="340"/>
      <c r="E311" s="340" t="s">
        <v>87</v>
      </c>
      <c r="F311" s="345">
        <v>318.10000000000002</v>
      </c>
      <c r="G311" s="346">
        <v>318.10000000000002</v>
      </c>
      <c r="H311" s="346">
        <v>318.10000000000002</v>
      </c>
      <c r="I311" s="346">
        <f t="shared" si="6"/>
        <v>0</v>
      </c>
      <c r="J311" s="342" t="s">
        <v>1209</v>
      </c>
      <c r="K311" s="342"/>
      <c r="L311" s="342" t="s">
        <v>1209</v>
      </c>
      <c r="M311" s="342"/>
      <c r="N311" s="342"/>
      <c r="O311" s="342"/>
      <c r="P311" s="342"/>
      <c r="Q311" s="343"/>
      <c r="R311" s="266"/>
      <c r="S311" s="266"/>
      <c r="T311" s="266"/>
    </row>
    <row r="312" spans="1:20" ht="30" customHeight="1">
      <c r="A312" s="340">
        <v>307</v>
      </c>
      <c r="B312" s="344" t="s">
        <v>1205</v>
      </c>
      <c r="C312" s="340" t="s">
        <v>846</v>
      </c>
      <c r="D312" s="340"/>
      <c r="E312" s="340" t="s">
        <v>89</v>
      </c>
      <c r="F312" s="345">
        <v>2974.7</v>
      </c>
      <c r="G312" s="346">
        <v>2974.7</v>
      </c>
      <c r="H312" s="346">
        <v>2974.7</v>
      </c>
      <c r="I312" s="346">
        <f t="shared" si="6"/>
        <v>0</v>
      </c>
      <c r="J312" s="342" t="s">
        <v>995</v>
      </c>
      <c r="K312" s="342"/>
      <c r="L312" s="342" t="s">
        <v>995</v>
      </c>
      <c r="M312" s="342"/>
      <c r="N312" s="342"/>
      <c r="O312" s="342"/>
      <c r="P312" s="342"/>
      <c r="Q312" s="343"/>
      <c r="R312" s="266"/>
      <c r="S312" s="266"/>
      <c r="T312" s="266"/>
    </row>
    <row r="313" spans="1:20" ht="30" customHeight="1">
      <c r="A313" s="340">
        <v>308</v>
      </c>
      <c r="B313" s="344" t="s">
        <v>1205</v>
      </c>
      <c r="C313" s="340" t="s">
        <v>388</v>
      </c>
      <c r="D313" s="340"/>
      <c r="E313" s="340" t="s">
        <v>309</v>
      </c>
      <c r="F313" s="345">
        <v>742.6</v>
      </c>
      <c r="G313" s="346">
        <v>742.6</v>
      </c>
      <c r="H313" s="346">
        <v>742.6</v>
      </c>
      <c r="I313" s="346">
        <f t="shared" si="6"/>
        <v>0</v>
      </c>
      <c r="J313" s="342" t="s">
        <v>995</v>
      </c>
      <c r="K313" s="342"/>
      <c r="L313" s="342" t="s">
        <v>995</v>
      </c>
      <c r="M313" s="342"/>
      <c r="N313" s="342"/>
      <c r="O313" s="342"/>
      <c r="P313" s="342"/>
      <c r="Q313" s="343"/>
      <c r="R313" s="266"/>
      <c r="S313" s="266"/>
      <c r="T313" s="266"/>
    </row>
    <row r="314" spans="1:20" ht="30" customHeight="1">
      <c r="A314" s="340">
        <v>309</v>
      </c>
      <c r="B314" s="344" t="s">
        <v>1205</v>
      </c>
      <c r="C314" s="340" t="s">
        <v>848</v>
      </c>
      <c r="D314" s="340"/>
      <c r="E314" s="340" t="s">
        <v>849</v>
      </c>
      <c r="F314" s="345">
        <v>394.1</v>
      </c>
      <c r="G314" s="346">
        <v>394.1</v>
      </c>
      <c r="H314" s="346">
        <v>394.1</v>
      </c>
      <c r="I314" s="346">
        <f t="shared" si="6"/>
        <v>0</v>
      </c>
      <c r="J314" s="342" t="s">
        <v>1209</v>
      </c>
      <c r="K314" s="342"/>
      <c r="L314" s="342" t="s">
        <v>1209</v>
      </c>
      <c r="M314" s="342"/>
      <c r="N314" s="342"/>
      <c r="O314" s="342"/>
      <c r="P314" s="342"/>
      <c r="Q314" s="343"/>
      <c r="R314" s="266"/>
      <c r="S314" s="266"/>
      <c r="T314" s="266"/>
    </row>
    <row r="315" spans="1:20" ht="30" customHeight="1">
      <c r="A315" s="340">
        <v>310</v>
      </c>
      <c r="B315" s="344" t="s">
        <v>1205</v>
      </c>
      <c r="C315" s="340" t="s">
        <v>390</v>
      </c>
      <c r="D315" s="340"/>
      <c r="E315" s="340" t="s">
        <v>309</v>
      </c>
      <c r="F315" s="345">
        <v>43</v>
      </c>
      <c r="G315" s="346">
        <v>5</v>
      </c>
      <c r="H315" s="346">
        <v>43</v>
      </c>
      <c r="I315" s="346">
        <f t="shared" si="6"/>
        <v>38</v>
      </c>
      <c r="J315" s="342" t="s">
        <v>1250</v>
      </c>
      <c r="K315" s="342" t="s">
        <v>392</v>
      </c>
      <c r="L315" s="342" t="s">
        <v>1250</v>
      </c>
      <c r="M315" s="342" t="s">
        <v>392</v>
      </c>
      <c r="N315" s="342"/>
      <c r="O315" s="342"/>
      <c r="P315" s="342"/>
      <c r="Q315" s="343"/>
      <c r="R315" s="266"/>
      <c r="S315" s="266"/>
      <c r="T315" s="266"/>
    </row>
    <row r="316" spans="1:20" ht="30" customHeight="1">
      <c r="A316" s="340">
        <v>311</v>
      </c>
      <c r="B316" s="344" t="s">
        <v>1205</v>
      </c>
      <c r="C316" s="340" t="s">
        <v>850</v>
      </c>
      <c r="D316" s="340"/>
      <c r="E316" s="340" t="s">
        <v>88</v>
      </c>
      <c r="F316" s="345">
        <v>2514</v>
      </c>
      <c r="G316" s="346">
        <v>2514</v>
      </c>
      <c r="H316" s="346">
        <v>2514</v>
      </c>
      <c r="I316" s="346">
        <f t="shared" si="6"/>
        <v>0</v>
      </c>
      <c r="J316" s="342" t="s">
        <v>995</v>
      </c>
      <c r="K316" s="342"/>
      <c r="L316" s="342" t="s">
        <v>995</v>
      </c>
      <c r="M316" s="342"/>
      <c r="N316" s="342"/>
      <c r="O316" s="342"/>
      <c r="P316" s="342"/>
      <c r="Q316" s="343"/>
      <c r="R316" s="266"/>
      <c r="S316" s="266"/>
      <c r="T316" s="266"/>
    </row>
    <row r="317" spans="1:20" ht="30" customHeight="1">
      <c r="A317" s="340">
        <v>312</v>
      </c>
      <c r="B317" s="344" t="s">
        <v>1205</v>
      </c>
      <c r="C317" s="340" t="s">
        <v>393</v>
      </c>
      <c r="D317" s="340"/>
      <c r="E317" s="340" t="s">
        <v>85</v>
      </c>
      <c r="F317" s="345">
        <v>721</v>
      </c>
      <c r="G317" s="346">
        <v>721</v>
      </c>
      <c r="H317" s="346">
        <v>721</v>
      </c>
      <c r="I317" s="346">
        <f t="shared" si="6"/>
        <v>0</v>
      </c>
      <c r="J317" s="342" t="s">
        <v>995</v>
      </c>
      <c r="K317" s="342"/>
      <c r="L317" s="342" t="s">
        <v>995</v>
      </c>
      <c r="M317" s="342"/>
      <c r="N317" s="342"/>
      <c r="O317" s="342"/>
      <c r="P317" s="342"/>
      <c r="Q317" s="343"/>
      <c r="R317" s="266"/>
      <c r="S317" s="266"/>
      <c r="T317" s="266"/>
    </row>
    <row r="318" spans="1:20" ht="30" customHeight="1">
      <c r="A318" s="340">
        <v>313</v>
      </c>
      <c r="B318" s="344" t="s">
        <v>1205</v>
      </c>
      <c r="C318" s="340" t="s">
        <v>851</v>
      </c>
      <c r="D318" s="340"/>
      <c r="E318" s="340" t="s">
        <v>85</v>
      </c>
      <c r="F318" s="345">
        <v>1146</v>
      </c>
      <c r="G318" s="346">
        <v>1146</v>
      </c>
      <c r="H318" s="346">
        <v>1146</v>
      </c>
      <c r="I318" s="346">
        <f t="shared" si="6"/>
        <v>0</v>
      </c>
      <c r="J318" s="342" t="s">
        <v>995</v>
      </c>
      <c r="K318" s="342"/>
      <c r="L318" s="342" t="s">
        <v>995</v>
      </c>
      <c r="M318" s="342"/>
      <c r="N318" s="342"/>
      <c r="O318" s="342"/>
      <c r="P318" s="342"/>
      <c r="Q318" s="343"/>
      <c r="R318" s="266"/>
      <c r="S318" s="266"/>
      <c r="T318" s="266"/>
    </row>
    <row r="319" spans="1:20" ht="30" customHeight="1">
      <c r="A319" s="340">
        <v>314</v>
      </c>
      <c r="B319" s="344" t="s">
        <v>1205</v>
      </c>
      <c r="C319" s="340" t="s">
        <v>394</v>
      </c>
      <c r="D319" s="340"/>
      <c r="E319" s="340" t="s">
        <v>85</v>
      </c>
      <c r="F319" s="345">
        <v>1474</v>
      </c>
      <c r="G319" s="346">
        <v>1474</v>
      </c>
      <c r="H319" s="346">
        <v>1474</v>
      </c>
      <c r="I319" s="346">
        <f t="shared" si="6"/>
        <v>0</v>
      </c>
      <c r="J319" s="342" t="s">
        <v>1108</v>
      </c>
      <c r="K319" s="342" t="s">
        <v>1109</v>
      </c>
      <c r="L319" s="342" t="s">
        <v>995</v>
      </c>
      <c r="M319" s="342"/>
      <c r="N319" s="342"/>
      <c r="O319" s="342"/>
      <c r="P319" s="342"/>
      <c r="Q319" s="343"/>
      <c r="R319" s="266"/>
      <c r="S319" s="266"/>
      <c r="T319" s="268"/>
    </row>
    <row r="320" spans="1:20" ht="30" customHeight="1">
      <c r="A320" s="340">
        <v>315</v>
      </c>
      <c r="B320" s="344" t="s">
        <v>1205</v>
      </c>
      <c r="C320" s="340" t="s">
        <v>852</v>
      </c>
      <c r="D320" s="340"/>
      <c r="E320" s="340" t="s">
        <v>88</v>
      </c>
      <c r="F320" s="345">
        <v>324</v>
      </c>
      <c r="G320" s="346">
        <v>324</v>
      </c>
      <c r="H320" s="346">
        <v>324</v>
      </c>
      <c r="I320" s="346">
        <f t="shared" si="6"/>
        <v>0</v>
      </c>
      <c r="J320" s="342" t="s">
        <v>1108</v>
      </c>
      <c r="K320" s="342" t="s">
        <v>1109</v>
      </c>
      <c r="L320" s="342" t="s">
        <v>995</v>
      </c>
      <c r="M320" s="342"/>
      <c r="N320" s="342"/>
      <c r="O320" s="342"/>
      <c r="P320" s="342"/>
      <c r="Q320" s="343"/>
      <c r="R320" s="266"/>
      <c r="S320" s="266"/>
      <c r="T320" s="268"/>
    </row>
    <row r="321" spans="1:23" ht="30" customHeight="1">
      <c r="A321" s="340">
        <v>316</v>
      </c>
      <c r="B321" s="344" t="s">
        <v>1205</v>
      </c>
      <c r="C321" s="340" t="s">
        <v>395</v>
      </c>
      <c r="D321" s="340"/>
      <c r="E321" s="340" t="s">
        <v>309</v>
      </c>
      <c r="F321" s="345">
        <v>495</v>
      </c>
      <c r="G321" s="346">
        <v>495</v>
      </c>
      <c r="H321" s="346">
        <v>495</v>
      </c>
      <c r="I321" s="346">
        <f t="shared" si="6"/>
        <v>0</v>
      </c>
      <c r="J321" s="342" t="s">
        <v>995</v>
      </c>
      <c r="K321" s="342"/>
      <c r="L321" s="342" t="s">
        <v>995</v>
      </c>
      <c r="M321" s="342"/>
      <c r="N321" s="342"/>
      <c r="O321" s="342"/>
      <c r="P321" s="342"/>
      <c r="Q321" s="343"/>
      <c r="R321" s="266"/>
      <c r="S321" s="266"/>
      <c r="T321" s="268"/>
    </row>
    <row r="322" spans="1:23" ht="30" customHeight="1">
      <c r="A322" s="340">
        <v>317</v>
      </c>
      <c r="B322" s="344" t="s">
        <v>1205</v>
      </c>
      <c r="C322" s="340" t="s">
        <v>853</v>
      </c>
      <c r="D322" s="340"/>
      <c r="E322" s="340" t="s">
        <v>85</v>
      </c>
      <c r="F322" s="345">
        <v>183</v>
      </c>
      <c r="G322" s="346">
        <v>183</v>
      </c>
      <c r="H322" s="346">
        <v>183</v>
      </c>
      <c r="I322" s="346">
        <f t="shared" si="6"/>
        <v>0</v>
      </c>
      <c r="J322" s="342" t="s">
        <v>995</v>
      </c>
      <c r="K322" s="342"/>
      <c r="L322" s="342" t="s">
        <v>995</v>
      </c>
      <c r="M322" s="342"/>
      <c r="N322" s="342"/>
      <c r="O322" s="342"/>
      <c r="P322" s="342"/>
      <c r="Q322" s="343"/>
      <c r="R322" s="266"/>
      <c r="S322" s="266"/>
      <c r="T322" s="268"/>
    </row>
    <row r="323" spans="1:23" ht="30" customHeight="1">
      <c r="A323" s="340">
        <v>318</v>
      </c>
      <c r="B323" s="344" t="s">
        <v>1205</v>
      </c>
      <c r="C323" s="340" t="s">
        <v>396</v>
      </c>
      <c r="D323" s="340"/>
      <c r="E323" s="340" t="s">
        <v>85</v>
      </c>
      <c r="F323" s="345">
        <v>453</v>
      </c>
      <c r="G323" s="346">
        <v>453</v>
      </c>
      <c r="H323" s="346">
        <v>453</v>
      </c>
      <c r="I323" s="346">
        <f t="shared" si="6"/>
        <v>0</v>
      </c>
      <c r="J323" s="342" t="s">
        <v>995</v>
      </c>
      <c r="K323" s="342"/>
      <c r="L323" s="342" t="s">
        <v>995</v>
      </c>
      <c r="M323" s="342"/>
      <c r="N323" s="342"/>
      <c r="O323" s="342"/>
      <c r="P323" s="342"/>
      <c r="Q323" s="343"/>
      <c r="R323" s="266"/>
      <c r="S323" s="266"/>
      <c r="T323" s="288"/>
      <c r="U323" s="266"/>
      <c r="V323" s="266"/>
      <c r="W323" s="266"/>
    </row>
    <row r="324" spans="1:23" ht="30" customHeight="1">
      <c r="A324" s="340">
        <v>319</v>
      </c>
      <c r="B324" s="344" t="s">
        <v>1205</v>
      </c>
      <c r="C324" s="340" t="s">
        <v>397</v>
      </c>
      <c r="D324" s="340"/>
      <c r="E324" s="340" t="s">
        <v>85</v>
      </c>
      <c r="F324" s="345">
        <v>101</v>
      </c>
      <c r="G324" s="346">
        <v>101</v>
      </c>
      <c r="H324" s="346">
        <v>101</v>
      </c>
      <c r="I324" s="346">
        <f t="shared" si="6"/>
        <v>0</v>
      </c>
      <c r="J324" s="342" t="s">
        <v>995</v>
      </c>
      <c r="K324" s="342"/>
      <c r="L324" s="342" t="s">
        <v>995</v>
      </c>
      <c r="M324" s="342"/>
      <c r="N324" s="342"/>
      <c r="O324" s="342"/>
      <c r="P324" s="342"/>
      <c r="Q324" s="343"/>
      <c r="R324" s="266"/>
      <c r="S324" s="266"/>
      <c r="T324" s="288"/>
      <c r="U324" s="266"/>
      <c r="V324" s="266"/>
      <c r="W324" s="266"/>
    </row>
    <row r="325" spans="1:23" ht="30" customHeight="1">
      <c r="A325" s="340">
        <v>320</v>
      </c>
      <c r="B325" s="344" t="s">
        <v>1205</v>
      </c>
      <c r="C325" s="340" t="s">
        <v>854</v>
      </c>
      <c r="D325" s="340"/>
      <c r="E325" s="340" t="s">
        <v>88</v>
      </c>
      <c r="F325" s="345">
        <v>2841</v>
      </c>
      <c r="G325" s="346">
        <v>2841</v>
      </c>
      <c r="H325" s="346">
        <v>2841</v>
      </c>
      <c r="I325" s="346">
        <f t="shared" si="6"/>
        <v>0</v>
      </c>
      <c r="J325" s="342" t="s">
        <v>995</v>
      </c>
      <c r="K325" s="342"/>
      <c r="L325" s="342" t="s">
        <v>995</v>
      </c>
      <c r="M325" s="342"/>
      <c r="N325" s="342"/>
      <c r="O325" s="342"/>
      <c r="P325" s="342"/>
      <c r="Q325" s="343"/>
      <c r="R325" s="266"/>
      <c r="S325" s="266"/>
      <c r="T325" s="266"/>
    </row>
    <row r="326" spans="1:23" ht="30" customHeight="1">
      <c r="A326" s="340">
        <v>321</v>
      </c>
      <c r="B326" s="344" t="s">
        <v>1205</v>
      </c>
      <c r="C326" s="340" t="s">
        <v>398</v>
      </c>
      <c r="D326" s="340"/>
      <c r="E326" s="340" t="s">
        <v>305</v>
      </c>
      <c r="F326" s="345">
        <v>88</v>
      </c>
      <c r="G326" s="346">
        <v>88</v>
      </c>
      <c r="H326" s="346">
        <v>88</v>
      </c>
      <c r="I326" s="346">
        <f t="shared" si="6"/>
        <v>0</v>
      </c>
      <c r="J326" s="342" t="s">
        <v>995</v>
      </c>
      <c r="K326" s="342"/>
      <c r="L326" s="342" t="s">
        <v>995</v>
      </c>
      <c r="M326" s="342"/>
      <c r="N326" s="342"/>
      <c r="O326" s="342"/>
      <c r="P326" s="342"/>
      <c r="Q326" s="343"/>
      <c r="R326" s="266"/>
      <c r="S326" s="266"/>
      <c r="T326" s="266"/>
    </row>
    <row r="327" spans="1:23" ht="30" customHeight="1">
      <c r="A327" s="340">
        <v>322</v>
      </c>
      <c r="B327" s="344" t="s">
        <v>1205</v>
      </c>
      <c r="C327" s="340" t="s">
        <v>857</v>
      </c>
      <c r="D327" s="340"/>
      <c r="E327" s="340" t="s">
        <v>858</v>
      </c>
      <c r="F327" s="345">
        <v>236</v>
      </c>
      <c r="G327" s="346">
        <v>236</v>
      </c>
      <c r="H327" s="346">
        <v>236</v>
      </c>
      <c r="I327" s="346">
        <f t="shared" si="6"/>
        <v>0</v>
      </c>
      <c r="J327" s="342" t="s">
        <v>995</v>
      </c>
      <c r="K327" s="342"/>
      <c r="L327" s="342" t="s">
        <v>995</v>
      </c>
      <c r="M327" s="342"/>
      <c r="N327" s="342"/>
      <c r="O327" s="342"/>
      <c r="P327" s="342"/>
      <c r="Q327" s="343"/>
      <c r="R327" s="266"/>
      <c r="S327" s="266"/>
      <c r="T327" s="266"/>
    </row>
    <row r="328" spans="1:23" ht="30" customHeight="1">
      <c r="A328" s="340">
        <v>323</v>
      </c>
      <c r="B328" s="344" t="s">
        <v>1205</v>
      </c>
      <c r="C328" s="340" t="s">
        <v>399</v>
      </c>
      <c r="D328" s="340"/>
      <c r="E328" s="340" t="s">
        <v>389</v>
      </c>
      <c r="F328" s="345">
        <v>171.9</v>
      </c>
      <c r="G328" s="346">
        <v>171.9</v>
      </c>
      <c r="H328" s="346">
        <v>171.9</v>
      </c>
      <c r="I328" s="346">
        <f t="shared" si="6"/>
        <v>0</v>
      </c>
      <c r="J328" s="342" t="s">
        <v>1209</v>
      </c>
      <c r="K328" s="342"/>
      <c r="L328" s="342" t="s">
        <v>1209</v>
      </c>
      <c r="M328" s="342"/>
      <c r="N328" s="342"/>
      <c r="O328" s="342"/>
      <c r="P328" s="342"/>
      <c r="Q328" s="343"/>
      <c r="R328" s="266"/>
      <c r="S328" s="266"/>
      <c r="T328" s="266"/>
    </row>
    <row r="329" spans="1:23" ht="30" customHeight="1">
      <c r="A329" s="340">
        <v>324</v>
      </c>
      <c r="B329" s="344" t="s">
        <v>1205</v>
      </c>
      <c r="C329" s="340" t="s">
        <v>859</v>
      </c>
      <c r="D329" s="340"/>
      <c r="E329" s="340" t="s">
        <v>858</v>
      </c>
      <c r="F329" s="345">
        <v>2792.2</v>
      </c>
      <c r="G329" s="346">
        <v>2792.2</v>
      </c>
      <c r="H329" s="346">
        <v>2792.2</v>
      </c>
      <c r="I329" s="346">
        <f t="shared" si="6"/>
        <v>0</v>
      </c>
      <c r="J329" s="342" t="s">
        <v>995</v>
      </c>
      <c r="K329" s="342"/>
      <c r="L329" s="342" t="s">
        <v>995</v>
      </c>
      <c r="M329" s="342"/>
      <c r="N329" s="342"/>
      <c r="O329" s="342"/>
      <c r="P329" s="342"/>
      <c r="Q329" s="343"/>
      <c r="R329" s="266"/>
      <c r="S329" s="266"/>
      <c r="T329" s="266"/>
    </row>
    <row r="330" spans="1:23" ht="30" customHeight="1">
      <c r="A330" s="340">
        <v>325</v>
      </c>
      <c r="B330" s="344" t="s">
        <v>1205</v>
      </c>
      <c r="C330" s="340" t="s">
        <v>400</v>
      </c>
      <c r="D330" s="340"/>
      <c r="E330" s="340" t="s">
        <v>309</v>
      </c>
      <c r="F330" s="345">
        <v>15</v>
      </c>
      <c r="G330" s="346">
        <v>15</v>
      </c>
      <c r="H330" s="346">
        <v>15</v>
      </c>
      <c r="I330" s="346">
        <f t="shared" si="6"/>
        <v>0</v>
      </c>
      <c r="J330" s="342" t="s">
        <v>995</v>
      </c>
      <c r="K330" s="342"/>
      <c r="L330" s="342" t="s">
        <v>995</v>
      </c>
      <c r="M330" s="342"/>
      <c r="N330" s="342"/>
      <c r="O330" s="342"/>
      <c r="P330" s="342"/>
      <c r="Q330" s="343"/>
      <c r="R330" s="266"/>
      <c r="S330" s="266"/>
      <c r="T330" s="266"/>
    </row>
    <row r="331" spans="1:23" ht="30" customHeight="1">
      <c r="A331" s="340">
        <v>326</v>
      </c>
      <c r="B331" s="344" t="s">
        <v>1205</v>
      </c>
      <c r="C331" s="340" t="s">
        <v>860</v>
      </c>
      <c r="D331" s="340"/>
      <c r="E331" s="340" t="s">
        <v>87</v>
      </c>
      <c r="F331" s="345">
        <v>371.4</v>
      </c>
      <c r="G331" s="346">
        <v>371.4</v>
      </c>
      <c r="H331" s="346">
        <v>371.4</v>
      </c>
      <c r="I331" s="346">
        <f t="shared" si="6"/>
        <v>0</v>
      </c>
      <c r="J331" s="342" t="s">
        <v>1209</v>
      </c>
      <c r="K331" s="342"/>
      <c r="L331" s="342" t="s">
        <v>1209</v>
      </c>
      <c r="M331" s="342"/>
      <c r="N331" s="342"/>
      <c r="O331" s="342"/>
      <c r="P331" s="342"/>
      <c r="Q331" s="343"/>
      <c r="R331" s="266"/>
      <c r="S331" s="266"/>
      <c r="T331" s="266"/>
    </row>
    <row r="332" spans="1:23" ht="30" customHeight="1">
      <c r="A332" s="340">
        <v>327</v>
      </c>
      <c r="B332" s="344" t="s">
        <v>1205</v>
      </c>
      <c r="C332" s="340" t="s">
        <v>401</v>
      </c>
      <c r="D332" s="340"/>
      <c r="E332" s="340" t="s">
        <v>90</v>
      </c>
      <c r="F332" s="345">
        <v>648</v>
      </c>
      <c r="G332" s="346">
        <v>648</v>
      </c>
      <c r="H332" s="346">
        <v>648</v>
      </c>
      <c r="I332" s="346">
        <f t="shared" si="6"/>
        <v>0</v>
      </c>
      <c r="J332" s="342" t="s">
        <v>995</v>
      </c>
      <c r="K332" s="342"/>
      <c r="L332" s="342" t="s">
        <v>995</v>
      </c>
      <c r="M332" s="342"/>
      <c r="N332" s="342"/>
      <c r="O332" s="342"/>
      <c r="P332" s="342"/>
      <c r="Q332" s="343"/>
      <c r="R332" s="266"/>
      <c r="S332" s="266"/>
      <c r="T332" s="266"/>
    </row>
    <row r="333" spans="1:23" ht="30" customHeight="1">
      <c r="A333" s="340">
        <v>328</v>
      </c>
      <c r="B333" s="344" t="s">
        <v>1205</v>
      </c>
      <c r="C333" s="340" t="s">
        <v>862</v>
      </c>
      <c r="D333" s="340"/>
      <c r="E333" s="340" t="s">
        <v>863</v>
      </c>
      <c r="F333" s="345">
        <v>247</v>
      </c>
      <c r="G333" s="346">
        <v>247</v>
      </c>
      <c r="H333" s="346">
        <v>247</v>
      </c>
      <c r="I333" s="346">
        <f t="shared" si="6"/>
        <v>0</v>
      </c>
      <c r="J333" s="342" t="s">
        <v>1208</v>
      </c>
      <c r="K333" s="342"/>
      <c r="L333" s="342" t="s">
        <v>1208</v>
      </c>
      <c r="M333" s="342"/>
      <c r="N333" s="342"/>
      <c r="O333" s="342"/>
      <c r="P333" s="342"/>
      <c r="Q333" s="343"/>
      <c r="R333" s="266"/>
      <c r="S333" s="266"/>
      <c r="T333" s="266"/>
    </row>
    <row r="334" spans="1:23" ht="30" customHeight="1">
      <c r="A334" s="340">
        <v>329</v>
      </c>
      <c r="B334" s="344" t="s">
        <v>1205</v>
      </c>
      <c r="C334" s="340" t="s">
        <v>402</v>
      </c>
      <c r="D334" s="340"/>
      <c r="E334" s="340" t="s">
        <v>85</v>
      </c>
      <c r="F334" s="345">
        <v>123</v>
      </c>
      <c r="G334" s="346">
        <v>123</v>
      </c>
      <c r="H334" s="346">
        <v>123</v>
      </c>
      <c r="I334" s="346">
        <f t="shared" si="6"/>
        <v>0</v>
      </c>
      <c r="J334" s="342" t="s">
        <v>995</v>
      </c>
      <c r="K334" s="342"/>
      <c r="L334" s="342" t="s">
        <v>995</v>
      </c>
      <c r="M334" s="342"/>
      <c r="N334" s="342"/>
      <c r="O334" s="342"/>
      <c r="P334" s="342"/>
      <c r="Q334" s="343"/>
      <c r="R334" s="266"/>
      <c r="S334" s="266"/>
      <c r="T334" s="266"/>
    </row>
    <row r="335" spans="1:23" ht="30" customHeight="1">
      <c r="A335" s="340">
        <v>330</v>
      </c>
      <c r="B335" s="344" t="s">
        <v>1205</v>
      </c>
      <c r="C335" s="340" t="s">
        <v>864</v>
      </c>
      <c r="D335" s="340"/>
      <c r="E335" s="340" t="s">
        <v>622</v>
      </c>
      <c r="F335" s="345">
        <v>99</v>
      </c>
      <c r="G335" s="346">
        <v>40</v>
      </c>
      <c r="H335" s="346">
        <v>99</v>
      </c>
      <c r="I335" s="346">
        <f t="shared" si="6"/>
        <v>59</v>
      </c>
      <c r="J335" s="342" t="s">
        <v>1251</v>
      </c>
      <c r="K335" s="342" t="s">
        <v>867</v>
      </c>
      <c r="L335" s="342" t="s">
        <v>1251</v>
      </c>
      <c r="M335" s="342" t="s">
        <v>867</v>
      </c>
      <c r="N335" s="342"/>
      <c r="O335" s="342"/>
      <c r="P335" s="342"/>
      <c r="Q335" s="343"/>
      <c r="R335" s="266"/>
      <c r="S335" s="266"/>
      <c r="T335" s="266"/>
    </row>
    <row r="336" spans="1:23" ht="30" customHeight="1">
      <c r="A336" s="340">
        <v>331</v>
      </c>
      <c r="B336" s="344" t="s">
        <v>1205</v>
      </c>
      <c r="C336" s="340" t="s">
        <v>403</v>
      </c>
      <c r="D336" s="340"/>
      <c r="E336" s="340" t="s">
        <v>84</v>
      </c>
      <c r="F336" s="345">
        <v>4429.1000000000004</v>
      </c>
      <c r="G336" s="346">
        <v>212</v>
      </c>
      <c r="H336" s="346">
        <v>212</v>
      </c>
      <c r="I336" s="346">
        <f t="shared" si="6"/>
        <v>0</v>
      </c>
      <c r="J336" s="342" t="s">
        <v>1208</v>
      </c>
      <c r="K336" s="342"/>
      <c r="L336" s="342" t="s">
        <v>1208</v>
      </c>
      <c r="M336" s="342"/>
      <c r="N336" s="342"/>
      <c r="O336" s="342"/>
      <c r="P336" s="342"/>
      <c r="Q336" s="343"/>
      <c r="R336" s="266"/>
      <c r="S336" s="266"/>
      <c r="T336" s="266"/>
    </row>
    <row r="337" spans="1:23" ht="30" customHeight="1">
      <c r="A337" s="340">
        <v>332</v>
      </c>
      <c r="B337" s="344" t="s">
        <v>1205</v>
      </c>
      <c r="C337" s="340" t="s">
        <v>868</v>
      </c>
      <c r="D337" s="340"/>
      <c r="E337" s="340" t="s">
        <v>869</v>
      </c>
      <c r="F337" s="345">
        <v>438.2</v>
      </c>
      <c r="G337" s="346">
        <v>438.2</v>
      </c>
      <c r="H337" s="346">
        <v>438.2</v>
      </c>
      <c r="I337" s="346">
        <f t="shared" si="6"/>
        <v>0</v>
      </c>
      <c r="J337" s="342" t="s">
        <v>1209</v>
      </c>
      <c r="K337" s="342"/>
      <c r="L337" s="342" t="s">
        <v>1209</v>
      </c>
      <c r="M337" s="342"/>
      <c r="N337" s="342"/>
      <c r="O337" s="342"/>
      <c r="P337" s="342"/>
      <c r="Q337" s="343"/>
      <c r="R337" s="266"/>
      <c r="S337" s="266"/>
      <c r="T337" s="266"/>
    </row>
    <row r="338" spans="1:23" ht="30" customHeight="1">
      <c r="A338" s="340">
        <v>333</v>
      </c>
      <c r="B338" s="344" t="s">
        <v>1205</v>
      </c>
      <c r="C338" s="340" t="s">
        <v>404</v>
      </c>
      <c r="D338" s="340"/>
      <c r="E338" s="340" t="s">
        <v>89</v>
      </c>
      <c r="F338" s="345">
        <v>15</v>
      </c>
      <c r="G338" s="346">
        <v>15</v>
      </c>
      <c r="H338" s="346">
        <v>15</v>
      </c>
      <c r="I338" s="346">
        <f t="shared" si="6"/>
        <v>0</v>
      </c>
      <c r="J338" s="342" t="s">
        <v>1108</v>
      </c>
      <c r="K338" s="342" t="s">
        <v>1109</v>
      </c>
      <c r="L338" s="342" t="s">
        <v>995</v>
      </c>
      <c r="M338" s="342"/>
      <c r="N338" s="342"/>
      <c r="O338" s="342"/>
      <c r="P338" s="342"/>
      <c r="Q338" s="343"/>
      <c r="R338" s="266"/>
      <c r="S338" s="266"/>
      <c r="T338" s="266"/>
    </row>
    <row r="339" spans="1:23" ht="30" customHeight="1">
      <c r="A339" s="340">
        <v>334</v>
      </c>
      <c r="B339" s="344" t="s">
        <v>1205</v>
      </c>
      <c r="C339" s="340" t="s">
        <v>871</v>
      </c>
      <c r="D339" s="340"/>
      <c r="E339" s="340" t="s">
        <v>872</v>
      </c>
      <c r="F339" s="345">
        <v>202</v>
      </c>
      <c r="G339" s="346">
        <v>202</v>
      </c>
      <c r="H339" s="346">
        <v>202</v>
      </c>
      <c r="I339" s="346">
        <f t="shared" si="6"/>
        <v>0</v>
      </c>
      <c r="J339" s="342" t="s">
        <v>995</v>
      </c>
      <c r="K339" s="342"/>
      <c r="L339" s="342" t="s">
        <v>995</v>
      </c>
      <c r="M339" s="342"/>
      <c r="N339" s="342"/>
      <c r="O339" s="342"/>
      <c r="P339" s="342"/>
      <c r="Q339" s="343"/>
      <c r="R339" s="266"/>
      <c r="S339" s="266"/>
      <c r="T339" s="266"/>
    </row>
    <row r="340" spans="1:23" ht="30" customHeight="1">
      <c r="A340" s="340">
        <v>335</v>
      </c>
      <c r="B340" s="344" t="s">
        <v>1205</v>
      </c>
      <c r="C340" s="340" t="s">
        <v>405</v>
      </c>
      <c r="D340" s="340"/>
      <c r="E340" s="340" t="s">
        <v>85</v>
      </c>
      <c r="F340" s="345">
        <v>72</v>
      </c>
      <c r="G340" s="346">
        <v>70</v>
      </c>
      <c r="H340" s="346">
        <v>72</v>
      </c>
      <c r="I340" s="346">
        <f t="shared" si="6"/>
        <v>2</v>
      </c>
      <c r="J340" s="342" t="s">
        <v>995</v>
      </c>
      <c r="K340" s="342"/>
      <c r="L340" s="342" t="s">
        <v>995</v>
      </c>
      <c r="M340" s="342"/>
      <c r="N340" s="342"/>
      <c r="O340" s="342"/>
      <c r="P340" s="342"/>
      <c r="Q340" s="343"/>
      <c r="R340" s="266"/>
      <c r="S340" s="266"/>
      <c r="T340" s="268"/>
    </row>
    <row r="341" spans="1:23" ht="30" customHeight="1">
      <c r="A341" s="340">
        <v>336</v>
      </c>
      <c r="B341" s="344" t="s">
        <v>1205</v>
      </c>
      <c r="C341" s="340" t="s">
        <v>873</v>
      </c>
      <c r="D341" s="340"/>
      <c r="E341" s="340" t="s">
        <v>874</v>
      </c>
      <c r="F341" s="345">
        <v>1051</v>
      </c>
      <c r="G341" s="346">
        <v>1051</v>
      </c>
      <c r="H341" s="346">
        <v>1051</v>
      </c>
      <c r="I341" s="346">
        <f t="shared" si="6"/>
        <v>0</v>
      </c>
      <c r="J341" s="342" t="s">
        <v>1252</v>
      </c>
      <c r="K341" s="342" t="s">
        <v>876</v>
      </c>
      <c r="L341" s="342" t="s">
        <v>995</v>
      </c>
      <c r="M341" s="342"/>
      <c r="N341" s="342"/>
      <c r="O341" s="342"/>
      <c r="P341" s="342"/>
      <c r="Q341" s="343"/>
      <c r="R341" s="266"/>
      <c r="S341" s="266"/>
      <c r="T341" s="268"/>
    </row>
    <row r="342" spans="1:23" ht="30" customHeight="1">
      <c r="A342" s="340">
        <v>337</v>
      </c>
      <c r="B342" s="344" t="s">
        <v>1205</v>
      </c>
      <c r="C342" s="340" t="s">
        <v>406</v>
      </c>
      <c r="D342" s="340"/>
      <c r="E342" s="340" t="s">
        <v>87</v>
      </c>
      <c r="F342" s="345">
        <v>177.3</v>
      </c>
      <c r="G342" s="346">
        <v>177.3</v>
      </c>
      <c r="H342" s="346">
        <v>177.3</v>
      </c>
      <c r="I342" s="346">
        <f t="shared" si="6"/>
        <v>0</v>
      </c>
      <c r="J342" s="342" t="s">
        <v>1209</v>
      </c>
      <c r="K342" s="342"/>
      <c r="L342" s="342" t="s">
        <v>1209</v>
      </c>
      <c r="M342" s="342"/>
      <c r="N342" s="342"/>
      <c r="O342" s="342"/>
      <c r="P342" s="342"/>
      <c r="Q342" s="343"/>
      <c r="R342" s="266"/>
      <c r="S342" s="266"/>
      <c r="T342" s="268"/>
    </row>
    <row r="343" spans="1:23" ht="30" customHeight="1">
      <c r="A343" s="340">
        <v>338</v>
      </c>
      <c r="B343" s="344" t="s">
        <v>1205</v>
      </c>
      <c r="C343" s="340" t="s">
        <v>877</v>
      </c>
      <c r="D343" s="340"/>
      <c r="E343" s="340" t="s">
        <v>85</v>
      </c>
      <c r="F343" s="345">
        <v>667</v>
      </c>
      <c r="G343" s="346">
        <v>297</v>
      </c>
      <c r="H343" s="346">
        <v>297</v>
      </c>
      <c r="I343" s="346">
        <f t="shared" si="6"/>
        <v>0</v>
      </c>
      <c r="J343" s="342" t="s">
        <v>995</v>
      </c>
      <c r="K343" s="342"/>
      <c r="L343" s="342" t="s">
        <v>995</v>
      </c>
      <c r="M343" s="342"/>
      <c r="N343" s="342"/>
      <c r="O343" s="342"/>
      <c r="P343" s="342"/>
      <c r="Q343" s="343"/>
      <c r="R343" s="266"/>
      <c r="S343" s="266"/>
      <c r="T343" s="268"/>
    </row>
    <row r="344" spans="1:23" ht="30" customHeight="1">
      <c r="A344" s="340">
        <v>339</v>
      </c>
      <c r="B344" s="344" t="s">
        <v>1205</v>
      </c>
      <c r="C344" s="340" t="s">
        <v>879</v>
      </c>
      <c r="D344" s="340"/>
      <c r="E344" s="340" t="s">
        <v>858</v>
      </c>
      <c r="F344" s="345">
        <v>2592</v>
      </c>
      <c r="G344" s="346">
        <v>2592</v>
      </c>
      <c r="H344" s="346">
        <v>2592</v>
      </c>
      <c r="I344" s="346">
        <f t="shared" si="6"/>
        <v>0</v>
      </c>
      <c r="J344" s="342" t="s">
        <v>995</v>
      </c>
      <c r="K344" s="342"/>
      <c r="L344" s="342" t="s">
        <v>995</v>
      </c>
      <c r="M344" s="342"/>
      <c r="N344" s="342"/>
      <c r="O344" s="342"/>
      <c r="P344" s="342"/>
      <c r="Q344" s="343"/>
      <c r="R344" s="266"/>
      <c r="S344" s="266"/>
      <c r="T344" s="288"/>
      <c r="U344" s="266"/>
      <c r="V344" s="266"/>
      <c r="W344" s="266"/>
    </row>
    <row r="345" spans="1:23" ht="30" customHeight="1">
      <c r="A345" s="340">
        <v>340</v>
      </c>
      <c r="B345" s="344" t="s">
        <v>1205</v>
      </c>
      <c r="C345" s="340" t="s">
        <v>407</v>
      </c>
      <c r="D345" s="340"/>
      <c r="E345" s="340" t="s">
        <v>89</v>
      </c>
      <c r="F345" s="345">
        <v>1715</v>
      </c>
      <c r="G345" s="346">
        <v>1715</v>
      </c>
      <c r="H345" s="346">
        <v>1715</v>
      </c>
      <c r="I345" s="346">
        <f t="shared" si="6"/>
        <v>0</v>
      </c>
      <c r="J345" s="342" t="s">
        <v>995</v>
      </c>
      <c r="K345" s="342"/>
      <c r="L345" s="342" t="s">
        <v>995</v>
      </c>
      <c r="M345" s="342"/>
      <c r="N345" s="342"/>
      <c r="O345" s="342"/>
      <c r="P345" s="342"/>
      <c r="Q345" s="343"/>
      <c r="R345" s="266"/>
      <c r="S345" s="266"/>
      <c r="T345" s="288"/>
      <c r="U345" s="266"/>
      <c r="V345" s="266"/>
      <c r="W345" s="266"/>
    </row>
    <row r="346" spans="1:23" ht="30" customHeight="1">
      <c r="A346" s="340">
        <v>341</v>
      </c>
      <c r="B346" s="344" t="s">
        <v>1205</v>
      </c>
      <c r="C346" s="340" t="s">
        <v>408</v>
      </c>
      <c r="D346" s="340"/>
      <c r="E346" s="340" t="s">
        <v>89</v>
      </c>
      <c r="F346" s="345">
        <v>131</v>
      </c>
      <c r="G346" s="346">
        <v>131</v>
      </c>
      <c r="H346" s="346">
        <v>131</v>
      </c>
      <c r="I346" s="346">
        <f t="shared" si="6"/>
        <v>0</v>
      </c>
      <c r="J346" s="342" t="s">
        <v>995</v>
      </c>
      <c r="K346" s="342"/>
      <c r="L346" s="342" t="s">
        <v>995</v>
      </c>
      <c r="M346" s="342"/>
      <c r="N346" s="342"/>
      <c r="O346" s="342"/>
      <c r="P346" s="342"/>
      <c r="Q346" s="343"/>
      <c r="R346" s="266"/>
      <c r="S346" s="266"/>
      <c r="T346" s="266"/>
    </row>
    <row r="347" spans="1:23" ht="30" customHeight="1">
      <c r="A347" s="340">
        <v>342</v>
      </c>
      <c r="B347" s="344" t="s">
        <v>1205</v>
      </c>
      <c r="C347" s="340" t="s">
        <v>880</v>
      </c>
      <c r="D347" s="340"/>
      <c r="E347" s="340" t="s">
        <v>85</v>
      </c>
      <c r="F347" s="345">
        <v>556</v>
      </c>
      <c r="G347" s="346">
        <v>556</v>
      </c>
      <c r="H347" s="346">
        <v>556</v>
      </c>
      <c r="I347" s="346">
        <f t="shared" si="6"/>
        <v>0</v>
      </c>
      <c r="J347" s="342" t="s">
        <v>995</v>
      </c>
      <c r="K347" s="342"/>
      <c r="L347" s="342" t="s">
        <v>995</v>
      </c>
      <c r="M347" s="342"/>
      <c r="N347" s="342"/>
      <c r="O347" s="342"/>
      <c r="P347" s="342"/>
      <c r="Q347" s="343"/>
      <c r="R347" s="266"/>
      <c r="S347" s="266"/>
      <c r="T347" s="266"/>
    </row>
    <row r="348" spans="1:23" ht="30" customHeight="1">
      <c r="A348" s="340">
        <v>343</v>
      </c>
      <c r="B348" s="344" t="s">
        <v>1205</v>
      </c>
      <c r="C348" s="340" t="s">
        <v>409</v>
      </c>
      <c r="D348" s="340"/>
      <c r="E348" s="340" t="s">
        <v>89</v>
      </c>
      <c r="F348" s="345">
        <v>212</v>
      </c>
      <c r="G348" s="346">
        <v>212</v>
      </c>
      <c r="H348" s="346">
        <v>212</v>
      </c>
      <c r="I348" s="346">
        <f t="shared" si="6"/>
        <v>0</v>
      </c>
      <c r="J348" s="342" t="s">
        <v>995</v>
      </c>
      <c r="K348" s="342"/>
      <c r="L348" s="342" t="s">
        <v>995</v>
      </c>
      <c r="M348" s="342"/>
      <c r="N348" s="342"/>
      <c r="O348" s="342"/>
      <c r="P348" s="342"/>
      <c r="Q348" s="343"/>
      <c r="R348" s="266"/>
      <c r="S348" s="266"/>
      <c r="T348" s="266"/>
    </row>
    <row r="349" spans="1:23" ht="30" customHeight="1">
      <c r="A349" s="340">
        <v>344</v>
      </c>
      <c r="B349" s="344" t="s">
        <v>1205</v>
      </c>
      <c r="C349" s="340" t="s">
        <v>881</v>
      </c>
      <c r="D349" s="340"/>
      <c r="E349" s="340" t="s">
        <v>858</v>
      </c>
      <c r="F349" s="345">
        <v>74</v>
      </c>
      <c r="G349" s="346">
        <v>74</v>
      </c>
      <c r="H349" s="346">
        <v>74</v>
      </c>
      <c r="I349" s="346">
        <f t="shared" si="6"/>
        <v>0</v>
      </c>
      <c r="J349" s="342" t="s">
        <v>995</v>
      </c>
      <c r="K349" s="342"/>
      <c r="L349" s="342" t="s">
        <v>995</v>
      </c>
      <c r="M349" s="342"/>
      <c r="N349" s="342"/>
      <c r="O349" s="342"/>
      <c r="P349" s="342"/>
      <c r="Q349" s="343"/>
      <c r="R349" s="266"/>
      <c r="S349" s="266"/>
      <c r="T349" s="266"/>
    </row>
    <row r="350" spans="1:23" ht="30" customHeight="1">
      <c r="A350" s="340">
        <v>345</v>
      </c>
      <c r="B350" s="344" t="s">
        <v>1205</v>
      </c>
      <c r="C350" s="340" t="s">
        <v>410</v>
      </c>
      <c r="D350" s="340"/>
      <c r="E350" s="340" t="s">
        <v>85</v>
      </c>
      <c r="F350" s="345">
        <v>56</v>
      </c>
      <c r="G350" s="346">
        <v>56</v>
      </c>
      <c r="H350" s="346">
        <v>56</v>
      </c>
      <c r="I350" s="346">
        <f t="shared" si="6"/>
        <v>0</v>
      </c>
      <c r="J350" s="342" t="s">
        <v>995</v>
      </c>
      <c r="K350" s="342"/>
      <c r="L350" s="342" t="s">
        <v>995</v>
      </c>
      <c r="M350" s="342"/>
      <c r="N350" s="342"/>
      <c r="O350" s="342"/>
      <c r="P350" s="342"/>
      <c r="Q350" s="343"/>
      <c r="R350" s="266"/>
      <c r="S350" s="266"/>
      <c r="T350" s="266"/>
    </row>
    <row r="351" spans="1:23" ht="30" customHeight="1">
      <c r="A351" s="340">
        <v>346</v>
      </c>
      <c r="B351" s="344" t="s">
        <v>1205</v>
      </c>
      <c r="C351" s="340" t="s">
        <v>882</v>
      </c>
      <c r="D351" s="340"/>
      <c r="E351" s="340" t="s">
        <v>88</v>
      </c>
      <c r="F351" s="345">
        <v>235</v>
      </c>
      <c r="G351" s="346">
        <v>235</v>
      </c>
      <c r="H351" s="346">
        <v>235</v>
      </c>
      <c r="I351" s="346">
        <f t="shared" si="6"/>
        <v>0</v>
      </c>
      <c r="J351" s="342" t="s">
        <v>995</v>
      </c>
      <c r="K351" s="342"/>
      <c r="L351" s="342" t="s">
        <v>995</v>
      </c>
      <c r="M351" s="342"/>
      <c r="N351" s="342"/>
      <c r="O351" s="342"/>
      <c r="P351" s="342"/>
      <c r="Q351" s="343"/>
      <c r="R351" s="266"/>
      <c r="S351" s="266"/>
      <c r="T351" s="266"/>
    </row>
    <row r="352" spans="1:23" ht="30" customHeight="1">
      <c r="A352" s="340">
        <v>347</v>
      </c>
      <c r="B352" s="344" t="s">
        <v>1205</v>
      </c>
      <c r="C352" s="340" t="s">
        <v>411</v>
      </c>
      <c r="D352" s="340"/>
      <c r="E352" s="340" t="s">
        <v>88</v>
      </c>
      <c r="F352" s="345">
        <v>828</v>
      </c>
      <c r="G352" s="346">
        <v>828</v>
      </c>
      <c r="H352" s="346">
        <v>828</v>
      </c>
      <c r="I352" s="346">
        <f t="shared" si="6"/>
        <v>0</v>
      </c>
      <c r="J352" s="342" t="s">
        <v>995</v>
      </c>
      <c r="K352" s="342"/>
      <c r="L352" s="342" t="s">
        <v>995</v>
      </c>
      <c r="M352" s="342"/>
      <c r="N352" s="342"/>
      <c r="O352" s="342"/>
      <c r="P352" s="342"/>
      <c r="Q352" s="343"/>
      <c r="R352" s="266"/>
      <c r="S352" s="266"/>
      <c r="T352" s="266"/>
    </row>
    <row r="353" spans="1:23" ht="30" customHeight="1">
      <c r="A353" s="340">
        <v>348</v>
      </c>
      <c r="B353" s="344" t="s">
        <v>1205</v>
      </c>
      <c r="C353" s="340" t="s">
        <v>883</v>
      </c>
      <c r="D353" s="340"/>
      <c r="E353" s="340" t="s">
        <v>88</v>
      </c>
      <c r="F353" s="345">
        <v>34</v>
      </c>
      <c r="G353" s="346">
        <v>34</v>
      </c>
      <c r="H353" s="346">
        <v>34</v>
      </c>
      <c r="I353" s="346">
        <f t="shared" si="6"/>
        <v>0</v>
      </c>
      <c r="J353" s="342" t="s">
        <v>995</v>
      </c>
      <c r="K353" s="342"/>
      <c r="L353" s="342" t="s">
        <v>995</v>
      </c>
      <c r="M353" s="342"/>
      <c r="N353" s="342"/>
      <c r="O353" s="342"/>
      <c r="P353" s="342"/>
      <c r="Q353" s="343"/>
      <c r="R353" s="266"/>
      <c r="S353" s="266"/>
      <c r="T353" s="266"/>
    </row>
    <row r="354" spans="1:23" ht="30" customHeight="1">
      <c r="A354" s="340">
        <v>349</v>
      </c>
      <c r="B354" s="344" t="s">
        <v>1205</v>
      </c>
      <c r="C354" s="340" t="s">
        <v>412</v>
      </c>
      <c r="D354" s="340"/>
      <c r="E354" s="340" t="s">
        <v>88</v>
      </c>
      <c r="F354" s="345">
        <v>2671</v>
      </c>
      <c r="G354" s="346">
        <v>2671</v>
      </c>
      <c r="H354" s="346">
        <v>2671</v>
      </c>
      <c r="I354" s="346">
        <f t="shared" si="6"/>
        <v>0</v>
      </c>
      <c r="J354" s="342" t="s">
        <v>995</v>
      </c>
      <c r="K354" s="342"/>
      <c r="L354" s="342" t="s">
        <v>995</v>
      </c>
      <c r="M354" s="342"/>
      <c r="N354" s="342"/>
      <c r="O354" s="342"/>
      <c r="P354" s="342"/>
      <c r="Q354" s="343"/>
      <c r="R354" s="266"/>
      <c r="S354" s="266"/>
      <c r="T354" s="266"/>
    </row>
    <row r="355" spans="1:23" ht="30" customHeight="1">
      <c r="A355" s="340">
        <v>350</v>
      </c>
      <c r="B355" s="344" t="s">
        <v>1205</v>
      </c>
      <c r="C355" s="340" t="s">
        <v>413</v>
      </c>
      <c r="D355" s="340"/>
      <c r="E355" s="340" t="s">
        <v>88</v>
      </c>
      <c r="F355" s="345">
        <v>375</v>
      </c>
      <c r="G355" s="346">
        <v>375</v>
      </c>
      <c r="H355" s="346">
        <v>375</v>
      </c>
      <c r="I355" s="346">
        <f t="shared" si="6"/>
        <v>0</v>
      </c>
      <c r="J355" s="342" t="s">
        <v>995</v>
      </c>
      <c r="K355" s="342"/>
      <c r="L355" s="342" t="s">
        <v>995</v>
      </c>
      <c r="M355" s="342"/>
      <c r="N355" s="342"/>
      <c r="O355" s="342"/>
      <c r="P355" s="342"/>
      <c r="Q355" s="343"/>
      <c r="R355" s="266"/>
      <c r="S355" s="266"/>
      <c r="T355" s="266"/>
    </row>
    <row r="356" spans="1:23" ht="30" customHeight="1">
      <c r="A356" s="340">
        <v>351</v>
      </c>
      <c r="B356" s="344" t="s">
        <v>1205</v>
      </c>
      <c r="C356" s="340" t="s">
        <v>884</v>
      </c>
      <c r="D356" s="340"/>
      <c r="E356" s="340" t="s">
        <v>88</v>
      </c>
      <c r="F356" s="345">
        <v>160</v>
      </c>
      <c r="G356" s="346">
        <v>160</v>
      </c>
      <c r="H356" s="346">
        <v>160</v>
      </c>
      <c r="I356" s="346">
        <f t="shared" si="6"/>
        <v>0</v>
      </c>
      <c r="J356" s="342" t="s">
        <v>1110</v>
      </c>
      <c r="K356" s="353" t="s">
        <v>1111</v>
      </c>
      <c r="L356" s="342" t="s">
        <v>995</v>
      </c>
      <c r="M356" s="342"/>
      <c r="N356" s="342"/>
      <c r="O356" s="342"/>
      <c r="P356" s="342"/>
      <c r="Q356" s="343"/>
      <c r="R356" s="266"/>
      <c r="S356" s="266"/>
      <c r="T356" s="266"/>
    </row>
    <row r="357" spans="1:23" ht="30" customHeight="1">
      <c r="A357" s="340">
        <v>352</v>
      </c>
      <c r="B357" s="344" t="s">
        <v>1205</v>
      </c>
      <c r="C357" s="340" t="s">
        <v>414</v>
      </c>
      <c r="D357" s="340"/>
      <c r="E357" s="340" t="s">
        <v>88</v>
      </c>
      <c r="F357" s="345">
        <v>2014</v>
      </c>
      <c r="G357" s="346">
        <v>2014</v>
      </c>
      <c r="H357" s="346">
        <v>2014</v>
      </c>
      <c r="I357" s="346">
        <f t="shared" si="6"/>
        <v>0</v>
      </c>
      <c r="J357" s="342" t="s">
        <v>995</v>
      </c>
      <c r="K357" s="342"/>
      <c r="L357" s="342" t="s">
        <v>995</v>
      </c>
      <c r="M357" s="342"/>
      <c r="N357" s="342"/>
      <c r="O357" s="342"/>
      <c r="P357" s="342"/>
      <c r="Q357" s="343"/>
      <c r="R357" s="266"/>
      <c r="S357" s="266"/>
      <c r="T357" s="266"/>
    </row>
    <row r="358" spans="1:23" ht="30" customHeight="1">
      <c r="A358" s="340">
        <v>353</v>
      </c>
      <c r="B358" s="344" t="s">
        <v>1205</v>
      </c>
      <c r="C358" s="340" t="s">
        <v>885</v>
      </c>
      <c r="D358" s="340"/>
      <c r="E358" s="340" t="s">
        <v>88</v>
      </c>
      <c r="F358" s="345">
        <v>486</v>
      </c>
      <c r="G358" s="346">
        <v>486</v>
      </c>
      <c r="H358" s="346">
        <v>486</v>
      </c>
      <c r="I358" s="346">
        <f t="shared" si="6"/>
        <v>0</v>
      </c>
      <c r="J358" s="342" t="s">
        <v>995</v>
      </c>
      <c r="K358" s="342"/>
      <c r="L358" s="342" t="s">
        <v>995</v>
      </c>
      <c r="M358" s="342"/>
      <c r="N358" s="342"/>
      <c r="O358" s="342"/>
      <c r="P358" s="342"/>
      <c r="Q358" s="343"/>
      <c r="R358" s="266"/>
      <c r="S358" s="266"/>
      <c r="T358" s="266"/>
    </row>
    <row r="359" spans="1:23" ht="30" customHeight="1">
      <c r="A359" s="340">
        <v>354</v>
      </c>
      <c r="B359" s="344" t="s">
        <v>1205</v>
      </c>
      <c r="C359" s="340" t="s">
        <v>415</v>
      </c>
      <c r="D359" s="340"/>
      <c r="E359" s="340" t="s">
        <v>85</v>
      </c>
      <c r="F359" s="345">
        <v>764</v>
      </c>
      <c r="G359" s="346">
        <v>539</v>
      </c>
      <c r="H359" s="346">
        <v>539</v>
      </c>
      <c r="I359" s="346">
        <f t="shared" si="6"/>
        <v>0</v>
      </c>
      <c r="J359" s="342" t="s">
        <v>995</v>
      </c>
      <c r="K359" s="342"/>
      <c r="L359" s="342" t="s">
        <v>995</v>
      </c>
      <c r="M359" s="342"/>
      <c r="N359" s="342"/>
      <c r="O359" s="342"/>
      <c r="P359" s="342"/>
      <c r="Q359" s="343"/>
      <c r="R359" s="266"/>
      <c r="S359" s="266"/>
      <c r="T359" s="266"/>
    </row>
    <row r="360" spans="1:23" ht="30" customHeight="1">
      <c r="A360" s="340">
        <v>355</v>
      </c>
      <c r="B360" s="344" t="s">
        <v>1205</v>
      </c>
      <c r="C360" s="340" t="s">
        <v>886</v>
      </c>
      <c r="D360" s="340"/>
      <c r="E360" s="340" t="s">
        <v>88</v>
      </c>
      <c r="F360" s="345">
        <v>96</v>
      </c>
      <c r="G360" s="346">
        <v>96</v>
      </c>
      <c r="H360" s="346">
        <v>96</v>
      </c>
      <c r="I360" s="346">
        <f t="shared" si="6"/>
        <v>0</v>
      </c>
      <c r="J360" s="342" t="s">
        <v>995</v>
      </c>
      <c r="K360" s="342"/>
      <c r="L360" s="342" t="s">
        <v>995</v>
      </c>
      <c r="M360" s="342"/>
      <c r="N360" s="342"/>
      <c r="O360" s="342"/>
      <c r="P360" s="342"/>
      <c r="Q360" s="343"/>
      <c r="R360" s="266"/>
      <c r="S360" s="266"/>
      <c r="T360" s="266"/>
    </row>
    <row r="361" spans="1:23" ht="30" customHeight="1">
      <c r="A361" s="340">
        <v>356</v>
      </c>
      <c r="B361" s="344" t="s">
        <v>1205</v>
      </c>
      <c r="C361" s="340" t="s">
        <v>416</v>
      </c>
      <c r="D361" s="340"/>
      <c r="E361" s="340" t="s">
        <v>88</v>
      </c>
      <c r="F361" s="345">
        <v>86</v>
      </c>
      <c r="G361" s="346">
        <v>86</v>
      </c>
      <c r="H361" s="346">
        <v>86</v>
      </c>
      <c r="I361" s="346">
        <f t="shared" si="6"/>
        <v>0</v>
      </c>
      <c r="J361" s="342" t="s">
        <v>995</v>
      </c>
      <c r="K361" s="342"/>
      <c r="L361" s="342" t="s">
        <v>995</v>
      </c>
      <c r="M361" s="342"/>
      <c r="N361" s="342"/>
      <c r="O361" s="342"/>
      <c r="P361" s="342"/>
      <c r="Q361" s="343"/>
      <c r="R361" s="266"/>
      <c r="S361" s="266"/>
      <c r="T361" s="268"/>
    </row>
    <row r="362" spans="1:23" ht="30" customHeight="1">
      <c r="A362" s="340">
        <v>357</v>
      </c>
      <c r="B362" s="344" t="s">
        <v>1205</v>
      </c>
      <c r="C362" s="340" t="s">
        <v>887</v>
      </c>
      <c r="D362" s="340"/>
      <c r="E362" s="340" t="s">
        <v>85</v>
      </c>
      <c r="F362" s="345">
        <v>343</v>
      </c>
      <c r="G362" s="346">
        <v>258</v>
      </c>
      <c r="H362" s="346">
        <v>258</v>
      </c>
      <c r="I362" s="346">
        <f t="shared" si="6"/>
        <v>0</v>
      </c>
      <c r="J362" s="342" t="s">
        <v>995</v>
      </c>
      <c r="K362" s="342"/>
      <c r="L362" s="342" t="s">
        <v>995</v>
      </c>
      <c r="M362" s="342"/>
      <c r="N362" s="342"/>
      <c r="O362" s="342"/>
      <c r="P362" s="342"/>
      <c r="Q362" s="343"/>
      <c r="R362" s="266"/>
      <c r="S362" s="266"/>
      <c r="T362" s="268"/>
    </row>
    <row r="363" spans="1:23" ht="30" customHeight="1">
      <c r="A363" s="340">
        <v>358</v>
      </c>
      <c r="B363" s="344" t="s">
        <v>1205</v>
      </c>
      <c r="C363" s="340" t="s">
        <v>417</v>
      </c>
      <c r="D363" s="340"/>
      <c r="E363" s="340" t="s">
        <v>90</v>
      </c>
      <c r="F363" s="345">
        <v>8</v>
      </c>
      <c r="G363" s="346">
        <v>8</v>
      </c>
      <c r="H363" s="346">
        <v>8</v>
      </c>
      <c r="I363" s="346">
        <f t="shared" si="6"/>
        <v>0</v>
      </c>
      <c r="J363" s="342" t="s">
        <v>995</v>
      </c>
      <c r="K363" s="342"/>
      <c r="L363" s="342" t="s">
        <v>995</v>
      </c>
      <c r="M363" s="342"/>
      <c r="N363" s="342"/>
      <c r="O363" s="342"/>
      <c r="P363" s="342"/>
      <c r="Q363" s="343"/>
      <c r="R363" s="266"/>
      <c r="S363" s="266"/>
      <c r="T363" s="268"/>
    </row>
    <row r="364" spans="1:23" ht="30" customHeight="1">
      <c r="A364" s="340">
        <v>359</v>
      </c>
      <c r="B364" s="344" t="s">
        <v>1205</v>
      </c>
      <c r="C364" s="340" t="s">
        <v>418</v>
      </c>
      <c r="D364" s="340"/>
      <c r="E364" s="340" t="s">
        <v>85</v>
      </c>
      <c r="F364" s="345">
        <v>476</v>
      </c>
      <c r="G364" s="346">
        <v>244</v>
      </c>
      <c r="H364" s="346">
        <v>244</v>
      </c>
      <c r="I364" s="346">
        <f t="shared" si="6"/>
        <v>0</v>
      </c>
      <c r="J364" s="342" t="s">
        <v>995</v>
      </c>
      <c r="K364" s="342"/>
      <c r="L364" s="342" t="s">
        <v>995</v>
      </c>
      <c r="M364" s="342"/>
      <c r="N364" s="342"/>
      <c r="O364" s="342"/>
      <c r="P364" s="342"/>
      <c r="Q364" s="343"/>
      <c r="R364" s="266"/>
      <c r="S364" s="266"/>
      <c r="T364" s="268"/>
    </row>
    <row r="365" spans="1:23" ht="30" customHeight="1">
      <c r="A365" s="340">
        <v>360</v>
      </c>
      <c r="B365" s="344" t="s">
        <v>1205</v>
      </c>
      <c r="C365" s="340" t="s">
        <v>888</v>
      </c>
      <c r="D365" s="340"/>
      <c r="E365" s="340" t="s">
        <v>85</v>
      </c>
      <c r="F365" s="345">
        <v>726</v>
      </c>
      <c r="G365" s="346">
        <v>726</v>
      </c>
      <c r="H365" s="346">
        <v>726</v>
      </c>
      <c r="I365" s="346">
        <f t="shared" si="6"/>
        <v>0</v>
      </c>
      <c r="J365" s="342" t="s">
        <v>995</v>
      </c>
      <c r="K365" s="342"/>
      <c r="L365" s="342" t="s">
        <v>995</v>
      </c>
      <c r="M365" s="342"/>
      <c r="N365" s="342"/>
      <c r="O365" s="342"/>
      <c r="P365" s="342"/>
      <c r="Q365" s="343"/>
      <c r="R365" s="266"/>
      <c r="S365" s="266"/>
      <c r="T365" s="288"/>
      <c r="U365" s="266"/>
      <c r="V365" s="266"/>
      <c r="W365" s="266"/>
    </row>
    <row r="366" spans="1:23" ht="30" customHeight="1">
      <c r="A366" s="340">
        <v>361</v>
      </c>
      <c r="B366" s="344" t="s">
        <v>1205</v>
      </c>
      <c r="C366" s="340" t="s">
        <v>419</v>
      </c>
      <c r="D366" s="340"/>
      <c r="E366" s="340" t="s">
        <v>85</v>
      </c>
      <c r="F366" s="345">
        <v>274</v>
      </c>
      <c r="G366" s="346">
        <v>119</v>
      </c>
      <c r="H366" s="346">
        <v>119</v>
      </c>
      <c r="I366" s="346">
        <f t="shared" si="6"/>
        <v>0</v>
      </c>
      <c r="J366" s="342" t="s">
        <v>995</v>
      </c>
      <c r="K366" s="342"/>
      <c r="L366" s="342" t="s">
        <v>995</v>
      </c>
      <c r="M366" s="342"/>
      <c r="N366" s="342"/>
      <c r="O366" s="342"/>
      <c r="P366" s="342"/>
      <c r="Q366" s="343"/>
      <c r="R366" s="266"/>
      <c r="S366" s="266"/>
      <c r="T366" s="288"/>
      <c r="U366" s="266"/>
      <c r="V366" s="266"/>
      <c r="W366" s="266"/>
    </row>
    <row r="367" spans="1:23" ht="30" customHeight="1">
      <c r="A367" s="340">
        <v>362</v>
      </c>
      <c r="B367" s="344" t="s">
        <v>1205</v>
      </c>
      <c r="C367" s="340" t="s">
        <v>889</v>
      </c>
      <c r="D367" s="340"/>
      <c r="E367" s="340" t="s">
        <v>88</v>
      </c>
      <c r="F367" s="345">
        <v>1122</v>
      </c>
      <c r="G367" s="346">
        <v>1122</v>
      </c>
      <c r="H367" s="346">
        <v>1122</v>
      </c>
      <c r="I367" s="346">
        <f t="shared" si="6"/>
        <v>0</v>
      </c>
      <c r="J367" s="342" t="s">
        <v>995</v>
      </c>
      <c r="K367" s="342"/>
      <c r="L367" s="342" t="s">
        <v>995</v>
      </c>
      <c r="M367" s="342"/>
      <c r="N367" s="342"/>
      <c r="O367" s="342"/>
      <c r="P367" s="342"/>
      <c r="Q367" s="343"/>
      <c r="R367" s="266"/>
      <c r="S367" s="266"/>
      <c r="T367" s="266"/>
    </row>
    <row r="368" spans="1:23" ht="30" customHeight="1">
      <c r="A368" s="340">
        <v>363</v>
      </c>
      <c r="B368" s="344" t="s">
        <v>1205</v>
      </c>
      <c r="C368" s="340" t="s">
        <v>420</v>
      </c>
      <c r="D368" s="340"/>
      <c r="E368" s="340" t="s">
        <v>88</v>
      </c>
      <c r="F368" s="345">
        <v>1044</v>
      </c>
      <c r="G368" s="346">
        <v>1044</v>
      </c>
      <c r="H368" s="346">
        <v>1044</v>
      </c>
      <c r="I368" s="346">
        <f t="shared" si="6"/>
        <v>0</v>
      </c>
      <c r="J368" s="342" t="s">
        <v>995</v>
      </c>
      <c r="K368" s="342"/>
      <c r="L368" s="342" t="s">
        <v>995</v>
      </c>
      <c r="M368" s="342"/>
      <c r="N368" s="342"/>
      <c r="O368" s="342"/>
      <c r="P368" s="342"/>
      <c r="Q368" s="343"/>
      <c r="R368" s="266"/>
      <c r="S368" s="266"/>
      <c r="T368" s="266"/>
    </row>
    <row r="369" spans="1:20" ht="30" customHeight="1">
      <c r="A369" s="340">
        <v>364</v>
      </c>
      <c r="B369" s="344" t="s">
        <v>1205</v>
      </c>
      <c r="C369" s="340" t="s">
        <v>890</v>
      </c>
      <c r="D369" s="340"/>
      <c r="E369" s="340" t="s">
        <v>87</v>
      </c>
      <c r="F369" s="345">
        <v>841.3</v>
      </c>
      <c r="G369" s="346">
        <v>841.3</v>
      </c>
      <c r="H369" s="346">
        <v>841.3</v>
      </c>
      <c r="I369" s="346">
        <f t="shared" ref="I369:I432" si="7">H369-G369</f>
        <v>0</v>
      </c>
      <c r="J369" s="342" t="s">
        <v>1209</v>
      </c>
      <c r="K369" s="342"/>
      <c r="L369" s="342" t="s">
        <v>1209</v>
      </c>
      <c r="M369" s="342"/>
      <c r="N369" s="342"/>
      <c r="O369" s="342"/>
      <c r="P369" s="342"/>
      <c r="Q369" s="343"/>
      <c r="R369" s="266"/>
      <c r="S369" s="266"/>
      <c r="T369" s="266"/>
    </row>
    <row r="370" spans="1:20" ht="30" customHeight="1">
      <c r="A370" s="340">
        <v>365</v>
      </c>
      <c r="B370" s="344" t="s">
        <v>1205</v>
      </c>
      <c r="C370" s="340" t="s">
        <v>92</v>
      </c>
      <c r="D370" s="340"/>
      <c r="E370" s="340" t="s">
        <v>85</v>
      </c>
      <c r="F370" s="345">
        <v>317</v>
      </c>
      <c r="G370" s="346">
        <v>317</v>
      </c>
      <c r="H370" s="346">
        <v>317</v>
      </c>
      <c r="I370" s="346">
        <f t="shared" si="7"/>
        <v>0</v>
      </c>
      <c r="J370" s="342" t="s">
        <v>995</v>
      </c>
      <c r="K370" s="342"/>
      <c r="L370" s="342" t="s">
        <v>995</v>
      </c>
      <c r="M370" s="342"/>
      <c r="N370" s="342"/>
      <c r="O370" s="342"/>
      <c r="P370" s="342"/>
      <c r="Q370" s="343"/>
      <c r="R370" s="266"/>
      <c r="S370" s="266"/>
      <c r="T370" s="266"/>
    </row>
    <row r="371" spans="1:20" ht="30" customHeight="1">
      <c r="A371" s="340">
        <v>366</v>
      </c>
      <c r="B371" s="344" t="s">
        <v>1205</v>
      </c>
      <c r="C371" s="340" t="s">
        <v>891</v>
      </c>
      <c r="D371" s="340"/>
      <c r="E371" s="340" t="s">
        <v>88</v>
      </c>
      <c r="F371" s="345">
        <v>257</v>
      </c>
      <c r="G371" s="346">
        <v>257</v>
      </c>
      <c r="H371" s="346">
        <v>257</v>
      </c>
      <c r="I371" s="346">
        <f t="shared" si="7"/>
        <v>0</v>
      </c>
      <c r="J371" s="342" t="s">
        <v>995</v>
      </c>
      <c r="K371" s="342"/>
      <c r="L371" s="342" t="s">
        <v>995</v>
      </c>
      <c r="M371" s="342"/>
      <c r="N371" s="342"/>
      <c r="O371" s="342"/>
      <c r="P371" s="342"/>
      <c r="Q371" s="343"/>
      <c r="R371" s="266"/>
      <c r="S371" s="266"/>
      <c r="T371" s="266"/>
    </row>
    <row r="372" spans="1:20" ht="30" customHeight="1">
      <c r="A372" s="340">
        <v>367</v>
      </c>
      <c r="B372" s="344" t="s">
        <v>1205</v>
      </c>
      <c r="C372" s="340" t="s">
        <v>421</v>
      </c>
      <c r="D372" s="340"/>
      <c r="E372" s="340" t="s">
        <v>88</v>
      </c>
      <c r="F372" s="345">
        <v>39</v>
      </c>
      <c r="G372" s="346">
        <v>39</v>
      </c>
      <c r="H372" s="346">
        <v>39</v>
      </c>
      <c r="I372" s="346">
        <f t="shared" si="7"/>
        <v>0</v>
      </c>
      <c r="J372" s="342" t="s">
        <v>995</v>
      </c>
      <c r="K372" s="342"/>
      <c r="L372" s="342" t="s">
        <v>995</v>
      </c>
      <c r="M372" s="342"/>
      <c r="N372" s="342"/>
      <c r="O372" s="342"/>
      <c r="P372" s="342"/>
      <c r="Q372" s="343"/>
      <c r="R372" s="266"/>
      <c r="S372" s="266"/>
      <c r="T372" s="266"/>
    </row>
    <row r="373" spans="1:20" ht="30" customHeight="1">
      <c r="A373" s="340">
        <v>368</v>
      </c>
      <c r="B373" s="344" t="s">
        <v>1205</v>
      </c>
      <c r="C373" s="340" t="s">
        <v>892</v>
      </c>
      <c r="D373" s="340"/>
      <c r="E373" s="340" t="s">
        <v>109</v>
      </c>
      <c r="F373" s="345">
        <v>77</v>
      </c>
      <c r="G373" s="346">
        <v>77</v>
      </c>
      <c r="H373" s="346">
        <v>77</v>
      </c>
      <c r="I373" s="346">
        <f t="shared" si="7"/>
        <v>0</v>
      </c>
      <c r="J373" s="342" t="s">
        <v>995</v>
      </c>
      <c r="K373" s="342"/>
      <c r="L373" s="342" t="s">
        <v>995</v>
      </c>
      <c r="M373" s="342"/>
      <c r="N373" s="342"/>
      <c r="O373" s="342"/>
      <c r="P373" s="342"/>
      <c r="Q373" s="343"/>
      <c r="R373" s="266"/>
      <c r="S373" s="266"/>
      <c r="T373" s="266"/>
    </row>
    <row r="374" spans="1:20" ht="30" customHeight="1">
      <c r="A374" s="340">
        <v>369</v>
      </c>
      <c r="B374" s="344" t="s">
        <v>1205</v>
      </c>
      <c r="C374" s="340" t="s">
        <v>422</v>
      </c>
      <c r="D374" s="340"/>
      <c r="E374" s="340" t="s">
        <v>90</v>
      </c>
      <c r="F374" s="345">
        <v>72</v>
      </c>
      <c r="G374" s="346">
        <v>72</v>
      </c>
      <c r="H374" s="346">
        <v>72</v>
      </c>
      <c r="I374" s="346">
        <f t="shared" si="7"/>
        <v>0</v>
      </c>
      <c r="J374" s="342" t="s">
        <v>995</v>
      </c>
      <c r="K374" s="342"/>
      <c r="L374" s="342" t="s">
        <v>995</v>
      </c>
      <c r="M374" s="342"/>
      <c r="N374" s="342"/>
      <c r="O374" s="342"/>
      <c r="P374" s="342"/>
      <c r="Q374" s="343"/>
      <c r="R374" s="266"/>
      <c r="S374" s="266"/>
      <c r="T374" s="266"/>
    </row>
    <row r="375" spans="1:20" ht="30" customHeight="1">
      <c r="A375" s="340">
        <v>370</v>
      </c>
      <c r="B375" s="344" t="s">
        <v>1205</v>
      </c>
      <c r="C375" s="340" t="s">
        <v>893</v>
      </c>
      <c r="D375" s="340"/>
      <c r="E375" s="340" t="s">
        <v>85</v>
      </c>
      <c r="F375" s="345">
        <v>218</v>
      </c>
      <c r="G375" s="346">
        <v>218</v>
      </c>
      <c r="H375" s="346">
        <v>218</v>
      </c>
      <c r="I375" s="346">
        <f t="shared" si="7"/>
        <v>0</v>
      </c>
      <c r="J375" s="342" t="s">
        <v>995</v>
      </c>
      <c r="K375" s="342"/>
      <c r="L375" s="342" t="s">
        <v>995</v>
      </c>
      <c r="M375" s="342"/>
      <c r="N375" s="342"/>
      <c r="O375" s="342"/>
      <c r="P375" s="342"/>
      <c r="Q375" s="343"/>
      <c r="R375" s="266"/>
      <c r="S375" s="266"/>
      <c r="T375" s="266"/>
    </row>
    <row r="376" spans="1:20" ht="30" customHeight="1">
      <c r="A376" s="340">
        <v>371</v>
      </c>
      <c r="B376" s="344" t="s">
        <v>1205</v>
      </c>
      <c r="C376" s="340" t="s">
        <v>95</v>
      </c>
      <c r="D376" s="340"/>
      <c r="E376" s="340" t="s">
        <v>85</v>
      </c>
      <c r="F376" s="345">
        <v>132</v>
      </c>
      <c r="G376" s="346">
        <v>132</v>
      </c>
      <c r="H376" s="346">
        <v>132</v>
      </c>
      <c r="I376" s="346">
        <f t="shared" si="7"/>
        <v>0</v>
      </c>
      <c r="J376" s="342" t="s">
        <v>995</v>
      </c>
      <c r="K376" s="342"/>
      <c r="L376" s="342" t="s">
        <v>995</v>
      </c>
      <c r="M376" s="342"/>
      <c r="N376" s="342"/>
      <c r="O376" s="342"/>
      <c r="P376" s="342"/>
      <c r="Q376" s="343"/>
      <c r="R376" s="266"/>
      <c r="S376" s="266"/>
      <c r="T376" s="266"/>
    </row>
    <row r="377" spans="1:20" ht="30" customHeight="1">
      <c r="A377" s="340">
        <v>372</v>
      </c>
      <c r="B377" s="344" t="s">
        <v>1205</v>
      </c>
      <c r="C377" s="340" t="s">
        <v>894</v>
      </c>
      <c r="D377" s="340"/>
      <c r="E377" s="340" t="s">
        <v>87</v>
      </c>
      <c r="F377" s="345">
        <v>811.2</v>
      </c>
      <c r="G377" s="346">
        <v>811.2</v>
      </c>
      <c r="H377" s="346">
        <v>811.2</v>
      </c>
      <c r="I377" s="346">
        <f t="shared" si="7"/>
        <v>0</v>
      </c>
      <c r="J377" s="342" t="s">
        <v>1209</v>
      </c>
      <c r="K377" s="342"/>
      <c r="L377" s="342" t="s">
        <v>1209</v>
      </c>
      <c r="M377" s="342"/>
      <c r="N377" s="342"/>
      <c r="O377" s="342"/>
      <c r="P377" s="342"/>
      <c r="Q377" s="343"/>
      <c r="R377" s="266"/>
      <c r="S377" s="266"/>
      <c r="T377" s="266"/>
    </row>
    <row r="378" spans="1:20" ht="30" customHeight="1">
      <c r="A378" s="340">
        <v>373</v>
      </c>
      <c r="B378" s="344" t="s">
        <v>1205</v>
      </c>
      <c r="C378" s="340" t="s">
        <v>423</v>
      </c>
      <c r="D378" s="340"/>
      <c r="E378" s="340" t="s">
        <v>89</v>
      </c>
      <c r="F378" s="345">
        <v>68.7</v>
      </c>
      <c r="G378" s="346">
        <v>68.7</v>
      </c>
      <c r="H378" s="346">
        <v>68.7</v>
      </c>
      <c r="I378" s="346">
        <f t="shared" si="7"/>
        <v>0</v>
      </c>
      <c r="J378" s="342" t="s">
        <v>995</v>
      </c>
      <c r="K378" s="342"/>
      <c r="L378" s="342" t="s">
        <v>995</v>
      </c>
      <c r="M378" s="342"/>
      <c r="N378" s="342"/>
      <c r="O378" s="342"/>
      <c r="P378" s="342"/>
      <c r="Q378" s="343"/>
      <c r="R378" s="266"/>
      <c r="S378" s="266"/>
      <c r="T378" s="266"/>
    </row>
    <row r="379" spans="1:20" ht="30" customHeight="1">
      <c r="A379" s="340">
        <v>374</v>
      </c>
      <c r="B379" s="344" t="s">
        <v>1205</v>
      </c>
      <c r="C379" s="340" t="s">
        <v>895</v>
      </c>
      <c r="D379" s="340"/>
      <c r="E379" s="340" t="s">
        <v>858</v>
      </c>
      <c r="F379" s="345">
        <v>1825.5</v>
      </c>
      <c r="G379" s="346">
        <v>1825.5</v>
      </c>
      <c r="H379" s="346">
        <v>1825.5</v>
      </c>
      <c r="I379" s="346">
        <f t="shared" si="7"/>
        <v>0</v>
      </c>
      <c r="J379" s="342" t="s">
        <v>995</v>
      </c>
      <c r="K379" s="342"/>
      <c r="L379" s="342" t="s">
        <v>995</v>
      </c>
      <c r="M379" s="342"/>
      <c r="N379" s="342"/>
      <c r="O379" s="342"/>
      <c r="P379" s="342"/>
      <c r="Q379" s="343"/>
      <c r="R379" s="266"/>
      <c r="S379" s="266"/>
      <c r="T379" s="266"/>
    </row>
    <row r="380" spans="1:20" ht="30" customHeight="1">
      <c r="A380" s="340">
        <v>375</v>
      </c>
      <c r="B380" s="344" t="s">
        <v>1205</v>
      </c>
      <c r="C380" s="340" t="s">
        <v>424</v>
      </c>
      <c r="D380" s="340"/>
      <c r="E380" s="340" t="s">
        <v>84</v>
      </c>
      <c r="F380" s="345">
        <v>216.7</v>
      </c>
      <c r="G380" s="346">
        <v>216.7</v>
      </c>
      <c r="H380" s="346">
        <v>216.7</v>
      </c>
      <c r="I380" s="346">
        <f t="shared" si="7"/>
        <v>0</v>
      </c>
      <c r="J380" s="342" t="s">
        <v>1209</v>
      </c>
      <c r="K380" s="342"/>
      <c r="L380" s="342" t="s">
        <v>1209</v>
      </c>
      <c r="M380" s="342"/>
      <c r="N380" s="342"/>
      <c r="O380" s="342"/>
      <c r="P380" s="342"/>
      <c r="Q380" s="343"/>
      <c r="R380" s="266"/>
      <c r="S380" s="266"/>
      <c r="T380" s="266"/>
    </row>
    <row r="381" spans="1:20" ht="30" customHeight="1">
      <c r="A381" s="340">
        <v>376</v>
      </c>
      <c r="B381" s="344" t="s">
        <v>1205</v>
      </c>
      <c r="C381" s="340" t="s">
        <v>896</v>
      </c>
      <c r="D381" s="340"/>
      <c r="E381" s="340" t="s">
        <v>87</v>
      </c>
      <c r="F381" s="345">
        <v>182.8</v>
      </c>
      <c r="G381" s="346">
        <v>182.8</v>
      </c>
      <c r="H381" s="346">
        <v>182.8</v>
      </c>
      <c r="I381" s="346">
        <f t="shared" si="7"/>
        <v>0</v>
      </c>
      <c r="J381" s="342" t="s">
        <v>1209</v>
      </c>
      <c r="K381" s="342"/>
      <c r="L381" s="342" t="s">
        <v>1209</v>
      </c>
      <c r="M381" s="342"/>
      <c r="N381" s="342"/>
      <c r="O381" s="342"/>
      <c r="P381" s="342"/>
      <c r="Q381" s="343"/>
      <c r="R381" s="266"/>
      <c r="S381" s="266"/>
      <c r="T381" s="266"/>
    </row>
    <row r="382" spans="1:20" ht="30" customHeight="1">
      <c r="A382" s="340">
        <v>377</v>
      </c>
      <c r="B382" s="344" t="s">
        <v>1205</v>
      </c>
      <c r="C382" s="340" t="s">
        <v>425</v>
      </c>
      <c r="D382" s="340"/>
      <c r="E382" s="340" t="s">
        <v>85</v>
      </c>
      <c r="F382" s="345">
        <v>75</v>
      </c>
      <c r="G382" s="346">
        <v>75</v>
      </c>
      <c r="H382" s="346">
        <v>75</v>
      </c>
      <c r="I382" s="346">
        <f t="shared" si="7"/>
        <v>0</v>
      </c>
      <c r="J382" s="342" t="s">
        <v>995</v>
      </c>
      <c r="K382" s="342"/>
      <c r="L382" s="342" t="s">
        <v>995</v>
      </c>
      <c r="M382" s="342"/>
      <c r="N382" s="342"/>
      <c r="O382" s="342"/>
      <c r="P382" s="342"/>
      <c r="Q382" s="343"/>
      <c r="R382" s="266"/>
      <c r="S382" s="266"/>
      <c r="T382" s="268"/>
    </row>
    <row r="383" spans="1:20" ht="30" customHeight="1">
      <c r="A383" s="340">
        <v>378</v>
      </c>
      <c r="B383" s="344" t="s">
        <v>1205</v>
      </c>
      <c r="C383" s="340" t="s">
        <v>897</v>
      </c>
      <c r="D383" s="340"/>
      <c r="E383" s="340" t="s">
        <v>858</v>
      </c>
      <c r="F383" s="345">
        <v>47</v>
      </c>
      <c r="G383" s="346">
        <v>47</v>
      </c>
      <c r="H383" s="346">
        <v>47</v>
      </c>
      <c r="I383" s="346">
        <f t="shared" si="7"/>
        <v>0</v>
      </c>
      <c r="J383" s="342" t="s">
        <v>995</v>
      </c>
      <c r="K383" s="342"/>
      <c r="L383" s="342" t="s">
        <v>995</v>
      </c>
      <c r="M383" s="342"/>
      <c r="N383" s="342"/>
      <c r="O383" s="342"/>
      <c r="P383" s="342"/>
      <c r="Q383" s="343"/>
      <c r="R383" s="266"/>
      <c r="S383" s="266"/>
      <c r="T383" s="268"/>
    </row>
    <row r="384" spans="1:20" ht="30" customHeight="1">
      <c r="A384" s="340">
        <v>379</v>
      </c>
      <c r="B384" s="344" t="s">
        <v>1205</v>
      </c>
      <c r="C384" s="340" t="s">
        <v>898</v>
      </c>
      <c r="D384" s="340"/>
      <c r="E384" s="340" t="s">
        <v>85</v>
      </c>
      <c r="F384" s="345">
        <v>309</v>
      </c>
      <c r="G384" s="346">
        <v>273</v>
      </c>
      <c r="H384" s="346">
        <v>273</v>
      </c>
      <c r="I384" s="346">
        <f t="shared" si="7"/>
        <v>0</v>
      </c>
      <c r="J384" s="342" t="s">
        <v>995</v>
      </c>
      <c r="K384" s="342"/>
      <c r="L384" s="342" t="s">
        <v>995</v>
      </c>
      <c r="M384" s="342"/>
      <c r="N384" s="342"/>
      <c r="O384" s="342"/>
      <c r="P384" s="342"/>
      <c r="Q384" s="343"/>
      <c r="R384" s="266"/>
      <c r="S384" s="266"/>
      <c r="T384" s="268"/>
    </row>
    <row r="385" spans="1:23" ht="30" customHeight="1">
      <c r="A385" s="340">
        <v>380</v>
      </c>
      <c r="B385" s="344" t="s">
        <v>1205</v>
      </c>
      <c r="C385" s="340" t="s">
        <v>426</v>
      </c>
      <c r="D385" s="340"/>
      <c r="E385" s="340" t="s">
        <v>90</v>
      </c>
      <c r="F385" s="345">
        <v>107</v>
      </c>
      <c r="G385" s="346">
        <v>107</v>
      </c>
      <c r="H385" s="346">
        <v>107</v>
      </c>
      <c r="I385" s="346">
        <f t="shared" si="7"/>
        <v>0</v>
      </c>
      <c r="J385" s="342" t="s">
        <v>995</v>
      </c>
      <c r="K385" s="342"/>
      <c r="L385" s="342" t="s">
        <v>995</v>
      </c>
      <c r="M385" s="342"/>
      <c r="N385" s="342"/>
      <c r="O385" s="342"/>
      <c r="P385" s="342"/>
      <c r="Q385" s="343"/>
      <c r="R385" s="266"/>
      <c r="S385" s="266"/>
      <c r="T385" s="268"/>
    </row>
    <row r="386" spans="1:23" ht="30" customHeight="1">
      <c r="A386" s="340">
        <v>381</v>
      </c>
      <c r="B386" s="344" t="s">
        <v>1205</v>
      </c>
      <c r="C386" s="340" t="s">
        <v>899</v>
      </c>
      <c r="D386" s="340"/>
      <c r="E386" s="340" t="s">
        <v>858</v>
      </c>
      <c r="F386" s="345">
        <v>7</v>
      </c>
      <c r="G386" s="346">
        <v>7</v>
      </c>
      <c r="H386" s="346">
        <v>7</v>
      </c>
      <c r="I386" s="346">
        <f t="shared" si="7"/>
        <v>0</v>
      </c>
      <c r="J386" s="342" t="s">
        <v>995</v>
      </c>
      <c r="K386" s="342"/>
      <c r="L386" s="342" t="s">
        <v>995</v>
      </c>
      <c r="M386" s="342"/>
      <c r="N386" s="342"/>
      <c r="O386" s="342"/>
      <c r="P386" s="342"/>
      <c r="Q386" s="343"/>
      <c r="R386" s="266"/>
      <c r="S386" s="266"/>
      <c r="T386" s="288"/>
      <c r="U386" s="266"/>
      <c r="V386" s="266"/>
      <c r="W386" s="266"/>
    </row>
    <row r="387" spans="1:23" ht="30" customHeight="1">
      <c r="A387" s="340">
        <v>382</v>
      </c>
      <c r="B387" s="344" t="s">
        <v>1205</v>
      </c>
      <c r="C387" s="340" t="s">
        <v>427</v>
      </c>
      <c r="D387" s="340"/>
      <c r="E387" s="340" t="s">
        <v>89</v>
      </c>
      <c r="F387" s="345">
        <v>131</v>
      </c>
      <c r="G387" s="346">
        <v>131</v>
      </c>
      <c r="H387" s="346">
        <v>131</v>
      </c>
      <c r="I387" s="346">
        <f t="shared" si="7"/>
        <v>0</v>
      </c>
      <c r="J387" s="342" t="s">
        <v>995</v>
      </c>
      <c r="K387" s="342"/>
      <c r="L387" s="342" t="s">
        <v>995</v>
      </c>
      <c r="M387" s="342"/>
      <c r="N387" s="342"/>
      <c r="O387" s="342"/>
      <c r="P387" s="342"/>
      <c r="Q387" s="343"/>
      <c r="R387" s="266"/>
      <c r="S387" s="266"/>
      <c r="T387" s="288"/>
      <c r="U387" s="266"/>
      <c r="V387" s="266"/>
      <c r="W387" s="266"/>
    </row>
    <row r="388" spans="1:23" ht="30" customHeight="1">
      <c r="A388" s="340">
        <v>383</v>
      </c>
      <c r="B388" s="344" t="s">
        <v>1205</v>
      </c>
      <c r="C388" s="340" t="s">
        <v>900</v>
      </c>
      <c r="D388" s="340"/>
      <c r="E388" s="340" t="s">
        <v>87</v>
      </c>
      <c r="F388" s="345">
        <v>1858</v>
      </c>
      <c r="G388" s="346">
        <v>372</v>
      </c>
      <c r="H388" s="346">
        <v>372</v>
      </c>
      <c r="I388" s="346">
        <f t="shared" si="7"/>
        <v>0</v>
      </c>
      <c r="J388" s="342" t="s">
        <v>1209</v>
      </c>
      <c r="K388" s="342"/>
      <c r="L388" s="342" t="s">
        <v>1209</v>
      </c>
      <c r="M388" s="342"/>
      <c r="N388" s="342"/>
      <c r="O388" s="342"/>
      <c r="P388" s="342"/>
      <c r="Q388" s="343"/>
      <c r="R388" s="266"/>
      <c r="S388" s="266"/>
      <c r="T388" s="266"/>
    </row>
    <row r="389" spans="1:23" ht="30" customHeight="1">
      <c r="A389" s="340">
        <v>384</v>
      </c>
      <c r="B389" s="344" t="s">
        <v>1205</v>
      </c>
      <c r="C389" s="340" t="s">
        <v>428</v>
      </c>
      <c r="D389" s="340"/>
      <c r="E389" s="340" t="s">
        <v>89</v>
      </c>
      <c r="F389" s="345">
        <v>1038</v>
      </c>
      <c r="G389" s="346">
        <v>236</v>
      </c>
      <c r="H389" s="346">
        <v>1038</v>
      </c>
      <c r="I389" s="346">
        <f t="shared" si="7"/>
        <v>802</v>
      </c>
      <c r="J389" s="342" t="s">
        <v>995</v>
      </c>
      <c r="K389" s="342"/>
      <c r="L389" s="342" t="s">
        <v>995</v>
      </c>
      <c r="M389" s="342"/>
      <c r="N389" s="342"/>
      <c r="O389" s="342"/>
      <c r="P389" s="342"/>
      <c r="Q389" s="343"/>
      <c r="R389" s="266"/>
      <c r="S389" s="266"/>
      <c r="T389" s="266"/>
    </row>
    <row r="390" spans="1:23" ht="30" customHeight="1">
      <c r="A390" s="340">
        <v>385</v>
      </c>
      <c r="B390" s="344" t="s">
        <v>1205</v>
      </c>
      <c r="C390" s="340" t="s">
        <v>901</v>
      </c>
      <c r="D390" s="340"/>
      <c r="E390" s="340" t="s">
        <v>902</v>
      </c>
      <c r="F390" s="345">
        <v>4069.5</v>
      </c>
      <c r="G390" s="346">
        <v>456</v>
      </c>
      <c r="H390" s="346">
        <v>456</v>
      </c>
      <c r="I390" s="346">
        <f t="shared" si="7"/>
        <v>0</v>
      </c>
      <c r="J390" s="342" t="s">
        <v>1209</v>
      </c>
      <c r="K390" s="342"/>
      <c r="L390" s="342" t="s">
        <v>1209</v>
      </c>
      <c r="M390" s="342"/>
      <c r="N390" s="342"/>
      <c r="O390" s="342"/>
      <c r="P390" s="342"/>
      <c r="Q390" s="343"/>
      <c r="R390" s="266"/>
      <c r="S390" s="266"/>
      <c r="T390" s="266"/>
    </row>
    <row r="391" spans="1:23" ht="30" customHeight="1">
      <c r="A391" s="340">
        <v>386</v>
      </c>
      <c r="B391" s="344" t="s">
        <v>1205</v>
      </c>
      <c r="C391" s="340" t="s">
        <v>429</v>
      </c>
      <c r="D391" s="340"/>
      <c r="E391" s="340" t="s">
        <v>87</v>
      </c>
      <c r="F391" s="345">
        <v>979.2</v>
      </c>
      <c r="G391" s="346">
        <v>489</v>
      </c>
      <c r="H391" s="346">
        <v>489</v>
      </c>
      <c r="I391" s="346">
        <f t="shared" si="7"/>
        <v>0</v>
      </c>
      <c r="J391" s="342" t="s">
        <v>1209</v>
      </c>
      <c r="K391" s="342"/>
      <c r="L391" s="342" t="s">
        <v>1209</v>
      </c>
      <c r="M391" s="342"/>
      <c r="N391" s="342"/>
      <c r="O391" s="342"/>
      <c r="P391" s="342"/>
      <c r="Q391" s="343"/>
      <c r="R391" s="266"/>
      <c r="S391" s="266"/>
      <c r="T391" s="266"/>
    </row>
    <row r="392" spans="1:23" ht="30" customHeight="1">
      <c r="A392" s="340">
        <v>387</v>
      </c>
      <c r="B392" s="344" t="s">
        <v>1205</v>
      </c>
      <c r="C392" s="340" t="s">
        <v>903</v>
      </c>
      <c r="D392" s="340"/>
      <c r="E392" s="340" t="s">
        <v>622</v>
      </c>
      <c r="F392" s="345">
        <v>575</v>
      </c>
      <c r="G392" s="346">
        <v>18</v>
      </c>
      <c r="H392" s="346">
        <v>18</v>
      </c>
      <c r="I392" s="346">
        <f t="shared" si="7"/>
        <v>0</v>
      </c>
      <c r="J392" s="342" t="s">
        <v>1208</v>
      </c>
      <c r="K392" s="342"/>
      <c r="L392" s="342" t="s">
        <v>1208</v>
      </c>
      <c r="M392" s="342"/>
      <c r="N392" s="342"/>
      <c r="O392" s="342"/>
      <c r="P392" s="342"/>
      <c r="Q392" s="343"/>
      <c r="R392" s="266"/>
      <c r="S392" s="266"/>
      <c r="T392" s="266"/>
    </row>
    <row r="393" spans="1:23" ht="30" customHeight="1">
      <c r="A393" s="340">
        <v>388</v>
      </c>
      <c r="B393" s="344" t="s">
        <v>1205</v>
      </c>
      <c r="C393" s="340" t="s">
        <v>430</v>
      </c>
      <c r="D393" s="340"/>
      <c r="E393" s="340" t="s">
        <v>88</v>
      </c>
      <c r="F393" s="345">
        <v>4</v>
      </c>
      <c r="G393" s="346">
        <v>4</v>
      </c>
      <c r="H393" s="346">
        <v>4</v>
      </c>
      <c r="I393" s="346">
        <f t="shared" si="7"/>
        <v>0</v>
      </c>
      <c r="J393" s="342" t="s">
        <v>995</v>
      </c>
      <c r="K393" s="342"/>
      <c r="L393" s="342" t="s">
        <v>995</v>
      </c>
      <c r="M393" s="342"/>
      <c r="N393" s="342"/>
      <c r="O393" s="342"/>
      <c r="P393" s="342"/>
      <c r="Q393" s="343"/>
      <c r="R393" s="266"/>
      <c r="S393" s="266"/>
      <c r="T393" s="266"/>
    </row>
    <row r="394" spans="1:23" ht="30" customHeight="1">
      <c r="A394" s="340">
        <v>389</v>
      </c>
      <c r="B394" s="344" t="s">
        <v>1205</v>
      </c>
      <c r="C394" s="340" t="s">
        <v>904</v>
      </c>
      <c r="D394" s="340"/>
      <c r="E394" s="340" t="s">
        <v>85</v>
      </c>
      <c r="F394" s="345">
        <v>192</v>
      </c>
      <c r="G394" s="346">
        <v>192</v>
      </c>
      <c r="H394" s="346">
        <v>192</v>
      </c>
      <c r="I394" s="346">
        <f t="shared" si="7"/>
        <v>0</v>
      </c>
      <c r="J394" s="342" t="s">
        <v>995</v>
      </c>
      <c r="K394" s="342"/>
      <c r="L394" s="342" t="s">
        <v>995</v>
      </c>
      <c r="M394" s="342"/>
      <c r="N394" s="342"/>
      <c r="O394" s="342"/>
      <c r="P394" s="342"/>
      <c r="Q394" s="343"/>
      <c r="R394" s="266"/>
      <c r="S394" s="266"/>
      <c r="T394" s="266"/>
    </row>
    <row r="395" spans="1:23" ht="30" customHeight="1">
      <c r="A395" s="340">
        <v>390</v>
      </c>
      <c r="B395" s="344" t="s">
        <v>1205</v>
      </c>
      <c r="C395" s="340" t="s">
        <v>431</v>
      </c>
      <c r="D395" s="340"/>
      <c r="E395" s="340" t="s">
        <v>88</v>
      </c>
      <c r="F395" s="345">
        <v>754</v>
      </c>
      <c r="G395" s="346">
        <v>754</v>
      </c>
      <c r="H395" s="346">
        <v>754</v>
      </c>
      <c r="I395" s="346">
        <f t="shared" si="7"/>
        <v>0</v>
      </c>
      <c r="J395" s="342" t="s">
        <v>995</v>
      </c>
      <c r="K395" s="342"/>
      <c r="L395" s="342" t="s">
        <v>995</v>
      </c>
      <c r="M395" s="342"/>
      <c r="N395" s="342"/>
      <c r="O395" s="342"/>
      <c r="P395" s="342"/>
      <c r="Q395" s="343"/>
      <c r="R395" s="266"/>
      <c r="S395" s="266"/>
      <c r="T395" s="266"/>
    </row>
    <row r="396" spans="1:23" ht="30" customHeight="1">
      <c r="A396" s="340">
        <v>391</v>
      </c>
      <c r="B396" s="344" t="s">
        <v>1205</v>
      </c>
      <c r="C396" s="340" t="s">
        <v>905</v>
      </c>
      <c r="D396" s="340"/>
      <c r="E396" s="340" t="s">
        <v>88</v>
      </c>
      <c r="F396" s="345">
        <v>162</v>
      </c>
      <c r="G396" s="346">
        <v>162</v>
      </c>
      <c r="H396" s="346">
        <v>162</v>
      </c>
      <c r="I396" s="346">
        <f t="shared" si="7"/>
        <v>0</v>
      </c>
      <c r="J396" s="342" t="s">
        <v>995</v>
      </c>
      <c r="K396" s="342"/>
      <c r="L396" s="342" t="s">
        <v>995</v>
      </c>
      <c r="M396" s="342"/>
      <c r="N396" s="342"/>
      <c r="O396" s="342"/>
      <c r="P396" s="342"/>
      <c r="Q396" s="343"/>
      <c r="R396" s="266"/>
      <c r="S396" s="266"/>
      <c r="T396" s="266"/>
    </row>
    <row r="397" spans="1:23" ht="30" customHeight="1">
      <c r="A397" s="340">
        <v>392</v>
      </c>
      <c r="B397" s="344" t="s">
        <v>1205</v>
      </c>
      <c r="C397" s="340" t="s">
        <v>432</v>
      </c>
      <c r="D397" s="340"/>
      <c r="E397" s="340" t="s">
        <v>89</v>
      </c>
      <c r="F397" s="345">
        <v>48.3</v>
      </c>
      <c r="G397" s="346">
        <v>48.3</v>
      </c>
      <c r="H397" s="346">
        <v>48.3</v>
      </c>
      <c r="I397" s="346">
        <f t="shared" si="7"/>
        <v>0</v>
      </c>
      <c r="J397" s="342" t="s">
        <v>995</v>
      </c>
      <c r="K397" s="342"/>
      <c r="L397" s="342" t="s">
        <v>995</v>
      </c>
      <c r="M397" s="342"/>
      <c r="N397" s="342"/>
      <c r="O397" s="342"/>
      <c r="P397" s="342"/>
      <c r="Q397" s="343"/>
      <c r="R397" s="266"/>
      <c r="S397" s="266"/>
      <c r="T397" s="266"/>
    </row>
    <row r="398" spans="1:23" ht="30" customHeight="1">
      <c r="A398" s="340">
        <v>393</v>
      </c>
      <c r="B398" s="344" t="s">
        <v>1205</v>
      </c>
      <c r="C398" s="340" t="s">
        <v>906</v>
      </c>
      <c r="D398" s="340"/>
      <c r="E398" s="340" t="s">
        <v>858</v>
      </c>
      <c r="F398" s="345">
        <v>302</v>
      </c>
      <c r="G398" s="346">
        <v>302</v>
      </c>
      <c r="H398" s="346">
        <v>302</v>
      </c>
      <c r="I398" s="346">
        <f t="shared" si="7"/>
        <v>0</v>
      </c>
      <c r="J398" s="342" t="s">
        <v>995</v>
      </c>
      <c r="K398" s="342"/>
      <c r="L398" s="342" t="s">
        <v>995</v>
      </c>
      <c r="M398" s="342"/>
      <c r="N398" s="342"/>
      <c r="O398" s="342"/>
      <c r="P398" s="342"/>
      <c r="Q398" s="343"/>
      <c r="R398" s="266"/>
      <c r="S398" s="266"/>
      <c r="T398" s="266"/>
    </row>
    <row r="399" spans="1:23" ht="30" customHeight="1">
      <c r="A399" s="340">
        <v>394</v>
      </c>
      <c r="B399" s="344" t="s">
        <v>1205</v>
      </c>
      <c r="C399" s="340" t="s">
        <v>433</v>
      </c>
      <c r="D399" s="340"/>
      <c r="E399" s="340" t="s">
        <v>89</v>
      </c>
      <c r="F399" s="345">
        <v>118.6</v>
      </c>
      <c r="G399" s="346">
        <v>118.6</v>
      </c>
      <c r="H399" s="346">
        <v>118.6</v>
      </c>
      <c r="I399" s="346">
        <f t="shared" si="7"/>
        <v>0</v>
      </c>
      <c r="J399" s="342" t="s">
        <v>995</v>
      </c>
      <c r="K399" s="342"/>
      <c r="L399" s="342" t="s">
        <v>995</v>
      </c>
      <c r="M399" s="342"/>
      <c r="N399" s="342"/>
      <c r="O399" s="342"/>
      <c r="P399" s="342"/>
      <c r="Q399" s="343"/>
      <c r="R399" s="266"/>
      <c r="S399" s="266"/>
      <c r="T399" s="266"/>
    </row>
    <row r="400" spans="1:23" ht="30" customHeight="1">
      <c r="A400" s="340">
        <v>395</v>
      </c>
      <c r="B400" s="344" t="s">
        <v>1205</v>
      </c>
      <c r="C400" s="340" t="s">
        <v>907</v>
      </c>
      <c r="D400" s="340"/>
      <c r="E400" s="340" t="s">
        <v>858</v>
      </c>
      <c r="F400" s="345">
        <v>570.20000000000005</v>
      </c>
      <c r="G400" s="346">
        <v>570.20000000000005</v>
      </c>
      <c r="H400" s="346">
        <v>570.20000000000005</v>
      </c>
      <c r="I400" s="346">
        <f t="shared" si="7"/>
        <v>0</v>
      </c>
      <c r="J400" s="342" t="s">
        <v>995</v>
      </c>
      <c r="K400" s="342"/>
      <c r="L400" s="342" t="s">
        <v>995</v>
      </c>
      <c r="M400" s="342"/>
      <c r="N400" s="342"/>
      <c r="O400" s="342"/>
      <c r="P400" s="342"/>
      <c r="Q400" s="343"/>
      <c r="R400" s="266"/>
      <c r="S400" s="266"/>
      <c r="T400" s="266"/>
    </row>
    <row r="401" spans="1:23" ht="30" customHeight="1">
      <c r="A401" s="340">
        <v>396</v>
      </c>
      <c r="B401" s="344" t="s">
        <v>1205</v>
      </c>
      <c r="C401" s="340" t="s">
        <v>434</v>
      </c>
      <c r="D401" s="340"/>
      <c r="E401" s="340" t="s">
        <v>89</v>
      </c>
      <c r="F401" s="345">
        <v>218.3</v>
      </c>
      <c r="G401" s="346">
        <v>218.3</v>
      </c>
      <c r="H401" s="346">
        <v>218.3</v>
      </c>
      <c r="I401" s="346">
        <f t="shared" si="7"/>
        <v>0</v>
      </c>
      <c r="J401" s="342" t="s">
        <v>995</v>
      </c>
      <c r="K401" s="342"/>
      <c r="L401" s="342" t="s">
        <v>995</v>
      </c>
      <c r="M401" s="342"/>
      <c r="N401" s="342"/>
      <c r="O401" s="342"/>
      <c r="P401" s="342"/>
      <c r="Q401" s="343"/>
      <c r="R401" s="266"/>
      <c r="S401" s="266"/>
      <c r="T401" s="266"/>
    </row>
    <row r="402" spans="1:23" ht="30" customHeight="1">
      <c r="A402" s="340">
        <v>397</v>
      </c>
      <c r="B402" s="344" t="s">
        <v>1205</v>
      </c>
      <c r="C402" s="340" t="s">
        <v>908</v>
      </c>
      <c r="D402" s="340"/>
      <c r="E402" s="340" t="s">
        <v>858</v>
      </c>
      <c r="F402" s="345">
        <v>417.9</v>
      </c>
      <c r="G402" s="346">
        <v>417.9</v>
      </c>
      <c r="H402" s="346">
        <v>417.9</v>
      </c>
      <c r="I402" s="346">
        <f t="shared" si="7"/>
        <v>0</v>
      </c>
      <c r="J402" s="342" t="s">
        <v>995</v>
      </c>
      <c r="K402" s="342"/>
      <c r="L402" s="342" t="s">
        <v>995</v>
      </c>
      <c r="M402" s="342"/>
      <c r="N402" s="342"/>
      <c r="O402" s="342"/>
      <c r="P402" s="342"/>
      <c r="Q402" s="343"/>
      <c r="R402" s="266"/>
      <c r="S402" s="266"/>
      <c r="T402" s="266"/>
    </row>
    <row r="403" spans="1:23" ht="30" customHeight="1">
      <c r="A403" s="340">
        <v>398</v>
      </c>
      <c r="B403" s="344" t="s">
        <v>1205</v>
      </c>
      <c r="C403" s="340" t="s">
        <v>737</v>
      </c>
      <c r="D403" s="340"/>
      <c r="E403" s="340" t="s">
        <v>87</v>
      </c>
      <c r="F403" s="345">
        <v>3940.7</v>
      </c>
      <c r="G403" s="346">
        <v>398</v>
      </c>
      <c r="H403" s="346">
        <v>398</v>
      </c>
      <c r="I403" s="346">
        <f t="shared" si="7"/>
        <v>0</v>
      </c>
      <c r="J403" s="342" t="s">
        <v>1209</v>
      </c>
      <c r="K403" s="342"/>
      <c r="L403" s="342" t="s">
        <v>1209</v>
      </c>
      <c r="M403" s="342"/>
      <c r="N403" s="342"/>
      <c r="O403" s="342"/>
      <c r="P403" s="342"/>
      <c r="Q403" s="343"/>
      <c r="R403" s="266"/>
      <c r="S403" s="266"/>
      <c r="T403" s="268"/>
    </row>
    <row r="404" spans="1:23" ht="30" customHeight="1">
      <c r="A404" s="340">
        <v>399</v>
      </c>
      <c r="B404" s="344" t="s">
        <v>1205</v>
      </c>
      <c r="C404" s="340" t="s">
        <v>435</v>
      </c>
      <c r="D404" s="340"/>
      <c r="E404" s="340" t="s">
        <v>84</v>
      </c>
      <c r="F404" s="345">
        <v>715.2</v>
      </c>
      <c r="G404" s="346">
        <v>715.2</v>
      </c>
      <c r="H404" s="346">
        <v>715.2</v>
      </c>
      <c r="I404" s="346">
        <f t="shared" si="7"/>
        <v>0</v>
      </c>
      <c r="J404" s="342" t="s">
        <v>1209</v>
      </c>
      <c r="K404" s="342"/>
      <c r="L404" s="342" t="s">
        <v>1209</v>
      </c>
      <c r="M404" s="342"/>
      <c r="N404" s="342"/>
      <c r="O404" s="342"/>
      <c r="P404" s="342"/>
      <c r="Q404" s="343"/>
      <c r="R404" s="266"/>
      <c r="S404" s="266"/>
      <c r="T404" s="268"/>
    </row>
    <row r="405" spans="1:23" ht="30" customHeight="1">
      <c r="A405" s="340">
        <v>400</v>
      </c>
      <c r="B405" s="344" t="s">
        <v>1205</v>
      </c>
      <c r="C405" s="340" t="s">
        <v>909</v>
      </c>
      <c r="D405" s="340"/>
      <c r="E405" s="340" t="s">
        <v>858</v>
      </c>
      <c r="F405" s="345">
        <v>146.6</v>
      </c>
      <c r="G405" s="346">
        <v>146.6</v>
      </c>
      <c r="H405" s="346">
        <v>146.6</v>
      </c>
      <c r="I405" s="346">
        <f t="shared" si="7"/>
        <v>0</v>
      </c>
      <c r="J405" s="342" t="s">
        <v>995</v>
      </c>
      <c r="K405" s="342"/>
      <c r="L405" s="342" t="s">
        <v>995</v>
      </c>
      <c r="M405" s="342"/>
      <c r="N405" s="342"/>
      <c r="O405" s="342"/>
      <c r="P405" s="342"/>
      <c r="Q405" s="343"/>
      <c r="R405" s="266"/>
      <c r="S405" s="266"/>
      <c r="T405" s="268"/>
    </row>
    <row r="406" spans="1:23" ht="30" customHeight="1">
      <c r="A406" s="340">
        <v>401</v>
      </c>
      <c r="B406" s="344" t="s">
        <v>1205</v>
      </c>
      <c r="C406" s="340" t="s">
        <v>436</v>
      </c>
      <c r="D406" s="340"/>
      <c r="E406" s="340" t="s">
        <v>85</v>
      </c>
      <c r="F406" s="345">
        <v>55</v>
      </c>
      <c r="G406" s="346">
        <v>55</v>
      </c>
      <c r="H406" s="346">
        <v>55</v>
      </c>
      <c r="I406" s="346">
        <f t="shared" si="7"/>
        <v>0</v>
      </c>
      <c r="J406" s="342" t="s">
        <v>995</v>
      </c>
      <c r="K406" s="342"/>
      <c r="L406" s="342" t="s">
        <v>995</v>
      </c>
      <c r="M406" s="342"/>
      <c r="N406" s="342"/>
      <c r="O406" s="342"/>
      <c r="P406" s="342"/>
      <c r="Q406" s="343"/>
      <c r="R406" s="266"/>
      <c r="S406" s="266"/>
      <c r="T406" s="268"/>
    </row>
    <row r="407" spans="1:23" ht="30" customHeight="1">
      <c r="A407" s="340">
        <v>402</v>
      </c>
      <c r="B407" s="344" t="s">
        <v>1205</v>
      </c>
      <c r="C407" s="340" t="s">
        <v>910</v>
      </c>
      <c r="D407" s="340"/>
      <c r="E407" s="340" t="s">
        <v>85</v>
      </c>
      <c r="F407" s="345">
        <v>19</v>
      </c>
      <c r="G407" s="346">
        <v>19</v>
      </c>
      <c r="H407" s="346">
        <v>19</v>
      </c>
      <c r="I407" s="346">
        <f t="shared" si="7"/>
        <v>0</v>
      </c>
      <c r="J407" s="342" t="s">
        <v>995</v>
      </c>
      <c r="K407" s="342"/>
      <c r="L407" s="342" t="s">
        <v>995</v>
      </c>
      <c r="M407" s="342"/>
      <c r="N407" s="342"/>
      <c r="O407" s="342"/>
      <c r="P407" s="342"/>
      <c r="Q407" s="343"/>
      <c r="R407" s="266"/>
      <c r="S407" s="266"/>
      <c r="T407" s="288"/>
      <c r="U407" s="266"/>
      <c r="V407" s="266"/>
      <c r="W407" s="266"/>
    </row>
    <row r="408" spans="1:23" ht="30" customHeight="1">
      <c r="A408" s="340">
        <v>403</v>
      </c>
      <c r="B408" s="344" t="s">
        <v>1205</v>
      </c>
      <c r="C408" s="340" t="s">
        <v>437</v>
      </c>
      <c r="D408" s="340"/>
      <c r="E408" s="340" t="s">
        <v>85</v>
      </c>
      <c r="F408" s="345">
        <v>11</v>
      </c>
      <c r="G408" s="346">
        <v>11</v>
      </c>
      <c r="H408" s="346">
        <v>11</v>
      </c>
      <c r="I408" s="346">
        <f t="shared" si="7"/>
        <v>0</v>
      </c>
      <c r="J408" s="342" t="s">
        <v>995</v>
      </c>
      <c r="K408" s="342"/>
      <c r="L408" s="342" t="s">
        <v>995</v>
      </c>
      <c r="M408" s="342"/>
      <c r="N408" s="342"/>
      <c r="O408" s="342"/>
      <c r="P408" s="342"/>
      <c r="Q408" s="343"/>
      <c r="R408" s="266"/>
      <c r="S408" s="266"/>
      <c r="T408" s="288"/>
      <c r="U408" s="266"/>
      <c r="V408" s="266"/>
      <c r="W408" s="266"/>
    </row>
    <row r="409" spans="1:23" ht="30" customHeight="1">
      <c r="A409" s="340">
        <v>404</v>
      </c>
      <c r="B409" s="344" t="s">
        <v>1205</v>
      </c>
      <c r="C409" s="340" t="s">
        <v>911</v>
      </c>
      <c r="D409" s="340"/>
      <c r="E409" s="340" t="s">
        <v>858</v>
      </c>
      <c r="F409" s="345">
        <v>41</v>
      </c>
      <c r="G409" s="346">
        <v>41</v>
      </c>
      <c r="H409" s="346">
        <v>41</v>
      </c>
      <c r="I409" s="346">
        <f t="shared" si="7"/>
        <v>0</v>
      </c>
      <c r="J409" s="342" t="s">
        <v>995</v>
      </c>
      <c r="K409" s="342"/>
      <c r="L409" s="342" t="s">
        <v>995</v>
      </c>
      <c r="M409" s="342"/>
      <c r="N409" s="342"/>
      <c r="O409" s="342"/>
      <c r="P409" s="342"/>
      <c r="Q409" s="343"/>
      <c r="R409" s="266"/>
      <c r="S409" s="266"/>
      <c r="T409" s="266"/>
    </row>
    <row r="410" spans="1:23" ht="30" customHeight="1">
      <c r="A410" s="340">
        <v>405</v>
      </c>
      <c r="B410" s="344" t="s">
        <v>1205</v>
      </c>
      <c r="C410" s="340" t="s">
        <v>438</v>
      </c>
      <c r="D410" s="340"/>
      <c r="E410" s="340" t="s">
        <v>85</v>
      </c>
      <c r="F410" s="345">
        <v>140</v>
      </c>
      <c r="G410" s="346">
        <v>140</v>
      </c>
      <c r="H410" s="346">
        <v>140</v>
      </c>
      <c r="I410" s="346">
        <f t="shared" si="7"/>
        <v>0</v>
      </c>
      <c r="J410" s="342" t="s">
        <v>995</v>
      </c>
      <c r="K410" s="342"/>
      <c r="L410" s="342" t="s">
        <v>995</v>
      </c>
      <c r="M410" s="342"/>
      <c r="N410" s="342"/>
      <c r="O410" s="342"/>
      <c r="P410" s="342"/>
      <c r="Q410" s="343"/>
      <c r="R410" s="266"/>
      <c r="S410" s="266"/>
      <c r="T410" s="266"/>
    </row>
    <row r="411" spans="1:23" ht="30" customHeight="1">
      <c r="A411" s="340">
        <v>406</v>
      </c>
      <c r="B411" s="344" t="s">
        <v>1205</v>
      </c>
      <c r="C411" s="340" t="s">
        <v>912</v>
      </c>
      <c r="D411" s="340"/>
      <c r="E411" s="340" t="s">
        <v>902</v>
      </c>
      <c r="F411" s="345">
        <v>30</v>
      </c>
      <c r="G411" s="346">
        <v>26</v>
      </c>
      <c r="H411" s="346">
        <v>26</v>
      </c>
      <c r="I411" s="346">
        <f t="shared" si="7"/>
        <v>0</v>
      </c>
      <c r="J411" s="342" t="s">
        <v>995</v>
      </c>
      <c r="K411" s="342"/>
      <c r="L411" s="342" t="s">
        <v>995</v>
      </c>
      <c r="M411" s="342"/>
      <c r="N411" s="342"/>
      <c r="O411" s="342"/>
      <c r="P411" s="342"/>
      <c r="Q411" s="343"/>
      <c r="R411" s="266"/>
      <c r="S411" s="266"/>
      <c r="T411" s="266"/>
    </row>
    <row r="412" spans="1:23" ht="30" customHeight="1">
      <c r="A412" s="340">
        <v>407</v>
      </c>
      <c r="B412" s="344" t="s">
        <v>1205</v>
      </c>
      <c r="C412" s="340" t="s">
        <v>93</v>
      </c>
      <c r="D412" s="340"/>
      <c r="E412" s="340" t="s">
        <v>84</v>
      </c>
      <c r="F412" s="345">
        <v>3</v>
      </c>
      <c r="G412" s="346">
        <v>3</v>
      </c>
      <c r="H412" s="346">
        <v>3</v>
      </c>
      <c r="I412" s="346">
        <f t="shared" si="7"/>
        <v>0</v>
      </c>
      <c r="J412" s="342" t="s">
        <v>1214</v>
      </c>
      <c r="K412" s="342">
        <v>347</v>
      </c>
      <c r="L412" s="342" t="s">
        <v>995</v>
      </c>
      <c r="M412" s="342"/>
      <c r="N412" s="342"/>
      <c r="O412" s="342"/>
      <c r="P412" s="342"/>
      <c r="Q412" s="343"/>
      <c r="R412" s="266"/>
      <c r="S412" s="266"/>
      <c r="T412" s="266"/>
    </row>
    <row r="413" spans="1:23" ht="30" customHeight="1">
      <c r="A413" s="340">
        <v>408</v>
      </c>
      <c r="B413" s="344" t="s">
        <v>1205</v>
      </c>
      <c r="C413" s="340" t="s">
        <v>913</v>
      </c>
      <c r="D413" s="340"/>
      <c r="E413" s="340" t="s">
        <v>85</v>
      </c>
      <c r="F413" s="345">
        <v>29</v>
      </c>
      <c r="G413" s="346">
        <v>29</v>
      </c>
      <c r="H413" s="346">
        <v>29</v>
      </c>
      <c r="I413" s="346">
        <f t="shared" si="7"/>
        <v>0</v>
      </c>
      <c r="J413" s="342" t="s">
        <v>1116</v>
      </c>
      <c r="K413" s="342"/>
      <c r="L413" s="342" t="s">
        <v>1116</v>
      </c>
      <c r="M413" s="342"/>
      <c r="N413" s="342"/>
      <c r="O413" s="342"/>
      <c r="P413" s="342"/>
      <c r="Q413" s="343"/>
      <c r="R413" s="266"/>
      <c r="S413" s="266"/>
      <c r="T413" s="266"/>
    </row>
    <row r="414" spans="1:23" ht="30" customHeight="1">
      <c r="A414" s="340">
        <v>409</v>
      </c>
      <c r="B414" s="344" t="s">
        <v>1205</v>
      </c>
      <c r="C414" s="340" t="s">
        <v>288</v>
      </c>
      <c r="D414" s="340"/>
      <c r="E414" s="340" t="s">
        <v>84</v>
      </c>
      <c r="F414" s="345">
        <v>149</v>
      </c>
      <c r="G414" s="346">
        <v>131</v>
      </c>
      <c r="H414" s="346">
        <v>149</v>
      </c>
      <c r="I414" s="346">
        <f t="shared" si="7"/>
        <v>18</v>
      </c>
      <c r="J414" s="342" t="s">
        <v>1253</v>
      </c>
      <c r="K414" s="342" t="s">
        <v>440</v>
      </c>
      <c r="L414" s="342" t="s">
        <v>995</v>
      </c>
      <c r="M414" s="342"/>
      <c r="N414" s="342"/>
      <c r="O414" s="342"/>
      <c r="P414" s="342"/>
      <c r="Q414" s="343"/>
      <c r="R414" s="266"/>
      <c r="S414" s="266"/>
      <c r="T414" s="266"/>
    </row>
    <row r="415" spans="1:23" ht="30" customHeight="1">
      <c r="A415" s="340">
        <v>410</v>
      </c>
      <c r="B415" s="344" t="s">
        <v>1205</v>
      </c>
      <c r="C415" s="340" t="s">
        <v>915</v>
      </c>
      <c r="D415" s="340"/>
      <c r="E415" s="340" t="s">
        <v>902</v>
      </c>
      <c r="F415" s="345">
        <v>70</v>
      </c>
      <c r="G415" s="346">
        <v>70</v>
      </c>
      <c r="H415" s="346">
        <v>70</v>
      </c>
      <c r="I415" s="346">
        <f t="shared" si="7"/>
        <v>0</v>
      </c>
      <c r="J415" s="342" t="s">
        <v>995</v>
      </c>
      <c r="K415" s="342"/>
      <c r="L415" s="342" t="s">
        <v>995</v>
      </c>
      <c r="M415" s="342"/>
      <c r="N415" s="342"/>
      <c r="O415" s="342"/>
      <c r="P415" s="342"/>
      <c r="Q415" s="343"/>
      <c r="R415" s="266"/>
      <c r="S415" s="266"/>
      <c r="T415" s="266"/>
    </row>
    <row r="416" spans="1:23" ht="30" customHeight="1">
      <c r="A416" s="340">
        <v>411</v>
      </c>
      <c r="B416" s="344" t="s">
        <v>1205</v>
      </c>
      <c r="C416" s="340" t="s">
        <v>441</v>
      </c>
      <c r="D416" s="340"/>
      <c r="E416" s="340" t="s">
        <v>85</v>
      </c>
      <c r="F416" s="345">
        <v>58</v>
      </c>
      <c r="G416" s="346">
        <v>58</v>
      </c>
      <c r="H416" s="346">
        <v>58</v>
      </c>
      <c r="I416" s="346">
        <f t="shared" si="7"/>
        <v>0</v>
      </c>
      <c r="J416" s="342" t="s">
        <v>995</v>
      </c>
      <c r="K416" s="342"/>
      <c r="L416" s="342" t="s">
        <v>995</v>
      </c>
      <c r="M416" s="342"/>
      <c r="N416" s="342"/>
      <c r="O416" s="342"/>
      <c r="P416" s="342"/>
      <c r="Q416" s="343"/>
      <c r="R416" s="266"/>
      <c r="S416" s="266"/>
      <c r="T416" s="266"/>
    </row>
    <row r="417" spans="1:23" ht="30" customHeight="1">
      <c r="A417" s="340">
        <v>412</v>
      </c>
      <c r="B417" s="344" t="s">
        <v>1205</v>
      </c>
      <c r="C417" s="340" t="s">
        <v>916</v>
      </c>
      <c r="D417" s="340"/>
      <c r="E417" s="340" t="s">
        <v>902</v>
      </c>
      <c r="F417" s="345">
        <v>57</v>
      </c>
      <c r="G417" s="346">
        <v>57</v>
      </c>
      <c r="H417" s="346">
        <v>57</v>
      </c>
      <c r="I417" s="346">
        <f t="shared" si="7"/>
        <v>0</v>
      </c>
      <c r="J417" s="342" t="s">
        <v>995</v>
      </c>
      <c r="K417" s="342"/>
      <c r="L417" s="342" t="s">
        <v>995</v>
      </c>
      <c r="M417" s="342"/>
      <c r="N417" s="342"/>
      <c r="O417" s="342"/>
      <c r="P417" s="342"/>
      <c r="Q417" s="343"/>
      <c r="R417" s="266"/>
      <c r="S417" s="266"/>
      <c r="T417" s="266"/>
    </row>
    <row r="418" spans="1:23" ht="30" customHeight="1">
      <c r="A418" s="340">
        <v>413</v>
      </c>
      <c r="B418" s="344" t="s">
        <v>1205</v>
      </c>
      <c r="C418" s="340" t="s">
        <v>705</v>
      </c>
      <c r="D418" s="340"/>
      <c r="E418" s="340" t="s">
        <v>84</v>
      </c>
      <c r="F418" s="345">
        <v>43</v>
      </c>
      <c r="G418" s="346">
        <v>43</v>
      </c>
      <c r="H418" s="346">
        <v>43</v>
      </c>
      <c r="I418" s="346">
        <f t="shared" si="7"/>
        <v>0</v>
      </c>
      <c r="J418" s="342" t="s">
        <v>1253</v>
      </c>
      <c r="K418" s="342" t="s">
        <v>440</v>
      </c>
      <c r="L418" s="342" t="s">
        <v>995</v>
      </c>
      <c r="M418" s="342"/>
      <c r="N418" s="342"/>
      <c r="O418" s="342"/>
      <c r="P418" s="342"/>
      <c r="Q418" s="343"/>
      <c r="R418" s="266"/>
      <c r="S418" s="266"/>
      <c r="T418" s="266"/>
    </row>
    <row r="419" spans="1:23" ht="30" customHeight="1">
      <c r="A419" s="340">
        <v>414</v>
      </c>
      <c r="B419" s="344" t="s">
        <v>1205</v>
      </c>
      <c r="C419" s="340" t="s">
        <v>917</v>
      </c>
      <c r="D419" s="340"/>
      <c r="E419" s="340" t="s">
        <v>85</v>
      </c>
      <c r="F419" s="345">
        <v>217</v>
      </c>
      <c r="G419" s="346">
        <v>54</v>
      </c>
      <c r="H419" s="346">
        <v>54</v>
      </c>
      <c r="I419" s="346">
        <f t="shared" si="7"/>
        <v>0</v>
      </c>
      <c r="J419" s="342" t="s">
        <v>1116</v>
      </c>
      <c r="K419" s="342"/>
      <c r="L419" s="342" t="s">
        <v>1116</v>
      </c>
      <c r="M419" s="342"/>
      <c r="N419" s="342"/>
      <c r="O419" s="342"/>
      <c r="P419" s="342"/>
      <c r="Q419" s="343"/>
      <c r="R419" s="266"/>
      <c r="S419" s="266"/>
      <c r="T419" s="266"/>
    </row>
    <row r="420" spans="1:23" ht="30" customHeight="1">
      <c r="A420" s="340">
        <v>415</v>
      </c>
      <c r="B420" s="344" t="s">
        <v>1205</v>
      </c>
      <c r="C420" s="340" t="s">
        <v>442</v>
      </c>
      <c r="D420" s="340"/>
      <c r="E420" s="340" t="s">
        <v>85</v>
      </c>
      <c r="F420" s="345">
        <v>75</v>
      </c>
      <c r="G420" s="346">
        <v>75</v>
      </c>
      <c r="H420" s="346">
        <v>75</v>
      </c>
      <c r="I420" s="346">
        <f t="shared" si="7"/>
        <v>0</v>
      </c>
      <c r="J420" s="342" t="s">
        <v>1116</v>
      </c>
      <c r="K420" s="342"/>
      <c r="L420" s="342" t="s">
        <v>1116</v>
      </c>
      <c r="M420" s="342"/>
      <c r="N420" s="342"/>
      <c r="O420" s="342"/>
      <c r="P420" s="342"/>
      <c r="Q420" s="343"/>
      <c r="R420" s="266"/>
      <c r="S420" s="266"/>
      <c r="T420" s="266"/>
    </row>
    <row r="421" spans="1:23" ht="30" customHeight="1">
      <c r="A421" s="340">
        <v>416</v>
      </c>
      <c r="B421" s="344" t="s">
        <v>1205</v>
      </c>
      <c r="C421" s="340" t="s">
        <v>918</v>
      </c>
      <c r="D421" s="340"/>
      <c r="E421" s="340" t="s">
        <v>902</v>
      </c>
      <c r="F421" s="345">
        <v>208</v>
      </c>
      <c r="G421" s="346">
        <v>102</v>
      </c>
      <c r="H421" s="346">
        <v>208</v>
      </c>
      <c r="I421" s="346">
        <f t="shared" si="7"/>
        <v>106</v>
      </c>
      <c r="J421" s="342" t="s">
        <v>1254</v>
      </c>
      <c r="K421" s="342"/>
      <c r="L421" s="342" t="s">
        <v>1255</v>
      </c>
      <c r="M421" s="342"/>
      <c r="N421" s="342"/>
      <c r="O421" s="342"/>
      <c r="P421" s="342" t="s">
        <v>1</v>
      </c>
      <c r="Q421" s="343"/>
      <c r="R421" s="266"/>
      <c r="S421" s="266"/>
      <c r="T421" s="266"/>
    </row>
    <row r="422" spans="1:23" ht="30" customHeight="1">
      <c r="A422" s="340">
        <v>417</v>
      </c>
      <c r="B422" s="344" t="s">
        <v>1205</v>
      </c>
      <c r="C422" s="340" t="s">
        <v>443</v>
      </c>
      <c r="D422" s="340"/>
      <c r="E422" s="340" t="s">
        <v>90</v>
      </c>
      <c r="F422" s="345">
        <v>5</v>
      </c>
      <c r="G422" s="346">
        <v>5</v>
      </c>
      <c r="H422" s="346">
        <v>5</v>
      </c>
      <c r="I422" s="346">
        <f t="shared" si="7"/>
        <v>0</v>
      </c>
      <c r="J422" s="342" t="s">
        <v>995</v>
      </c>
      <c r="K422" s="342"/>
      <c r="L422" s="342" t="s">
        <v>995</v>
      </c>
      <c r="M422" s="342"/>
      <c r="N422" s="342"/>
      <c r="O422" s="342"/>
      <c r="P422" s="342"/>
      <c r="Q422" s="343"/>
      <c r="R422" s="266"/>
      <c r="S422" s="266"/>
      <c r="T422" s="266"/>
    </row>
    <row r="423" spans="1:23" ht="30" customHeight="1">
      <c r="A423" s="340">
        <v>418</v>
      </c>
      <c r="B423" s="344" t="s">
        <v>1205</v>
      </c>
      <c r="C423" s="340" t="s">
        <v>920</v>
      </c>
      <c r="D423" s="340"/>
      <c r="E423" s="340" t="s">
        <v>109</v>
      </c>
      <c r="F423" s="345">
        <v>53</v>
      </c>
      <c r="G423" s="346">
        <v>53</v>
      </c>
      <c r="H423" s="346">
        <v>53</v>
      </c>
      <c r="I423" s="346">
        <f t="shared" si="7"/>
        <v>0</v>
      </c>
      <c r="J423" s="342" t="s">
        <v>995</v>
      </c>
      <c r="K423" s="342"/>
      <c r="L423" s="342" t="s">
        <v>995</v>
      </c>
      <c r="M423" s="342"/>
      <c r="N423" s="342"/>
      <c r="O423" s="342"/>
      <c r="P423" s="342"/>
      <c r="Q423" s="343"/>
      <c r="R423" s="266"/>
      <c r="S423" s="266"/>
      <c r="T423" s="266"/>
    </row>
    <row r="424" spans="1:23" ht="30" customHeight="1">
      <c r="A424" s="340">
        <v>419</v>
      </c>
      <c r="B424" s="344" t="s">
        <v>1205</v>
      </c>
      <c r="C424" s="340" t="s">
        <v>921</v>
      </c>
      <c r="D424" s="340"/>
      <c r="E424" s="340" t="s">
        <v>858</v>
      </c>
      <c r="F424" s="345">
        <v>221</v>
      </c>
      <c r="G424" s="346">
        <v>154</v>
      </c>
      <c r="H424" s="346">
        <v>154</v>
      </c>
      <c r="I424" s="346">
        <f t="shared" si="7"/>
        <v>0</v>
      </c>
      <c r="J424" s="342" t="s">
        <v>1116</v>
      </c>
      <c r="K424" s="342"/>
      <c r="L424" s="342" t="s">
        <v>1116</v>
      </c>
      <c r="M424" s="342"/>
      <c r="N424" s="342"/>
      <c r="O424" s="342"/>
      <c r="P424" s="342"/>
      <c r="Q424" s="343"/>
      <c r="R424" s="266"/>
      <c r="S424" s="266"/>
      <c r="T424" s="268"/>
    </row>
    <row r="425" spans="1:23" ht="30" customHeight="1">
      <c r="A425" s="340">
        <v>420</v>
      </c>
      <c r="B425" s="344" t="s">
        <v>1205</v>
      </c>
      <c r="C425" s="340" t="s">
        <v>444</v>
      </c>
      <c r="D425" s="340"/>
      <c r="E425" s="340" t="s">
        <v>89</v>
      </c>
      <c r="F425" s="345">
        <v>46</v>
      </c>
      <c r="G425" s="346">
        <v>46</v>
      </c>
      <c r="H425" s="346">
        <v>46</v>
      </c>
      <c r="I425" s="346">
        <f t="shared" si="7"/>
        <v>0</v>
      </c>
      <c r="J425" s="342" t="s">
        <v>995</v>
      </c>
      <c r="K425" s="342"/>
      <c r="L425" s="342" t="s">
        <v>995</v>
      </c>
      <c r="M425" s="342"/>
      <c r="N425" s="342"/>
      <c r="O425" s="342"/>
      <c r="P425" s="342"/>
      <c r="Q425" s="343"/>
      <c r="R425" s="266"/>
      <c r="S425" s="266"/>
      <c r="T425" s="268"/>
    </row>
    <row r="426" spans="1:23" ht="30" customHeight="1">
      <c r="A426" s="340">
        <v>421</v>
      </c>
      <c r="B426" s="344" t="s">
        <v>1205</v>
      </c>
      <c r="C426" s="340" t="s">
        <v>922</v>
      </c>
      <c r="D426" s="340"/>
      <c r="E426" s="340" t="s">
        <v>923</v>
      </c>
      <c r="F426" s="345">
        <v>16</v>
      </c>
      <c r="G426" s="346">
        <v>16</v>
      </c>
      <c r="H426" s="346">
        <v>16</v>
      </c>
      <c r="I426" s="346">
        <f t="shared" si="7"/>
        <v>0</v>
      </c>
      <c r="J426" s="342" t="s">
        <v>995</v>
      </c>
      <c r="K426" s="342"/>
      <c r="L426" s="342" t="s">
        <v>995</v>
      </c>
      <c r="M426" s="342"/>
      <c r="N426" s="342"/>
      <c r="O426" s="342"/>
      <c r="P426" s="342"/>
      <c r="Q426" s="343"/>
      <c r="R426" s="266"/>
      <c r="S426" s="266"/>
      <c r="T426" s="268"/>
    </row>
    <row r="427" spans="1:23" ht="30" customHeight="1">
      <c r="A427" s="340">
        <v>422</v>
      </c>
      <c r="B427" s="344" t="s">
        <v>1205</v>
      </c>
      <c r="C427" s="340" t="s">
        <v>94</v>
      </c>
      <c r="D427" s="340"/>
      <c r="E427" s="340" t="s">
        <v>89</v>
      </c>
      <c r="F427" s="345">
        <v>111</v>
      </c>
      <c r="G427" s="346">
        <v>111</v>
      </c>
      <c r="H427" s="346">
        <v>111</v>
      </c>
      <c r="I427" s="346">
        <f t="shared" si="7"/>
        <v>0</v>
      </c>
      <c r="J427" s="342" t="s">
        <v>995</v>
      </c>
      <c r="K427" s="342"/>
      <c r="L427" s="342" t="s">
        <v>995</v>
      </c>
      <c r="M427" s="342"/>
      <c r="N427" s="342"/>
      <c r="O427" s="342"/>
      <c r="P427" s="342"/>
      <c r="Q427" s="343"/>
      <c r="R427" s="266"/>
      <c r="S427" s="266"/>
      <c r="T427" s="268"/>
    </row>
    <row r="428" spans="1:23" ht="30" customHeight="1">
      <c r="A428" s="340">
        <v>423</v>
      </c>
      <c r="B428" s="344" t="s">
        <v>1205</v>
      </c>
      <c r="C428" s="340" t="s">
        <v>924</v>
      </c>
      <c r="D428" s="340"/>
      <c r="E428" s="340" t="s">
        <v>85</v>
      </c>
      <c r="F428" s="345">
        <v>100</v>
      </c>
      <c r="G428" s="346">
        <v>100</v>
      </c>
      <c r="H428" s="346">
        <v>100</v>
      </c>
      <c r="I428" s="346">
        <f t="shared" si="7"/>
        <v>0</v>
      </c>
      <c r="J428" s="342" t="s">
        <v>995</v>
      </c>
      <c r="K428" s="342"/>
      <c r="L428" s="342" t="s">
        <v>995</v>
      </c>
      <c r="M428" s="342"/>
      <c r="N428" s="342"/>
      <c r="O428" s="342"/>
      <c r="P428" s="342"/>
      <c r="Q428" s="343"/>
      <c r="R428" s="266"/>
      <c r="S428" s="266"/>
      <c r="T428" s="288"/>
      <c r="U428" s="266"/>
      <c r="V428" s="266"/>
      <c r="W428" s="266"/>
    </row>
    <row r="429" spans="1:23" ht="30" customHeight="1">
      <c r="A429" s="340">
        <v>424</v>
      </c>
      <c r="B429" s="344" t="s">
        <v>1205</v>
      </c>
      <c r="C429" s="340" t="s">
        <v>445</v>
      </c>
      <c r="D429" s="340"/>
      <c r="E429" s="340" t="s">
        <v>85</v>
      </c>
      <c r="F429" s="345">
        <v>72</v>
      </c>
      <c r="G429" s="346">
        <v>72</v>
      </c>
      <c r="H429" s="346">
        <v>72</v>
      </c>
      <c r="I429" s="346">
        <f t="shared" si="7"/>
        <v>0</v>
      </c>
      <c r="J429" s="342" t="s">
        <v>995</v>
      </c>
      <c r="K429" s="342"/>
      <c r="L429" s="342" t="s">
        <v>995</v>
      </c>
      <c r="M429" s="342"/>
      <c r="N429" s="342"/>
      <c r="O429" s="342"/>
      <c r="P429" s="342"/>
      <c r="Q429" s="343"/>
      <c r="R429" s="266"/>
      <c r="S429" s="266"/>
      <c r="T429" s="288"/>
      <c r="U429" s="266"/>
      <c r="V429" s="266"/>
      <c r="W429" s="266"/>
    </row>
    <row r="430" spans="1:23" ht="30" customHeight="1">
      <c r="A430" s="340">
        <v>425</v>
      </c>
      <c r="B430" s="344" t="s">
        <v>1205</v>
      </c>
      <c r="C430" s="340" t="s">
        <v>925</v>
      </c>
      <c r="D430" s="340"/>
      <c r="E430" s="340" t="s">
        <v>85</v>
      </c>
      <c r="F430" s="345">
        <v>496</v>
      </c>
      <c r="G430" s="346">
        <v>496</v>
      </c>
      <c r="H430" s="346">
        <v>496</v>
      </c>
      <c r="I430" s="346">
        <f t="shared" si="7"/>
        <v>0</v>
      </c>
      <c r="J430" s="342" t="s">
        <v>995</v>
      </c>
      <c r="K430" s="342"/>
      <c r="L430" s="342" t="s">
        <v>995</v>
      </c>
      <c r="M430" s="342"/>
      <c r="N430" s="342"/>
      <c r="O430" s="342"/>
      <c r="P430" s="342"/>
      <c r="Q430" s="343"/>
      <c r="R430" s="266"/>
      <c r="S430" s="266"/>
      <c r="T430" s="266"/>
    </row>
    <row r="431" spans="1:23" ht="30" customHeight="1">
      <c r="A431" s="340">
        <v>426</v>
      </c>
      <c r="B431" s="344" t="s">
        <v>1205</v>
      </c>
      <c r="C431" s="340" t="s">
        <v>446</v>
      </c>
      <c r="D431" s="340"/>
      <c r="E431" s="340" t="s">
        <v>85</v>
      </c>
      <c r="F431" s="345">
        <v>118</v>
      </c>
      <c r="G431" s="346">
        <v>118</v>
      </c>
      <c r="H431" s="346">
        <v>118</v>
      </c>
      <c r="I431" s="346">
        <f t="shared" si="7"/>
        <v>0</v>
      </c>
      <c r="J431" s="342" t="s">
        <v>995</v>
      </c>
      <c r="K431" s="342"/>
      <c r="L431" s="342" t="s">
        <v>995</v>
      </c>
      <c r="M431" s="342"/>
      <c r="N431" s="342"/>
      <c r="O431" s="342"/>
      <c r="P431" s="342"/>
      <c r="Q431" s="343"/>
      <c r="R431" s="266"/>
      <c r="S431" s="266"/>
      <c r="T431" s="266"/>
    </row>
    <row r="432" spans="1:23" ht="30" customHeight="1">
      <c r="A432" s="340">
        <v>427</v>
      </c>
      <c r="B432" s="344" t="s">
        <v>1205</v>
      </c>
      <c r="C432" s="340" t="s">
        <v>926</v>
      </c>
      <c r="D432" s="340"/>
      <c r="E432" s="340" t="s">
        <v>85</v>
      </c>
      <c r="F432" s="345">
        <v>972</v>
      </c>
      <c r="G432" s="346">
        <v>972</v>
      </c>
      <c r="H432" s="346">
        <v>972</v>
      </c>
      <c r="I432" s="346">
        <f t="shared" si="7"/>
        <v>0</v>
      </c>
      <c r="J432" s="342" t="s">
        <v>995</v>
      </c>
      <c r="K432" s="342"/>
      <c r="L432" s="342" t="s">
        <v>995</v>
      </c>
      <c r="M432" s="342"/>
      <c r="N432" s="342"/>
      <c r="O432" s="342"/>
      <c r="P432" s="342"/>
      <c r="Q432" s="343"/>
      <c r="R432" s="266"/>
      <c r="S432" s="266"/>
      <c r="T432" s="266"/>
    </row>
    <row r="433" spans="1:20" ht="30" customHeight="1">
      <c r="A433" s="340">
        <v>428</v>
      </c>
      <c r="B433" s="344" t="s">
        <v>1205</v>
      </c>
      <c r="C433" s="340" t="s">
        <v>447</v>
      </c>
      <c r="D433" s="340"/>
      <c r="E433" s="340" t="s">
        <v>85</v>
      </c>
      <c r="F433" s="345">
        <v>238</v>
      </c>
      <c r="G433" s="346">
        <v>238</v>
      </c>
      <c r="H433" s="346">
        <v>238</v>
      </c>
      <c r="I433" s="346">
        <f t="shared" ref="I433:I496" si="8">H433-G433</f>
        <v>0</v>
      </c>
      <c r="J433" s="342" t="s">
        <v>995</v>
      </c>
      <c r="K433" s="342"/>
      <c r="L433" s="342" t="s">
        <v>995</v>
      </c>
      <c r="M433" s="342"/>
      <c r="N433" s="342"/>
      <c r="O433" s="342"/>
      <c r="P433" s="342"/>
      <c r="Q433" s="343"/>
      <c r="R433" s="266"/>
      <c r="S433" s="266"/>
      <c r="T433" s="266"/>
    </row>
    <row r="434" spans="1:20" ht="30" customHeight="1">
      <c r="A434" s="340">
        <v>429</v>
      </c>
      <c r="B434" s="344" t="s">
        <v>1205</v>
      </c>
      <c r="C434" s="340" t="s">
        <v>927</v>
      </c>
      <c r="D434" s="340"/>
      <c r="E434" s="340" t="s">
        <v>88</v>
      </c>
      <c r="F434" s="345">
        <v>2901</v>
      </c>
      <c r="G434" s="346">
        <v>2901</v>
      </c>
      <c r="H434" s="346">
        <v>2901</v>
      </c>
      <c r="I434" s="346">
        <f t="shared" si="8"/>
        <v>0</v>
      </c>
      <c r="J434" s="342" t="s">
        <v>995</v>
      </c>
      <c r="K434" s="342"/>
      <c r="L434" s="342" t="s">
        <v>995</v>
      </c>
      <c r="M434" s="342"/>
      <c r="N434" s="342"/>
      <c r="O434" s="342"/>
      <c r="P434" s="342"/>
      <c r="Q434" s="343"/>
      <c r="R434" s="266"/>
      <c r="S434" s="266"/>
      <c r="T434" s="266"/>
    </row>
    <row r="435" spans="1:20" ht="30" customHeight="1">
      <c r="A435" s="340">
        <v>430</v>
      </c>
      <c r="B435" s="344" t="s">
        <v>1205</v>
      </c>
      <c r="C435" s="340" t="s">
        <v>448</v>
      </c>
      <c r="D435" s="340"/>
      <c r="E435" s="340" t="s">
        <v>88</v>
      </c>
      <c r="F435" s="345">
        <v>389</v>
      </c>
      <c r="G435" s="346">
        <v>389</v>
      </c>
      <c r="H435" s="346">
        <v>389</v>
      </c>
      <c r="I435" s="346">
        <f t="shared" si="8"/>
        <v>0</v>
      </c>
      <c r="J435" s="342" t="s">
        <v>995</v>
      </c>
      <c r="K435" s="342"/>
      <c r="L435" s="342" t="s">
        <v>995</v>
      </c>
      <c r="M435" s="342"/>
      <c r="N435" s="342"/>
      <c r="O435" s="342"/>
      <c r="P435" s="342"/>
      <c r="Q435" s="343"/>
      <c r="R435" s="266"/>
      <c r="S435" s="266"/>
      <c r="T435" s="266"/>
    </row>
    <row r="436" spans="1:20" ht="30" customHeight="1">
      <c r="A436" s="340">
        <v>431</v>
      </c>
      <c r="B436" s="344" t="s">
        <v>1205</v>
      </c>
      <c r="C436" s="340" t="s">
        <v>928</v>
      </c>
      <c r="D436" s="340"/>
      <c r="E436" s="340" t="s">
        <v>858</v>
      </c>
      <c r="F436" s="345">
        <v>517.29999999999995</v>
      </c>
      <c r="G436" s="346">
        <v>517.29999999999995</v>
      </c>
      <c r="H436" s="346">
        <v>517.29999999999995</v>
      </c>
      <c r="I436" s="346">
        <f t="shared" si="8"/>
        <v>0</v>
      </c>
      <c r="J436" s="342" t="s">
        <v>995</v>
      </c>
      <c r="K436" s="342"/>
      <c r="L436" s="342" t="s">
        <v>995</v>
      </c>
      <c r="M436" s="342"/>
      <c r="N436" s="342"/>
      <c r="O436" s="342"/>
      <c r="P436" s="342"/>
      <c r="Q436" s="343"/>
      <c r="R436" s="266"/>
      <c r="S436" s="266"/>
      <c r="T436" s="266"/>
    </row>
    <row r="437" spans="1:20" ht="30" customHeight="1">
      <c r="A437" s="340">
        <v>432</v>
      </c>
      <c r="B437" s="344" t="s">
        <v>1205</v>
      </c>
      <c r="C437" s="340" t="s">
        <v>449</v>
      </c>
      <c r="D437" s="340"/>
      <c r="E437" s="340" t="s">
        <v>89</v>
      </c>
      <c r="F437" s="345">
        <v>1404.5</v>
      </c>
      <c r="G437" s="346">
        <v>1404.5</v>
      </c>
      <c r="H437" s="346">
        <v>1404.5</v>
      </c>
      <c r="I437" s="346">
        <f t="shared" si="8"/>
        <v>0</v>
      </c>
      <c r="J437" s="342" t="s">
        <v>995</v>
      </c>
      <c r="K437" s="342"/>
      <c r="L437" s="342" t="s">
        <v>995</v>
      </c>
      <c r="M437" s="342"/>
      <c r="N437" s="342"/>
      <c r="O437" s="342"/>
      <c r="P437" s="342"/>
      <c r="Q437" s="343"/>
      <c r="R437" s="266"/>
      <c r="S437" s="266"/>
      <c r="T437" s="266"/>
    </row>
    <row r="438" spans="1:20" ht="30" customHeight="1">
      <c r="A438" s="340">
        <v>433</v>
      </c>
      <c r="B438" s="344" t="s">
        <v>1205</v>
      </c>
      <c r="C438" s="340" t="s">
        <v>929</v>
      </c>
      <c r="D438" s="340"/>
      <c r="E438" s="340" t="s">
        <v>902</v>
      </c>
      <c r="F438" s="345">
        <v>125</v>
      </c>
      <c r="G438" s="346">
        <v>125</v>
      </c>
      <c r="H438" s="346">
        <v>125</v>
      </c>
      <c r="I438" s="346">
        <f t="shared" si="8"/>
        <v>0</v>
      </c>
      <c r="J438" s="342" t="s">
        <v>1209</v>
      </c>
      <c r="K438" s="342"/>
      <c r="L438" s="342" t="s">
        <v>1209</v>
      </c>
      <c r="M438" s="342"/>
      <c r="N438" s="342"/>
      <c r="O438" s="342"/>
      <c r="P438" s="342"/>
      <c r="Q438" s="343"/>
      <c r="R438" s="266"/>
      <c r="S438" s="266"/>
      <c r="T438" s="266"/>
    </row>
    <row r="439" spans="1:20" ht="30" customHeight="1">
      <c r="A439" s="340">
        <v>434</v>
      </c>
      <c r="B439" s="344" t="s">
        <v>1205</v>
      </c>
      <c r="C439" s="340" t="s">
        <v>450</v>
      </c>
      <c r="D439" s="340"/>
      <c r="E439" s="340" t="s">
        <v>87</v>
      </c>
      <c r="F439" s="345">
        <v>113.9</v>
      </c>
      <c r="G439" s="346">
        <v>113.9</v>
      </c>
      <c r="H439" s="346">
        <v>113.9</v>
      </c>
      <c r="I439" s="346">
        <f t="shared" si="8"/>
        <v>0</v>
      </c>
      <c r="J439" s="342" t="s">
        <v>1209</v>
      </c>
      <c r="K439" s="342"/>
      <c r="L439" s="342" t="s">
        <v>1209</v>
      </c>
      <c r="M439" s="342"/>
      <c r="N439" s="342"/>
      <c r="O439" s="342"/>
      <c r="P439" s="342"/>
      <c r="Q439" s="343"/>
      <c r="R439" s="266"/>
      <c r="S439" s="266"/>
      <c r="T439" s="266"/>
    </row>
    <row r="440" spans="1:20" ht="30" customHeight="1">
      <c r="A440" s="340">
        <v>435</v>
      </c>
      <c r="B440" s="344" t="s">
        <v>1205</v>
      </c>
      <c r="C440" s="340" t="s">
        <v>930</v>
      </c>
      <c r="D440" s="340"/>
      <c r="E440" s="340" t="s">
        <v>85</v>
      </c>
      <c r="F440" s="345">
        <v>441</v>
      </c>
      <c r="G440" s="346">
        <v>441</v>
      </c>
      <c r="H440" s="346">
        <v>441</v>
      </c>
      <c r="I440" s="346">
        <f t="shared" si="8"/>
        <v>0</v>
      </c>
      <c r="J440" s="342" t="s">
        <v>995</v>
      </c>
      <c r="K440" s="342"/>
      <c r="L440" s="342" t="s">
        <v>995</v>
      </c>
      <c r="M440" s="342"/>
      <c r="N440" s="342"/>
      <c r="O440" s="342"/>
      <c r="P440" s="342"/>
      <c r="Q440" s="343"/>
      <c r="R440" s="266"/>
      <c r="S440" s="266"/>
      <c r="T440" s="266"/>
    </row>
    <row r="441" spans="1:20" ht="30" customHeight="1">
      <c r="A441" s="340">
        <v>436</v>
      </c>
      <c r="B441" s="344" t="s">
        <v>1205</v>
      </c>
      <c r="C441" s="340" t="s">
        <v>451</v>
      </c>
      <c r="D441" s="340"/>
      <c r="E441" s="340" t="s">
        <v>88</v>
      </c>
      <c r="F441" s="345">
        <v>90</v>
      </c>
      <c r="G441" s="346">
        <v>90</v>
      </c>
      <c r="H441" s="346">
        <v>90</v>
      </c>
      <c r="I441" s="346">
        <f t="shared" si="8"/>
        <v>0</v>
      </c>
      <c r="J441" s="342" t="s">
        <v>995</v>
      </c>
      <c r="K441" s="342"/>
      <c r="L441" s="342" t="s">
        <v>995</v>
      </c>
      <c r="M441" s="342"/>
      <c r="N441" s="342"/>
      <c r="O441" s="342"/>
      <c r="P441" s="342"/>
      <c r="Q441" s="343"/>
      <c r="R441" s="266"/>
      <c r="S441" s="266"/>
      <c r="T441" s="266"/>
    </row>
    <row r="442" spans="1:20" ht="30" customHeight="1">
      <c r="A442" s="340">
        <v>437</v>
      </c>
      <c r="B442" s="344" t="s">
        <v>1205</v>
      </c>
      <c r="C442" s="340" t="s">
        <v>931</v>
      </c>
      <c r="D442" s="340"/>
      <c r="E442" s="340" t="s">
        <v>88</v>
      </c>
      <c r="F442" s="345">
        <v>500</v>
      </c>
      <c r="G442" s="346">
        <v>500</v>
      </c>
      <c r="H442" s="346">
        <v>500</v>
      </c>
      <c r="I442" s="346">
        <f t="shared" si="8"/>
        <v>0</v>
      </c>
      <c r="J442" s="342" t="s">
        <v>995</v>
      </c>
      <c r="K442" s="342"/>
      <c r="L442" s="342" t="s">
        <v>995</v>
      </c>
      <c r="M442" s="342"/>
      <c r="N442" s="342"/>
      <c r="O442" s="342"/>
      <c r="P442" s="342"/>
      <c r="Q442" s="343"/>
      <c r="R442" s="266"/>
      <c r="S442" s="266"/>
      <c r="T442" s="266"/>
    </row>
    <row r="443" spans="1:20" ht="30" customHeight="1">
      <c r="A443" s="340">
        <v>438</v>
      </c>
      <c r="B443" s="344" t="s">
        <v>1205</v>
      </c>
      <c r="C443" s="340" t="s">
        <v>512</v>
      </c>
      <c r="D443" s="340"/>
      <c r="E443" s="340" t="s">
        <v>88</v>
      </c>
      <c r="F443" s="345">
        <v>466</v>
      </c>
      <c r="G443" s="346">
        <v>466</v>
      </c>
      <c r="H443" s="346">
        <v>466</v>
      </c>
      <c r="I443" s="346">
        <f t="shared" si="8"/>
        <v>0</v>
      </c>
      <c r="J443" s="342" t="s">
        <v>995</v>
      </c>
      <c r="K443" s="342"/>
      <c r="L443" s="342" t="s">
        <v>995</v>
      </c>
      <c r="M443" s="342"/>
      <c r="N443" s="342"/>
      <c r="O443" s="342"/>
      <c r="P443" s="342"/>
      <c r="Q443" s="343"/>
      <c r="R443" s="266"/>
      <c r="S443" s="266"/>
      <c r="T443" s="266"/>
    </row>
    <row r="444" spans="1:20" ht="30" customHeight="1">
      <c r="A444" s="340">
        <v>439</v>
      </c>
      <c r="B444" s="344" t="s">
        <v>1205</v>
      </c>
      <c r="C444" s="340" t="s">
        <v>932</v>
      </c>
      <c r="D444" s="340"/>
      <c r="E444" s="340" t="s">
        <v>88</v>
      </c>
      <c r="F444" s="345">
        <v>187</v>
      </c>
      <c r="G444" s="346">
        <v>187</v>
      </c>
      <c r="H444" s="346">
        <v>187</v>
      </c>
      <c r="I444" s="346">
        <f t="shared" si="8"/>
        <v>0</v>
      </c>
      <c r="J444" s="342" t="s">
        <v>995</v>
      </c>
      <c r="K444" s="342"/>
      <c r="L444" s="342" t="s">
        <v>995</v>
      </c>
      <c r="M444" s="342"/>
      <c r="N444" s="342"/>
      <c r="O444" s="342"/>
      <c r="P444" s="342"/>
      <c r="Q444" s="343"/>
      <c r="R444" s="266"/>
      <c r="S444" s="266"/>
      <c r="T444" s="266"/>
    </row>
    <row r="445" spans="1:20" ht="30" customHeight="1">
      <c r="A445" s="340">
        <v>440</v>
      </c>
      <c r="B445" s="344" t="s">
        <v>1205</v>
      </c>
      <c r="C445" s="340" t="s">
        <v>287</v>
      </c>
      <c r="D445" s="340"/>
      <c r="E445" s="340" t="s">
        <v>84</v>
      </c>
      <c r="F445" s="345">
        <v>7230</v>
      </c>
      <c r="G445" s="346">
        <v>351</v>
      </c>
      <c r="H445" s="346">
        <v>351</v>
      </c>
      <c r="I445" s="346">
        <f t="shared" si="8"/>
        <v>0</v>
      </c>
      <c r="J445" s="342" t="s">
        <v>1208</v>
      </c>
      <c r="K445" s="342"/>
      <c r="L445" s="342" t="s">
        <v>1208</v>
      </c>
      <c r="M445" s="342"/>
      <c r="N445" s="342"/>
      <c r="O445" s="342"/>
      <c r="P445" s="342"/>
      <c r="Q445" s="343"/>
      <c r="R445" s="266"/>
      <c r="S445" s="266"/>
      <c r="T445" s="268"/>
    </row>
    <row r="446" spans="1:20" ht="30" customHeight="1">
      <c r="A446" s="340">
        <v>441</v>
      </c>
      <c r="B446" s="344" t="s">
        <v>1205</v>
      </c>
      <c r="C446" s="340" t="s">
        <v>933</v>
      </c>
      <c r="D446" s="340"/>
      <c r="E446" s="340" t="s">
        <v>88</v>
      </c>
      <c r="F446" s="345">
        <v>1621</v>
      </c>
      <c r="G446" s="346">
        <v>1621</v>
      </c>
      <c r="H446" s="346">
        <v>1621</v>
      </c>
      <c r="I446" s="346">
        <f t="shared" si="8"/>
        <v>0</v>
      </c>
      <c r="J446" s="342" t="s">
        <v>995</v>
      </c>
      <c r="K446" s="342"/>
      <c r="L446" s="342" t="s">
        <v>995</v>
      </c>
      <c r="M446" s="342"/>
      <c r="N446" s="342"/>
      <c r="O446" s="342"/>
      <c r="P446" s="342"/>
      <c r="Q446" s="343"/>
      <c r="R446" s="266"/>
      <c r="S446" s="266"/>
      <c r="T446" s="268"/>
    </row>
    <row r="447" spans="1:20" ht="30" customHeight="1">
      <c r="A447" s="340">
        <v>442</v>
      </c>
      <c r="B447" s="344" t="s">
        <v>1205</v>
      </c>
      <c r="C447" s="340" t="s">
        <v>452</v>
      </c>
      <c r="D447" s="340"/>
      <c r="E447" s="340" t="s">
        <v>88</v>
      </c>
      <c r="F447" s="345">
        <v>282</v>
      </c>
      <c r="G447" s="346">
        <v>282</v>
      </c>
      <c r="H447" s="346">
        <v>282</v>
      </c>
      <c r="I447" s="346">
        <f t="shared" si="8"/>
        <v>0</v>
      </c>
      <c r="J447" s="342" t="s">
        <v>995</v>
      </c>
      <c r="K447" s="342"/>
      <c r="L447" s="342" t="s">
        <v>995</v>
      </c>
      <c r="M447" s="342"/>
      <c r="N447" s="342"/>
      <c r="O447" s="342"/>
      <c r="P447" s="342"/>
      <c r="Q447" s="343"/>
      <c r="R447" s="266"/>
      <c r="S447" s="266"/>
      <c r="T447" s="268"/>
    </row>
    <row r="448" spans="1:20" ht="30" customHeight="1">
      <c r="A448" s="340">
        <v>443</v>
      </c>
      <c r="B448" s="344" t="s">
        <v>1205</v>
      </c>
      <c r="C448" s="340" t="s">
        <v>934</v>
      </c>
      <c r="D448" s="340"/>
      <c r="E448" s="340" t="s">
        <v>88</v>
      </c>
      <c r="F448" s="345">
        <v>396</v>
      </c>
      <c r="G448" s="346">
        <v>396</v>
      </c>
      <c r="H448" s="346">
        <v>396</v>
      </c>
      <c r="I448" s="346">
        <f t="shared" si="8"/>
        <v>0</v>
      </c>
      <c r="J448" s="342" t="s">
        <v>995</v>
      </c>
      <c r="K448" s="342"/>
      <c r="L448" s="342" t="s">
        <v>995</v>
      </c>
      <c r="M448" s="342"/>
      <c r="N448" s="342"/>
      <c r="O448" s="342"/>
      <c r="P448" s="342"/>
      <c r="Q448" s="343"/>
      <c r="R448" s="266"/>
      <c r="S448" s="266"/>
      <c r="T448" s="268"/>
    </row>
    <row r="449" spans="1:23" ht="30" customHeight="1">
      <c r="A449" s="340">
        <v>444</v>
      </c>
      <c r="B449" s="344" t="s">
        <v>1205</v>
      </c>
      <c r="C449" s="340" t="s">
        <v>453</v>
      </c>
      <c r="D449" s="340"/>
      <c r="E449" s="340" t="s">
        <v>88</v>
      </c>
      <c r="F449" s="345">
        <v>810</v>
      </c>
      <c r="G449" s="346">
        <v>810</v>
      </c>
      <c r="H449" s="346">
        <v>810</v>
      </c>
      <c r="I449" s="346">
        <f t="shared" si="8"/>
        <v>0</v>
      </c>
      <c r="J449" s="342" t="s">
        <v>995</v>
      </c>
      <c r="K449" s="342"/>
      <c r="L449" s="342" t="s">
        <v>995</v>
      </c>
      <c r="M449" s="342"/>
      <c r="N449" s="342"/>
      <c r="O449" s="342"/>
      <c r="P449" s="342"/>
      <c r="Q449" s="343"/>
      <c r="R449" s="266"/>
      <c r="S449" s="266"/>
      <c r="T449" s="288"/>
      <c r="U449" s="266"/>
      <c r="V449" s="266"/>
      <c r="W449" s="266"/>
    </row>
    <row r="450" spans="1:23" ht="30" customHeight="1">
      <c r="A450" s="340">
        <v>445</v>
      </c>
      <c r="B450" s="344" t="s">
        <v>1205</v>
      </c>
      <c r="C450" s="340" t="s">
        <v>935</v>
      </c>
      <c r="D450" s="340"/>
      <c r="E450" s="340" t="s">
        <v>88</v>
      </c>
      <c r="F450" s="345">
        <v>519</v>
      </c>
      <c r="G450" s="346">
        <v>519</v>
      </c>
      <c r="H450" s="346">
        <v>519</v>
      </c>
      <c r="I450" s="346">
        <f t="shared" si="8"/>
        <v>0</v>
      </c>
      <c r="J450" s="342" t="s">
        <v>995</v>
      </c>
      <c r="K450" s="342"/>
      <c r="L450" s="342" t="s">
        <v>995</v>
      </c>
      <c r="M450" s="342"/>
      <c r="N450" s="342"/>
      <c r="O450" s="342"/>
      <c r="P450" s="342"/>
      <c r="Q450" s="343"/>
      <c r="R450" s="266"/>
      <c r="S450" s="266"/>
      <c r="T450" s="288"/>
      <c r="U450" s="266"/>
      <c r="V450" s="266"/>
      <c r="W450" s="266"/>
    </row>
    <row r="451" spans="1:23" ht="30" customHeight="1">
      <c r="A451" s="340">
        <v>446</v>
      </c>
      <c r="B451" s="344" t="s">
        <v>1205</v>
      </c>
      <c r="C451" s="340" t="s">
        <v>153</v>
      </c>
      <c r="D451" s="340"/>
      <c r="E451" s="340" t="s">
        <v>146</v>
      </c>
      <c r="F451" s="345">
        <v>54</v>
      </c>
      <c r="G451" s="346">
        <v>54</v>
      </c>
      <c r="H451" s="346">
        <v>54</v>
      </c>
      <c r="I451" s="346">
        <f t="shared" si="8"/>
        <v>0</v>
      </c>
      <c r="J451" s="342" t="s">
        <v>995</v>
      </c>
      <c r="K451" s="342"/>
      <c r="L451" s="342" t="s">
        <v>995</v>
      </c>
      <c r="M451" s="342"/>
      <c r="N451" s="342"/>
      <c r="O451" s="342"/>
      <c r="P451" s="342"/>
      <c r="Q451" s="343"/>
      <c r="R451" s="266"/>
      <c r="S451" s="266"/>
      <c r="T451" s="266"/>
    </row>
    <row r="452" spans="1:23" ht="30" customHeight="1">
      <c r="A452" s="340">
        <v>447</v>
      </c>
      <c r="B452" s="344" t="s">
        <v>1205</v>
      </c>
      <c r="C452" s="340" t="s">
        <v>936</v>
      </c>
      <c r="D452" s="340"/>
      <c r="E452" s="340" t="s">
        <v>88</v>
      </c>
      <c r="F452" s="345">
        <v>208</v>
      </c>
      <c r="G452" s="346">
        <v>208</v>
      </c>
      <c r="H452" s="346">
        <v>208</v>
      </c>
      <c r="I452" s="346">
        <f t="shared" si="8"/>
        <v>0</v>
      </c>
      <c r="J452" s="342" t="s">
        <v>995</v>
      </c>
      <c r="K452" s="342"/>
      <c r="L452" s="342" t="s">
        <v>995</v>
      </c>
      <c r="M452" s="342"/>
      <c r="N452" s="342"/>
      <c r="O452" s="342"/>
      <c r="P452" s="342"/>
      <c r="Q452" s="343"/>
      <c r="R452" s="266"/>
      <c r="S452" s="266"/>
      <c r="T452" s="266"/>
    </row>
    <row r="453" spans="1:23" ht="30" customHeight="1">
      <c r="A453" s="340">
        <v>448</v>
      </c>
      <c r="B453" s="344" t="s">
        <v>1205</v>
      </c>
      <c r="C453" s="340" t="s">
        <v>152</v>
      </c>
      <c r="D453" s="340"/>
      <c r="E453" s="340" t="s">
        <v>146</v>
      </c>
      <c r="F453" s="345">
        <v>227</v>
      </c>
      <c r="G453" s="346">
        <v>227</v>
      </c>
      <c r="H453" s="346">
        <v>227</v>
      </c>
      <c r="I453" s="346">
        <f t="shared" si="8"/>
        <v>0</v>
      </c>
      <c r="J453" s="342" t="s">
        <v>1256</v>
      </c>
      <c r="K453" s="342" t="s">
        <v>150</v>
      </c>
      <c r="L453" s="342" t="s">
        <v>995</v>
      </c>
      <c r="M453" s="342"/>
      <c r="N453" s="342"/>
      <c r="O453" s="342"/>
      <c r="P453" s="342"/>
      <c r="Q453" s="343"/>
      <c r="R453" s="266"/>
      <c r="S453" s="266"/>
      <c r="T453" s="266"/>
    </row>
    <row r="454" spans="1:23" ht="30" customHeight="1">
      <c r="A454" s="340">
        <v>449</v>
      </c>
      <c r="B454" s="344" t="s">
        <v>1205</v>
      </c>
      <c r="C454" s="340" t="s">
        <v>937</v>
      </c>
      <c r="D454" s="340"/>
      <c r="E454" s="340" t="s">
        <v>88</v>
      </c>
      <c r="F454" s="345">
        <v>813</v>
      </c>
      <c r="G454" s="346">
        <v>813</v>
      </c>
      <c r="H454" s="346">
        <v>813</v>
      </c>
      <c r="I454" s="346">
        <f t="shared" si="8"/>
        <v>0</v>
      </c>
      <c r="J454" s="342" t="s">
        <v>1112</v>
      </c>
      <c r="K454" s="342" t="s">
        <v>1113</v>
      </c>
      <c r="L454" s="342" t="s">
        <v>995</v>
      </c>
      <c r="M454" s="342"/>
      <c r="N454" s="342"/>
      <c r="O454" s="342"/>
      <c r="P454" s="342"/>
      <c r="Q454" s="343"/>
      <c r="R454" s="266"/>
      <c r="S454" s="266"/>
      <c r="T454" s="266"/>
    </row>
    <row r="455" spans="1:23" ht="30" customHeight="1">
      <c r="A455" s="340">
        <v>450</v>
      </c>
      <c r="B455" s="344" t="s">
        <v>1205</v>
      </c>
      <c r="C455" s="340" t="s">
        <v>149</v>
      </c>
      <c r="D455" s="340"/>
      <c r="E455" s="340" t="s">
        <v>146</v>
      </c>
      <c r="F455" s="345">
        <v>641</v>
      </c>
      <c r="G455" s="346">
        <v>641</v>
      </c>
      <c r="H455" s="346">
        <v>641</v>
      </c>
      <c r="I455" s="346">
        <f t="shared" si="8"/>
        <v>0</v>
      </c>
      <c r="J455" s="342" t="s">
        <v>1257</v>
      </c>
      <c r="K455" s="342" t="s">
        <v>147</v>
      </c>
      <c r="L455" s="342" t="s">
        <v>995</v>
      </c>
      <c r="M455" s="342"/>
      <c r="N455" s="342"/>
      <c r="O455" s="342"/>
      <c r="P455" s="342"/>
      <c r="Q455" s="343"/>
      <c r="R455" s="266"/>
      <c r="S455" s="266"/>
      <c r="T455" s="266"/>
    </row>
    <row r="456" spans="1:23" ht="30" customHeight="1">
      <c r="A456" s="340">
        <v>451</v>
      </c>
      <c r="B456" s="344" t="s">
        <v>1205</v>
      </c>
      <c r="C456" s="340" t="s">
        <v>938</v>
      </c>
      <c r="D456" s="340"/>
      <c r="E456" s="340" t="s">
        <v>88</v>
      </c>
      <c r="F456" s="345">
        <v>423</v>
      </c>
      <c r="G456" s="346">
        <v>423</v>
      </c>
      <c r="H456" s="346">
        <v>423</v>
      </c>
      <c r="I456" s="346">
        <f t="shared" si="8"/>
        <v>0</v>
      </c>
      <c r="J456" s="342" t="s">
        <v>1114</v>
      </c>
      <c r="K456" s="342" t="s">
        <v>1115</v>
      </c>
      <c r="L456" s="342" t="s">
        <v>995</v>
      </c>
      <c r="M456" s="342"/>
      <c r="N456" s="342"/>
      <c r="O456" s="342"/>
      <c r="P456" s="342"/>
      <c r="Q456" s="343"/>
      <c r="R456" s="266"/>
      <c r="S456" s="266"/>
      <c r="T456" s="266"/>
    </row>
    <row r="457" spans="1:23" ht="30" customHeight="1">
      <c r="A457" s="340">
        <v>452</v>
      </c>
      <c r="B457" s="344" t="s">
        <v>1205</v>
      </c>
      <c r="C457" s="340" t="s">
        <v>216</v>
      </c>
      <c r="D457" s="340"/>
      <c r="E457" s="340" t="s">
        <v>85</v>
      </c>
      <c r="F457" s="345">
        <v>42</v>
      </c>
      <c r="G457" s="346">
        <v>33</v>
      </c>
      <c r="H457" s="346">
        <v>33</v>
      </c>
      <c r="I457" s="346">
        <f t="shared" si="8"/>
        <v>0</v>
      </c>
      <c r="J457" s="342" t="s">
        <v>995</v>
      </c>
      <c r="K457" s="342"/>
      <c r="L457" s="342" t="s">
        <v>995</v>
      </c>
      <c r="M457" s="342"/>
      <c r="N457" s="342"/>
      <c r="O457" s="342"/>
      <c r="P457" s="342"/>
      <c r="Q457" s="343"/>
      <c r="R457" s="266"/>
      <c r="S457" s="266"/>
      <c r="T457" s="266"/>
    </row>
    <row r="458" spans="1:23" ht="30" customHeight="1">
      <c r="A458" s="340">
        <v>453</v>
      </c>
      <c r="B458" s="344" t="s">
        <v>1205</v>
      </c>
      <c r="C458" s="340" t="s">
        <v>939</v>
      </c>
      <c r="D458" s="340"/>
      <c r="E458" s="340" t="s">
        <v>902</v>
      </c>
      <c r="F458" s="345">
        <v>128</v>
      </c>
      <c r="G458" s="346">
        <v>23</v>
      </c>
      <c r="H458" s="346">
        <v>23</v>
      </c>
      <c r="I458" s="346">
        <f t="shared" si="8"/>
        <v>0</v>
      </c>
      <c r="J458" s="342" t="s">
        <v>995</v>
      </c>
      <c r="K458" s="342"/>
      <c r="L458" s="342" t="s">
        <v>995</v>
      </c>
      <c r="M458" s="342"/>
      <c r="N458" s="342"/>
      <c r="O458" s="342"/>
      <c r="P458" s="342"/>
      <c r="Q458" s="343"/>
      <c r="R458" s="266"/>
      <c r="S458" s="266"/>
      <c r="T458" s="266"/>
    </row>
    <row r="459" spans="1:23" ht="30" customHeight="1">
      <c r="A459" s="340">
        <v>454</v>
      </c>
      <c r="B459" s="344" t="s">
        <v>1205</v>
      </c>
      <c r="C459" s="340" t="s">
        <v>217</v>
      </c>
      <c r="D459" s="340"/>
      <c r="E459" s="340" t="s">
        <v>84</v>
      </c>
      <c r="F459" s="345">
        <v>8</v>
      </c>
      <c r="G459" s="346">
        <v>8</v>
      </c>
      <c r="H459" s="346">
        <v>8</v>
      </c>
      <c r="I459" s="346">
        <f t="shared" si="8"/>
        <v>0</v>
      </c>
      <c r="J459" s="342" t="s">
        <v>995</v>
      </c>
      <c r="K459" s="342"/>
      <c r="L459" s="342" t="s">
        <v>995</v>
      </c>
      <c r="M459" s="342"/>
      <c r="N459" s="342"/>
      <c r="O459" s="342"/>
      <c r="P459" s="342"/>
      <c r="Q459" s="343"/>
      <c r="R459" s="266"/>
      <c r="S459" s="266"/>
      <c r="T459" s="266"/>
    </row>
    <row r="460" spans="1:23" ht="30" customHeight="1">
      <c r="A460" s="340">
        <v>455</v>
      </c>
      <c r="B460" s="344" t="s">
        <v>1205</v>
      </c>
      <c r="C460" s="340" t="s">
        <v>940</v>
      </c>
      <c r="D460" s="340"/>
      <c r="E460" s="340" t="s">
        <v>109</v>
      </c>
      <c r="F460" s="345">
        <v>55</v>
      </c>
      <c r="G460" s="346">
        <v>55</v>
      </c>
      <c r="H460" s="346">
        <v>55</v>
      </c>
      <c r="I460" s="346">
        <f t="shared" si="8"/>
        <v>0</v>
      </c>
      <c r="J460" s="342" t="s">
        <v>1116</v>
      </c>
      <c r="K460" s="342"/>
      <c r="L460" s="342" t="s">
        <v>1116</v>
      </c>
      <c r="M460" s="342"/>
      <c r="N460" s="342"/>
      <c r="O460" s="342"/>
      <c r="P460" s="342"/>
      <c r="Q460" s="343"/>
      <c r="R460" s="266"/>
      <c r="S460" s="266"/>
      <c r="T460" s="266"/>
    </row>
    <row r="461" spans="1:23" ht="30" customHeight="1">
      <c r="A461" s="340">
        <v>456</v>
      </c>
      <c r="B461" s="344" t="s">
        <v>1205</v>
      </c>
      <c r="C461" s="340" t="s">
        <v>218</v>
      </c>
      <c r="D461" s="340"/>
      <c r="E461" s="340" t="s">
        <v>88</v>
      </c>
      <c r="F461" s="345">
        <v>1060</v>
      </c>
      <c r="G461" s="346">
        <v>316</v>
      </c>
      <c r="H461" s="346">
        <v>316</v>
      </c>
      <c r="I461" s="346">
        <f t="shared" si="8"/>
        <v>0</v>
      </c>
      <c r="J461" s="342" t="s">
        <v>1116</v>
      </c>
      <c r="K461" s="342"/>
      <c r="L461" s="342" t="s">
        <v>1116</v>
      </c>
      <c r="M461" s="342"/>
      <c r="N461" s="342"/>
      <c r="O461" s="342"/>
      <c r="P461" s="342"/>
      <c r="Q461" s="343"/>
      <c r="R461" s="266"/>
      <c r="S461" s="266"/>
      <c r="T461" s="266"/>
    </row>
    <row r="462" spans="1:23" ht="30" customHeight="1">
      <c r="A462" s="340">
        <v>457</v>
      </c>
      <c r="B462" s="344" t="s">
        <v>1205</v>
      </c>
      <c r="C462" s="340" t="s">
        <v>941</v>
      </c>
      <c r="D462" s="340"/>
      <c r="E462" s="340" t="s">
        <v>902</v>
      </c>
      <c r="F462" s="345">
        <v>1242</v>
      </c>
      <c r="G462" s="346">
        <v>267</v>
      </c>
      <c r="H462" s="346">
        <v>267</v>
      </c>
      <c r="I462" s="346">
        <f t="shared" si="8"/>
        <v>0</v>
      </c>
      <c r="J462" s="342" t="s">
        <v>1208</v>
      </c>
      <c r="K462" s="342"/>
      <c r="L462" s="342" t="s">
        <v>1208</v>
      </c>
      <c r="M462" s="342"/>
      <c r="N462" s="342"/>
      <c r="O462" s="342"/>
      <c r="P462" s="342"/>
      <c r="Q462" s="343"/>
      <c r="R462" s="266"/>
      <c r="S462" s="266"/>
      <c r="T462" s="266"/>
    </row>
    <row r="463" spans="1:23" ht="30" customHeight="1">
      <c r="A463" s="340">
        <v>458</v>
      </c>
      <c r="B463" s="344" t="s">
        <v>1205</v>
      </c>
      <c r="C463" s="340" t="s">
        <v>743</v>
      </c>
      <c r="D463" s="340"/>
      <c r="E463" s="340" t="s">
        <v>88</v>
      </c>
      <c r="F463" s="345">
        <v>355</v>
      </c>
      <c r="G463" s="346">
        <v>355</v>
      </c>
      <c r="H463" s="346">
        <v>355</v>
      </c>
      <c r="I463" s="346">
        <f t="shared" si="8"/>
        <v>0</v>
      </c>
      <c r="J463" s="342" t="s">
        <v>995</v>
      </c>
      <c r="K463" s="342"/>
      <c r="L463" s="342" t="s">
        <v>995</v>
      </c>
      <c r="M463" s="342"/>
      <c r="N463" s="342"/>
      <c r="O463" s="342"/>
      <c r="P463" s="342"/>
      <c r="Q463" s="343"/>
      <c r="R463" s="266"/>
      <c r="S463" s="266"/>
      <c r="T463" s="266"/>
    </row>
    <row r="464" spans="1:23" ht="30" customHeight="1">
      <c r="A464" s="340">
        <v>459</v>
      </c>
      <c r="B464" s="344" t="s">
        <v>1205</v>
      </c>
      <c r="C464" s="340" t="s">
        <v>219</v>
      </c>
      <c r="D464" s="340"/>
      <c r="E464" s="340" t="s">
        <v>84</v>
      </c>
      <c r="F464" s="345">
        <v>287</v>
      </c>
      <c r="G464" s="346">
        <v>287</v>
      </c>
      <c r="H464" s="346">
        <v>287</v>
      </c>
      <c r="I464" s="346">
        <f t="shared" si="8"/>
        <v>0</v>
      </c>
      <c r="J464" s="342" t="s">
        <v>995</v>
      </c>
      <c r="K464" s="342"/>
      <c r="L464" s="342" t="s">
        <v>995</v>
      </c>
      <c r="M464" s="342"/>
      <c r="N464" s="342"/>
      <c r="O464" s="342"/>
      <c r="P464" s="342"/>
      <c r="Q464" s="343"/>
      <c r="R464" s="266"/>
      <c r="S464" s="266"/>
      <c r="T464" s="266"/>
    </row>
    <row r="465" spans="1:23" ht="30" customHeight="1">
      <c r="A465" s="340">
        <v>460</v>
      </c>
      <c r="B465" s="344" t="s">
        <v>1205</v>
      </c>
      <c r="C465" s="340" t="s">
        <v>942</v>
      </c>
      <c r="D465" s="340"/>
      <c r="E465" s="340" t="s">
        <v>88</v>
      </c>
      <c r="F465" s="345">
        <v>63</v>
      </c>
      <c r="G465" s="346">
        <v>63</v>
      </c>
      <c r="H465" s="346">
        <v>63</v>
      </c>
      <c r="I465" s="346">
        <f t="shared" si="8"/>
        <v>0</v>
      </c>
      <c r="J465" s="342" t="s">
        <v>995</v>
      </c>
      <c r="K465" s="342"/>
      <c r="L465" s="342" t="s">
        <v>995</v>
      </c>
      <c r="M465" s="342"/>
      <c r="N465" s="342"/>
      <c r="O465" s="342"/>
      <c r="P465" s="342"/>
      <c r="Q465" s="343"/>
      <c r="R465" s="266"/>
      <c r="S465" s="266"/>
      <c r="T465" s="266"/>
    </row>
    <row r="466" spans="1:23" ht="30" customHeight="1">
      <c r="A466" s="340">
        <v>461</v>
      </c>
      <c r="B466" s="344" t="s">
        <v>1205</v>
      </c>
      <c r="C466" s="340" t="s">
        <v>220</v>
      </c>
      <c r="D466" s="340"/>
      <c r="E466" s="340" t="s">
        <v>85</v>
      </c>
      <c r="F466" s="345">
        <v>136</v>
      </c>
      <c r="G466" s="346">
        <v>136</v>
      </c>
      <c r="H466" s="346">
        <v>136</v>
      </c>
      <c r="I466" s="346">
        <f t="shared" si="8"/>
        <v>0</v>
      </c>
      <c r="J466" s="342" t="s">
        <v>995</v>
      </c>
      <c r="K466" s="342"/>
      <c r="L466" s="342" t="s">
        <v>995</v>
      </c>
      <c r="M466" s="342"/>
      <c r="N466" s="342"/>
      <c r="O466" s="342"/>
      <c r="P466" s="342"/>
      <c r="Q466" s="343"/>
      <c r="R466" s="266"/>
      <c r="S466" s="266"/>
      <c r="T466" s="268"/>
    </row>
    <row r="467" spans="1:23" ht="30" customHeight="1">
      <c r="A467" s="340">
        <v>462</v>
      </c>
      <c r="B467" s="344" t="s">
        <v>1205</v>
      </c>
      <c r="C467" s="340" t="s">
        <v>943</v>
      </c>
      <c r="D467" s="340"/>
      <c r="E467" s="340" t="s">
        <v>902</v>
      </c>
      <c r="F467" s="345">
        <v>46</v>
      </c>
      <c r="G467" s="346">
        <v>46</v>
      </c>
      <c r="H467" s="346">
        <v>46</v>
      </c>
      <c r="I467" s="346">
        <f t="shared" si="8"/>
        <v>0</v>
      </c>
      <c r="J467" s="342" t="s">
        <v>995</v>
      </c>
      <c r="K467" s="342"/>
      <c r="L467" s="342" t="s">
        <v>995</v>
      </c>
      <c r="M467" s="342"/>
      <c r="N467" s="342"/>
      <c r="O467" s="342"/>
      <c r="P467" s="342"/>
      <c r="Q467" s="343"/>
      <c r="R467" s="266"/>
      <c r="S467" s="266"/>
      <c r="T467" s="268"/>
    </row>
    <row r="468" spans="1:23" ht="30" customHeight="1">
      <c r="A468" s="340">
        <v>463</v>
      </c>
      <c r="B468" s="344" t="s">
        <v>1205</v>
      </c>
      <c r="C468" s="340" t="s">
        <v>86</v>
      </c>
      <c r="D468" s="340"/>
      <c r="E468" s="340" t="s">
        <v>84</v>
      </c>
      <c r="F468" s="345">
        <v>7</v>
      </c>
      <c r="G468" s="346">
        <v>7</v>
      </c>
      <c r="H468" s="346">
        <v>7</v>
      </c>
      <c r="I468" s="346">
        <f t="shared" si="8"/>
        <v>0</v>
      </c>
      <c r="J468" s="342" t="s">
        <v>1208</v>
      </c>
      <c r="K468" s="342"/>
      <c r="L468" s="342" t="s">
        <v>1208</v>
      </c>
      <c r="M468" s="342"/>
      <c r="N468" s="342"/>
      <c r="O468" s="342"/>
      <c r="P468" s="342"/>
      <c r="Q468" s="343"/>
      <c r="R468" s="266"/>
      <c r="S468" s="266"/>
      <c r="T468" s="268"/>
    </row>
    <row r="469" spans="1:23" ht="30" customHeight="1">
      <c r="A469" s="340">
        <v>464</v>
      </c>
      <c r="B469" s="344" t="s">
        <v>1205</v>
      </c>
      <c r="C469" s="340" t="s">
        <v>944</v>
      </c>
      <c r="D469" s="340"/>
      <c r="E469" s="340" t="s">
        <v>902</v>
      </c>
      <c r="F469" s="345">
        <v>1068</v>
      </c>
      <c r="G469" s="346">
        <v>1102</v>
      </c>
      <c r="H469" s="346">
        <v>1102</v>
      </c>
      <c r="I469" s="346">
        <f t="shared" si="8"/>
        <v>0</v>
      </c>
      <c r="J469" s="342" t="s">
        <v>995</v>
      </c>
      <c r="K469" s="342"/>
      <c r="L469" s="342" t="s">
        <v>995</v>
      </c>
      <c r="M469" s="342"/>
      <c r="N469" s="342"/>
      <c r="O469" s="342"/>
      <c r="P469" s="342"/>
      <c r="Q469" s="343"/>
      <c r="R469" s="266"/>
      <c r="S469" s="266"/>
      <c r="T469" s="268"/>
    </row>
    <row r="470" spans="1:23" ht="30" customHeight="1">
      <c r="A470" s="340">
        <v>465</v>
      </c>
      <c r="B470" s="344" t="s">
        <v>1205</v>
      </c>
      <c r="C470" s="340" t="s">
        <v>221</v>
      </c>
      <c r="D470" s="340"/>
      <c r="E470" s="340" t="s">
        <v>84</v>
      </c>
      <c r="F470" s="345">
        <v>472</v>
      </c>
      <c r="G470" s="346">
        <v>219</v>
      </c>
      <c r="H470" s="346">
        <v>219</v>
      </c>
      <c r="I470" s="346">
        <f t="shared" si="8"/>
        <v>0</v>
      </c>
      <c r="J470" s="342" t="s">
        <v>1208</v>
      </c>
      <c r="K470" s="342"/>
      <c r="L470" s="342" t="s">
        <v>1208</v>
      </c>
      <c r="M470" s="342"/>
      <c r="N470" s="342"/>
      <c r="O470" s="342"/>
      <c r="P470" s="342"/>
      <c r="Q470" s="343"/>
      <c r="R470" s="266"/>
      <c r="S470" s="266"/>
      <c r="T470" s="288"/>
      <c r="U470" s="266"/>
      <c r="V470" s="266"/>
      <c r="W470" s="266"/>
    </row>
    <row r="471" spans="1:23" ht="30" customHeight="1">
      <c r="A471" s="340">
        <v>466</v>
      </c>
      <c r="B471" s="344" t="s">
        <v>1205</v>
      </c>
      <c r="C471" s="340" t="s">
        <v>945</v>
      </c>
      <c r="D471" s="340"/>
      <c r="E471" s="340" t="s">
        <v>902</v>
      </c>
      <c r="F471" s="345">
        <v>416</v>
      </c>
      <c r="G471" s="346">
        <v>59</v>
      </c>
      <c r="H471" s="346">
        <v>59</v>
      </c>
      <c r="I471" s="346">
        <f t="shared" si="8"/>
        <v>0</v>
      </c>
      <c r="J471" s="342" t="s">
        <v>995</v>
      </c>
      <c r="K471" s="342"/>
      <c r="L471" s="342" t="s">
        <v>995</v>
      </c>
      <c r="M471" s="342"/>
      <c r="N471" s="342"/>
      <c r="O471" s="342"/>
      <c r="P471" s="342"/>
      <c r="Q471" s="343"/>
      <c r="R471" s="266"/>
      <c r="S471" s="266"/>
      <c r="T471" s="288"/>
      <c r="U471" s="266"/>
      <c r="V471" s="266"/>
      <c r="W471" s="266"/>
    </row>
    <row r="472" spans="1:23" ht="30" customHeight="1">
      <c r="A472" s="340">
        <v>467</v>
      </c>
      <c r="B472" s="344" t="s">
        <v>1205</v>
      </c>
      <c r="C472" s="340" t="s">
        <v>222</v>
      </c>
      <c r="D472" s="340"/>
      <c r="E472" s="340" t="s">
        <v>84</v>
      </c>
      <c r="F472" s="345">
        <v>191</v>
      </c>
      <c r="G472" s="346">
        <v>43</v>
      </c>
      <c r="H472" s="346">
        <v>43</v>
      </c>
      <c r="I472" s="346">
        <f t="shared" si="8"/>
        <v>0</v>
      </c>
      <c r="J472" s="342" t="s">
        <v>995</v>
      </c>
      <c r="K472" s="342"/>
      <c r="L472" s="342" t="s">
        <v>995</v>
      </c>
      <c r="M472" s="342"/>
      <c r="N472" s="342"/>
      <c r="O472" s="342"/>
      <c r="P472" s="342"/>
      <c r="Q472" s="343"/>
      <c r="R472" s="266"/>
      <c r="S472" s="266"/>
      <c r="T472" s="266"/>
    </row>
    <row r="473" spans="1:23" ht="30" customHeight="1">
      <c r="A473" s="340">
        <v>468</v>
      </c>
      <c r="B473" s="344" t="s">
        <v>1205</v>
      </c>
      <c r="C473" s="340" t="s">
        <v>946</v>
      </c>
      <c r="D473" s="340"/>
      <c r="E473" s="340" t="s">
        <v>902</v>
      </c>
      <c r="F473" s="345">
        <v>210</v>
      </c>
      <c r="G473" s="346">
        <v>210</v>
      </c>
      <c r="H473" s="346">
        <v>210</v>
      </c>
      <c r="I473" s="346">
        <f t="shared" si="8"/>
        <v>0</v>
      </c>
      <c r="J473" s="342" t="s">
        <v>995</v>
      </c>
      <c r="K473" s="342"/>
      <c r="L473" s="342" t="s">
        <v>995</v>
      </c>
      <c r="M473" s="342"/>
      <c r="N473" s="342"/>
      <c r="O473" s="342"/>
      <c r="P473" s="342"/>
      <c r="Q473" s="343"/>
      <c r="R473" s="266"/>
      <c r="S473" s="266"/>
      <c r="T473" s="266"/>
    </row>
    <row r="474" spans="1:23" ht="30" customHeight="1">
      <c r="A474" s="340">
        <v>469</v>
      </c>
      <c r="B474" s="344" t="s">
        <v>1205</v>
      </c>
      <c r="C474" s="340" t="s">
        <v>223</v>
      </c>
      <c r="D474" s="340"/>
      <c r="E474" s="340" t="s">
        <v>88</v>
      </c>
      <c r="F474" s="345">
        <v>12</v>
      </c>
      <c r="G474" s="346">
        <v>12</v>
      </c>
      <c r="H474" s="346">
        <v>12</v>
      </c>
      <c r="I474" s="346">
        <f t="shared" si="8"/>
        <v>0</v>
      </c>
      <c r="J474" s="342" t="s">
        <v>995</v>
      </c>
      <c r="K474" s="342"/>
      <c r="L474" s="342" t="s">
        <v>995</v>
      </c>
      <c r="M474" s="342"/>
      <c r="N474" s="342"/>
      <c r="O474" s="342"/>
      <c r="P474" s="342"/>
      <c r="Q474" s="343"/>
      <c r="R474" s="266"/>
      <c r="S474" s="266"/>
      <c r="T474" s="266"/>
    </row>
    <row r="475" spans="1:23" ht="30" customHeight="1">
      <c r="A475" s="340">
        <v>470</v>
      </c>
      <c r="B475" s="344" t="s">
        <v>1205</v>
      </c>
      <c r="C475" s="340" t="s">
        <v>947</v>
      </c>
      <c r="D475" s="340"/>
      <c r="E475" s="340" t="s">
        <v>902</v>
      </c>
      <c r="F475" s="345">
        <v>60</v>
      </c>
      <c r="G475" s="346">
        <v>60</v>
      </c>
      <c r="H475" s="346">
        <v>60</v>
      </c>
      <c r="I475" s="346">
        <f t="shared" si="8"/>
        <v>0</v>
      </c>
      <c r="J475" s="342" t="s">
        <v>1208</v>
      </c>
      <c r="K475" s="342"/>
      <c r="L475" s="342" t="s">
        <v>1208</v>
      </c>
      <c r="M475" s="342"/>
      <c r="N475" s="342"/>
      <c r="O475" s="342"/>
      <c r="P475" s="342"/>
      <c r="Q475" s="343"/>
      <c r="R475" s="266"/>
      <c r="S475" s="266"/>
      <c r="T475" s="266"/>
    </row>
    <row r="476" spans="1:23" ht="30" customHeight="1">
      <c r="A476" s="340">
        <v>471</v>
      </c>
      <c r="B476" s="344" t="s">
        <v>1205</v>
      </c>
      <c r="C476" s="340" t="s">
        <v>224</v>
      </c>
      <c r="D476" s="340"/>
      <c r="E476" s="340" t="s">
        <v>85</v>
      </c>
      <c r="F476" s="345">
        <v>56</v>
      </c>
      <c r="G476" s="346">
        <v>56</v>
      </c>
      <c r="H476" s="346">
        <v>56</v>
      </c>
      <c r="I476" s="346">
        <f t="shared" si="8"/>
        <v>0</v>
      </c>
      <c r="J476" s="342" t="s">
        <v>995</v>
      </c>
      <c r="K476" s="342"/>
      <c r="L476" s="342" t="s">
        <v>995</v>
      </c>
      <c r="M476" s="342"/>
      <c r="N476" s="342"/>
      <c r="O476" s="342"/>
      <c r="P476" s="342"/>
      <c r="Q476" s="343"/>
      <c r="R476" s="266"/>
      <c r="S476" s="266"/>
      <c r="T476" s="266"/>
    </row>
    <row r="477" spans="1:23" ht="30" customHeight="1">
      <c r="A477" s="340">
        <v>472</v>
      </c>
      <c r="B477" s="344" t="s">
        <v>1205</v>
      </c>
      <c r="C477" s="340" t="s">
        <v>948</v>
      </c>
      <c r="D477" s="340"/>
      <c r="E477" s="340" t="s">
        <v>902</v>
      </c>
      <c r="F477" s="345">
        <v>236</v>
      </c>
      <c r="G477" s="346">
        <v>236</v>
      </c>
      <c r="H477" s="346">
        <v>236</v>
      </c>
      <c r="I477" s="346">
        <f t="shared" si="8"/>
        <v>0</v>
      </c>
      <c r="J477" s="342" t="s">
        <v>995</v>
      </c>
      <c r="K477" s="342"/>
      <c r="L477" s="342" t="s">
        <v>995</v>
      </c>
      <c r="M477" s="342"/>
      <c r="N477" s="342"/>
      <c r="O477" s="342"/>
      <c r="P477" s="342"/>
      <c r="Q477" s="343"/>
      <c r="R477" s="266"/>
      <c r="S477" s="266"/>
      <c r="T477" s="266"/>
    </row>
    <row r="478" spans="1:23" ht="30" customHeight="1">
      <c r="A478" s="340">
        <v>473</v>
      </c>
      <c r="B478" s="344" t="s">
        <v>1205</v>
      </c>
      <c r="C478" s="340" t="s">
        <v>225</v>
      </c>
      <c r="D478" s="340"/>
      <c r="E478" s="340" t="s">
        <v>84</v>
      </c>
      <c r="F478" s="345">
        <v>53</v>
      </c>
      <c r="G478" s="346">
        <v>53</v>
      </c>
      <c r="H478" s="346">
        <v>53</v>
      </c>
      <c r="I478" s="346">
        <f t="shared" si="8"/>
        <v>0</v>
      </c>
      <c r="J478" s="342" t="s">
        <v>1208</v>
      </c>
      <c r="K478" s="342"/>
      <c r="L478" s="342" t="s">
        <v>1208</v>
      </c>
      <c r="M478" s="342"/>
      <c r="N478" s="342"/>
      <c r="O478" s="342"/>
      <c r="P478" s="342"/>
      <c r="Q478" s="343"/>
      <c r="R478" s="266"/>
      <c r="S478" s="266"/>
      <c r="T478" s="266"/>
    </row>
    <row r="479" spans="1:23" ht="30" customHeight="1">
      <c r="A479" s="340">
        <v>474</v>
      </c>
      <c r="B479" s="344" t="s">
        <v>1205</v>
      </c>
      <c r="C479" s="340" t="s">
        <v>949</v>
      </c>
      <c r="D479" s="340"/>
      <c r="E479" s="340" t="s">
        <v>902</v>
      </c>
      <c r="F479" s="345">
        <v>13</v>
      </c>
      <c r="G479" s="346">
        <v>13</v>
      </c>
      <c r="H479" s="346">
        <v>13</v>
      </c>
      <c r="I479" s="346">
        <f t="shared" si="8"/>
        <v>0</v>
      </c>
      <c r="J479" s="342" t="s">
        <v>995</v>
      </c>
      <c r="K479" s="342"/>
      <c r="L479" s="342" t="s">
        <v>995</v>
      </c>
      <c r="M479" s="342"/>
      <c r="N479" s="342"/>
      <c r="O479" s="342"/>
      <c r="P479" s="342"/>
      <c r="Q479" s="343"/>
      <c r="R479" s="266"/>
      <c r="S479" s="266"/>
      <c r="T479" s="266"/>
    </row>
    <row r="480" spans="1:23" ht="30" customHeight="1">
      <c r="A480" s="340">
        <v>475</v>
      </c>
      <c r="B480" s="344" t="s">
        <v>1205</v>
      </c>
      <c r="C480" s="340" t="s">
        <v>226</v>
      </c>
      <c r="D480" s="340"/>
      <c r="E480" s="340" t="s">
        <v>84</v>
      </c>
      <c r="F480" s="345">
        <v>64</v>
      </c>
      <c r="G480" s="346">
        <v>64</v>
      </c>
      <c r="H480" s="346">
        <v>64</v>
      </c>
      <c r="I480" s="346">
        <f t="shared" si="8"/>
        <v>0</v>
      </c>
      <c r="J480" s="342" t="s">
        <v>995</v>
      </c>
      <c r="K480" s="342"/>
      <c r="L480" s="342" t="s">
        <v>995</v>
      </c>
      <c r="M480" s="342"/>
      <c r="N480" s="342"/>
      <c r="O480" s="342"/>
      <c r="P480" s="342"/>
      <c r="Q480" s="343"/>
      <c r="R480" s="266"/>
      <c r="S480" s="266"/>
      <c r="T480" s="266"/>
    </row>
    <row r="481" spans="1:23" ht="30" customHeight="1">
      <c r="A481" s="340">
        <v>476</v>
      </c>
      <c r="B481" s="344" t="s">
        <v>1205</v>
      </c>
      <c r="C481" s="340" t="s">
        <v>950</v>
      </c>
      <c r="D481" s="340"/>
      <c r="E481" s="340" t="s">
        <v>87</v>
      </c>
      <c r="F481" s="345">
        <v>3940.7</v>
      </c>
      <c r="G481" s="346">
        <v>139</v>
      </c>
      <c r="H481" s="346">
        <v>139</v>
      </c>
      <c r="I481" s="346">
        <f t="shared" si="8"/>
        <v>0</v>
      </c>
      <c r="J481" s="342" t="s">
        <v>1209</v>
      </c>
      <c r="K481" s="342"/>
      <c r="L481" s="342" t="s">
        <v>1209</v>
      </c>
      <c r="M481" s="342"/>
      <c r="N481" s="342"/>
      <c r="O481" s="342"/>
      <c r="P481" s="342"/>
      <c r="Q481" s="343"/>
      <c r="R481" s="266"/>
      <c r="S481" s="266"/>
      <c r="T481" s="266"/>
    </row>
    <row r="482" spans="1:23" ht="30" customHeight="1">
      <c r="A482" s="340">
        <v>477</v>
      </c>
      <c r="B482" s="344" t="s">
        <v>1205</v>
      </c>
      <c r="C482" s="340" t="s">
        <v>227</v>
      </c>
      <c r="D482" s="340"/>
      <c r="E482" s="340" t="s">
        <v>84</v>
      </c>
      <c r="F482" s="345">
        <v>420</v>
      </c>
      <c r="G482" s="346">
        <v>375</v>
      </c>
      <c r="H482" s="346">
        <v>375</v>
      </c>
      <c r="I482" s="346">
        <f t="shared" si="8"/>
        <v>0</v>
      </c>
      <c r="J482" s="342" t="s">
        <v>1208</v>
      </c>
      <c r="K482" s="342"/>
      <c r="L482" s="342" t="s">
        <v>1208</v>
      </c>
      <c r="M482" s="342"/>
      <c r="N482" s="342"/>
      <c r="O482" s="342"/>
      <c r="P482" s="342"/>
      <c r="Q482" s="343"/>
      <c r="R482" s="266"/>
      <c r="S482" s="266"/>
      <c r="T482" s="266"/>
    </row>
    <row r="483" spans="1:23" ht="30" customHeight="1">
      <c r="A483" s="340">
        <v>478</v>
      </c>
      <c r="B483" s="344" t="s">
        <v>1205</v>
      </c>
      <c r="C483" s="340" t="s">
        <v>951</v>
      </c>
      <c r="D483" s="340"/>
      <c r="E483" s="340" t="s">
        <v>902</v>
      </c>
      <c r="F483" s="345">
        <v>17</v>
      </c>
      <c r="G483" s="346">
        <v>17</v>
      </c>
      <c r="H483" s="346">
        <v>17</v>
      </c>
      <c r="I483" s="346">
        <f t="shared" si="8"/>
        <v>0</v>
      </c>
      <c r="J483" s="342" t="s">
        <v>1208</v>
      </c>
      <c r="K483" s="342"/>
      <c r="L483" s="342" t="s">
        <v>1208</v>
      </c>
      <c r="M483" s="342"/>
      <c r="N483" s="342"/>
      <c r="O483" s="342"/>
      <c r="P483" s="342"/>
      <c r="Q483" s="343"/>
      <c r="R483" s="266"/>
      <c r="S483" s="266"/>
      <c r="T483" s="266"/>
    </row>
    <row r="484" spans="1:23" ht="30" customHeight="1">
      <c r="A484" s="340">
        <v>479</v>
      </c>
      <c r="B484" s="344" t="s">
        <v>1205</v>
      </c>
      <c r="C484" s="340" t="s">
        <v>952</v>
      </c>
      <c r="D484" s="340"/>
      <c r="E484" s="340" t="s">
        <v>902</v>
      </c>
      <c r="F484" s="345">
        <v>17</v>
      </c>
      <c r="G484" s="346">
        <v>17</v>
      </c>
      <c r="H484" s="346">
        <v>17</v>
      </c>
      <c r="I484" s="346">
        <f t="shared" si="8"/>
        <v>0</v>
      </c>
      <c r="J484" s="342" t="s">
        <v>1208</v>
      </c>
      <c r="K484" s="342"/>
      <c r="L484" s="342" t="s">
        <v>1208</v>
      </c>
      <c r="M484" s="342"/>
      <c r="N484" s="342"/>
      <c r="O484" s="342"/>
      <c r="P484" s="342"/>
      <c r="Q484" s="343"/>
      <c r="R484" s="266"/>
      <c r="S484" s="266"/>
      <c r="T484" s="266"/>
    </row>
    <row r="485" spans="1:23" ht="30" customHeight="1">
      <c r="A485" s="340">
        <v>480</v>
      </c>
      <c r="B485" s="344" t="s">
        <v>1205</v>
      </c>
      <c r="C485" s="340" t="s">
        <v>228</v>
      </c>
      <c r="D485" s="340"/>
      <c r="E485" s="340" t="s">
        <v>84</v>
      </c>
      <c r="F485" s="345">
        <v>409</v>
      </c>
      <c r="G485" s="346">
        <v>409</v>
      </c>
      <c r="H485" s="346">
        <v>409</v>
      </c>
      <c r="I485" s="346">
        <f t="shared" si="8"/>
        <v>0</v>
      </c>
      <c r="J485" s="342" t="s">
        <v>1208</v>
      </c>
      <c r="K485" s="342"/>
      <c r="L485" s="342" t="s">
        <v>1208</v>
      </c>
      <c r="M485" s="342"/>
      <c r="N485" s="342"/>
      <c r="O485" s="342"/>
      <c r="P485" s="342"/>
      <c r="Q485" s="343"/>
      <c r="R485" s="266"/>
      <c r="S485" s="266"/>
      <c r="T485" s="266"/>
    </row>
    <row r="486" spans="1:23" ht="30" customHeight="1">
      <c r="A486" s="340">
        <v>481</v>
      </c>
      <c r="B486" s="344" t="s">
        <v>1205</v>
      </c>
      <c r="C486" s="340" t="s">
        <v>953</v>
      </c>
      <c r="D486" s="340"/>
      <c r="E486" s="340" t="s">
        <v>902</v>
      </c>
      <c r="F486" s="345">
        <v>979</v>
      </c>
      <c r="G486" s="346">
        <v>783</v>
      </c>
      <c r="H486" s="346">
        <v>979</v>
      </c>
      <c r="I486" s="346">
        <f t="shared" si="8"/>
        <v>196</v>
      </c>
      <c r="J486" s="342" t="s">
        <v>1258</v>
      </c>
      <c r="K486" s="342" t="s">
        <v>955</v>
      </c>
      <c r="L486" s="342" t="s">
        <v>1258</v>
      </c>
      <c r="M486" s="342" t="s">
        <v>955</v>
      </c>
      <c r="N486" s="342"/>
      <c r="O486" s="342"/>
      <c r="P486" s="342"/>
      <c r="Q486" s="343"/>
      <c r="R486" s="266"/>
      <c r="S486" s="266"/>
      <c r="T486" s="266"/>
    </row>
    <row r="487" spans="1:23" ht="30" customHeight="1">
      <c r="A487" s="340">
        <v>482</v>
      </c>
      <c r="B487" s="344" t="s">
        <v>1205</v>
      </c>
      <c r="C487" s="340" t="s">
        <v>229</v>
      </c>
      <c r="D487" s="340"/>
      <c r="E487" s="340" t="s">
        <v>84</v>
      </c>
      <c r="F487" s="345">
        <v>1124</v>
      </c>
      <c r="G487" s="346">
        <v>370</v>
      </c>
      <c r="H487" s="346">
        <v>370</v>
      </c>
      <c r="I487" s="346">
        <f t="shared" si="8"/>
        <v>0</v>
      </c>
      <c r="J487" s="342" t="s">
        <v>995</v>
      </c>
      <c r="K487" s="342"/>
      <c r="L487" s="342" t="s">
        <v>995</v>
      </c>
      <c r="M487" s="342"/>
      <c r="N487" s="342"/>
      <c r="O487" s="342"/>
      <c r="P487" s="342"/>
      <c r="Q487" s="343"/>
      <c r="R487" s="266"/>
      <c r="S487" s="266"/>
      <c r="T487" s="268"/>
    </row>
    <row r="488" spans="1:23" ht="30" customHeight="1">
      <c r="A488" s="340">
        <v>483</v>
      </c>
      <c r="B488" s="344" t="s">
        <v>1205</v>
      </c>
      <c r="C488" s="340" t="s">
        <v>956</v>
      </c>
      <c r="D488" s="340"/>
      <c r="E488" s="340" t="s">
        <v>902</v>
      </c>
      <c r="F488" s="345">
        <v>66</v>
      </c>
      <c r="G488" s="346">
        <v>66</v>
      </c>
      <c r="H488" s="346">
        <v>66</v>
      </c>
      <c r="I488" s="346">
        <f t="shared" si="8"/>
        <v>0</v>
      </c>
      <c r="J488" s="342" t="s">
        <v>1208</v>
      </c>
      <c r="K488" s="342"/>
      <c r="L488" s="342" t="s">
        <v>1208</v>
      </c>
      <c r="M488" s="342"/>
      <c r="N488" s="342"/>
      <c r="O488" s="342"/>
      <c r="P488" s="342"/>
      <c r="Q488" s="343"/>
      <c r="R488" s="266"/>
      <c r="S488" s="266"/>
      <c r="T488" s="268"/>
    </row>
    <row r="489" spans="1:23" ht="30" customHeight="1">
      <c r="A489" s="340">
        <v>484</v>
      </c>
      <c r="B489" s="344" t="s">
        <v>1205</v>
      </c>
      <c r="C489" s="340" t="s">
        <v>230</v>
      </c>
      <c r="D489" s="340"/>
      <c r="E489" s="340" t="s">
        <v>84</v>
      </c>
      <c r="F489" s="345">
        <v>67</v>
      </c>
      <c r="G489" s="346">
        <v>67</v>
      </c>
      <c r="H489" s="346">
        <v>67</v>
      </c>
      <c r="I489" s="346">
        <f t="shared" si="8"/>
        <v>0</v>
      </c>
      <c r="J489" s="342" t="s">
        <v>995</v>
      </c>
      <c r="K489" s="342"/>
      <c r="L489" s="342" t="s">
        <v>995</v>
      </c>
      <c r="M489" s="342"/>
      <c r="N489" s="342"/>
      <c r="O489" s="342"/>
      <c r="P489" s="342"/>
      <c r="Q489" s="343"/>
      <c r="R489" s="266"/>
      <c r="S489" s="266"/>
      <c r="T489" s="268"/>
    </row>
    <row r="490" spans="1:23" ht="30" customHeight="1">
      <c r="A490" s="340">
        <v>485</v>
      </c>
      <c r="B490" s="344" t="s">
        <v>1205</v>
      </c>
      <c r="C490" s="340" t="s">
        <v>957</v>
      </c>
      <c r="D490" s="340"/>
      <c r="E490" s="340" t="s">
        <v>902</v>
      </c>
      <c r="F490" s="345">
        <v>23</v>
      </c>
      <c r="G490" s="346">
        <v>23</v>
      </c>
      <c r="H490" s="346">
        <v>23</v>
      </c>
      <c r="I490" s="346">
        <f t="shared" si="8"/>
        <v>0</v>
      </c>
      <c r="J490" s="342" t="s">
        <v>1208</v>
      </c>
      <c r="K490" s="342"/>
      <c r="L490" s="342" t="s">
        <v>1208</v>
      </c>
      <c r="M490" s="342"/>
      <c r="N490" s="342"/>
      <c r="O490" s="342"/>
      <c r="P490" s="342"/>
      <c r="Q490" s="343"/>
      <c r="R490" s="266"/>
      <c r="S490" s="266"/>
      <c r="T490" s="268"/>
    </row>
    <row r="491" spans="1:23" ht="30" customHeight="1">
      <c r="A491" s="340">
        <v>486</v>
      </c>
      <c r="B491" s="344" t="s">
        <v>1205</v>
      </c>
      <c r="C491" s="340" t="s">
        <v>231</v>
      </c>
      <c r="D491" s="340"/>
      <c r="E491" s="340" t="s">
        <v>84</v>
      </c>
      <c r="F491" s="345">
        <v>127</v>
      </c>
      <c r="G491" s="346">
        <v>127</v>
      </c>
      <c r="H491" s="346">
        <v>127</v>
      </c>
      <c r="I491" s="346">
        <f t="shared" si="8"/>
        <v>0</v>
      </c>
      <c r="J491" s="342" t="s">
        <v>995</v>
      </c>
      <c r="K491" s="342"/>
      <c r="L491" s="342" t="s">
        <v>995</v>
      </c>
      <c r="M491" s="342"/>
      <c r="N491" s="342"/>
      <c r="O491" s="342"/>
      <c r="P491" s="342"/>
      <c r="Q491" s="343"/>
      <c r="R491" s="266"/>
      <c r="S491" s="266"/>
      <c r="T491" s="288"/>
      <c r="U491" s="266"/>
      <c r="V491" s="266"/>
      <c r="W491" s="266"/>
    </row>
    <row r="492" spans="1:23" ht="30" customHeight="1">
      <c r="A492" s="340">
        <v>487</v>
      </c>
      <c r="B492" s="344" t="s">
        <v>1205</v>
      </c>
      <c r="C492" s="340" t="s">
        <v>958</v>
      </c>
      <c r="D492" s="340"/>
      <c r="E492" s="340" t="s">
        <v>902</v>
      </c>
      <c r="F492" s="345">
        <v>3</v>
      </c>
      <c r="G492" s="346">
        <v>3</v>
      </c>
      <c r="H492" s="346">
        <v>3</v>
      </c>
      <c r="I492" s="346">
        <f t="shared" si="8"/>
        <v>0</v>
      </c>
      <c r="J492" s="342" t="s">
        <v>995</v>
      </c>
      <c r="K492" s="342"/>
      <c r="L492" s="342" t="s">
        <v>995</v>
      </c>
      <c r="M492" s="342"/>
      <c r="N492" s="342"/>
      <c r="O492" s="342"/>
      <c r="P492" s="342"/>
      <c r="Q492" s="343"/>
      <c r="R492" s="266"/>
      <c r="S492" s="266"/>
      <c r="T492" s="288"/>
      <c r="U492" s="266"/>
      <c r="V492" s="266"/>
      <c r="W492" s="266"/>
    </row>
    <row r="493" spans="1:23" ht="30" customHeight="1">
      <c r="A493" s="340">
        <v>488</v>
      </c>
      <c r="B493" s="344" t="s">
        <v>1205</v>
      </c>
      <c r="C493" s="340" t="s">
        <v>232</v>
      </c>
      <c r="D493" s="340"/>
      <c r="E493" s="340" t="s">
        <v>84</v>
      </c>
      <c r="F493" s="345">
        <v>225</v>
      </c>
      <c r="G493" s="346">
        <v>225</v>
      </c>
      <c r="H493" s="346">
        <v>225</v>
      </c>
      <c r="I493" s="346">
        <f t="shared" si="8"/>
        <v>0</v>
      </c>
      <c r="J493" s="342" t="s">
        <v>995</v>
      </c>
      <c r="K493" s="342"/>
      <c r="L493" s="342" t="s">
        <v>995</v>
      </c>
      <c r="M493" s="342"/>
      <c r="N493" s="342"/>
      <c r="O493" s="342"/>
      <c r="P493" s="342"/>
      <c r="Q493" s="343"/>
      <c r="R493" s="266"/>
      <c r="S493" s="266"/>
      <c r="T493" s="266"/>
    </row>
    <row r="494" spans="1:23" ht="30" customHeight="1">
      <c r="A494" s="340">
        <v>489</v>
      </c>
      <c r="B494" s="344" t="s">
        <v>1205</v>
      </c>
      <c r="C494" s="340" t="s">
        <v>959</v>
      </c>
      <c r="D494" s="340"/>
      <c r="E494" s="340" t="s">
        <v>902</v>
      </c>
      <c r="F494" s="345">
        <v>433</v>
      </c>
      <c r="G494" s="346">
        <v>423</v>
      </c>
      <c r="H494" s="346">
        <v>423</v>
      </c>
      <c r="I494" s="346">
        <f t="shared" si="8"/>
        <v>0</v>
      </c>
      <c r="J494" s="342" t="s">
        <v>1116</v>
      </c>
      <c r="K494" s="342"/>
      <c r="L494" s="342" t="s">
        <v>1116</v>
      </c>
      <c r="M494" s="342"/>
      <c r="N494" s="342"/>
      <c r="O494" s="342"/>
      <c r="P494" s="342"/>
      <c r="Q494" s="343"/>
      <c r="R494" s="266"/>
      <c r="S494" s="266"/>
      <c r="T494" s="266"/>
    </row>
    <row r="495" spans="1:23" ht="30" customHeight="1">
      <c r="A495" s="340">
        <v>490</v>
      </c>
      <c r="B495" s="344" t="s">
        <v>1205</v>
      </c>
      <c r="C495" s="340" t="s">
        <v>233</v>
      </c>
      <c r="D495" s="340"/>
      <c r="E495" s="340" t="s">
        <v>84</v>
      </c>
      <c r="F495" s="345">
        <v>116</v>
      </c>
      <c r="G495" s="346">
        <v>70</v>
      </c>
      <c r="H495" s="346">
        <v>70</v>
      </c>
      <c r="I495" s="346">
        <f t="shared" si="8"/>
        <v>0</v>
      </c>
      <c r="J495" s="342" t="s">
        <v>995</v>
      </c>
      <c r="K495" s="342"/>
      <c r="L495" s="342" t="s">
        <v>995</v>
      </c>
      <c r="M495" s="342"/>
      <c r="N495" s="342"/>
      <c r="O495" s="342"/>
      <c r="P495" s="342"/>
      <c r="Q495" s="343"/>
      <c r="R495" s="266"/>
      <c r="S495" s="266"/>
      <c r="T495" s="266"/>
    </row>
    <row r="496" spans="1:23" ht="30" customHeight="1">
      <c r="A496" s="340">
        <v>491</v>
      </c>
      <c r="B496" s="344" t="s">
        <v>1205</v>
      </c>
      <c r="C496" s="340" t="s">
        <v>961</v>
      </c>
      <c r="D496" s="340"/>
      <c r="E496" s="340" t="s">
        <v>902</v>
      </c>
      <c r="F496" s="345">
        <v>724</v>
      </c>
      <c r="G496" s="346">
        <v>724</v>
      </c>
      <c r="H496" s="346">
        <v>724</v>
      </c>
      <c r="I496" s="346">
        <f t="shared" si="8"/>
        <v>0</v>
      </c>
      <c r="J496" s="342" t="s">
        <v>1208</v>
      </c>
      <c r="K496" s="342"/>
      <c r="L496" s="342" t="s">
        <v>1208</v>
      </c>
      <c r="M496" s="342"/>
      <c r="N496" s="342"/>
      <c r="O496" s="342"/>
      <c r="P496" s="342"/>
      <c r="Q496" s="343"/>
      <c r="R496" s="266"/>
      <c r="S496" s="266"/>
      <c r="T496" s="266"/>
    </row>
    <row r="497" spans="1:23" ht="30" customHeight="1">
      <c r="A497" s="340">
        <v>492</v>
      </c>
      <c r="B497" s="344" t="s">
        <v>1205</v>
      </c>
      <c r="C497" s="340" t="s">
        <v>234</v>
      </c>
      <c r="D497" s="340"/>
      <c r="E497" s="340" t="s">
        <v>84</v>
      </c>
      <c r="F497" s="345">
        <v>35</v>
      </c>
      <c r="G497" s="346">
        <v>35</v>
      </c>
      <c r="H497" s="346">
        <v>35</v>
      </c>
      <c r="I497" s="346">
        <f t="shared" ref="I497:I531" si="9">H497-G497</f>
        <v>0</v>
      </c>
      <c r="J497" s="342" t="s">
        <v>995</v>
      </c>
      <c r="K497" s="342"/>
      <c r="L497" s="342" t="s">
        <v>995</v>
      </c>
      <c r="M497" s="342"/>
      <c r="N497" s="342"/>
      <c r="O497" s="342"/>
      <c r="P497" s="342"/>
      <c r="Q497" s="343"/>
      <c r="R497" s="266"/>
      <c r="S497" s="266"/>
      <c r="T497" s="266"/>
    </row>
    <row r="498" spans="1:23" ht="30" customHeight="1">
      <c r="A498" s="340">
        <v>493</v>
      </c>
      <c r="B498" s="344" t="s">
        <v>1205</v>
      </c>
      <c r="C498" s="340" t="s">
        <v>912</v>
      </c>
      <c r="D498" s="340"/>
      <c r="E498" s="340" t="s">
        <v>902</v>
      </c>
      <c r="F498" s="345">
        <v>30</v>
      </c>
      <c r="G498" s="346">
        <v>4</v>
      </c>
      <c r="H498" s="346">
        <v>4</v>
      </c>
      <c r="I498" s="346">
        <f t="shared" si="9"/>
        <v>0</v>
      </c>
      <c r="J498" s="342" t="s">
        <v>995</v>
      </c>
      <c r="K498" s="342"/>
      <c r="L498" s="342" t="s">
        <v>995</v>
      </c>
      <c r="M498" s="342"/>
      <c r="N498" s="342"/>
      <c r="O498" s="342"/>
      <c r="P498" s="342"/>
      <c r="Q498" s="343"/>
      <c r="R498" s="266"/>
      <c r="S498" s="266"/>
      <c r="T498" s="266"/>
    </row>
    <row r="499" spans="1:23" ht="30" customHeight="1">
      <c r="A499" s="340">
        <v>494</v>
      </c>
      <c r="B499" s="344" t="s">
        <v>1205</v>
      </c>
      <c r="C499" s="340" t="s">
        <v>288</v>
      </c>
      <c r="D499" s="340"/>
      <c r="E499" s="340" t="s">
        <v>84</v>
      </c>
      <c r="F499" s="345">
        <v>149</v>
      </c>
      <c r="G499" s="346">
        <v>18</v>
      </c>
      <c r="H499" s="346">
        <v>18</v>
      </c>
      <c r="I499" s="346">
        <f t="shared" si="9"/>
        <v>0</v>
      </c>
      <c r="J499" s="342" t="s">
        <v>1253</v>
      </c>
      <c r="K499" s="342" t="s">
        <v>274</v>
      </c>
      <c r="L499" s="342" t="s">
        <v>995</v>
      </c>
      <c r="M499" s="342"/>
      <c r="N499" s="342"/>
      <c r="O499" s="342"/>
      <c r="P499" s="342"/>
      <c r="Q499" s="343"/>
      <c r="R499" s="266"/>
      <c r="S499" s="266"/>
      <c r="T499" s="266"/>
    </row>
    <row r="500" spans="1:23" ht="30" customHeight="1">
      <c r="A500" s="340">
        <v>495</v>
      </c>
      <c r="B500" s="344" t="s">
        <v>1205</v>
      </c>
      <c r="C500" s="340" t="s">
        <v>962</v>
      </c>
      <c r="D500" s="340"/>
      <c r="E500" s="340" t="s">
        <v>902</v>
      </c>
      <c r="F500" s="345">
        <v>20</v>
      </c>
      <c r="G500" s="346">
        <v>20</v>
      </c>
      <c r="H500" s="346">
        <v>20</v>
      </c>
      <c r="I500" s="346">
        <f t="shared" si="9"/>
        <v>0</v>
      </c>
      <c r="J500" s="342" t="s">
        <v>1253</v>
      </c>
      <c r="K500" s="342" t="s">
        <v>963</v>
      </c>
      <c r="L500" s="342" t="s">
        <v>995</v>
      </c>
      <c r="M500" s="342"/>
      <c r="N500" s="342"/>
      <c r="O500" s="342"/>
      <c r="P500" s="342"/>
      <c r="Q500" s="343"/>
      <c r="R500" s="266"/>
      <c r="S500" s="266"/>
      <c r="T500" s="266"/>
    </row>
    <row r="501" spans="1:23" ht="30" customHeight="1">
      <c r="A501" s="340">
        <v>496</v>
      </c>
      <c r="B501" s="344" t="s">
        <v>1205</v>
      </c>
      <c r="C501" s="340" t="s">
        <v>235</v>
      </c>
      <c r="D501" s="340"/>
      <c r="E501" s="340" t="s">
        <v>84</v>
      </c>
      <c r="F501" s="345">
        <v>374</v>
      </c>
      <c r="G501" s="346">
        <v>219</v>
      </c>
      <c r="H501" s="346">
        <v>219</v>
      </c>
      <c r="I501" s="346">
        <f t="shared" si="9"/>
        <v>0</v>
      </c>
      <c r="J501" s="342" t="s">
        <v>1208</v>
      </c>
      <c r="K501" s="342"/>
      <c r="L501" s="342" t="s">
        <v>1208</v>
      </c>
      <c r="M501" s="342"/>
      <c r="N501" s="342"/>
      <c r="O501" s="342"/>
      <c r="P501" s="342"/>
      <c r="Q501" s="343"/>
      <c r="R501" s="266"/>
      <c r="S501" s="266"/>
      <c r="T501" s="266"/>
    </row>
    <row r="502" spans="1:23" ht="30" customHeight="1">
      <c r="A502" s="340">
        <v>497</v>
      </c>
      <c r="B502" s="344" t="s">
        <v>1205</v>
      </c>
      <c r="C502" s="340" t="s">
        <v>964</v>
      </c>
      <c r="D502" s="340"/>
      <c r="E502" s="340" t="s">
        <v>902</v>
      </c>
      <c r="F502" s="345">
        <v>43</v>
      </c>
      <c r="G502" s="346">
        <v>43</v>
      </c>
      <c r="H502" s="346">
        <v>43</v>
      </c>
      <c r="I502" s="346">
        <f t="shared" si="9"/>
        <v>0</v>
      </c>
      <c r="J502" s="342" t="s">
        <v>1208</v>
      </c>
      <c r="K502" s="342"/>
      <c r="L502" s="342" t="s">
        <v>1208</v>
      </c>
      <c r="M502" s="342"/>
      <c r="N502" s="342"/>
      <c r="O502" s="342"/>
      <c r="P502" s="342"/>
      <c r="Q502" s="343"/>
      <c r="R502" s="266"/>
      <c r="S502" s="266"/>
      <c r="T502" s="266"/>
    </row>
    <row r="503" spans="1:23" ht="30" customHeight="1">
      <c r="A503" s="340">
        <v>498</v>
      </c>
      <c r="B503" s="344" t="s">
        <v>1205</v>
      </c>
      <c r="C503" s="340" t="s">
        <v>704</v>
      </c>
      <c r="D503" s="340"/>
      <c r="E503" s="340" t="s">
        <v>84</v>
      </c>
      <c r="F503" s="345">
        <v>688</v>
      </c>
      <c r="G503" s="346">
        <v>688</v>
      </c>
      <c r="H503" s="346">
        <v>688</v>
      </c>
      <c r="I503" s="346">
        <f t="shared" si="9"/>
        <v>0</v>
      </c>
      <c r="J503" s="342" t="s">
        <v>995</v>
      </c>
      <c r="K503" s="342"/>
      <c r="L503" s="342" t="s">
        <v>995</v>
      </c>
      <c r="M503" s="342"/>
      <c r="N503" s="342"/>
      <c r="O503" s="342"/>
      <c r="P503" s="342"/>
      <c r="Q503" s="343"/>
      <c r="R503" s="266"/>
      <c r="S503" s="266"/>
      <c r="T503" s="266"/>
    </row>
    <row r="504" spans="1:23" ht="30" customHeight="1">
      <c r="A504" s="340">
        <v>499</v>
      </c>
      <c r="B504" s="344" t="s">
        <v>1205</v>
      </c>
      <c r="C504" s="340" t="s">
        <v>236</v>
      </c>
      <c r="D504" s="340"/>
      <c r="E504" s="340" t="s">
        <v>84</v>
      </c>
      <c r="F504" s="345">
        <v>21</v>
      </c>
      <c r="G504" s="346">
        <v>14</v>
      </c>
      <c r="H504" s="346">
        <v>14</v>
      </c>
      <c r="I504" s="346">
        <f t="shared" si="9"/>
        <v>0</v>
      </c>
      <c r="J504" s="342" t="s">
        <v>995</v>
      </c>
      <c r="K504" s="342"/>
      <c r="L504" s="342" t="s">
        <v>995</v>
      </c>
      <c r="M504" s="342"/>
      <c r="N504" s="342"/>
      <c r="O504" s="342"/>
      <c r="P504" s="342"/>
      <c r="Q504" s="343"/>
      <c r="R504" s="266"/>
      <c r="S504" s="266"/>
      <c r="T504" s="266"/>
    </row>
    <row r="505" spans="1:23" ht="30" customHeight="1">
      <c r="A505" s="340">
        <v>500</v>
      </c>
      <c r="B505" s="344" t="s">
        <v>1205</v>
      </c>
      <c r="C505" s="340" t="s">
        <v>965</v>
      </c>
      <c r="D505" s="340"/>
      <c r="E505" s="340" t="s">
        <v>902</v>
      </c>
      <c r="F505" s="345">
        <v>696</v>
      </c>
      <c r="G505" s="346">
        <v>438</v>
      </c>
      <c r="H505" s="346">
        <v>438</v>
      </c>
      <c r="I505" s="346">
        <f t="shared" si="9"/>
        <v>0</v>
      </c>
      <c r="J505" s="342" t="s">
        <v>1208</v>
      </c>
      <c r="K505" s="342"/>
      <c r="L505" s="342" t="s">
        <v>1208</v>
      </c>
      <c r="M505" s="342"/>
      <c r="N505" s="342"/>
      <c r="O505" s="342"/>
      <c r="P505" s="342"/>
      <c r="Q505" s="343"/>
      <c r="R505" s="266"/>
      <c r="S505" s="266"/>
      <c r="T505" s="266"/>
    </row>
    <row r="506" spans="1:23" ht="30" customHeight="1">
      <c r="A506" s="340">
        <v>501</v>
      </c>
      <c r="B506" s="344" t="s">
        <v>1205</v>
      </c>
      <c r="C506" s="340" t="s">
        <v>237</v>
      </c>
      <c r="D506" s="340"/>
      <c r="E506" s="340" t="s">
        <v>84</v>
      </c>
      <c r="F506" s="345">
        <v>87</v>
      </c>
      <c r="G506" s="346">
        <v>87</v>
      </c>
      <c r="H506" s="346">
        <v>87</v>
      </c>
      <c r="I506" s="346">
        <f t="shared" si="9"/>
        <v>0</v>
      </c>
      <c r="J506" s="342" t="s">
        <v>995</v>
      </c>
      <c r="K506" s="342"/>
      <c r="L506" s="342" t="s">
        <v>995</v>
      </c>
      <c r="M506" s="342"/>
      <c r="N506" s="342"/>
      <c r="O506" s="342"/>
      <c r="P506" s="342"/>
      <c r="Q506" s="343"/>
      <c r="R506" s="266"/>
      <c r="S506" s="266"/>
      <c r="T506" s="266"/>
    </row>
    <row r="507" spans="1:23" ht="30" customHeight="1">
      <c r="A507" s="340">
        <v>502</v>
      </c>
      <c r="B507" s="344" t="s">
        <v>1205</v>
      </c>
      <c r="C507" s="340" t="s">
        <v>966</v>
      </c>
      <c r="D507" s="340"/>
      <c r="E507" s="340" t="s">
        <v>902</v>
      </c>
      <c r="F507" s="345">
        <v>37</v>
      </c>
      <c r="G507" s="346">
        <v>37</v>
      </c>
      <c r="H507" s="346">
        <v>37</v>
      </c>
      <c r="I507" s="346">
        <f t="shared" si="9"/>
        <v>0</v>
      </c>
      <c r="J507" s="342" t="s">
        <v>995</v>
      </c>
      <c r="K507" s="342"/>
      <c r="L507" s="342" t="s">
        <v>995</v>
      </c>
      <c r="M507" s="342"/>
      <c r="N507" s="342"/>
      <c r="O507" s="342"/>
      <c r="P507" s="342"/>
      <c r="Q507" s="343"/>
      <c r="R507" s="266"/>
      <c r="S507" s="266"/>
      <c r="T507" s="266"/>
    </row>
    <row r="508" spans="1:23" ht="30" customHeight="1">
      <c r="A508" s="340">
        <v>503</v>
      </c>
      <c r="B508" s="344" t="s">
        <v>1205</v>
      </c>
      <c r="C508" s="340" t="s">
        <v>291</v>
      </c>
      <c r="D508" s="340"/>
      <c r="E508" s="340" t="s">
        <v>84</v>
      </c>
      <c r="F508" s="345">
        <v>380</v>
      </c>
      <c r="G508" s="346">
        <v>380</v>
      </c>
      <c r="H508" s="346">
        <v>380</v>
      </c>
      <c r="I508" s="346">
        <f t="shared" si="9"/>
        <v>0</v>
      </c>
      <c r="J508" s="342" t="s">
        <v>1208</v>
      </c>
      <c r="K508" s="342"/>
      <c r="L508" s="342" t="s">
        <v>1208</v>
      </c>
      <c r="M508" s="342"/>
      <c r="N508" s="342"/>
      <c r="O508" s="342"/>
      <c r="P508" s="342"/>
      <c r="Q508" s="343"/>
      <c r="R508" s="266"/>
      <c r="S508" s="266"/>
      <c r="T508" s="268"/>
    </row>
    <row r="509" spans="1:23" ht="30" customHeight="1">
      <c r="A509" s="340">
        <v>504</v>
      </c>
      <c r="B509" s="344" t="s">
        <v>1205</v>
      </c>
      <c r="C509" s="340" t="s">
        <v>967</v>
      </c>
      <c r="D509" s="340"/>
      <c r="E509" s="340" t="s">
        <v>902</v>
      </c>
      <c r="F509" s="345">
        <v>23</v>
      </c>
      <c r="G509" s="346">
        <v>23</v>
      </c>
      <c r="H509" s="346">
        <v>23</v>
      </c>
      <c r="I509" s="346">
        <f t="shared" si="9"/>
        <v>0</v>
      </c>
      <c r="J509" s="342" t="s">
        <v>995</v>
      </c>
      <c r="K509" s="342"/>
      <c r="L509" s="342" t="s">
        <v>995</v>
      </c>
      <c r="M509" s="342"/>
      <c r="N509" s="342"/>
      <c r="O509" s="342"/>
      <c r="P509" s="342"/>
      <c r="Q509" s="343"/>
      <c r="R509" s="266"/>
      <c r="S509" s="266"/>
      <c r="T509" s="268"/>
    </row>
    <row r="510" spans="1:23" ht="30" customHeight="1">
      <c r="A510" s="340">
        <v>505</v>
      </c>
      <c r="B510" s="344" t="s">
        <v>1205</v>
      </c>
      <c r="C510" s="340" t="s">
        <v>238</v>
      </c>
      <c r="D510" s="340"/>
      <c r="E510" s="340" t="s">
        <v>84</v>
      </c>
      <c r="F510" s="345">
        <v>301</v>
      </c>
      <c r="G510" s="346">
        <v>294</v>
      </c>
      <c r="H510" s="346">
        <v>294</v>
      </c>
      <c r="I510" s="346">
        <f t="shared" si="9"/>
        <v>0</v>
      </c>
      <c r="J510" s="342" t="s">
        <v>1208</v>
      </c>
      <c r="K510" s="342"/>
      <c r="L510" s="342" t="s">
        <v>1208</v>
      </c>
      <c r="M510" s="342"/>
      <c r="N510" s="342"/>
      <c r="O510" s="342"/>
      <c r="P510" s="342"/>
      <c r="Q510" s="343"/>
      <c r="R510" s="266"/>
      <c r="S510" s="266"/>
      <c r="T510" s="268"/>
    </row>
    <row r="511" spans="1:23" ht="30" customHeight="1">
      <c r="A511" s="340">
        <v>506</v>
      </c>
      <c r="B511" s="344" t="s">
        <v>1205</v>
      </c>
      <c r="C511" s="340" t="s">
        <v>968</v>
      </c>
      <c r="D511" s="340"/>
      <c r="E511" s="340" t="s">
        <v>902</v>
      </c>
      <c r="F511" s="345">
        <v>144</v>
      </c>
      <c r="G511" s="346">
        <v>144</v>
      </c>
      <c r="H511" s="346">
        <v>144</v>
      </c>
      <c r="I511" s="346">
        <f t="shared" si="9"/>
        <v>0</v>
      </c>
      <c r="J511" s="342" t="s">
        <v>995</v>
      </c>
      <c r="K511" s="342"/>
      <c r="L511" s="342" t="s">
        <v>995</v>
      </c>
      <c r="M511" s="342"/>
      <c r="N511" s="342"/>
      <c r="O511" s="342"/>
      <c r="P511" s="342"/>
      <c r="Q511" s="343"/>
      <c r="R511" s="266"/>
      <c r="S511" s="266"/>
      <c r="T511" s="268"/>
    </row>
    <row r="512" spans="1:23" ht="30" customHeight="1">
      <c r="A512" s="340">
        <v>507</v>
      </c>
      <c r="B512" s="344" t="s">
        <v>1205</v>
      </c>
      <c r="C512" s="340" t="s">
        <v>239</v>
      </c>
      <c r="D512" s="340"/>
      <c r="E512" s="340" t="s">
        <v>84</v>
      </c>
      <c r="F512" s="345">
        <v>43</v>
      </c>
      <c r="G512" s="346">
        <v>27</v>
      </c>
      <c r="H512" s="346">
        <v>27</v>
      </c>
      <c r="I512" s="346">
        <f t="shared" si="9"/>
        <v>0</v>
      </c>
      <c r="J512" s="342" t="s">
        <v>1208</v>
      </c>
      <c r="K512" s="342"/>
      <c r="L512" s="342" t="s">
        <v>1208</v>
      </c>
      <c r="M512" s="342"/>
      <c r="N512" s="342"/>
      <c r="O512" s="342"/>
      <c r="P512" s="342"/>
      <c r="Q512" s="343"/>
      <c r="R512" s="266"/>
      <c r="S512" s="266"/>
      <c r="T512" s="288"/>
      <c r="U512" s="266"/>
      <c r="V512" s="266"/>
      <c r="W512" s="266"/>
    </row>
    <row r="513" spans="1:23" ht="30" customHeight="1">
      <c r="A513" s="340">
        <v>508</v>
      </c>
      <c r="B513" s="344" t="s">
        <v>1205</v>
      </c>
      <c r="C513" s="340" t="s">
        <v>969</v>
      </c>
      <c r="D513" s="340"/>
      <c r="E513" s="340" t="s">
        <v>902</v>
      </c>
      <c r="F513" s="345">
        <v>48</v>
      </c>
      <c r="G513" s="346">
        <v>48</v>
      </c>
      <c r="H513" s="346">
        <v>48</v>
      </c>
      <c r="I513" s="346">
        <f t="shared" si="9"/>
        <v>0</v>
      </c>
      <c r="J513" s="342" t="s">
        <v>995</v>
      </c>
      <c r="K513" s="342"/>
      <c r="L513" s="342" t="s">
        <v>995</v>
      </c>
      <c r="M513" s="342"/>
      <c r="N513" s="342"/>
      <c r="O513" s="342"/>
      <c r="P513" s="342"/>
      <c r="Q513" s="343"/>
      <c r="R513" s="266"/>
      <c r="S513" s="266"/>
      <c r="T513" s="288"/>
      <c r="U513" s="266"/>
      <c r="V513" s="266"/>
      <c r="W513" s="266"/>
    </row>
    <row r="514" spans="1:23" ht="30" customHeight="1">
      <c r="A514" s="340">
        <v>509</v>
      </c>
      <c r="B514" s="344" t="s">
        <v>1205</v>
      </c>
      <c r="C514" s="340" t="s">
        <v>240</v>
      </c>
      <c r="D514" s="340"/>
      <c r="E514" s="340" t="s">
        <v>84</v>
      </c>
      <c r="F514" s="345">
        <v>240</v>
      </c>
      <c r="G514" s="346">
        <v>204</v>
      </c>
      <c r="H514" s="346">
        <v>204</v>
      </c>
      <c r="I514" s="346">
        <f t="shared" si="9"/>
        <v>0</v>
      </c>
      <c r="J514" s="342" t="s">
        <v>995</v>
      </c>
      <c r="K514" s="342"/>
      <c r="L514" s="342" t="s">
        <v>995</v>
      </c>
      <c r="M514" s="342"/>
      <c r="N514" s="342"/>
      <c r="O514" s="342"/>
      <c r="P514" s="342"/>
      <c r="Q514" s="343"/>
      <c r="R514" s="266"/>
      <c r="S514" s="266"/>
      <c r="T514" s="266"/>
    </row>
    <row r="515" spans="1:23" ht="30" customHeight="1">
      <c r="A515" s="340">
        <v>510</v>
      </c>
      <c r="B515" s="344" t="s">
        <v>1205</v>
      </c>
      <c r="C515" s="340" t="s">
        <v>970</v>
      </c>
      <c r="D515" s="340"/>
      <c r="E515" s="340" t="s">
        <v>902</v>
      </c>
      <c r="F515" s="345">
        <v>485</v>
      </c>
      <c r="G515" s="346">
        <v>553</v>
      </c>
      <c r="H515" s="346">
        <v>553</v>
      </c>
      <c r="I515" s="346">
        <f t="shared" si="9"/>
        <v>0</v>
      </c>
      <c r="J515" s="342" t="s">
        <v>995</v>
      </c>
      <c r="K515" s="342"/>
      <c r="L515" s="342" t="s">
        <v>995</v>
      </c>
      <c r="M515" s="342"/>
      <c r="N515" s="342"/>
      <c r="O515" s="342"/>
      <c r="P515" s="342"/>
      <c r="Q515" s="343"/>
      <c r="R515" s="266"/>
      <c r="S515" s="266"/>
      <c r="T515" s="266"/>
    </row>
    <row r="516" spans="1:23" ht="30" customHeight="1">
      <c r="A516" s="340">
        <v>511</v>
      </c>
      <c r="B516" s="344" t="s">
        <v>1205</v>
      </c>
      <c r="C516" s="340" t="s">
        <v>241</v>
      </c>
      <c r="D516" s="340"/>
      <c r="E516" s="340" t="s">
        <v>84</v>
      </c>
      <c r="F516" s="345">
        <v>1806</v>
      </c>
      <c r="G516" s="346">
        <v>272</v>
      </c>
      <c r="H516" s="346">
        <v>272</v>
      </c>
      <c r="I516" s="346">
        <f t="shared" si="9"/>
        <v>0</v>
      </c>
      <c r="J516" s="342" t="s">
        <v>995</v>
      </c>
      <c r="K516" s="342"/>
      <c r="L516" s="342" t="s">
        <v>995</v>
      </c>
      <c r="M516" s="342"/>
      <c r="N516" s="342"/>
      <c r="O516" s="342"/>
      <c r="P516" s="342"/>
      <c r="Q516" s="343"/>
      <c r="R516" s="266"/>
      <c r="S516" s="266"/>
      <c r="T516" s="266"/>
    </row>
    <row r="517" spans="1:23" ht="30" customHeight="1">
      <c r="A517" s="340">
        <v>512</v>
      </c>
      <c r="B517" s="344" t="s">
        <v>1205</v>
      </c>
      <c r="C517" s="340" t="s">
        <v>971</v>
      </c>
      <c r="D517" s="340"/>
      <c r="E517" s="340" t="s">
        <v>902</v>
      </c>
      <c r="F517" s="345">
        <v>1631</v>
      </c>
      <c r="G517" s="346">
        <v>1499</v>
      </c>
      <c r="H517" s="346">
        <v>1499</v>
      </c>
      <c r="I517" s="346">
        <f t="shared" si="9"/>
        <v>0</v>
      </c>
      <c r="J517" s="342" t="s">
        <v>995</v>
      </c>
      <c r="K517" s="342"/>
      <c r="L517" s="342" t="s">
        <v>995</v>
      </c>
      <c r="M517" s="342"/>
      <c r="N517" s="342"/>
      <c r="O517" s="342"/>
      <c r="P517" s="342"/>
      <c r="Q517" s="343"/>
      <c r="R517" s="266"/>
      <c r="S517" s="266"/>
      <c r="T517" s="266"/>
    </row>
    <row r="518" spans="1:23" ht="30" customHeight="1">
      <c r="A518" s="340">
        <v>513</v>
      </c>
      <c r="B518" s="344" t="s">
        <v>1205</v>
      </c>
      <c r="C518" s="340" t="s">
        <v>242</v>
      </c>
      <c r="D518" s="340"/>
      <c r="E518" s="340" t="s">
        <v>84</v>
      </c>
      <c r="F518" s="345">
        <v>1617</v>
      </c>
      <c r="G518" s="346">
        <v>1387</v>
      </c>
      <c r="H518" s="346">
        <v>1387</v>
      </c>
      <c r="I518" s="346">
        <f t="shared" si="9"/>
        <v>0</v>
      </c>
      <c r="J518" s="342" t="s">
        <v>995</v>
      </c>
      <c r="K518" s="342"/>
      <c r="L518" s="342" t="s">
        <v>995</v>
      </c>
      <c r="M518" s="342"/>
      <c r="N518" s="342"/>
      <c r="O518" s="342"/>
      <c r="P518" s="342"/>
      <c r="Q518" s="343"/>
      <c r="R518" s="266"/>
      <c r="S518" s="266"/>
      <c r="T518" s="266"/>
    </row>
    <row r="519" spans="1:23" ht="30" customHeight="1">
      <c r="A519" s="340">
        <v>514</v>
      </c>
      <c r="B519" s="344" t="s">
        <v>1205</v>
      </c>
      <c r="C519" s="340" t="s">
        <v>972</v>
      </c>
      <c r="D519" s="340"/>
      <c r="E519" s="340" t="s">
        <v>902</v>
      </c>
      <c r="F519" s="345">
        <v>1357</v>
      </c>
      <c r="G519" s="346">
        <v>1028</v>
      </c>
      <c r="H519" s="346">
        <v>1028</v>
      </c>
      <c r="I519" s="346">
        <f t="shared" si="9"/>
        <v>0</v>
      </c>
      <c r="J519" s="342" t="s">
        <v>995</v>
      </c>
      <c r="K519" s="342"/>
      <c r="L519" s="342" t="s">
        <v>995</v>
      </c>
      <c r="M519" s="342"/>
      <c r="N519" s="342"/>
      <c r="O519" s="342"/>
      <c r="P519" s="342"/>
      <c r="Q519" s="343"/>
      <c r="R519" s="266"/>
      <c r="S519" s="266"/>
      <c r="T519" s="266"/>
    </row>
    <row r="520" spans="1:23" ht="30" customHeight="1">
      <c r="A520" s="340">
        <v>515</v>
      </c>
      <c r="B520" s="344" t="s">
        <v>1205</v>
      </c>
      <c r="C520" s="340" t="s">
        <v>243</v>
      </c>
      <c r="D520" s="340"/>
      <c r="E520" s="340" t="s">
        <v>84</v>
      </c>
      <c r="F520" s="345">
        <v>161</v>
      </c>
      <c r="G520" s="346">
        <v>91</v>
      </c>
      <c r="H520" s="346">
        <v>91</v>
      </c>
      <c r="I520" s="346">
        <f t="shared" si="9"/>
        <v>0</v>
      </c>
      <c r="J520" s="342" t="s">
        <v>995</v>
      </c>
      <c r="K520" s="342"/>
      <c r="L520" s="342" t="s">
        <v>995</v>
      </c>
      <c r="M520" s="342"/>
      <c r="N520" s="342"/>
      <c r="O520" s="342"/>
      <c r="P520" s="342"/>
      <c r="Q520" s="343"/>
      <c r="R520" s="266"/>
      <c r="S520" s="266"/>
      <c r="T520" s="266"/>
    </row>
    <row r="521" spans="1:23" ht="30" customHeight="1">
      <c r="A521" s="340">
        <v>516</v>
      </c>
      <c r="B521" s="344" t="s">
        <v>1205</v>
      </c>
      <c r="C521" s="340" t="s">
        <v>973</v>
      </c>
      <c r="D521" s="340"/>
      <c r="E521" s="340" t="s">
        <v>902</v>
      </c>
      <c r="F521" s="345">
        <v>265</v>
      </c>
      <c r="G521" s="346">
        <v>265</v>
      </c>
      <c r="H521" s="346">
        <v>265</v>
      </c>
      <c r="I521" s="346">
        <f t="shared" si="9"/>
        <v>0</v>
      </c>
      <c r="J521" s="342" t="s">
        <v>995</v>
      </c>
      <c r="K521" s="342"/>
      <c r="L521" s="342" t="s">
        <v>995</v>
      </c>
      <c r="M521" s="342"/>
      <c r="N521" s="342"/>
      <c r="O521" s="342"/>
      <c r="P521" s="342"/>
      <c r="Q521" s="343"/>
      <c r="R521" s="266"/>
      <c r="S521" s="266"/>
      <c r="T521" s="266"/>
    </row>
    <row r="522" spans="1:23" ht="30" customHeight="1">
      <c r="A522" s="340">
        <v>517</v>
      </c>
      <c r="B522" s="344" t="s">
        <v>1205</v>
      </c>
      <c r="C522" s="340" t="s">
        <v>244</v>
      </c>
      <c r="D522" s="340"/>
      <c r="E522" s="340" t="s">
        <v>84</v>
      </c>
      <c r="F522" s="345">
        <v>362</v>
      </c>
      <c r="G522" s="346">
        <v>223</v>
      </c>
      <c r="H522" s="346">
        <v>223</v>
      </c>
      <c r="I522" s="346">
        <f t="shared" si="9"/>
        <v>0</v>
      </c>
      <c r="J522" s="342" t="s">
        <v>995</v>
      </c>
      <c r="K522" s="342"/>
      <c r="L522" s="342" t="s">
        <v>995</v>
      </c>
      <c r="M522" s="342"/>
      <c r="N522" s="342"/>
      <c r="O522" s="342"/>
      <c r="P522" s="342"/>
      <c r="Q522" s="343"/>
      <c r="R522" s="266"/>
      <c r="S522" s="266"/>
      <c r="T522" s="266"/>
    </row>
    <row r="523" spans="1:23" ht="30" customHeight="1">
      <c r="A523" s="340">
        <v>518</v>
      </c>
      <c r="B523" s="344" t="s">
        <v>1205</v>
      </c>
      <c r="C523" s="340" t="s">
        <v>287</v>
      </c>
      <c r="D523" s="340"/>
      <c r="E523" s="340" t="s">
        <v>902</v>
      </c>
      <c r="F523" s="345">
        <v>7230</v>
      </c>
      <c r="G523" s="346">
        <v>2355</v>
      </c>
      <c r="H523" s="346">
        <v>2355</v>
      </c>
      <c r="I523" s="346">
        <f t="shared" si="9"/>
        <v>0</v>
      </c>
      <c r="J523" s="342" t="s">
        <v>1208</v>
      </c>
      <c r="K523" s="342"/>
      <c r="L523" s="342" t="s">
        <v>1208</v>
      </c>
      <c r="M523" s="342"/>
      <c r="N523" s="342"/>
      <c r="O523" s="342"/>
      <c r="P523" s="342"/>
      <c r="Q523" s="343"/>
      <c r="R523" s="266"/>
      <c r="S523" s="266"/>
      <c r="T523" s="266"/>
    </row>
    <row r="524" spans="1:23" ht="30" customHeight="1">
      <c r="A524" s="340">
        <v>519</v>
      </c>
      <c r="B524" s="344" t="s">
        <v>1205</v>
      </c>
      <c r="C524" s="340" t="s">
        <v>974</v>
      </c>
      <c r="D524" s="340"/>
      <c r="E524" s="340" t="s">
        <v>902</v>
      </c>
      <c r="F524" s="345">
        <v>2302</v>
      </c>
      <c r="G524" s="346">
        <v>1634</v>
      </c>
      <c r="H524" s="346">
        <v>1634</v>
      </c>
      <c r="I524" s="346">
        <f t="shared" si="9"/>
        <v>0</v>
      </c>
      <c r="J524" s="342" t="s">
        <v>995</v>
      </c>
      <c r="K524" s="342"/>
      <c r="L524" s="342" t="s">
        <v>995</v>
      </c>
      <c r="M524" s="342"/>
      <c r="N524" s="342"/>
      <c r="O524" s="342"/>
      <c r="P524" s="342"/>
      <c r="Q524" s="343"/>
      <c r="R524" s="266"/>
      <c r="S524" s="266"/>
      <c r="T524" s="266"/>
    </row>
    <row r="525" spans="1:23" ht="30" customHeight="1">
      <c r="A525" s="340">
        <v>520</v>
      </c>
      <c r="B525" s="344" t="s">
        <v>1205</v>
      </c>
      <c r="C525" s="340" t="s">
        <v>245</v>
      </c>
      <c r="D525" s="340"/>
      <c r="E525" s="340" t="s">
        <v>84</v>
      </c>
      <c r="F525" s="345">
        <v>48</v>
      </c>
      <c r="G525" s="346">
        <v>48</v>
      </c>
      <c r="H525" s="346">
        <v>48</v>
      </c>
      <c r="I525" s="346">
        <f t="shared" si="9"/>
        <v>0</v>
      </c>
      <c r="J525" s="342" t="s">
        <v>995</v>
      </c>
      <c r="K525" s="342"/>
      <c r="L525" s="342" t="s">
        <v>995</v>
      </c>
      <c r="M525" s="342"/>
      <c r="N525" s="342"/>
      <c r="O525" s="342"/>
      <c r="P525" s="342"/>
      <c r="Q525" s="343"/>
      <c r="R525" s="266"/>
      <c r="S525" s="266"/>
      <c r="T525" s="266"/>
    </row>
    <row r="526" spans="1:23" ht="30" customHeight="1">
      <c r="A526" s="340">
        <v>521</v>
      </c>
      <c r="B526" s="344" t="s">
        <v>1205</v>
      </c>
      <c r="C526" s="340" t="s">
        <v>975</v>
      </c>
      <c r="D526" s="340"/>
      <c r="E526" s="340" t="s">
        <v>902</v>
      </c>
      <c r="F526" s="345">
        <v>165</v>
      </c>
      <c r="G526" s="346">
        <v>105</v>
      </c>
      <c r="H526" s="346">
        <v>105</v>
      </c>
      <c r="I526" s="346">
        <f t="shared" si="9"/>
        <v>0</v>
      </c>
      <c r="J526" s="342" t="s">
        <v>1208</v>
      </c>
      <c r="K526" s="342"/>
      <c r="L526" s="342" t="s">
        <v>1208</v>
      </c>
      <c r="M526" s="342"/>
      <c r="N526" s="342"/>
      <c r="O526" s="342"/>
      <c r="P526" s="342"/>
      <c r="Q526" s="343"/>
      <c r="R526" s="266"/>
      <c r="S526" s="266"/>
      <c r="T526" s="266"/>
    </row>
    <row r="527" spans="1:23" ht="30" customHeight="1">
      <c r="A527" s="340">
        <v>522</v>
      </c>
      <c r="B527" s="344" t="s">
        <v>1205</v>
      </c>
      <c r="C527" s="340" t="s">
        <v>246</v>
      </c>
      <c r="D527" s="340"/>
      <c r="E527" s="340" t="s">
        <v>84</v>
      </c>
      <c r="F527" s="345">
        <v>204</v>
      </c>
      <c r="G527" s="346">
        <v>79</v>
      </c>
      <c r="H527" s="346">
        <v>79</v>
      </c>
      <c r="I527" s="346">
        <f t="shared" si="9"/>
        <v>0</v>
      </c>
      <c r="J527" s="342" t="s">
        <v>995</v>
      </c>
      <c r="K527" s="342"/>
      <c r="L527" s="342" t="s">
        <v>995</v>
      </c>
      <c r="M527" s="342"/>
      <c r="N527" s="342"/>
      <c r="O527" s="342"/>
      <c r="P527" s="342"/>
      <c r="Q527" s="343"/>
      <c r="R527" s="266"/>
      <c r="S527" s="266"/>
      <c r="T527" s="266"/>
    </row>
    <row r="528" spans="1:23" ht="30" customHeight="1">
      <c r="A528" s="340">
        <v>523</v>
      </c>
      <c r="B528" s="344" t="s">
        <v>1205</v>
      </c>
      <c r="C528" s="340" t="s">
        <v>976</v>
      </c>
      <c r="D528" s="340"/>
      <c r="E528" s="340" t="s">
        <v>902</v>
      </c>
      <c r="F528" s="345">
        <v>87</v>
      </c>
      <c r="G528" s="346">
        <v>30</v>
      </c>
      <c r="H528" s="346">
        <v>30</v>
      </c>
      <c r="I528" s="346">
        <f t="shared" si="9"/>
        <v>0</v>
      </c>
      <c r="J528" s="342" t="s">
        <v>995</v>
      </c>
      <c r="K528" s="342"/>
      <c r="L528" s="342" t="s">
        <v>995</v>
      </c>
      <c r="M528" s="342"/>
      <c r="N528" s="342"/>
      <c r="O528" s="342"/>
      <c r="P528" s="342"/>
      <c r="Q528" s="343"/>
      <c r="R528" s="266"/>
      <c r="S528" s="266"/>
      <c r="T528" s="266"/>
    </row>
    <row r="529" spans="1:23" ht="30" customHeight="1">
      <c r="A529" s="340">
        <v>524</v>
      </c>
      <c r="B529" s="344" t="s">
        <v>1205</v>
      </c>
      <c r="C529" s="340" t="s">
        <v>247</v>
      </c>
      <c r="D529" s="340"/>
      <c r="E529" s="340" t="s">
        <v>84</v>
      </c>
      <c r="F529" s="345">
        <v>162</v>
      </c>
      <c r="G529" s="346">
        <v>48</v>
      </c>
      <c r="H529" s="346">
        <v>48</v>
      </c>
      <c r="I529" s="346">
        <f t="shared" si="9"/>
        <v>0</v>
      </c>
      <c r="J529" s="342" t="s">
        <v>995</v>
      </c>
      <c r="K529" s="342"/>
      <c r="L529" s="342" t="s">
        <v>995</v>
      </c>
      <c r="M529" s="342"/>
      <c r="N529" s="342"/>
      <c r="O529" s="342"/>
      <c r="P529" s="342"/>
      <c r="Q529" s="343"/>
      <c r="R529" s="266"/>
      <c r="S529" s="266"/>
      <c r="T529" s="268"/>
    </row>
    <row r="530" spans="1:23" ht="30" customHeight="1">
      <c r="A530" s="340">
        <v>525</v>
      </c>
      <c r="B530" s="344" t="s">
        <v>1205</v>
      </c>
      <c r="C530" s="340" t="s">
        <v>977</v>
      </c>
      <c r="D530" s="340"/>
      <c r="E530" s="340" t="s">
        <v>902</v>
      </c>
      <c r="F530" s="345">
        <v>196</v>
      </c>
      <c r="G530" s="346">
        <v>111</v>
      </c>
      <c r="H530" s="346">
        <v>111</v>
      </c>
      <c r="I530" s="346">
        <f t="shared" si="9"/>
        <v>0</v>
      </c>
      <c r="J530" s="342" t="s">
        <v>995</v>
      </c>
      <c r="K530" s="342"/>
      <c r="L530" s="342" t="s">
        <v>995</v>
      </c>
      <c r="M530" s="342"/>
      <c r="N530" s="342"/>
      <c r="O530" s="342"/>
      <c r="P530" s="342"/>
      <c r="Q530" s="343"/>
      <c r="R530" s="266"/>
      <c r="S530" s="266"/>
      <c r="T530" s="268"/>
    </row>
    <row r="531" spans="1:23" ht="30" customHeight="1">
      <c r="A531" s="340">
        <v>526</v>
      </c>
      <c r="B531" s="344" t="s">
        <v>1205</v>
      </c>
      <c r="C531" s="340" t="s">
        <v>741</v>
      </c>
      <c r="D531" s="340"/>
      <c r="E531" s="340" t="s">
        <v>89</v>
      </c>
      <c r="F531" s="345">
        <v>104</v>
      </c>
      <c r="G531" s="346"/>
      <c r="H531" s="346">
        <v>104</v>
      </c>
      <c r="I531" s="346">
        <f t="shared" si="9"/>
        <v>104</v>
      </c>
      <c r="J531" s="342"/>
      <c r="K531" s="342"/>
      <c r="L531" s="342" t="s">
        <v>995</v>
      </c>
      <c r="M531" s="342"/>
      <c r="N531" s="342"/>
      <c r="O531" s="342"/>
      <c r="P531" s="342"/>
      <c r="Q531" s="343"/>
      <c r="R531" s="266"/>
      <c r="S531" s="266"/>
      <c r="T531" s="268"/>
    </row>
    <row r="532" spans="1:23" ht="30" customHeight="1">
      <c r="A532" s="340">
        <v>527</v>
      </c>
      <c r="B532" s="344" t="s">
        <v>1206</v>
      </c>
      <c r="C532" s="340" t="s">
        <v>454</v>
      </c>
      <c r="D532" s="340"/>
      <c r="E532" s="340" t="s">
        <v>135</v>
      </c>
      <c r="F532" s="345">
        <v>183</v>
      </c>
      <c r="G532" s="346">
        <v>183</v>
      </c>
      <c r="H532" s="346">
        <v>183</v>
      </c>
      <c r="I532" s="346">
        <f>H532-G532</f>
        <v>0</v>
      </c>
      <c r="J532" s="342" t="s">
        <v>995</v>
      </c>
      <c r="K532" s="342"/>
      <c r="L532" s="342" t="s">
        <v>995</v>
      </c>
      <c r="M532" s="342"/>
      <c r="N532" s="342"/>
      <c r="O532" s="342"/>
      <c r="P532" s="342"/>
      <c r="Q532" s="343"/>
      <c r="R532" s="266"/>
      <c r="S532" s="266"/>
      <c r="T532" s="268"/>
    </row>
    <row r="533" spans="1:23" ht="30" customHeight="1">
      <c r="A533" s="340">
        <v>528</v>
      </c>
      <c r="B533" s="344" t="s">
        <v>1206</v>
      </c>
      <c r="C533" s="340" t="s">
        <v>455</v>
      </c>
      <c r="D533" s="340"/>
      <c r="E533" s="340" t="s">
        <v>135</v>
      </c>
      <c r="F533" s="345">
        <v>156</v>
      </c>
      <c r="G533" s="346">
        <v>156</v>
      </c>
      <c r="H533" s="346">
        <v>156</v>
      </c>
      <c r="I533" s="346">
        <f t="shared" ref="I533:I596" si="10">H533-G533</f>
        <v>0</v>
      </c>
      <c r="J533" s="342" t="s">
        <v>1259</v>
      </c>
      <c r="K533" s="342" t="s">
        <v>1104</v>
      </c>
      <c r="L533" s="342" t="s">
        <v>995</v>
      </c>
      <c r="M533" s="342"/>
      <c r="N533" s="342"/>
      <c r="O533" s="342"/>
      <c r="P533" s="342"/>
      <c r="Q533" s="343"/>
      <c r="R533" s="266"/>
      <c r="S533" s="266"/>
      <c r="T533" s="288"/>
      <c r="U533" s="266"/>
      <c r="V533" s="266"/>
      <c r="W533" s="266"/>
    </row>
    <row r="534" spans="1:23" ht="30" customHeight="1">
      <c r="A534" s="340">
        <v>529</v>
      </c>
      <c r="B534" s="344" t="s">
        <v>1206</v>
      </c>
      <c r="C534" s="340" t="s">
        <v>456</v>
      </c>
      <c r="D534" s="340"/>
      <c r="E534" s="340" t="s">
        <v>135</v>
      </c>
      <c r="F534" s="345">
        <v>99</v>
      </c>
      <c r="G534" s="346">
        <v>99</v>
      </c>
      <c r="H534" s="346">
        <v>99</v>
      </c>
      <c r="I534" s="346">
        <f t="shared" si="10"/>
        <v>0</v>
      </c>
      <c r="J534" s="342" t="s">
        <v>1259</v>
      </c>
      <c r="K534" s="342" t="s">
        <v>1104</v>
      </c>
      <c r="L534" s="342" t="s">
        <v>995</v>
      </c>
      <c r="M534" s="342"/>
      <c r="N534" s="342"/>
      <c r="O534" s="343"/>
      <c r="P534" s="342"/>
      <c r="Q534" s="343"/>
      <c r="R534" s="266"/>
      <c r="S534" s="266"/>
      <c r="T534" s="288"/>
      <c r="U534" s="266"/>
      <c r="V534" s="266"/>
      <c r="W534" s="266"/>
    </row>
    <row r="535" spans="1:23" ht="30" customHeight="1">
      <c r="A535" s="340">
        <v>530</v>
      </c>
      <c r="B535" s="344" t="s">
        <v>1206</v>
      </c>
      <c r="C535" s="340" t="s">
        <v>457</v>
      </c>
      <c r="D535" s="340"/>
      <c r="E535" s="340" t="s">
        <v>135</v>
      </c>
      <c r="F535" s="345">
        <v>124</v>
      </c>
      <c r="G535" s="346">
        <v>124</v>
      </c>
      <c r="H535" s="346">
        <v>124</v>
      </c>
      <c r="I535" s="346">
        <f t="shared" si="10"/>
        <v>0</v>
      </c>
      <c r="J535" s="342" t="s">
        <v>995</v>
      </c>
      <c r="K535" s="342"/>
      <c r="L535" s="342" t="s">
        <v>995</v>
      </c>
      <c r="M535" s="342"/>
      <c r="N535" s="342"/>
      <c r="O535" s="342"/>
      <c r="P535" s="342"/>
      <c r="Q535" s="343"/>
      <c r="R535" s="266"/>
      <c r="S535" s="266"/>
      <c r="T535" s="266"/>
    </row>
    <row r="536" spans="1:23" ht="30" customHeight="1">
      <c r="A536" s="340">
        <v>531</v>
      </c>
      <c r="B536" s="344" t="s">
        <v>1206</v>
      </c>
      <c r="C536" s="340" t="s">
        <v>458</v>
      </c>
      <c r="D536" s="340"/>
      <c r="E536" s="340" t="s">
        <v>135</v>
      </c>
      <c r="F536" s="345">
        <v>62</v>
      </c>
      <c r="G536" s="346">
        <v>62</v>
      </c>
      <c r="H536" s="346">
        <v>62</v>
      </c>
      <c r="I536" s="346">
        <f t="shared" si="10"/>
        <v>0</v>
      </c>
      <c r="J536" s="342" t="s">
        <v>995</v>
      </c>
      <c r="K536" s="342"/>
      <c r="L536" s="342" t="s">
        <v>995</v>
      </c>
      <c r="M536" s="342"/>
      <c r="N536" s="342"/>
      <c r="O536" s="342"/>
      <c r="P536" s="342"/>
      <c r="Q536" s="343"/>
      <c r="R536" s="266"/>
      <c r="S536" s="266"/>
      <c r="T536" s="266"/>
    </row>
    <row r="537" spans="1:23" ht="30" customHeight="1">
      <c r="A537" s="340">
        <v>532</v>
      </c>
      <c r="B537" s="344" t="s">
        <v>1206</v>
      </c>
      <c r="C537" s="340" t="s">
        <v>459</v>
      </c>
      <c r="D537" s="340"/>
      <c r="E537" s="340" t="s">
        <v>135</v>
      </c>
      <c r="F537" s="345">
        <v>66</v>
      </c>
      <c r="G537" s="346">
        <v>66</v>
      </c>
      <c r="H537" s="346">
        <v>66</v>
      </c>
      <c r="I537" s="346">
        <f t="shared" si="10"/>
        <v>0</v>
      </c>
      <c r="J537" s="342" t="s">
        <v>995</v>
      </c>
      <c r="K537" s="342"/>
      <c r="L537" s="342" t="s">
        <v>995</v>
      </c>
      <c r="M537" s="342"/>
      <c r="N537" s="342"/>
      <c r="O537" s="342"/>
      <c r="P537" s="342"/>
      <c r="Q537" s="343"/>
      <c r="R537" s="266"/>
      <c r="S537" s="266"/>
      <c r="T537" s="266"/>
    </row>
    <row r="538" spans="1:23" ht="30" customHeight="1">
      <c r="A538" s="340">
        <v>533</v>
      </c>
      <c r="B538" s="344" t="s">
        <v>1206</v>
      </c>
      <c r="C538" s="340" t="s">
        <v>460</v>
      </c>
      <c r="D538" s="340"/>
      <c r="E538" s="340" t="s">
        <v>135</v>
      </c>
      <c r="F538" s="345">
        <v>53</v>
      </c>
      <c r="G538" s="346">
        <v>53</v>
      </c>
      <c r="H538" s="346">
        <v>53</v>
      </c>
      <c r="I538" s="346">
        <f t="shared" si="10"/>
        <v>0</v>
      </c>
      <c r="J538" s="342" t="s">
        <v>995</v>
      </c>
      <c r="K538" s="342"/>
      <c r="L538" s="342" t="s">
        <v>995</v>
      </c>
      <c r="M538" s="342"/>
      <c r="N538" s="342"/>
      <c r="O538" s="342"/>
      <c r="P538" s="342"/>
      <c r="Q538" s="343"/>
      <c r="R538" s="266"/>
      <c r="S538" s="266"/>
      <c r="T538" s="266"/>
    </row>
    <row r="539" spans="1:23" ht="30" customHeight="1">
      <c r="A539" s="340">
        <v>534</v>
      </c>
      <c r="B539" s="344" t="s">
        <v>1206</v>
      </c>
      <c r="C539" s="340" t="s">
        <v>461</v>
      </c>
      <c r="D539" s="340"/>
      <c r="E539" s="340" t="s">
        <v>135</v>
      </c>
      <c r="F539" s="345">
        <v>38</v>
      </c>
      <c r="G539" s="346">
        <v>38</v>
      </c>
      <c r="H539" s="346">
        <v>38</v>
      </c>
      <c r="I539" s="346">
        <f t="shared" si="10"/>
        <v>0</v>
      </c>
      <c r="J539" s="342" t="s">
        <v>995</v>
      </c>
      <c r="K539" s="342"/>
      <c r="L539" s="342" t="s">
        <v>995</v>
      </c>
      <c r="M539" s="342"/>
      <c r="N539" s="342"/>
      <c r="O539" s="342"/>
      <c r="P539" s="342"/>
      <c r="Q539" s="343"/>
      <c r="R539" s="266"/>
      <c r="S539" s="266"/>
      <c r="T539" s="266"/>
    </row>
    <row r="540" spans="1:23" ht="30" customHeight="1">
      <c r="A540" s="340">
        <v>535</v>
      </c>
      <c r="B540" s="344" t="s">
        <v>1206</v>
      </c>
      <c r="C540" s="340" t="s">
        <v>462</v>
      </c>
      <c r="D540" s="340"/>
      <c r="E540" s="340" t="s">
        <v>135</v>
      </c>
      <c r="F540" s="345">
        <v>626</v>
      </c>
      <c r="G540" s="346">
        <v>626</v>
      </c>
      <c r="H540" s="346">
        <v>626</v>
      </c>
      <c r="I540" s="346">
        <f t="shared" si="10"/>
        <v>0</v>
      </c>
      <c r="J540" s="342" t="s">
        <v>995</v>
      </c>
      <c r="K540" s="342"/>
      <c r="L540" s="342" t="s">
        <v>995</v>
      </c>
      <c r="M540" s="342"/>
      <c r="N540" s="342"/>
      <c r="O540" s="342"/>
      <c r="P540" s="342"/>
      <c r="Q540" s="343"/>
      <c r="R540" s="266"/>
      <c r="S540" s="266"/>
      <c r="T540" s="266"/>
    </row>
    <row r="541" spans="1:23" ht="30" customHeight="1">
      <c r="A541" s="340">
        <v>536</v>
      </c>
      <c r="B541" s="344" t="s">
        <v>1206</v>
      </c>
      <c r="C541" s="340" t="s">
        <v>463</v>
      </c>
      <c r="D541" s="340"/>
      <c r="E541" s="340" t="s">
        <v>135</v>
      </c>
      <c r="F541" s="345">
        <v>15</v>
      </c>
      <c r="G541" s="346">
        <v>15</v>
      </c>
      <c r="H541" s="346">
        <v>15</v>
      </c>
      <c r="I541" s="346">
        <f t="shared" si="10"/>
        <v>0</v>
      </c>
      <c r="J541" s="342" t="s">
        <v>995</v>
      </c>
      <c r="K541" s="342"/>
      <c r="L541" s="342" t="s">
        <v>995</v>
      </c>
      <c r="M541" s="342"/>
      <c r="N541" s="342"/>
      <c r="O541" s="342"/>
      <c r="P541" s="342"/>
      <c r="Q541" s="343"/>
      <c r="R541" s="266"/>
      <c r="S541" s="266"/>
      <c r="T541" s="266"/>
    </row>
    <row r="542" spans="1:23" ht="30" customHeight="1">
      <c r="A542" s="340">
        <v>537</v>
      </c>
      <c r="B542" s="344" t="s">
        <v>1206</v>
      </c>
      <c r="C542" s="340" t="s">
        <v>464</v>
      </c>
      <c r="D542" s="340"/>
      <c r="E542" s="340" t="s">
        <v>135</v>
      </c>
      <c r="F542" s="345">
        <v>55</v>
      </c>
      <c r="G542" s="346">
        <v>55</v>
      </c>
      <c r="H542" s="346">
        <v>55</v>
      </c>
      <c r="I542" s="346">
        <f t="shared" si="10"/>
        <v>0</v>
      </c>
      <c r="J542" s="342" t="s">
        <v>995</v>
      </c>
      <c r="K542" s="342"/>
      <c r="L542" s="342" t="s">
        <v>995</v>
      </c>
      <c r="M542" s="342"/>
      <c r="N542" s="342"/>
      <c r="O542" s="343"/>
      <c r="P542" s="342"/>
      <c r="Q542" s="343"/>
      <c r="R542" s="266"/>
      <c r="S542" s="266"/>
      <c r="T542" s="266"/>
    </row>
    <row r="543" spans="1:23" ht="30" customHeight="1">
      <c r="A543" s="340">
        <v>538</v>
      </c>
      <c r="B543" s="344" t="s">
        <v>1206</v>
      </c>
      <c r="C543" s="340" t="s">
        <v>465</v>
      </c>
      <c r="D543" s="340"/>
      <c r="E543" s="340" t="s">
        <v>135</v>
      </c>
      <c r="F543" s="345">
        <v>1077</v>
      </c>
      <c r="G543" s="346">
        <v>1077</v>
      </c>
      <c r="H543" s="346">
        <v>1077</v>
      </c>
      <c r="I543" s="346">
        <f t="shared" si="10"/>
        <v>0</v>
      </c>
      <c r="J543" s="342" t="s">
        <v>995</v>
      </c>
      <c r="K543" s="342"/>
      <c r="L543" s="342" t="s">
        <v>995</v>
      </c>
      <c r="M543" s="342"/>
      <c r="N543" s="342"/>
      <c r="O543" s="342"/>
      <c r="P543" s="342"/>
      <c r="Q543" s="343"/>
      <c r="R543" s="266"/>
      <c r="S543" s="266"/>
      <c r="T543" s="266"/>
    </row>
    <row r="544" spans="1:23" ht="30" customHeight="1">
      <c r="A544" s="340">
        <v>539</v>
      </c>
      <c r="B544" s="344" t="s">
        <v>1206</v>
      </c>
      <c r="C544" s="340" t="s">
        <v>466</v>
      </c>
      <c r="D544" s="340"/>
      <c r="E544" s="340" t="s">
        <v>135</v>
      </c>
      <c r="F544" s="345">
        <v>648</v>
      </c>
      <c r="G544" s="346">
        <v>277</v>
      </c>
      <c r="H544" s="346">
        <v>277</v>
      </c>
      <c r="I544" s="346">
        <f t="shared" si="10"/>
        <v>0</v>
      </c>
      <c r="J544" s="342" t="s">
        <v>1260</v>
      </c>
      <c r="K544" s="342" t="s">
        <v>468</v>
      </c>
      <c r="L544" s="342" t="s">
        <v>995</v>
      </c>
      <c r="M544" s="342"/>
      <c r="N544" s="342"/>
      <c r="O544" s="342"/>
      <c r="P544" s="342"/>
      <c r="Q544" s="343"/>
      <c r="R544" s="266"/>
      <c r="S544" s="266"/>
      <c r="T544" s="266"/>
    </row>
    <row r="545" spans="1:23" ht="30" customHeight="1">
      <c r="A545" s="340">
        <v>540</v>
      </c>
      <c r="B545" s="344" t="s">
        <v>1206</v>
      </c>
      <c r="C545" s="340" t="s">
        <v>469</v>
      </c>
      <c r="D545" s="340"/>
      <c r="E545" s="340" t="s">
        <v>135</v>
      </c>
      <c r="F545" s="345">
        <v>1140</v>
      </c>
      <c r="G545" s="346">
        <v>1140</v>
      </c>
      <c r="H545" s="346">
        <v>1140</v>
      </c>
      <c r="I545" s="346">
        <f t="shared" si="10"/>
        <v>0</v>
      </c>
      <c r="J545" s="342" t="s">
        <v>995</v>
      </c>
      <c r="K545" s="342"/>
      <c r="L545" s="342" t="s">
        <v>995</v>
      </c>
      <c r="M545" s="342"/>
      <c r="N545" s="342"/>
      <c r="O545" s="342"/>
      <c r="P545" s="342"/>
      <c r="Q545" s="343"/>
      <c r="R545" s="266"/>
      <c r="S545" s="266"/>
      <c r="T545" s="266"/>
    </row>
    <row r="546" spans="1:23" ht="30" customHeight="1">
      <c r="A546" s="340">
        <v>541</v>
      </c>
      <c r="B546" s="344" t="s">
        <v>1206</v>
      </c>
      <c r="C546" s="340" t="s">
        <v>470</v>
      </c>
      <c r="D546" s="340"/>
      <c r="E546" s="340" t="s">
        <v>135</v>
      </c>
      <c r="F546" s="345">
        <v>666</v>
      </c>
      <c r="G546" s="346">
        <v>666</v>
      </c>
      <c r="H546" s="346">
        <v>666</v>
      </c>
      <c r="I546" s="346">
        <f t="shared" si="10"/>
        <v>0</v>
      </c>
      <c r="J546" s="342" t="s">
        <v>995</v>
      </c>
      <c r="K546" s="342"/>
      <c r="L546" s="342" t="s">
        <v>995</v>
      </c>
      <c r="M546" s="342"/>
      <c r="N546" s="342"/>
      <c r="O546" s="342"/>
      <c r="P546" s="342"/>
      <c r="Q546" s="343"/>
      <c r="R546" s="266"/>
      <c r="S546" s="266"/>
      <c r="T546" s="266"/>
    </row>
    <row r="547" spans="1:23" ht="30" customHeight="1">
      <c r="A547" s="340">
        <v>542</v>
      </c>
      <c r="B547" s="344" t="s">
        <v>1206</v>
      </c>
      <c r="C547" s="340" t="s">
        <v>471</v>
      </c>
      <c r="D547" s="340"/>
      <c r="E547" s="340" t="s">
        <v>135</v>
      </c>
      <c r="F547" s="345">
        <v>80</v>
      </c>
      <c r="G547" s="346">
        <v>80</v>
      </c>
      <c r="H547" s="346">
        <v>80</v>
      </c>
      <c r="I547" s="346">
        <f t="shared" si="10"/>
        <v>0</v>
      </c>
      <c r="J547" s="342" t="s">
        <v>995</v>
      </c>
      <c r="K547" s="342"/>
      <c r="L547" s="342" t="s">
        <v>995</v>
      </c>
      <c r="M547" s="342"/>
      <c r="N547" s="342"/>
      <c r="O547" s="342"/>
      <c r="P547" s="342"/>
      <c r="Q547" s="343"/>
      <c r="R547" s="266"/>
      <c r="S547" s="266"/>
      <c r="T547" s="266"/>
    </row>
    <row r="548" spans="1:23" ht="30" customHeight="1">
      <c r="A548" s="340">
        <v>543</v>
      </c>
      <c r="B548" s="344" t="s">
        <v>1206</v>
      </c>
      <c r="C548" s="340" t="s">
        <v>472</v>
      </c>
      <c r="D548" s="340"/>
      <c r="E548" s="340" t="s">
        <v>135</v>
      </c>
      <c r="F548" s="345">
        <v>353</v>
      </c>
      <c r="G548" s="346">
        <v>353</v>
      </c>
      <c r="H548" s="346">
        <v>353</v>
      </c>
      <c r="I548" s="346">
        <f t="shared" si="10"/>
        <v>0</v>
      </c>
      <c r="J548" s="342" t="s">
        <v>995</v>
      </c>
      <c r="K548" s="342"/>
      <c r="L548" s="342" t="s">
        <v>995</v>
      </c>
      <c r="M548" s="342"/>
      <c r="N548" s="342"/>
      <c r="O548" s="342"/>
      <c r="P548" s="342"/>
      <c r="Q548" s="343"/>
      <c r="R548" s="266"/>
      <c r="S548" s="266"/>
      <c r="T548" s="266"/>
    </row>
    <row r="549" spans="1:23" ht="30" customHeight="1">
      <c r="A549" s="340">
        <v>544</v>
      </c>
      <c r="B549" s="344" t="s">
        <v>1206</v>
      </c>
      <c r="C549" s="340" t="s">
        <v>473</v>
      </c>
      <c r="D549" s="340"/>
      <c r="E549" s="340" t="s">
        <v>135</v>
      </c>
      <c r="F549" s="345">
        <v>754</v>
      </c>
      <c r="G549" s="346">
        <v>754</v>
      </c>
      <c r="H549" s="346">
        <v>754</v>
      </c>
      <c r="I549" s="346">
        <f t="shared" si="10"/>
        <v>0</v>
      </c>
      <c r="J549" s="342" t="s">
        <v>995</v>
      </c>
      <c r="K549" s="342"/>
      <c r="L549" s="342" t="s">
        <v>995</v>
      </c>
      <c r="M549" s="342"/>
      <c r="N549" s="342"/>
      <c r="O549" s="342"/>
      <c r="P549" s="342"/>
      <c r="Q549" s="343"/>
      <c r="R549" s="266"/>
      <c r="S549" s="266"/>
      <c r="T549" s="266"/>
    </row>
    <row r="550" spans="1:23" ht="30" customHeight="1">
      <c r="A550" s="340">
        <v>545</v>
      </c>
      <c r="B550" s="344" t="s">
        <v>1206</v>
      </c>
      <c r="C550" s="340" t="s">
        <v>474</v>
      </c>
      <c r="D550" s="340"/>
      <c r="E550" s="340" t="s">
        <v>316</v>
      </c>
      <c r="F550" s="345"/>
      <c r="G550" s="346">
        <v>31</v>
      </c>
      <c r="H550" s="346">
        <v>31</v>
      </c>
      <c r="I550" s="346">
        <f t="shared" si="10"/>
        <v>0</v>
      </c>
      <c r="J550" s="342" t="s">
        <v>1208</v>
      </c>
      <c r="K550" s="342"/>
      <c r="L550" s="342" t="s">
        <v>1208</v>
      </c>
      <c r="M550" s="342"/>
      <c r="N550" s="342"/>
      <c r="O550" s="343"/>
      <c r="P550" s="342"/>
      <c r="Q550" s="343"/>
      <c r="R550" s="266"/>
      <c r="S550" s="266"/>
      <c r="T550" s="268"/>
    </row>
    <row r="551" spans="1:23" ht="30" customHeight="1">
      <c r="A551" s="340">
        <v>546</v>
      </c>
      <c r="B551" s="344" t="s">
        <v>1206</v>
      </c>
      <c r="C551" s="340" t="s">
        <v>475</v>
      </c>
      <c r="D551" s="340"/>
      <c r="E551" s="340" t="s">
        <v>135</v>
      </c>
      <c r="F551" s="345">
        <v>283</v>
      </c>
      <c r="G551" s="346">
        <v>283</v>
      </c>
      <c r="H551" s="346">
        <v>283</v>
      </c>
      <c r="I551" s="346">
        <f t="shared" si="10"/>
        <v>0</v>
      </c>
      <c r="J551" s="342" t="s">
        <v>995</v>
      </c>
      <c r="K551" s="342"/>
      <c r="L551" s="342" t="s">
        <v>995</v>
      </c>
      <c r="M551" s="342"/>
      <c r="N551" s="342"/>
      <c r="O551" s="342"/>
      <c r="P551" s="342"/>
      <c r="Q551" s="343"/>
      <c r="R551" s="266"/>
      <c r="S551" s="266"/>
      <c r="T551" s="268"/>
    </row>
    <row r="552" spans="1:23" ht="30" customHeight="1">
      <c r="A552" s="340">
        <v>547</v>
      </c>
      <c r="B552" s="344" t="s">
        <v>1206</v>
      </c>
      <c r="C552" s="340" t="s">
        <v>476</v>
      </c>
      <c r="D552" s="340"/>
      <c r="E552" s="340" t="s">
        <v>135</v>
      </c>
      <c r="F552" s="345">
        <v>1972</v>
      </c>
      <c r="G552" s="346">
        <v>1972</v>
      </c>
      <c r="H552" s="346">
        <v>1972</v>
      </c>
      <c r="I552" s="346">
        <f t="shared" si="10"/>
        <v>0</v>
      </c>
      <c r="J552" s="342" t="s">
        <v>995</v>
      </c>
      <c r="K552" s="342"/>
      <c r="L552" s="342" t="s">
        <v>995</v>
      </c>
      <c r="M552" s="342"/>
      <c r="N552" s="342"/>
      <c r="O552" s="342"/>
      <c r="P552" s="342"/>
      <c r="Q552" s="343"/>
      <c r="R552" s="266"/>
      <c r="S552" s="266"/>
      <c r="T552" s="268"/>
    </row>
    <row r="553" spans="1:23" ht="30" customHeight="1">
      <c r="A553" s="340">
        <v>548</v>
      </c>
      <c r="B553" s="344" t="s">
        <v>1206</v>
      </c>
      <c r="C553" s="340" t="s">
        <v>477</v>
      </c>
      <c r="D553" s="340"/>
      <c r="E553" s="340" t="s">
        <v>135</v>
      </c>
      <c r="F553" s="345">
        <v>2759</v>
      </c>
      <c r="G553" s="346">
        <v>2759</v>
      </c>
      <c r="H553" s="346">
        <v>2759</v>
      </c>
      <c r="I553" s="346">
        <f t="shared" si="10"/>
        <v>0</v>
      </c>
      <c r="J553" s="342" t="s">
        <v>995</v>
      </c>
      <c r="K553" s="342"/>
      <c r="L553" s="342" t="s">
        <v>995</v>
      </c>
      <c r="M553" s="342"/>
      <c r="N553" s="342"/>
      <c r="O553" s="342"/>
      <c r="P553" s="342"/>
      <c r="Q553" s="343"/>
      <c r="R553" s="266"/>
      <c r="S553" s="266"/>
      <c r="T553" s="268"/>
    </row>
    <row r="554" spans="1:23" ht="30" customHeight="1">
      <c r="A554" s="340">
        <v>549</v>
      </c>
      <c r="B554" s="344" t="s">
        <v>1206</v>
      </c>
      <c r="C554" s="340" t="s">
        <v>478</v>
      </c>
      <c r="D554" s="340"/>
      <c r="E554" s="340" t="s">
        <v>135</v>
      </c>
      <c r="F554" s="345">
        <v>8</v>
      </c>
      <c r="G554" s="346">
        <v>8</v>
      </c>
      <c r="H554" s="346">
        <v>8</v>
      </c>
      <c r="I554" s="346">
        <f t="shared" si="10"/>
        <v>0</v>
      </c>
      <c r="J554" s="342" t="s">
        <v>995</v>
      </c>
      <c r="K554" s="342"/>
      <c r="L554" s="342" t="s">
        <v>995</v>
      </c>
      <c r="M554" s="342"/>
      <c r="N554" s="342"/>
      <c r="O554" s="342"/>
      <c r="P554" s="342"/>
      <c r="Q554" s="343"/>
      <c r="R554" s="266"/>
      <c r="S554" s="266"/>
      <c r="T554" s="288"/>
      <c r="U554" s="266"/>
      <c r="V554" s="266"/>
      <c r="W554" s="266"/>
    </row>
    <row r="555" spans="1:23" ht="30" customHeight="1">
      <c r="A555" s="340">
        <v>550</v>
      </c>
      <c r="B555" s="344" t="s">
        <v>1206</v>
      </c>
      <c r="C555" s="340" t="s">
        <v>479</v>
      </c>
      <c r="D555" s="340"/>
      <c r="E555" s="340" t="s">
        <v>135</v>
      </c>
      <c r="F555" s="345">
        <v>6867</v>
      </c>
      <c r="G555" s="346">
        <v>6867</v>
      </c>
      <c r="H555" s="346">
        <v>6867</v>
      </c>
      <c r="I555" s="346">
        <f t="shared" si="10"/>
        <v>0</v>
      </c>
      <c r="J555" s="342" t="s">
        <v>995</v>
      </c>
      <c r="K555" s="342"/>
      <c r="L555" s="342" t="s">
        <v>995</v>
      </c>
      <c r="M555" s="342"/>
      <c r="N555" s="342"/>
      <c r="O555" s="342"/>
      <c r="P555" s="342"/>
      <c r="Q555" s="343"/>
      <c r="R555" s="266"/>
      <c r="S555" s="266"/>
      <c r="T555" s="288"/>
      <c r="U555" s="266"/>
      <c r="V555" s="266"/>
      <c r="W555" s="266"/>
    </row>
    <row r="556" spans="1:23" ht="30" customHeight="1">
      <c r="A556" s="340">
        <v>551</v>
      </c>
      <c r="B556" s="344" t="s">
        <v>1206</v>
      </c>
      <c r="C556" s="340" t="s">
        <v>480</v>
      </c>
      <c r="D556" s="340"/>
      <c r="E556" s="340" t="s">
        <v>85</v>
      </c>
      <c r="F556" s="345">
        <v>43</v>
      </c>
      <c r="G556" s="346">
        <v>43</v>
      </c>
      <c r="H556" s="346">
        <v>43</v>
      </c>
      <c r="I556" s="346">
        <f t="shared" si="10"/>
        <v>0</v>
      </c>
      <c r="J556" s="342" t="s">
        <v>1261</v>
      </c>
      <c r="K556" s="342" t="s">
        <v>482</v>
      </c>
      <c r="L556" s="342" t="s">
        <v>995</v>
      </c>
      <c r="M556" s="342"/>
      <c r="N556" s="342"/>
      <c r="O556" s="342"/>
      <c r="P556" s="342"/>
      <c r="Q556" s="343"/>
      <c r="R556" s="266"/>
      <c r="S556" s="266"/>
      <c r="T556" s="266"/>
    </row>
    <row r="557" spans="1:23" ht="30" customHeight="1">
      <c r="A557" s="340">
        <v>552</v>
      </c>
      <c r="B557" s="344" t="s">
        <v>1206</v>
      </c>
      <c r="C557" s="340" t="s">
        <v>483</v>
      </c>
      <c r="D557" s="340"/>
      <c r="E557" s="340" t="s">
        <v>135</v>
      </c>
      <c r="F557" s="345">
        <v>448</v>
      </c>
      <c r="G557" s="346">
        <v>448</v>
      </c>
      <c r="H557" s="346">
        <v>448</v>
      </c>
      <c r="I557" s="346">
        <f t="shared" si="10"/>
        <v>0</v>
      </c>
      <c r="J557" s="342" t="s">
        <v>1116</v>
      </c>
      <c r="K557" s="342"/>
      <c r="L557" s="342" t="s">
        <v>1116</v>
      </c>
      <c r="M557" s="342"/>
      <c r="N557" s="342"/>
      <c r="O557" s="342"/>
      <c r="P557" s="342"/>
      <c r="Q557" s="343"/>
      <c r="R557" s="266"/>
      <c r="S557" s="266"/>
      <c r="T557" s="266"/>
    </row>
    <row r="558" spans="1:23" ht="30" customHeight="1">
      <c r="A558" s="340">
        <v>553</v>
      </c>
      <c r="B558" s="344" t="s">
        <v>1206</v>
      </c>
      <c r="C558" s="340" t="s">
        <v>485</v>
      </c>
      <c r="D558" s="340"/>
      <c r="E558" s="340" t="s">
        <v>135</v>
      </c>
      <c r="F558" s="345">
        <v>722</v>
      </c>
      <c r="G558" s="346">
        <v>722</v>
      </c>
      <c r="H558" s="346">
        <v>722</v>
      </c>
      <c r="I558" s="346">
        <f t="shared" si="10"/>
        <v>0</v>
      </c>
      <c r="J558" s="342" t="s">
        <v>1116</v>
      </c>
      <c r="K558" s="342"/>
      <c r="L558" s="342" t="s">
        <v>1116</v>
      </c>
      <c r="M558" s="342"/>
      <c r="N558" s="342"/>
      <c r="O558" s="343"/>
      <c r="P558" s="342"/>
      <c r="Q558" s="343"/>
      <c r="R558" s="266"/>
      <c r="S558" s="266"/>
      <c r="T558" s="266"/>
    </row>
    <row r="559" spans="1:23" ht="30" customHeight="1">
      <c r="A559" s="340">
        <v>554</v>
      </c>
      <c r="B559" s="344" t="s">
        <v>1206</v>
      </c>
      <c r="C559" s="340" t="s">
        <v>486</v>
      </c>
      <c r="D559" s="340"/>
      <c r="E559" s="340" t="s">
        <v>84</v>
      </c>
      <c r="F559" s="345">
        <v>1924</v>
      </c>
      <c r="G559" s="346">
        <v>319</v>
      </c>
      <c r="H559" s="346">
        <v>319</v>
      </c>
      <c r="I559" s="346">
        <f t="shared" si="10"/>
        <v>0</v>
      </c>
      <c r="J559" s="342" t="s">
        <v>1208</v>
      </c>
      <c r="K559" s="342"/>
      <c r="L559" s="342" t="s">
        <v>1208</v>
      </c>
      <c r="M559" s="342"/>
      <c r="N559" s="342"/>
      <c r="O559" s="342"/>
      <c r="P559" s="342"/>
      <c r="Q559" s="343"/>
      <c r="R559" s="266"/>
      <c r="S559" s="266"/>
      <c r="T559" s="266"/>
    </row>
    <row r="560" spans="1:23" ht="30" customHeight="1">
      <c r="A560" s="340">
        <v>555</v>
      </c>
      <c r="B560" s="344" t="s">
        <v>1206</v>
      </c>
      <c r="C560" s="340" t="s">
        <v>487</v>
      </c>
      <c r="D560" s="340"/>
      <c r="E560" s="340" t="s">
        <v>89</v>
      </c>
      <c r="F560" s="345">
        <v>712</v>
      </c>
      <c r="G560" s="346">
        <v>712</v>
      </c>
      <c r="H560" s="346">
        <v>712</v>
      </c>
      <c r="I560" s="346">
        <f t="shared" si="10"/>
        <v>0</v>
      </c>
      <c r="J560" s="342" t="s">
        <v>995</v>
      </c>
      <c r="K560" s="342"/>
      <c r="L560" s="342" t="s">
        <v>995</v>
      </c>
      <c r="M560" s="342"/>
      <c r="N560" s="342"/>
      <c r="O560" s="342"/>
      <c r="P560" s="342"/>
      <c r="Q560" s="343"/>
      <c r="R560" s="266"/>
      <c r="S560" s="266"/>
      <c r="T560" s="266"/>
    </row>
    <row r="561" spans="1:23" ht="30" customHeight="1">
      <c r="A561" s="340">
        <v>556</v>
      </c>
      <c r="B561" s="344" t="s">
        <v>1206</v>
      </c>
      <c r="C561" s="340" t="s">
        <v>488</v>
      </c>
      <c r="D561" s="340"/>
      <c r="E561" s="340" t="s">
        <v>89</v>
      </c>
      <c r="F561" s="345">
        <v>547</v>
      </c>
      <c r="G561" s="346">
        <v>547</v>
      </c>
      <c r="H561" s="346">
        <v>547</v>
      </c>
      <c r="I561" s="346">
        <f t="shared" si="10"/>
        <v>0</v>
      </c>
      <c r="J561" s="342" t="s">
        <v>995</v>
      </c>
      <c r="K561" s="342"/>
      <c r="L561" s="342" t="s">
        <v>995</v>
      </c>
      <c r="M561" s="342"/>
      <c r="N561" s="342"/>
      <c r="O561" s="342"/>
      <c r="P561" s="342"/>
      <c r="Q561" s="343"/>
      <c r="R561" s="266"/>
      <c r="S561" s="266"/>
      <c r="T561" s="266"/>
    </row>
    <row r="562" spans="1:23" ht="30" customHeight="1">
      <c r="A562" s="340">
        <v>557</v>
      </c>
      <c r="B562" s="344" t="s">
        <v>1206</v>
      </c>
      <c r="C562" s="340" t="s">
        <v>489</v>
      </c>
      <c r="D562" s="340"/>
      <c r="E562" s="340" t="s">
        <v>89</v>
      </c>
      <c r="F562" s="345">
        <v>1790</v>
      </c>
      <c r="G562" s="346">
        <v>1790</v>
      </c>
      <c r="H562" s="346">
        <v>1790</v>
      </c>
      <c r="I562" s="346">
        <f t="shared" si="10"/>
        <v>0</v>
      </c>
      <c r="J562" s="342" t="s">
        <v>995</v>
      </c>
      <c r="K562" s="342"/>
      <c r="L562" s="342" t="s">
        <v>995</v>
      </c>
      <c r="M562" s="342"/>
      <c r="N562" s="342"/>
      <c r="O562" s="342"/>
      <c r="P562" s="342"/>
      <c r="Q562" s="343"/>
      <c r="R562" s="266"/>
      <c r="S562" s="266"/>
      <c r="T562" s="266"/>
    </row>
    <row r="563" spans="1:23" ht="30" customHeight="1">
      <c r="A563" s="340">
        <v>558</v>
      </c>
      <c r="B563" s="344" t="s">
        <v>1206</v>
      </c>
      <c r="C563" s="340" t="s">
        <v>490</v>
      </c>
      <c r="D563" s="340"/>
      <c r="E563" s="340" t="s">
        <v>135</v>
      </c>
      <c r="F563" s="345">
        <v>2113</v>
      </c>
      <c r="G563" s="346">
        <v>2113</v>
      </c>
      <c r="H563" s="346">
        <v>2113</v>
      </c>
      <c r="I563" s="346">
        <f t="shared" si="10"/>
        <v>0</v>
      </c>
      <c r="J563" s="342" t="s">
        <v>995</v>
      </c>
      <c r="K563" s="342"/>
      <c r="L563" s="342" t="s">
        <v>995</v>
      </c>
      <c r="M563" s="342"/>
      <c r="N563" s="342"/>
      <c r="O563" s="342"/>
      <c r="P563" s="342"/>
      <c r="Q563" s="343"/>
      <c r="R563" s="266"/>
      <c r="S563" s="266"/>
      <c r="T563" s="266"/>
    </row>
    <row r="564" spans="1:23" ht="30" customHeight="1">
      <c r="A564" s="340">
        <v>559</v>
      </c>
      <c r="B564" s="344" t="s">
        <v>1206</v>
      </c>
      <c r="C564" s="340" t="s">
        <v>491</v>
      </c>
      <c r="D564" s="340"/>
      <c r="E564" s="340" t="s">
        <v>135</v>
      </c>
      <c r="F564" s="345">
        <v>2341</v>
      </c>
      <c r="G564" s="346">
        <v>2341</v>
      </c>
      <c r="H564" s="346">
        <v>2341</v>
      </c>
      <c r="I564" s="346">
        <f t="shared" si="10"/>
        <v>0</v>
      </c>
      <c r="J564" s="342" t="s">
        <v>995</v>
      </c>
      <c r="K564" s="342"/>
      <c r="L564" s="342" t="s">
        <v>995</v>
      </c>
      <c r="M564" s="342"/>
      <c r="N564" s="342"/>
      <c r="O564" s="342"/>
      <c r="P564" s="342"/>
      <c r="Q564" s="343"/>
      <c r="R564" s="266"/>
      <c r="S564" s="266"/>
      <c r="T564" s="266"/>
    </row>
    <row r="565" spans="1:23" ht="30" customHeight="1">
      <c r="A565" s="340">
        <v>560</v>
      </c>
      <c r="B565" s="344" t="s">
        <v>1206</v>
      </c>
      <c r="C565" s="340" t="s">
        <v>492</v>
      </c>
      <c r="D565" s="340"/>
      <c r="E565" s="340" t="s">
        <v>135</v>
      </c>
      <c r="F565" s="345">
        <v>51</v>
      </c>
      <c r="G565" s="346">
        <v>51</v>
      </c>
      <c r="H565" s="346">
        <v>51</v>
      </c>
      <c r="I565" s="346">
        <f t="shared" si="10"/>
        <v>0</v>
      </c>
      <c r="J565" s="342" t="s">
        <v>995</v>
      </c>
      <c r="K565" s="342"/>
      <c r="L565" s="342" t="s">
        <v>995</v>
      </c>
      <c r="M565" s="342"/>
      <c r="N565" s="342"/>
      <c r="O565" s="342"/>
      <c r="P565" s="342"/>
      <c r="Q565" s="343"/>
      <c r="R565" s="266"/>
      <c r="S565" s="266"/>
      <c r="T565" s="266"/>
    </row>
    <row r="566" spans="1:23" ht="30" customHeight="1">
      <c r="A566" s="340">
        <v>561</v>
      </c>
      <c r="B566" s="344" t="s">
        <v>1206</v>
      </c>
      <c r="C566" s="340" t="s">
        <v>493</v>
      </c>
      <c r="D566" s="340"/>
      <c r="E566" s="340" t="s">
        <v>85</v>
      </c>
      <c r="F566" s="345">
        <v>68</v>
      </c>
      <c r="G566" s="346">
        <v>68</v>
      </c>
      <c r="H566" s="346">
        <v>68</v>
      </c>
      <c r="I566" s="346">
        <f t="shared" si="10"/>
        <v>0</v>
      </c>
      <c r="J566" s="342" t="s">
        <v>995</v>
      </c>
      <c r="K566" s="342"/>
      <c r="L566" s="342" t="s">
        <v>995</v>
      </c>
      <c r="M566" s="342"/>
      <c r="N566" s="342"/>
      <c r="O566" s="342"/>
      <c r="P566" s="342"/>
      <c r="Q566" s="343"/>
      <c r="R566" s="266"/>
      <c r="S566" s="266"/>
      <c r="T566" s="266"/>
    </row>
    <row r="567" spans="1:23" ht="30" customHeight="1">
      <c r="A567" s="340">
        <v>562</v>
      </c>
      <c r="B567" s="344" t="s">
        <v>1206</v>
      </c>
      <c r="C567" s="340" t="s">
        <v>494</v>
      </c>
      <c r="D567" s="340"/>
      <c r="E567" s="340" t="s">
        <v>85</v>
      </c>
      <c r="F567" s="345">
        <v>251</v>
      </c>
      <c r="G567" s="346">
        <v>251</v>
      </c>
      <c r="H567" s="346">
        <v>251</v>
      </c>
      <c r="I567" s="346">
        <f t="shared" si="10"/>
        <v>0</v>
      </c>
      <c r="J567" s="342" t="s">
        <v>995</v>
      </c>
      <c r="K567" s="342"/>
      <c r="L567" s="342" t="s">
        <v>995</v>
      </c>
      <c r="M567" s="342"/>
      <c r="N567" s="342"/>
      <c r="O567" s="342"/>
      <c r="P567" s="342"/>
      <c r="Q567" s="343"/>
      <c r="R567" s="266"/>
      <c r="S567" s="266"/>
      <c r="T567" s="266"/>
    </row>
    <row r="568" spans="1:23" ht="30" customHeight="1">
      <c r="A568" s="340">
        <v>563</v>
      </c>
      <c r="B568" s="344" t="s">
        <v>1206</v>
      </c>
      <c r="C568" s="340" t="s">
        <v>495</v>
      </c>
      <c r="D568" s="340"/>
      <c r="E568" s="340" t="s">
        <v>85</v>
      </c>
      <c r="F568" s="345">
        <v>994</v>
      </c>
      <c r="G568" s="346">
        <v>994</v>
      </c>
      <c r="H568" s="346">
        <v>994</v>
      </c>
      <c r="I568" s="346">
        <f t="shared" si="10"/>
        <v>0</v>
      </c>
      <c r="J568" s="342" t="s">
        <v>995</v>
      </c>
      <c r="K568" s="342"/>
      <c r="L568" s="342" t="s">
        <v>995</v>
      </c>
      <c r="M568" s="342"/>
      <c r="N568" s="342"/>
      <c r="O568" s="342"/>
      <c r="P568" s="342"/>
      <c r="Q568" s="343"/>
      <c r="R568" s="266"/>
      <c r="S568" s="266"/>
      <c r="T568" s="266"/>
    </row>
    <row r="569" spans="1:23" ht="30" customHeight="1">
      <c r="A569" s="340">
        <v>564</v>
      </c>
      <c r="B569" s="344" t="s">
        <v>1206</v>
      </c>
      <c r="C569" s="340" t="s">
        <v>496</v>
      </c>
      <c r="D569" s="340"/>
      <c r="E569" s="340" t="s">
        <v>135</v>
      </c>
      <c r="F569" s="345">
        <v>665</v>
      </c>
      <c r="G569" s="346">
        <v>665</v>
      </c>
      <c r="H569" s="346">
        <v>665</v>
      </c>
      <c r="I569" s="346">
        <f t="shared" si="10"/>
        <v>0</v>
      </c>
      <c r="J569" s="342" t="s">
        <v>995</v>
      </c>
      <c r="K569" s="342"/>
      <c r="L569" s="342" t="s">
        <v>995</v>
      </c>
      <c r="M569" s="342"/>
      <c r="N569" s="342"/>
      <c r="O569" s="342"/>
      <c r="P569" s="342"/>
      <c r="Q569" s="343"/>
      <c r="R569" s="266"/>
      <c r="S569" s="266"/>
      <c r="T569" s="266"/>
    </row>
    <row r="570" spans="1:23" ht="30" customHeight="1">
      <c r="A570" s="340">
        <v>565</v>
      </c>
      <c r="B570" s="344" t="s">
        <v>1206</v>
      </c>
      <c r="C570" s="340" t="s">
        <v>497</v>
      </c>
      <c r="D570" s="340"/>
      <c r="E570" s="340" t="s">
        <v>135</v>
      </c>
      <c r="F570" s="345">
        <v>1255</v>
      </c>
      <c r="G570" s="346">
        <v>988</v>
      </c>
      <c r="H570" s="346">
        <v>988</v>
      </c>
      <c r="I570" s="346">
        <f t="shared" si="10"/>
        <v>0</v>
      </c>
      <c r="J570" s="342" t="s">
        <v>995</v>
      </c>
      <c r="K570" s="342"/>
      <c r="L570" s="342" t="s">
        <v>995</v>
      </c>
      <c r="M570" s="342"/>
      <c r="N570" s="342"/>
      <c r="O570" s="342"/>
      <c r="P570" s="342"/>
      <c r="Q570" s="343"/>
      <c r="R570" s="266"/>
      <c r="S570" s="266"/>
      <c r="T570" s="266"/>
    </row>
    <row r="571" spans="1:23" ht="30" customHeight="1">
      <c r="A571" s="340">
        <v>566</v>
      </c>
      <c r="B571" s="344" t="s">
        <v>1206</v>
      </c>
      <c r="C571" s="340" t="s">
        <v>498</v>
      </c>
      <c r="D571" s="340"/>
      <c r="E571" s="340" t="s">
        <v>135</v>
      </c>
      <c r="F571" s="345">
        <v>375</v>
      </c>
      <c r="G571" s="346">
        <v>375</v>
      </c>
      <c r="H571" s="346">
        <v>375</v>
      </c>
      <c r="I571" s="346">
        <f t="shared" si="10"/>
        <v>0</v>
      </c>
      <c r="J571" s="342" t="s">
        <v>995</v>
      </c>
      <c r="K571" s="342"/>
      <c r="L571" s="342" t="s">
        <v>995</v>
      </c>
      <c r="M571" s="342"/>
      <c r="N571" s="342"/>
      <c r="O571" s="343"/>
      <c r="P571" s="342"/>
      <c r="Q571" s="343"/>
      <c r="R571" s="266"/>
      <c r="S571" s="266"/>
      <c r="T571" s="268"/>
    </row>
    <row r="572" spans="1:23" ht="30" customHeight="1">
      <c r="A572" s="340">
        <v>567</v>
      </c>
      <c r="B572" s="344" t="s">
        <v>1206</v>
      </c>
      <c r="C572" s="340" t="s">
        <v>499</v>
      </c>
      <c r="D572" s="340"/>
      <c r="E572" s="340" t="s">
        <v>135</v>
      </c>
      <c r="F572" s="345">
        <v>2117</v>
      </c>
      <c r="G572" s="346">
        <v>2117</v>
      </c>
      <c r="H572" s="346">
        <v>2117</v>
      </c>
      <c r="I572" s="346">
        <f t="shared" si="10"/>
        <v>0</v>
      </c>
      <c r="J572" s="342" t="s">
        <v>995</v>
      </c>
      <c r="K572" s="342"/>
      <c r="L572" s="342" t="s">
        <v>995</v>
      </c>
      <c r="M572" s="342"/>
      <c r="N572" s="342"/>
      <c r="O572" s="342"/>
      <c r="P572" s="342"/>
      <c r="Q572" s="343"/>
      <c r="R572" s="266"/>
      <c r="S572" s="266"/>
      <c r="T572" s="268"/>
    </row>
    <row r="573" spans="1:23" ht="30" customHeight="1">
      <c r="A573" s="340">
        <v>568</v>
      </c>
      <c r="B573" s="344" t="s">
        <v>1206</v>
      </c>
      <c r="C573" s="340" t="s">
        <v>500</v>
      </c>
      <c r="D573" s="340"/>
      <c r="E573" s="340" t="s">
        <v>84</v>
      </c>
      <c r="F573" s="345">
        <v>355</v>
      </c>
      <c r="G573" s="346">
        <v>355</v>
      </c>
      <c r="H573" s="346">
        <v>355</v>
      </c>
      <c r="I573" s="346">
        <f t="shared" si="10"/>
        <v>0</v>
      </c>
      <c r="J573" s="342" t="s">
        <v>1116</v>
      </c>
      <c r="K573" s="342"/>
      <c r="L573" s="342" t="s">
        <v>1116</v>
      </c>
      <c r="M573" s="342"/>
      <c r="N573" s="342"/>
      <c r="O573" s="342"/>
      <c r="P573" s="342"/>
      <c r="Q573" s="343"/>
      <c r="R573" s="266"/>
      <c r="S573" s="266"/>
      <c r="T573" s="268"/>
    </row>
    <row r="574" spans="1:23" ht="30" customHeight="1">
      <c r="A574" s="340">
        <v>569</v>
      </c>
      <c r="B574" s="344" t="s">
        <v>1206</v>
      </c>
      <c r="C574" s="340" t="s">
        <v>501</v>
      </c>
      <c r="D574" s="340"/>
      <c r="E574" s="340" t="s">
        <v>84</v>
      </c>
      <c r="F574" s="345">
        <v>23</v>
      </c>
      <c r="G574" s="346">
        <v>23</v>
      </c>
      <c r="H574" s="346">
        <v>23</v>
      </c>
      <c r="I574" s="346">
        <f t="shared" si="10"/>
        <v>0</v>
      </c>
      <c r="J574" s="342" t="s">
        <v>1262</v>
      </c>
      <c r="K574" s="342" t="s">
        <v>503</v>
      </c>
      <c r="L574" s="342" t="s">
        <v>995</v>
      </c>
      <c r="M574" s="342"/>
      <c r="N574" s="342"/>
      <c r="O574" s="342"/>
      <c r="P574" s="342"/>
      <c r="Q574" s="343"/>
      <c r="R574" s="266"/>
      <c r="S574" s="266"/>
      <c r="T574" s="268"/>
    </row>
    <row r="575" spans="1:23" ht="30" customHeight="1">
      <c r="A575" s="340">
        <v>570</v>
      </c>
      <c r="B575" s="344" t="s">
        <v>1206</v>
      </c>
      <c r="C575" s="340" t="s">
        <v>504</v>
      </c>
      <c r="D575" s="340"/>
      <c r="E575" s="340" t="s">
        <v>84</v>
      </c>
      <c r="F575" s="345">
        <v>53</v>
      </c>
      <c r="G575" s="346">
        <v>24</v>
      </c>
      <c r="H575" s="346">
        <v>24</v>
      </c>
      <c r="I575" s="346">
        <f t="shared" si="10"/>
        <v>0</v>
      </c>
      <c r="J575" s="342" t="s">
        <v>1116</v>
      </c>
      <c r="K575" s="342"/>
      <c r="L575" s="342" t="s">
        <v>1116</v>
      </c>
      <c r="M575" s="342"/>
      <c r="N575" s="342"/>
      <c r="O575" s="342"/>
      <c r="P575" s="342"/>
      <c r="Q575" s="343"/>
      <c r="R575" s="266"/>
      <c r="S575" s="266"/>
      <c r="T575" s="288"/>
      <c r="U575" s="266"/>
      <c r="V575" s="266"/>
      <c r="W575" s="266"/>
    </row>
    <row r="576" spans="1:23" ht="30" customHeight="1">
      <c r="A576" s="340">
        <v>571</v>
      </c>
      <c r="B576" s="344" t="s">
        <v>1206</v>
      </c>
      <c r="C576" s="340" t="s">
        <v>96</v>
      </c>
      <c r="D576" s="340"/>
      <c r="E576" s="340" t="s">
        <v>89</v>
      </c>
      <c r="F576" s="345">
        <v>814</v>
      </c>
      <c r="G576" s="346">
        <v>814</v>
      </c>
      <c r="H576" s="346">
        <v>814</v>
      </c>
      <c r="I576" s="346">
        <f t="shared" si="10"/>
        <v>0</v>
      </c>
      <c r="J576" s="342" t="s">
        <v>995</v>
      </c>
      <c r="K576" s="342"/>
      <c r="L576" s="342" t="s">
        <v>995</v>
      </c>
      <c r="M576" s="342"/>
      <c r="N576" s="342"/>
      <c r="O576" s="342"/>
      <c r="P576" s="342"/>
      <c r="Q576" s="343"/>
      <c r="R576" s="266"/>
      <c r="S576" s="266"/>
      <c r="T576" s="288"/>
      <c r="U576" s="266"/>
      <c r="V576" s="266"/>
      <c r="W576" s="266"/>
    </row>
    <row r="577" spans="1:20" ht="30" customHeight="1">
      <c r="A577" s="340">
        <v>572</v>
      </c>
      <c r="B577" s="344" t="s">
        <v>1206</v>
      </c>
      <c r="C577" s="340" t="s">
        <v>505</v>
      </c>
      <c r="D577" s="340"/>
      <c r="E577" s="340" t="s">
        <v>89</v>
      </c>
      <c r="F577" s="345">
        <v>1048</v>
      </c>
      <c r="G577" s="346">
        <v>1048</v>
      </c>
      <c r="H577" s="346">
        <v>1048</v>
      </c>
      <c r="I577" s="346">
        <f t="shared" si="10"/>
        <v>0</v>
      </c>
      <c r="J577" s="342" t="s">
        <v>995</v>
      </c>
      <c r="K577" s="342"/>
      <c r="L577" s="342" t="s">
        <v>995</v>
      </c>
      <c r="M577" s="342"/>
      <c r="N577" s="342"/>
      <c r="O577" s="342"/>
      <c r="P577" s="342"/>
      <c r="Q577" s="343"/>
      <c r="R577" s="266"/>
      <c r="S577" s="266"/>
      <c r="T577" s="266"/>
    </row>
    <row r="578" spans="1:20" ht="30" customHeight="1">
      <c r="A578" s="340">
        <v>573</v>
      </c>
      <c r="B578" s="344" t="s">
        <v>1206</v>
      </c>
      <c r="C578" s="340" t="s">
        <v>506</v>
      </c>
      <c r="D578" s="340"/>
      <c r="E578" s="340" t="s">
        <v>89</v>
      </c>
      <c r="F578" s="345">
        <v>269</v>
      </c>
      <c r="G578" s="346">
        <v>269</v>
      </c>
      <c r="H578" s="346">
        <v>269</v>
      </c>
      <c r="I578" s="346">
        <f t="shared" si="10"/>
        <v>0</v>
      </c>
      <c r="J578" s="342" t="s">
        <v>995</v>
      </c>
      <c r="K578" s="342"/>
      <c r="L578" s="342" t="s">
        <v>995</v>
      </c>
      <c r="M578" s="342"/>
      <c r="N578" s="342"/>
      <c r="O578" s="342"/>
      <c r="P578" s="342"/>
      <c r="Q578" s="343"/>
      <c r="R578" s="266"/>
      <c r="S578" s="266"/>
      <c r="T578" s="266"/>
    </row>
    <row r="579" spans="1:20" ht="30" customHeight="1">
      <c r="A579" s="340">
        <v>574</v>
      </c>
      <c r="B579" s="344" t="s">
        <v>1206</v>
      </c>
      <c r="C579" s="340" t="s">
        <v>507</v>
      </c>
      <c r="D579" s="340"/>
      <c r="E579" s="340" t="s">
        <v>89</v>
      </c>
      <c r="F579" s="345">
        <v>139</v>
      </c>
      <c r="G579" s="346">
        <v>139</v>
      </c>
      <c r="H579" s="346">
        <v>139</v>
      </c>
      <c r="I579" s="346">
        <f t="shared" si="10"/>
        <v>0</v>
      </c>
      <c r="J579" s="342" t="s">
        <v>995</v>
      </c>
      <c r="K579" s="342"/>
      <c r="L579" s="342" t="s">
        <v>995</v>
      </c>
      <c r="M579" s="342"/>
      <c r="N579" s="342"/>
      <c r="O579" s="343"/>
      <c r="P579" s="342"/>
      <c r="Q579" s="343"/>
      <c r="R579" s="266"/>
      <c r="S579" s="266"/>
      <c r="T579" s="266"/>
    </row>
    <row r="580" spans="1:20" ht="30" customHeight="1">
      <c r="A580" s="340">
        <v>575</v>
      </c>
      <c r="B580" s="344" t="s">
        <v>1206</v>
      </c>
      <c r="C580" s="340" t="s">
        <v>508</v>
      </c>
      <c r="D580" s="340"/>
      <c r="E580" s="340" t="s">
        <v>85</v>
      </c>
      <c r="F580" s="345">
        <v>921</v>
      </c>
      <c r="G580" s="346">
        <v>921</v>
      </c>
      <c r="H580" s="346">
        <v>921</v>
      </c>
      <c r="I580" s="346">
        <f t="shared" si="10"/>
        <v>0</v>
      </c>
      <c r="J580" s="342" t="s">
        <v>995</v>
      </c>
      <c r="K580" s="342"/>
      <c r="L580" s="342" t="s">
        <v>995</v>
      </c>
      <c r="M580" s="342"/>
      <c r="N580" s="342"/>
      <c r="O580" s="342"/>
      <c r="P580" s="342"/>
      <c r="Q580" s="343"/>
      <c r="R580" s="266"/>
      <c r="S580" s="266"/>
      <c r="T580" s="266"/>
    </row>
    <row r="581" spans="1:20" ht="30" customHeight="1">
      <c r="A581" s="340">
        <v>576</v>
      </c>
      <c r="B581" s="344" t="s">
        <v>1206</v>
      </c>
      <c r="C581" s="340" t="s">
        <v>509</v>
      </c>
      <c r="D581" s="340"/>
      <c r="E581" s="340" t="s">
        <v>89</v>
      </c>
      <c r="F581" s="345">
        <v>464</v>
      </c>
      <c r="G581" s="346">
        <v>464</v>
      </c>
      <c r="H581" s="346">
        <v>464</v>
      </c>
      <c r="I581" s="346">
        <f t="shared" si="10"/>
        <v>0</v>
      </c>
      <c r="J581" s="342" t="s">
        <v>995</v>
      </c>
      <c r="K581" s="342"/>
      <c r="L581" s="342" t="s">
        <v>995</v>
      </c>
      <c r="M581" s="342"/>
      <c r="N581" s="342"/>
      <c r="O581" s="342"/>
      <c r="P581" s="342"/>
      <c r="Q581" s="343"/>
      <c r="R581" s="266"/>
      <c r="S581" s="266"/>
      <c r="T581" s="266"/>
    </row>
    <row r="582" spans="1:20" ht="30" customHeight="1">
      <c r="A582" s="340">
        <v>577</v>
      </c>
      <c r="B582" s="344" t="s">
        <v>1206</v>
      </c>
      <c r="C582" s="340" t="s">
        <v>510</v>
      </c>
      <c r="D582" s="340"/>
      <c r="E582" s="340" t="s">
        <v>87</v>
      </c>
      <c r="F582" s="345"/>
      <c r="G582" s="346">
        <v>171</v>
      </c>
      <c r="H582" s="346">
        <v>171</v>
      </c>
      <c r="I582" s="346">
        <f t="shared" si="10"/>
        <v>0</v>
      </c>
      <c r="J582" s="342" t="s">
        <v>995</v>
      </c>
      <c r="K582" s="342"/>
      <c r="L582" s="342" t="s">
        <v>995</v>
      </c>
      <c r="M582" s="342"/>
      <c r="N582" s="342"/>
      <c r="O582" s="342"/>
      <c r="P582" s="342"/>
      <c r="Q582" s="343"/>
      <c r="R582" s="266"/>
      <c r="S582" s="266"/>
      <c r="T582" s="266"/>
    </row>
    <row r="583" spans="1:20" ht="30" customHeight="1">
      <c r="A583" s="340">
        <v>578</v>
      </c>
      <c r="B583" s="344" t="s">
        <v>1206</v>
      </c>
      <c r="C583" s="340" t="s">
        <v>511</v>
      </c>
      <c r="D583" s="340"/>
      <c r="E583" s="340" t="s">
        <v>85</v>
      </c>
      <c r="F583" s="345">
        <v>1063</v>
      </c>
      <c r="G583" s="346">
        <v>1063</v>
      </c>
      <c r="H583" s="346">
        <v>1063</v>
      </c>
      <c r="I583" s="346">
        <f t="shared" si="10"/>
        <v>0</v>
      </c>
      <c r="J583" s="342" t="s">
        <v>995</v>
      </c>
      <c r="K583" s="342"/>
      <c r="L583" s="342" t="s">
        <v>995</v>
      </c>
      <c r="M583" s="342"/>
      <c r="N583" s="342"/>
      <c r="O583" s="342"/>
      <c r="P583" s="342"/>
      <c r="Q583" s="343"/>
      <c r="R583" s="266"/>
      <c r="S583" s="266"/>
      <c r="T583" s="266"/>
    </row>
    <row r="584" spans="1:20" ht="30" customHeight="1">
      <c r="A584" s="340">
        <v>579</v>
      </c>
      <c r="B584" s="344" t="s">
        <v>1206</v>
      </c>
      <c r="C584" s="340" t="s">
        <v>297</v>
      </c>
      <c r="D584" s="340"/>
      <c r="E584" s="340" t="s">
        <v>135</v>
      </c>
      <c r="F584" s="345">
        <v>2</v>
      </c>
      <c r="G584" s="346">
        <v>2</v>
      </c>
      <c r="H584" s="346">
        <v>2</v>
      </c>
      <c r="I584" s="346">
        <f t="shared" si="10"/>
        <v>0</v>
      </c>
      <c r="J584" s="342" t="s">
        <v>995</v>
      </c>
      <c r="K584" s="342"/>
      <c r="L584" s="342" t="s">
        <v>995</v>
      </c>
      <c r="M584" s="342"/>
      <c r="N584" s="342"/>
      <c r="O584" s="342"/>
      <c r="P584" s="342"/>
      <c r="Q584" s="343"/>
      <c r="R584" s="266"/>
      <c r="S584" s="266"/>
      <c r="T584" s="266"/>
    </row>
    <row r="585" spans="1:20" ht="30" customHeight="1">
      <c r="A585" s="340">
        <v>580</v>
      </c>
      <c r="B585" s="344" t="s">
        <v>1206</v>
      </c>
      <c r="C585" s="340" t="s">
        <v>298</v>
      </c>
      <c r="D585" s="340"/>
      <c r="E585" s="340" t="s">
        <v>135</v>
      </c>
      <c r="F585" s="345">
        <v>12</v>
      </c>
      <c r="G585" s="346">
        <v>12</v>
      </c>
      <c r="H585" s="346">
        <v>12</v>
      </c>
      <c r="I585" s="346">
        <f t="shared" si="10"/>
        <v>0</v>
      </c>
      <c r="J585" s="342" t="s">
        <v>995</v>
      </c>
      <c r="K585" s="342"/>
      <c r="L585" s="342" t="s">
        <v>995</v>
      </c>
      <c r="M585" s="342"/>
      <c r="N585" s="342"/>
      <c r="O585" s="342"/>
      <c r="P585" s="342"/>
      <c r="Q585" s="343"/>
      <c r="R585" s="266"/>
      <c r="S585" s="266"/>
      <c r="T585" s="266"/>
    </row>
    <row r="586" spans="1:20" ht="30" customHeight="1">
      <c r="A586" s="340">
        <v>581</v>
      </c>
      <c r="B586" s="344" t="s">
        <v>1206</v>
      </c>
      <c r="C586" s="340" t="s">
        <v>1103</v>
      </c>
      <c r="D586" s="340"/>
      <c r="E586" s="340" t="s">
        <v>135</v>
      </c>
      <c r="F586" s="345">
        <v>3853</v>
      </c>
      <c r="G586" s="346">
        <v>3853</v>
      </c>
      <c r="H586" s="346">
        <v>3853</v>
      </c>
      <c r="I586" s="346">
        <f t="shared" si="10"/>
        <v>0</v>
      </c>
      <c r="J586" s="342" t="s">
        <v>995</v>
      </c>
      <c r="K586" s="342"/>
      <c r="L586" s="342" t="s">
        <v>995</v>
      </c>
      <c r="M586" s="342"/>
      <c r="N586" s="342"/>
      <c r="O586" s="343"/>
      <c r="P586" s="342"/>
      <c r="Q586" s="343"/>
      <c r="R586" s="266"/>
      <c r="S586" s="266"/>
      <c r="T586" s="266"/>
    </row>
    <row r="587" spans="1:20" ht="30" customHeight="1">
      <c r="A587" s="340">
        <v>582</v>
      </c>
      <c r="B587" s="344" t="s">
        <v>1206</v>
      </c>
      <c r="C587" s="340" t="s">
        <v>738</v>
      </c>
      <c r="D587" s="340"/>
      <c r="E587" s="340" t="s">
        <v>135</v>
      </c>
      <c r="F587" s="345">
        <v>2379</v>
      </c>
      <c r="G587" s="346">
        <v>2379</v>
      </c>
      <c r="H587" s="346">
        <v>2379</v>
      </c>
      <c r="I587" s="346">
        <f t="shared" si="10"/>
        <v>0</v>
      </c>
      <c r="J587" s="342" t="s">
        <v>995</v>
      </c>
      <c r="K587" s="342"/>
      <c r="L587" s="342" t="s">
        <v>995</v>
      </c>
      <c r="M587" s="342"/>
      <c r="N587" s="342"/>
      <c r="O587" s="342"/>
      <c r="P587" s="342"/>
      <c r="Q587" s="343"/>
      <c r="R587" s="266"/>
      <c r="S587" s="266"/>
      <c r="T587" s="266"/>
    </row>
    <row r="588" spans="1:20" ht="30" customHeight="1">
      <c r="A588" s="340">
        <v>583</v>
      </c>
      <c r="B588" s="344" t="s">
        <v>1206</v>
      </c>
      <c r="C588" s="340" t="s">
        <v>512</v>
      </c>
      <c r="D588" s="340"/>
      <c r="E588" s="340" t="s">
        <v>135</v>
      </c>
      <c r="F588" s="345">
        <v>2364</v>
      </c>
      <c r="G588" s="346">
        <v>2364</v>
      </c>
      <c r="H588" s="346">
        <v>2364</v>
      </c>
      <c r="I588" s="346">
        <f t="shared" si="10"/>
        <v>0</v>
      </c>
      <c r="J588" s="342" t="s">
        <v>995</v>
      </c>
      <c r="K588" s="342"/>
      <c r="L588" s="342" t="s">
        <v>995</v>
      </c>
      <c r="M588" s="342"/>
      <c r="N588" s="342"/>
      <c r="O588" s="342"/>
      <c r="P588" s="342"/>
      <c r="Q588" s="343"/>
      <c r="R588" s="266"/>
      <c r="S588" s="266"/>
      <c r="T588" s="266"/>
    </row>
    <row r="589" spans="1:20" ht="30" customHeight="1">
      <c r="A589" s="340">
        <v>584</v>
      </c>
      <c r="B589" s="344" t="s">
        <v>1206</v>
      </c>
      <c r="C589" s="340" t="s">
        <v>513</v>
      </c>
      <c r="D589" s="340"/>
      <c r="E589" s="340" t="s">
        <v>135</v>
      </c>
      <c r="F589" s="345">
        <v>12358</v>
      </c>
      <c r="G589" s="346">
        <v>12358</v>
      </c>
      <c r="H589" s="346">
        <v>12358</v>
      </c>
      <c r="I589" s="346">
        <f t="shared" si="10"/>
        <v>0</v>
      </c>
      <c r="J589" s="342" t="s">
        <v>995</v>
      </c>
      <c r="K589" s="342"/>
      <c r="L589" s="342" t="s">
        <v>995</v>
      </c>
      <c r="M589" s="342"/>
      <c r="N589" s="342"/>
      <c r="O589" s="342"/>
      <c r="P589" s="342"/>
      <c r="Q589" s="343"/>
      <c r="R589" s="266"/>
      <c r="S589" s="266"/>
      <c r="T589" s="266"/>
    </row>
    <row r="590" spans="1:20" ht="30" customHeight="1">
      <c r="A590" s="340">
        <v>585</v>
      </c>
      <c r="B590" s="344" t="s">
        <v>1206</v>
      </c>
      <c r="C590" s="340" t="s">
        <v>514</v>
      </c>
      <c r="D590" s="340"/>
      <c r="E590" s="340" t="s">
        <v>87</v>
      </c>
      <c r="F590" s="345">
        <v>262.89999999999998</v>
      </c>
      <c r="G590" s="346">
        <v>262.89999999999998</v>
      </c>
      <c r="H590" s="346">
        <v>262.89999999999998</v>
      </c>
      <c r="I590" s="346">
        <f t="shared" si="10"/>
        <v>0</v>
      </c>
      <c r="J590" s="342" t="s">
        <v>1209</v>
      </c>
      <c r="K590" s="342"/>
      <c r="L590" s="342" t="s">
        <v>1209</v>
      </c>
      <c r="M590" s="342"/>
      <c r="N590" s="342"/>
      <c r="O590" s="342"/>
      <c r="P590" s="342"/>
      <c r="Q590" s="343"/>
      <c r="R590" s="266"/>
      <c r="S590" s="266"/>
      <c r="T590" s="266"/>
    </row>
    <row r="591" spans="1:20" ht="30" customHeight="1">
      <c r="A591" s="340">
        <v>586</v>
      </c>
      <c r="B591" s="344" t="s">
        <v>1206</v>
      </c>
      <c r="C591" s="340" t="s">
        <v>515</v>
      </c>
      <c r="D591" s="340"/>
      <c r="E591" s="340" t="s">
        <v>89</v>
      </c>
      <c r="F591" s="345">
        <v>1322.1</v>
      </c>
      <c r="G591" s="346">
        <v>1322.1</v>
      </c>
      <c r="H591" s="346">
        <v>1322.1</v>
      </c>
      <c r="I591" s="346">
        <f t="shared" si="10"/>
        <v>0</v>
      </c>
      <c r="J591" s="342" t="s">
        <v>995</v>
      </c>
      <c r="K591" s="342"/>
      <c r="L591" s="342" t="s">
        <v>995</v>
      </c>
      <c r="M591" s="342"/>
      <c r="N591" s="342"/>
      <c r="O591" s="342"/>
      <c r="P591" s="342"/>
      <c r="Q591" s="343"/>
      <c r="R591" s="266"/>
      <c r="S591" s="266"/>
      <c r="T591" s="266"/>
    </row>
    <row r="592" spans="1:20" ht="30" customHeight="1">
      <c r="A592" s="340">
        <v>587</v>
      </c>
      <c r="B592" s="344" t="s">
        <v>1206</v>
      </c>
      <c r="C592" s="340" t="s">
        <v>516</v>
      </c>
      <c r="D592" s="340"/>
      <c r="E592" s="340" t="s">
        <v>89</v>
      </c>
      <c r="F592" s="345">
        <v>2721</v>
      </c>
      <c r="G592" s="346">
        <v>2721</v>
      </c>
      <c r="H592" s="346">
        <v>2721</v>
      </c>
      <c r="I592" s="346">
        <f t="shared" si="10"/>
        <v>0</v>
      </c>
      <c r="J592" s="342" t="s">
        <v>995</v>
      </c>
      <c r="K592" s="342"/>
      <c r="L592" s="342" t="s">
        <v>995</v>
      </c>
      <c r="M592" s="342"/>
      <c r="N592" s="342"/>
      <c r="O592" s="342"/>
      <c r="P592" s="342"/>
      <c r="Q592" s="343"/>
      <c r="R592" s="266"/>
      <c r="S592" s="266"/>
      <c r="T592" s="268"/>
    </row>
    <row r="593" spans="1:23" ht="30" customHeight="1">
      <c r="A593" s="340">
        <v>588</v>
      </c>
      <c r="B593" s="344" t="s">
        <v>1206</v>
      </c>
      <c r="C593" s="340" t="s">
        <v>517</v>
      </c>
      <c r="D593" s="340"/>
      <c r="E593" s="340" t="s">
        <v>89</v>
      </c>
      <c r="F593" s="345">
        <v>3286.4</v>
      </c>
      <c r="G593" s="346">
        <v>3286.4</v>
      </c>
      <c r="H593" s="346">
        <v>3286.4</v>
      </c>
      <c r="I593" s="346">
        <f t="shared" si="10"/>
        <v>0</v>
      </c>
      <c r="J593" s="342" t="s">
        <v>995</v>
      </c>
      <c r="K593" s="342"/>
      <c r="L593" s="342" t="s">
        <v>995</v>
      </c>
      <c r="M593" s="342"/>
      <c r="N593" s="342"/>
      <c r="O593" s="342"/>
      <c r="P593" s="342"/>
      <c r="Q593" s="343"/>
      <c r="R593" s="266"/>
      <c r="S593" s="266"/>
      <c r="T593" s="268"/>
    </row>
    <row r="594" spans="1:23" ht="30" customHeight="1">
      <c r="A594" s="340">
        <v>589</v>
      </c>
      <c r="B594" s="344" t="s">
        <v>1206</v>
      </c>
      <c r="C594" s="340" t="s">
        <v>518</v>
      </c>
      <c r="D594" s="340"/>
      <c r="E594" s="340" t="s">
        <v>89</v>
      </c>
      <c r="F594" s="345">
        <v>1494.1</v>
      </c>
      <c r="G594" s="346">
        <v>1494.1</v>
      </c>
      <c r="H594" s="346">
        <v>1494.1</v>
      </c>
      <c r="I594" s="346">
        <f t="shared" si="10"/>
        <v>0</v>
      </c>
      <c r="J594" s="342" t="s">
        <v>995</v>
      </c>
      <c r="K594" s="342"/>
      <c r="L594" s="342" t="s">
        <v>995</v>
      </c>
      <c r="M594" s="342"/>
      <c r="N594" s="342"/>
      <c r="O594" s="343"/>
      <c r="P594" s="342"/>
      <c r="Q594" s="343"/>
      <c r="R594" s="266"/>
      <c r="S594" s="266"/>
      <c r="T594" s="268"/>
    </row>
    <row r="595" spans="1:23" ht="30" customHeight="1">
      <c r="A595" s="340">
        <v>590</v>
      </c>
      <c r="B595" s="344" t="s">
        <v>1206</v>
      </c>
      <c r="C595" s="340" t="s">
        <v>519</v>
      </c>
      <c r="D595" s="340"/>
      <c r="E595" s="340" t="s">
        <v>89</v>
      </c>
      <c r="F595" s="345">
        <v>1139.2</v>
      </c>
      <c r="G595" s="346">
        <v>1139.2</v>
      </c>
      <c r="H595" s="346">
        <v>1139.2</v>
      </c>
      <c r="I595" s="346">
        <f t="shared" si="10"/>
        <v>0</v>
      </c>
      <c r="J595" s="342" t="s">
        <v>995</v>
      </c>
      <c r="K595" s="342"/>
      <c r="L595" s="342" t="s">
        <v>995</v>
      </c>
      <c r="M595" s="342"/>
      <c r="N595" s="342"/>
      <c r="O595" s="342"/>
      <c r="P595" s="342"/>
      <c r="Q595" s="343"/>
      <c r="R595" s="266"/>
      <c r="S595" s="266"/>
      <c r="T595" s="268"/>
    </row>
    <row r="596" spans="1:23" ht="30" customHeight="1">
      <c r="A596" s="340">
        <v>591</v>
      </c>
      <c r="B596" s="344" t="s">
        <v>1206</v>
      </c>
      <c r="C596" s="340" t="s">
        <v>520</v>
      </c>
      <c r="D596" s="340"/>
      <c r="E596" s="340" t="s">
        <v>89</v>
      </c>
      <c r="F596" s="345">
        <v>1477.2</v>
      </c>
      <c r="G596" s="346">
        <v>1477.2</v>
      </c>
      <c r="H596" s="346">
        <v>1477.2</v>
      </c>
      <c r="I596" s="346">
        <f t="shared" si="10"/>
        <v>0</v>
      </c>
      <c r="J596" s="342" t="s">
        <v>995</v>
      </c>
      <c r="K596" s="342"/>
      <c r="L596" s="342" t="s">
        <v>995</v>
      </c>
      <c r="M596" s="342"/>
      <c r="N596" s="342"/>
      <c r="O596" s="342"/>
      <c r="P596" s="342"/>
      <c r="Q596" s="343"/>
      <c r="R596" s="266"/>
      <c r="S596" s="266"/>
      <c r="T596" s="288"/>
      <c r="U596" s="266"/>
      <c r="V596" s="266"/>
      <c r="W596" s="266"/>
    </row>
    <row r="597" spans="1:23" ht="30" customHeight="1">
      <c r="A597" s="340">
        <v>592</v>
      </c>
      <c r="B597" s="344" t="s">
        <v>1206</v>
      </c>
      <c r="C597" s="340" t="s">
        <v>521</v>
      </c>
      <c r="D597" s="340"/>
      <c r="E597" s="340" t="s">
        <v>89</v>
      </c>
      <c r="F597" s="345">
        <v>1127</v>
      </c>
      <c r="G597" s="346">
        <v>1127</v>
      </c>
      <c r="H597" s="346">
        <v>1127</v>
      </c>
      <c r="I597" s="346">
        <f t="shared" ref="I597:I654" si="11">H597-G597</f>
        <v>0</v>
      </c>
      <c r="J597" s="342" t="s">
        <v>995</v>
      </c>
      <c r="K597" s="342"/>
      <c r="L597" s="342" t="s">
        <v>995</v>
      </c>
      <c r="M597" s="342"/>
      <c r="N597" s="342"/>
      <c r="O597" s="342"/>
      <c r="P597" s="342"/>
      <c r="Q597" s="343"/>
      <c r="R597" s="266"/>
      <c r="S597" s="266"/>
      <c r="T597" s="288"/>
      <c r="U597" s="266"/>
      <c r="V597" s="266"/>
      <c r="W597" s="266"/>
    </row>
    <row r="598" spans="1:23" ht="30" customHeight="1">
      <c r="A598" s="340">
        <v>593</v>
      </c>
      <c r="B598" s="344" t="s">
        <v>1206</v>
      </c>
      <c r="C598" s="340" t="s">
        <v>522</v>
      </c>
      <c r="D598" s="340"/>
      <c r="E598" s="340" t="s">
        <v>89</v>
      </c>
      <c r="F598" s="345">
        <v>1455.7</v>
      </c>
      <c r="G598" s="346">
        <v>1455.7</v>
      </c>
      <c r="H598" s="346">
        <v>1455.7</v>
      </c>
      <c r="I598" s="346">
        <f t="shared" si="11"/>
        <v>0</v>
      </c>
      <c r="J598" s="342" t="s">
        <v>995</v>
      </c>
      <c r="K598" s="342"/>
      <c r="L598" s="342" t="s">
        <v>995</v>
      </c>
      <c r="M598" s="342"/>
      <c r="N598" s="342"/>
      <c r="O598" s="342"/>
      <c r="P598" s="342"/>
      <c r="Q598" s="343"/>
      <c r="R598" s="266"/>
      <c r="S598" s="266"/>
      <c r="T598" s="266"/>
    </row>
    <row r="599" spans="1:23" ht="30" customHeight="1">
      <c r="A599" s="340">
        <v>594</v>
      </c>
      <c r="B599" s="344" t="s">
        <v>1206</v>
      </c>
      <c r="C599" s="340" t="s">
        <v>523</v>
      </c>
      <c r="D599" s="340"/>
      <c r="E599" s="340" t="s">
        <v>89</v>
      </c>
      <c r="F599" s="345">
        <v>971.6</v>
      </c>
      <c r="G599" s="346">
        <v>971.6</v>
      </c>
      <c r="H599" s="346">
        <v>971.6</v>
      </c>
      <c r="I599" s="346">
        <f t="shared" si="11"/>
        <v>0</v>
      </c>
      <c r="J599" s="342" t="s">
        <v>995</v>
      </c>
      <c r="K599" s="342"/>
      <c r="L599" s="342" t="s">
        <v>995</v>
      </c>
      <c r="M599" s="342"/>
      <c r="N599" s="342"/>
      <c r="O599" s="342"/>
      <c r="P599" s="342"/>
      <c r="Q599" s="343"/>
      <c r="R599" s="266"/>
      <c r="S599" s="266"/>
      <c r="T599" s="266"/>
    </row>
    <row r="600" spans="1:23" ht="30" customHeight="1">
      <c r="A600" s="340">
        <v>595</v>
      </c>
      <c r="B600" s="344" t="s">
        <v>1206</v>
      </c>
      <c r="C600" s="340" t="s">
        <v>524</v>
      </c>
      <c r="D600" s="340"/>
      <c r="E600" s="340" t="s">
        <v>89</v>
      </c>
      <c r="F600" s="345">
        <v>499.7</v>
      </c>
      <c r="G600" s="346">
        <v>499.7</v>
      </c>
      <c r="H600" s="346">
        <v>499.7</v>
      </c>
      <c r="I600" s="346">
        <f t="shared" si="11"/>
        <v>0</v>
      </c>
      <c r="J600" s="342" t="s">
        <v>995</v>
      </c>
      <c r="K600" s="342"/>
      <c r="L600" s="342" t="s">
        <v>995</v>
      </c>
      <c r="M600" s="342"/>
      <c r="N600" s="342"/>
      <c r="O600" s="342"/>
      <c r="P600" s="342"/>
      <c r="Q600" s="343"/>
      <c r="R600" s="266"/>
      <c r="S600" s="266"/>
      <c r="T600" s="266"/>
    </row>
    <row r="601" spans="1:23" ht="30" customHeight="1">
      <c r="A601" s="340">
        <v>596</v>
      </c>
      <c r="B601" s="344" t="s">
        <v>1206</v>
      </c>
      <c r="C601" s="340" t="s">
        <v>525</v>
      </c>
      <c r="D601" s="340"/>
      <c r="E601" s="340" t="s">
        <v>89</v>
      </c>
      <c r="F601" s="345">
        <v>1914.6</v>
      </c>
      <c r="G601" s="346">
        <v>1914.6</v>
      </c>
      <c r="H601" s="346">
        <v>1914.6</v>
      </c>
      <c r="I601" s="346">
        <f t="shared" si="11"/>
        <v>0</v>
      </c>
      <c r="J601" s="342" t="s">
        <v>995</v>
      </c>
      <c r="K601" s="342"/>
      <c r="L601" s="342" t="s">
        <v>995</v>
      </c>
      <c r="M601" s="342"/>
      <c r="N601" s="342"/>
      <c r="O601" s="342"/>
      <c r="P601" s="342"/>
      <c r="Q601" s="343"/>
      <c r="R601" s="266"/>
      <c r="S601" s="266"/>
      <c r="T601" s="266"/>
    </row>
    <row r="602" spans="1:23" ht="30" customHeight="1">
      <c r="A602" s="340">
        <v>597</v>
      </c>
      <c r="B602" s="344" t="s">
        <v>1206</v>
      </c>
      <c r="C602" s="340" t="s">
        <v>526</v>
      </c>
      <c r="D602" s="340"/>
      <c r="E602" s="340" t="s">
        <v>84</v>
      </c>
      <c r="F602" s="345">
        <v>1548.8</v>
      </c>
      <c r="G602" s="346">
        <v>1548.8</v>
      </c>
      <c r="H602" s="346">
        <v>1548.8</v>
      </c>
      <c r="I602" s="346">
        <f t="shared" si="11"/>
        <v>0</v>
      </c>
      <c r="J602" s="342" t="s">
        <v>1209</v>
      </c>
      <c r="K602" s="342"/>
      <c r="L602" s="342" t="s">
        <v>1209</v>
      </c>
      <c r="M602" s="342"/>
      <c r="N602" s="342"/>
      <c r="O602" s="343"/>
      <c r="P602" s="342"/>
      <c r="Q602" s="343"/>
      <c r="R602" s="266"/>
      <c r="S602" s="266"/>
      <c r="T602" s="266"/>
    </row>
    <row r="603" spans="1:23" ht="30" customHeight="1">
      <c r="A603" s="340">
        <v>598</v>
      </c>
      <c r="B603" s="344" t="s">
        <v>1206</v>
      </c>
      <c r="C603" s="340" t="s">
        <v>527</v>
      </c>
      <c r="D603" s="340"/>
      <c r="E603" s="340" t="s">
        <v>528</v>
      </c>
      <c r="F603" s="345">
        <v>597.9</v>
      </c>
      <c r="G603" s="346">
        <v>597.9</v>
      </c>
      <c r="H603" s="346">
        <v>597.9</v>
      </c>
      <c r="I603" s="346">
        <f t="shared" si="11"/>
        <v>0</v>
      </c>
      <c r="J603" s="342" t="s">
        <v>1208</v>
      </c>
      <c r="K603" s="342"/>
      <c r="L603" s="342" t="s">
        <v>1208</v>
      </c>
      <c r="M603" s="342"/>
      <c r="N603" s="342"/>
      <c r="O603" s="342"/>
      <c r="P603" s="342"/>
      <c r="Q603" s="343"/>
      <c r="R603" s="266"/>
      <c r="S603" s="266"/>
      <c r="T603" s="266"/>
    </row>
    <row r="604" spans="1:23" ht="30" customHeight="1">
      <c r="A604" s="340">
        <v>599</v>
      </c>
      <c r="B604" s="344" t="s">
        <v>1206</v>
      </c>
      <c r="C604" s="340" t="s">
        <v>529</v>
      </c>
      <c r="D604" s="340"/>
      <c r="E604" s="340" t="s">
        <v>89</v>
      </c>
      <c r="F604" s="345">
        <v>2258.5</v>
      </c>
      <c r="G604" s="346">
        <v>2258.5</v>
      </c>
      <c r="H604" s="346">
        <v>2258.5</v>
      </c>
      <c r="I604" s="346">
        <f t="shared" si="11"/>
        <v>0</v>
      </c>
      <c r="J604" s="342" t="s">
        <v>995</v>
      </c>
      <c r="K604" s="342"/>
      <c r="L604" s="342" t="s">
        <v>995</v>
      </c>
      <c r="M604" s="342"/>
      <c r="N604" s="342"/>
      <c r="O604" s="342"/>
      <c r="P604" s="342"/>
      <c r="Q604" s="343"/>
      <c r="R604" s="266"/>
      <c r="S604" s="266"/>
      <c r="T604" s="266"/>
    </row>
    <row r="605" spans="1:23" ht="30" customHeight="1">
      <c r="A605" s="340">
        <v>600</v>
      </c>
      <c r="B605" s="344" t="s">
        <v>1206</v>
      </c>
      <c r="C605" s="340" t="s">
        <v>530</v>
      </c>
      <c r="D605" s="340"/>
      <c r="E605" s="340" t="s">
        <v>135</v>
      </c>
      <c r="F605" s="345">
        <v>82</v>
      </c>
      <c r="G605" s="346">
        <v>82</v>
      </c>
      <c r="H605" s="346">
        <v>82</v>
      </c>
      <c r="I605" s="346">
        <f t="shared" si="11"/>
        <v>0</v>
      </c>
      <c r="J605" s="342" t="s">
        <v>995</v>
      </c>
      <c r="K605" s="342"/>
      <c r="L605" s="342" t="s">
        <v>995</v>
      </c>
      <c r="M605" s="342"/>
      <c r="N605" s="342"/>
      <c r="O605" s="342"/>
      <c r="P605" s="342"/>
      <c r="Q605" s="343"/>
      <c r="R605" s="266"/>
      <c r="S605" s="266"/>
      <c r="T605" s="266"/>
    </row>
    <row r="606" spans="1:23" ht="30" customHeight="1">
      <c r="A606" s="340">
        <v>601</v>
      </c>
      <c r="B606" s="344" t="s">
        <v>1206</v>
      </c>
      <c r="C606" s="340" t="s">
        <v>299</v>
      </c>
      <c r="D606" s="340"/>
      <c r="E606" s="340" t="s">
        <v>135</v>
      </c>
      <c r="F606" s="345">
        <v>327</v>
      </c>
      <c r="G606" s="346">
        <v>327</v>
      </c>
      <c r="H606" s="346">
        <v>327</v>
      </c>
      <c r="I606" s="346">
        <f t="shared" si="11"/>
        <v>0</v>
      </c>
      <c r="J606" s="342" t="s">
        <v>995</v>
      </c>
      <c r="K606" s="342"/>
      <c r="L606" s="342" t="s">
        <v>995</v>
      </c>
      <c r="M606" s="342"/>
      <c r="N606" s="342"/>
      <c r="O606" s="342"/>
      <c r="P606" s="342"/>
      <c r="Q606" s="343"/>
      <c r="R606" s="266"/>
      <c r="S606" s="266"/>
      <c r="T606" s="266"/>
    </row>
    <row r="607" spans="1:23" ht="30" customHeight="1">
      <c r="A607" s="340">
        <v>602</v>
      </c>
      <c r="B607" s="344" t="s">
        <v>1206</v>
      </c>
      <c r="C607" s="340" t="s">
        <v>300</v>
      </c>
      <c r="D607" s="340"/>
      <c r="E607" s="340" t="s">
        <v>135</v>
      </c>
      <c r="F607" s="345">
        <v>156</v>
      </c>
      <c r="G607" s="346">
        <v>156</v>
      </c>
      <c r="H607" s="346">
        <v>156</v>
      </c>
      <c r="I607" s="346">
        <f t="shared" si="11"/>
        <v>0</v>
      </c>
      <c r="J607" s="342" t="s">
        <v>995</v>
      </c>
      <c r="K607" s="342"/>
      <c r="L607" s="342" t="s">
        <v>995</v>
      </c>
      <c r="M607" s="342"/>
      <c r="N607" s="342"/>
      <c r="O607" s="342"/>
      <c r="P607" s="342"/>
      <c r="Q607" s="343"/>
      <c r="R607" s="266"/>
      <c r="S607" s="266"/>
      <c r="T607" s="266"/>
    </row>
    <row r="608" spans="1:23" ht="30" customHeight="1">
      <c r="A608" s="340">
        <v>603</v>
      </c>
      <c r="B608" s="344" t="s">
        <v>1206</v>
      </c>
      <c r="C608" s="340" t="s">
        <v>531</v>
      </c>
      <c r="D608" s="340"/>
      <c r="E608" s="340" t="s">
        <v>89</v>
      </c>
      <c r="F608" s="345">
        <v>827</v>
      </c>
      <c r="G608" s="346">
        <v>827</v>
      </c>
      <c r="H608" s="346">
        <v>827</v>
      </c>
      <c r="I608" s="346">
        <f t="shared" si="11"/>
        <v>0</v>
      </c>
      <c r="J608" s="342" t="s">
        <v>995</v>
      </c>
      <c r="K608" s="342"/>
      <c r="L608" s="342" t="s">
        <v>995</v>
      </c>
      <c r="M608" s="342"/>
      <c r="N608" s="342"/>
      <c r="O608" s="342"/>
      <c r="P608" s="342"/>
      <c r="Q608" s="343"/>
      <c r="R608" s="266"/>
      <c r="S608" s="266"/>
      <c r="T608" s="266"/>
    </row>
    <row r="609" spans="1:23" ht="30" customHeight="1">
      <c r="A609" s="340">
        <v>604</v>
      </c>
      <c r="B609" s="344" t="s">
        <v>1206</v>
      </c>
      <c r="C609" s="340" t="s">
        <v>532</v>
      </c>
      <c r="D609" s="340"/>
      <c r="E609" s="340" t="s">
        <v>87</v>
      </c>
      <c r="F609" s="345">
        <v>421.7</v>
      </c>
      <c r="G609" s="346">
        <v>421.7</v>
      </c>
      <c r="H609" s="346">
        <v>421.7</v>
      </c>
      <c r="I609" s="346">
        <f t="shared" si="11"/>
        <v>0</v>
      </c>
      <c r="J609" s="342" t="s">
        <v>1209</v>
      </c>
      <c r="K609" s="342"/>
      <c r="L609" s="342" t="s">
        <v>1209</v>
      </c>
      <c r="M609" s="342"/>
      <c r="N609" s="342"/>
      <c r="O609" s="342"/>
      <c r="P609" s="342"/>
      <c r="Q609" s="343"/>
      <c r="R609" s="266"/>
      <c r="S609" s="266"/>
      <c r="T609" s="266"/>
    </row>
    <row r="610" spans="1:23" ht="30" customHeight="1">
      <c r="A610" s="340">
        <v>605</v>
      </c>
      <c r="B610" s="344" t="s">
        <v>1206</v>
      </c>
      <c r="C610" s="340" t="s">
        <v>533</v>
      </c>
      <c r="D610" s="340"/>
      <c r="E610" s="340" t="s">
        <v>84</v>
      </c>
      <c r="F610" s="345">
        <v>1082</v>
      </c>
      <c r="G610" s="346">
        <v>1082</v>
      </c>
      <c r="H610" s="346">
        <v>1082</v>
      </c>
      <c r="I610" s="346">
        <f t="shared" si="11"/>
        <v>0</v>
      </c>
      <c r="J610" s="342" t="s">
        <v>1209</v>
      </c>
      <c r="K610" s="342"/>
      <c r="L610" s="342" t="s">
        <v>1209</v>
      </c>
      <c r="M610" s="342"/>
      <c r="N610" s="342"/>
      <c r="O610" s="343"/>
      <c r="P610" s="342"/>
      <c r="Q610" s="343"/>
      <c r="R610" s="266"/>
      <c r="S610" s="266"/>
      <c r="T610" s="266"/>
    </row>
    <row r="611" spans="1:23" ht="30" customHeight="1">
      <c r="A611" s="340">
        <v>606</v>
      </c>
      <c r="B611" s="344" t="s">
        <v>1206</v>
      </c>
      <c r="C611" s="340" t="s">
        <v>534</v>
      </c>
      <c r="D611" s="340"/>
      <c r="E611" s="340" t="s">
        <v>89</v>
      </c>
      <c r="F611" s="345">
        <v>1075.5999999999999</v>
      </c>
      <c r="G611" s="346">
        <v>1075.5999999999999</v>
      </c>
      <c r="H611" s="346">
        <v>1075.5999999999999</v>
      </c>
      <c r="I611" s="346">
        <f t="shared" si="11"/>
        <v>0</v>
      </c>
      <c r="J611" s="342" t="s">
        <v>995</v>
      </c>
      <c r="K611" s="342"/>
      <c r="L611" s="342" t="s">
        <v>995</v>
      </c>
      <c r="M611" s="342"/>
      <c r="N611" s="342"/>
      <c r="O611" s="342"/>
      <c r="P611" s="342"/>
      <c r="Q611" s="343"/>
      <c r="R611" s="266"/>
      <c r="S611" s="266"/>
      <c r="T611" s="266"/>
    </row>
    <row r="612" spans="1:23" ht="30" customHeight="1">
      <c r="A612" s="340">
        <v>607</v>
      </c>
      <c r="B612" s="344" t="s">
        <v>1206</v>
      </c>
      <c r="C612" s="340" t="s">
        <v>535</v>
      </c>
      <c r="D612" s="340"/>
      <c r="E612" s="340" t="s">
        <v>89</v>
      </c>
      <c r="F612" s="345">
        <v>891.7</v>
      </c>
      <c r="G612" s="346">
        <v>891.7</v>
      </c>
      <c r="H612" s="346">
        <v>891.7</v>
      </c>
      <c r="I612" s="346">
        <f t="shared" si="11"/>
        <v>0</v>
      </c>
      <c r="J612" s="342" t="s">
        <v>995</v>
      </c>
      <c r="K612" s="342"/>
      <c r="L612" s="342" t="s">
        <v>995</v>
      </c>
      <c r="M612" s="342"/>
      <c r="N612" s="342"/>
      <c r="O612" s="342"/>
      <c r="P612" s="342"/>
      <c r="Q612" s="343"/>
      <c r="R612" s="266"/>
      <c r="S612" s="266"/>
      <c r="T612" s="266"/>
    </row>
    <row r="613" spans="1:23" ht="30" customHeight="1">
      <c r="A613" s="340">
        <v>608</v>
      </c>
      <c r="B613" s="344" t="s">
        <v>1206</v>
      </c>
      <c r="C613" s="340" t="s">
        <v>536</v>
      </c>
      <c r="D613" s="340"/>
      <c r="E613" s="340" t="s">
        <v>87</v>
      </c>
      <c r="F613" s="345">
        <v>607.6</v>
      </c>
      <c r="G613" s="346">
        <v>607.6</v>
      </c>
      <c r="H613" s="346">
        <v>607.6</v>
      </c>
      <c r="I613" s="346">
        <f t="shared" si="11"/>
        <v>0</v>
      </c>
      <c r="J613" s="342" t="s">
        <v>1209</v>
      </c>
      <c r="K613" s="342"/>
      <c r="L613" s="342" t="s">
        <v>1209</v>
      </c>
      <c r="M613" s="342"/>
      <c r="N613" s="342"/>
      <c r="O613" s="342"/>
      <c r="P613" s="342"/>
      <c r="Q613" s="343"/>
      <c r="R613" s="266"/>
      <c r="S613" s="266"/>
      <c r="T613" s="268"/>
    </row>
    <row r="614" spans="1:23" ht="30" customHeight="1">
      <c r="A614" s="340">
        <v>609</v>
      </c>
      <c r="B614" s="344" t="s">
        <v>1206</v>
      </c>
      <c r="C614" s="340" t="s">
        <v>537</v>
      </c>
      <c r="D614" s="340"/>
      <c r="E614" s="340" t="s">
        <v>89</v>
      </c>
      <c r="F614" s="345">
        <v>874.3</v>
      </c>
      <c r="G614" s="346">
        <v>874.3</v>
      </c>
      <c r="H614" s="346">
        <v>874.3</v>
      </c>
      <c r="I614" s="346">
        <f t="shared" si="11"/>
        <v>0</v>
      </c>
      <c r="J614" s="342" t="s">
        <v>995</v>
      </c>
      <c r="K614" s="342"/>
      <c r="L614" s="342" t="s">
        <v>995</v>
      </c>
      <c r="M614" s="342"/>
      <c r="N614" s="342"/>
      <c r="O614" s="342"/>
      <c r="P614" s="342"/>
      <c r="Q614" s="343"/>
      <c r="R614" s="266"/>
      <c r="S614" s="266"/>
      <c r="T614" s="268"/>
    </row>
    <row r="615" spans="1:23" ht="30" customHeight="1">
      <c r="A615" s="340">
        <v>610</v>
      </c>
      <c r="B615" s="344" t="s">
        <v>1206</v>
      </c>
      <c r="C615" s="340" t="s">
        <v>538</v>
      </c>
      <c r="D615" s="340"/>
      <c r="E615" s="340" t="s">
        <v>89</v>
      </c>
      <c r="F615" s="345">
        <v>712.8</v>
      </c>
      <c r="G615" s="346">
        <v>712.8</v>
      </c>
      <c r="H615" s="346">
        <v>712.8</v>
      </c>
      <c r="I615" s="346">
        <f t="shared" si="11"/>
        <v>0</v>
      </c>
      <c r="J615" s="342" t="s">
        <v>995</v>
      </c>
      <c r="K615" s="342"/>
      <c r="L615" s="342" t="s">
        <v>995</v>
      </c>
      <c r="M615" s="342"/>
      <c r="N615" s="342"/>
      <c r="O615" s="342"/>
      <c r="P615" s="342"/>
      <c r="Q615" s="343"/>
      <c r="R615" s="266"/>
      <c r="S615" s="266"/>
      <c r="T615" s="268"/>
    </row>
    <row r="616" spans="1:23" ht="30" customHeight="1">
      <c r="A616" s="340">
        <v>611</v>
      </c>
      <c r="B616" s="344" t="s">
        <v>1206</v>
      </c>
      <c r="C616" s="340" t="s">
        <v>539</v>
      </c>
      <c r="D616" s="340"/>
      <c r="E616" s="340" t="s">
        <v>89</v>
      </c>
      <c r="F616" s="345">
        <v>273</v>
      </c>
      <c r="G616" s="346">
        <v>273</v>
      </c>
      <c r="H616" s="346">
        <v>273</v>
      </c>
      <c r="I616" s="346">
        <f t="shared" si="11"/>
        <v>0</v>
      </c>
      <c r="J616" s="342" t="s">
        <v>995</v>
      </c>
      <c r="K616" s="342"/>
      <c r="L616" s="342" t="s">
        <v>995</v>
      </c>
      <c r="M616" s="342"/>
      <c r="N616" s="342"/>
      <c r="O616" s="342"/>
      <c r="P616" s="342"/>
      <c r="Q616" s="343"/>
      <c r="R616" s="266"/>
      <c r="S616" s="266"/>
      <c r="T616" s="268"/>
    </row>
    <row r="617" spans="1:23" ht="30" customHeight="1">
      <c r="A617" s="340">
        <v>612</v>
      </c>
      <c r="B617" s="344" t="s">
        <v>1206</v>
      </c>
      <c r="C617" s="340" t="s">
        <v>540</v>
      </c>
      <c r="D617" s="340"/>
      <c r="E617" s="340" t="s">
        <v>89</v>
      </c>
      <c r="F617" s="345">
        <v>358.4</v>
      </c>
      <c r="G617" s="346">
        <v>358.4</v>
      </c>
      <c r="H617" s="346">
        <v>358.4</v>
      </c>
      <c r="I617" s="346">
        <f t="shared" si="11"/>
        <v>0</v>
      </c>
      <c r="J617" s="342" t="s">
        <v>995</v>
      </c>
      <c r="K617" s="342"/>
      <c r="L617" s="342" t="s">
        <v>995</v>
      </c>
      <c r="M617" s="342"/>
      <c r="N617" s="342"/>
      <c r="O617" s="342"/>
      <c r="P617" s="342"/>
      <c r="Q617" s="343"/>
      <c r="R617" s="266"/>
      <c r="S617" s="266"/>
      <c r="T617" s="288"/>
      <c r="U617" s="266"/>
      <c r="V617" s="266"/>
      <c r="W617" s="266"/>
    </row>
    <row r="618" spans="1:23" ht="30" customHeight="1">
      <c r="A618" s="340">
        <v>613</v>
      </c>
      <c r="B618" s="344" t="s">
        <v>1206</v>
      </c>
      <c r="C618" s="340" t="s">
        <v>541</v>
      </c>
      <c r="D618" s="340"/>
      <c r="E618" s="340" t="s">
        <v>89</v>
      </c>
      <c r="F618" s="345">
        <v>464.8</v>
      </c>
      <c r="G618" s="346">
        <v>464.8</v>
      </c>
      <c r="H618" s="346">
        <v>464.8</v>
      </c>
      <c r="I618" s="346">
        <f t="shared" si="11"/>
        <v>0</v>
      </c>
      <c r="J618" s="342" t="s">
        <v>995</v>
      </c>
      <c r="K618" s="342"/>
      <c r="L618" s="342" t="s">
        <v>995</v>
      </c>
      <c r="M618" s="342"/>
      <c r="N618" s="342"/>
      <c r="O618" s="343"/>
      <c r="P618" s="342"/>
      <c r="Q618" s="343"/>
      <c r="R618" s="266"/>
      <c r="S618" s="266"/>
      <c r="T618" s="288"/>
      <c r="U618" s="266"/>
      <c r="V618" s="266"/>
      <c r="W618" s="266"/>
    </row>
    <row r="619" spans="1:23" ht="30" customHeight="1">
      <c r="A619" s="340">
        <v>614</v>
      </c>
      <c r="B619" s="344" t="s">
        <v>1206</v>
      </c>
      <c r="C619" s="340" t="s">
        <v>542</v>
      </c>
      <c r="D619" s="340"/>
      <c r="E619" s="340" t="s">
        <v>89</v>
      </c>
      <c r="F619" s="345">
        <v>686.1</v>
      </c>
      <c r="G619" s="346">
        <v>686.1</v>
      </c>
      <c r="H619" s="346">
        <v>686.1</v>
      </c>
      <c r="I619" s="346">
        <f t="shared" si="11"/>
        <v>0</v>
      </c>
      <c r="J619" s="342" t="s">
        <v>995</v>
      </c>
      <c r="K619" s="342"/>
      <c r="L619" s="342" t="s">
        <v>995</v>
      </c>
      <c r="M619" s="342"/>
      <c r="N619" s="342"/>
      <c r="O619" s="342"/>
      <c r="P619" s="342"/>
      <c r="Q619" s="343"/>
      <c r="R619" s="266"/>
      <c r="S619" s="266"/>
      <c r="T619" s="266"/>
    </row>
    <row r="620" spans="1:23" ht="30" customHeight="1">
      <c r="A620" s="340">
        <v>615</v>
      </c>
      <c r="B620" s="344" t="s">
        <v>1206</v>
      </c>
      <c r="C620" s="340" t="s">
        <v>543</v>
      </c>
      <c r="D620" s="340"/>
      <c r="E620" s="340" t="s">
        <v>89</v>
      </c>
      <c r="F620" s="345">
        <v>1538.5</v>
      </c>
      <c r="G620" s="346">
        <v>1538.5</v>
      </c>
      <c r="H620" s="346">
        <v>1538.5</v>
      </c>
      <c r="I620" s="346">
        <f t="shared" si="11"/>
        <v>0</v>
      </c>
      <c r="J620" s="342" t="s">
        <v>995</v>
      </c>
      <c r="K620" s="342"/>
      <c r="L620" s="342" t="s">
        <v>995</v>
      </c>
      <c r="M620" s="342"/>
      <c r="N620" s="342"/>
      <c r="O620" s="342"/>
      <c r="P620" s="342"/>
      <c r="Q620" s="343"/>
      <c r="R620" s="266"/>
      <c r="S620" s="266"/>
      <c r="T620" s="266"/>
    </row>
    <row r="621" spans="1:23" ht="30" customHeight="1">
      <c r="A621" s="340">
        <v>616</v>
      </c>
      <c r="B621" s="344" t="s">
        <v>1206</v>
      </c>
      <c r="C621" s="340" t="s">
        <v>544</v>
      </c>
      <c r="D621" s="340"/>
      <c r="E621" s="340" t="s">
        <v>89</v>
      </c>
      <c r="F621" s="345">
        <v>2235.6999999999998</v>
      </c>
      <c r="G621" s="346">
        <v>2235.6999999999998</v>
      </c>
      <c r="H621" s="346">
        <v>2235.6999999999998</v>
      </c>
      <c r="I621" s="346">
        <f t="shared" si="11"/>
        <v>0</v>
      </c>
      <c r="J621" s="342" t="s">
        <v>995</v>
      </c>
      <c r="K621" s="342"/>
      <c r="L621" s="342" t="s">
        <v>995</v>
      </c>
      <c r="M621" s="342"/>
      <c r="N621" s="342"/>
      <c r="O621" s="342"/>
      <c r="P621" s="342"/>
      <c r="Q621" s="343"/>
      <c r="R621" s="266"/>
      <c r="S621" s="266"/>
      <c r="T621" s="266"/>
    </row>
    <row r="622" spans="1:23" ht="30" customHeight="1">
      <c r="A622" s="340">
        <v>617</v>
      </c>
      <c r="B622" s="344" t="s">
        <v>1206</v>
      </c>
      <c r="C622" s="340" t="s">
        <v>545</v>
      </c>
      <c r="D622" s="340"/>
      <c r="E622" s="340" t="s">
        <v>89</v>
      </c>
      <c r="F622" s="345">
        <v>2175.1999999999998</v>
      </c>
      <c r="G622" s="346">
        <v>2175.1999999999998</v>
      </c>
      <c r="H622" s="346">
        <v>2175.1999999999998</v>
      </c>
      <c r="I622" s="346">
        <f t="shared" si="11"/>
        <v>0</v>
      </c>
      <c r="J622" s="342" t="s">
        <v>995</v>
      </c>
      <c r="K622" s="342"/>
      <c r="L622" s="342" t="s">
        <v>995</v>
      </c>
      <c r="M622" s="342"/>
      <c r="N622" s="342"/>
      <c r="O622" s="342"/>
      <c r="P622" s="342"/>
      <c r="Q622" s="343"/>
      <c r="R622" s="266"/>
      <c r="S622" s="266"/>
      <c r="T622" s="266"/>
    </row>
    <row r="623" spans="1:23" ht="30" customHeight="1">
      <c r="A623" s="340">
        <v>618</v>
      </c>
      <c r="B623" s="344" t="s">
        <v>1206</v>
      </c>
      <c r="C623" s="340" t="s">
        <v>546</v>
      </c>
      <c r="D623" s="340"/>
      <c r="E623" s="340" t="s">
        <v>89</v>
      </c>
      <c r="F623" s="345">
        <v>1110</v>
      </c>
      <c r="G623" s="346">
        <v>1110</v>
      </c>
      <c r="H623" s="346">
        <v>1110</v>
      </c>
      <c r="I623" s="346">
        <f t="shared" si="11"/>
        <v>0</v>
      </c>
      <c r="J623" s="342" t="s">
        <v>995</v>
      </c>
      <c r="K623" s="342"/>
      <c r="L623" s="342" t="s">
        <v>995</v>
      </c>
      <c r="M623" s="342"/>
      <c r="N623" s="342"/>
      <c r="O623" s="342"/>
      <c r="P623" s="342"/>
      <c r="Q623" s="343"/>
      <c r="R623" s="266"/>
      <c r="S623" s="266"/>
      <c r="T623" s="266"/>
    </row>
    <row r="624" spans="1:23" ht="30" customHeight="1">
      <c r="A624" s="340">
        <v>619</v>
      </c>
      <c r="B624" s="344" t="s">
        <v>1206</v>
      </c>
      <c r="C624" s="340" t="s">
        <v>547</v>
      </c>
      <c r="D624" s="340"/>
      <c r="E624" s="340" t="s">
        <v>89</v>
      </c>
      <c r="F624" s="345">
        <v>999.2</v>
      </c>
      <c r="G624" s="346">
        <v>999.2</v>
      </c>
      <c r="H624" s="346">
        <v>999.2</v>
      </c>
      <c r="I624" s="346">
        <f t="shared" si="11"/>
        <v>0</v>
      </c>
      <c r="J624" s="342" t="s">
        <v>995</v>
      </c>
      <c r="K624" s="342"/>
      <c r="L624" s="342" t="s">
        <v>995</v>
      </c>
      <c r="M624" s="342"/>
      <c r="N624" s="342"/>
      <c r="O624" s="342"/>
      <c r="P624" s="342"/>
      <c r="Q624" s="343"/>
      <c r="R624" s="266"/>
      <c r="S624" s="266"/>
      <c r="T624" s="266"/>
    </row>
    <row r="625" spans="1:23" ht="30" customHeight="1">
      <c r="A625" s="340">
        <v>620</v>
      </c>
      <c r="B625" s="344" t="s">
        <v>1206</v>
      </c>
      <c r="C625" s="340" t="s">
        <v>548</v>
      </c>
      <c r="D625" s="340"/>
      <c r="E625" s="340" t="s">
        <v>89</v>
      </c>
      <c r="F625" s="345">
        <v>2037.2</v>
      </c>
      <c r="G625" s="346">
        <v>2037.2</v>
      </c>
      <c r="H625" s="346">
        <v>2037.2</v>
      </c>
      <c r="I625" s="346">
        <f t="shared" si="11"/>
        <v>0</v>
      </c>
      <c r="J625" s="342" t="s">
        <v>995</v>
      </c>
      <c r="K625" s="342"/>
      <c r="L625" s="342" t="s">
        <v>995</v>
      </c>
      <c r="M625" s="342"/>
      <c r="N625" s="342"/>
      <c r="O625" s="342"/>
      <c r="P625" s="342"/>
      <c r="Q625" s="343"/>
      <c r="R625" s="266"/>
      <c r="S625" s="266"/>
      <c r="T625" s="266"/>
    </row>
    <row r="626" spans="1:23" ht="30" customHeight="1">
      <c r="A626" s="340">
        <v>621</v>
      </c>
      <c r="B626" s="344" t="s">
        <v>1206</v>
      </c>
      <c r="C626" s="340" t="s">
        <v>549</v>
      </c>
      <c r="D626" s="340"/>
      <c r="E626" s="340" t="s">
        <v>89</v>
      </c>
      <c r="F626" s="345">
        <v>1410.3</v>
      </c>
      <c r="G626" s="346">
        <v>1410.3</v>
      </c>
      <c r="H626" s="346">
        <v>1410.3</v>
      </c>
      <c r="I626" s="346">
        <f t="shared" si="11"/>
        <v>0</v>
      </c>
      <c r="J626" s="342" t="s">
        <v>995</v>
      </c>
      <c r="K626" s="342"/>
      <c r="L626" s="342" t="s">
        <v>995</v>
      </c>
      <c r="M626" s="342"/>
      <c r="N626" s="342"/>
      <c r="O626" s="343"/>
      <c r="P626" s="342"/>
      <c r="Q626" s="343"/>
      <c r="R626" s="266"/>
      <c r="S626" s="266"/>
      <c r="T626" s="266"/>
    </row>
    <row r="627" spans="1:23" ht="30" customHeight="1">
      <c r="A627" s="340">
        <v>622</v>
      </c>
      <c r="B627" s="344" t="s">
        <v>1206</v>
      </c>
      <c r="C627" s="340" t="s">
        <v>550</v>
      </c>
      <c r="D627" s="340"/>
      <c r="E627" s="340" t="s">
        <v>84</v>
      </c>
      <c r="F627" s="345">
        <v>435.1</v>
      </c>
      <c r="G627" s="346">
        <v>435.1</v>
      </c>
      <c r="H627" s="346">
        <v>435.1</v>
      </c>
      <c r="I627" s="346">
        <f t="shared" si="11"/>
        <v>0</v>
      </c>
      <c r="J627" s="342" t="s">
        <v>1209</v>
      </c>
      <c r="K627" s="342"/>
      <c r="L627" s="342" t="s">
        <v>1209</v>
      </c>
      <c r="M627" s="342"/>
      <c r="N627" s="342"/>
      <c r="O627" s="342"/>
      <c r="P627" s="342"/>
      <c r="Q627" s="343"/>
      <c r="R627" s="266"/>
      <c r="S627" s="266"/>
      <c r="T627" s="266"/>
    </row>
    <row r="628" spans="1:23" ht="30" customHeight="1">
      <c r="A628" s="340">
        <v>623</v>
      </c>
      <c r="B628" s="344" t="s">
        <v>1206</v>
      </c>
      <c r="C628" s="340" t="s">
        <v>551</v>
      </c>
      <c r="D628" s="340"/>
      <c r="E628" s="340" t="s">
        <v>87</v>
      </c>
      <c r="F628" s="345">
        <v>38</v>
      </c>
      <c r="G628" s="346">
        <v>38</v>
      </c>
      <c r="H628" s="346">
        <v>38</v>
      </c>
      <c r="I628" s="346">
        <f t="shared" si="11"/>
        <v>0</v>
      </c>
      <c r="J628" s="342" t="s">
        <v>1209</v>
      </c>
      <c r="K628" s="342"/>
      <c r="L628" s="342" t="s">
        <v>1209</v>
      </c>
      <c r="M628" s="342"/>
      <c r="N628" s="342"/>
      <c r="O628" s="342"/>
      <c r="P628" s="342"/>
      <c r="Q628" s="343"/>
      <c r="R628" s="266"/>
      <c r="S628" s="266"/>
      <c r="T628" s="266"/>
    </row>
    <row r="629" spans="1:23" ht="30" customHeight="1">
      <c r="A629" s="340">
        <v>624</v>
      </c>
      <c r="B629" s="344" t="s">
        <v>1206</v>
      </c>
      <c r="C629" s="340" t="s">
        <v>739</v>
      </c>
      <c r="D629" s="340"/>
      <c r="E629" s="340" t="s">
        <v>109</v>
      </c>
      <c r="F629" s="345">
        <v>61</v>
      </c>
      <c r="G629" s="346"/>
      <c r="H629" s="346">
        <v>61</v>
      </c>
      <c r="I629" s="346">
        <f t="shared" si="11"/>
        <v>61</v>
      </c>
      <c r="J629" s="342"/>
      <c r="K629" s="342"/>
      <c r="L629" s="342" t="s">
        <v>995</v>
      </c>
      <c r="M629" s="342"/>
      <c r="N629" s="342"/>
      <c r="O629" s="342"/>
      <c r="P629" s="342"/>
      <c r="Q629" s="343"/>
      <c r="R629" s="266"/>
      <c r="S629" s="266"/>
      <c r="T629" s="266"/>
    </row>
    <row r="630" spans="1:23" ht="30" customHeight="1">
      <c r="A630" s="340">
        <v>625</v>
      </c>
      <c r="B630" s="344" t="s">
        <v>1206</v>
      </c>
      <c r="C630" s="340" t="s">
        <v>552</v>
      </c>
      <c r="D630" s="340"/>
      <c r="E630" s="340" t="s">
        <v>89</v>
      </c>
      <c r="F630" s="345">
        <v>283.7</v>
      </c>
      <c r="G630" s="346">
        <v>283.7</v>
      </c>
      <c r="H630" s="346">
        <v>283.7</v>
      </c>
      <c r="I630" s="346">
        <f t="shared" si="11"/>
        <v>0</v>
      </c>
      <c r="J630" s="342" t="s">
        <v>995</v>
      </c>
      <c r="K630" s="342"/>
      <c r="L630" s="342" t="s">
        <v>995</v>
      </c>
      <c r="M630" s="342"/>
      <c r="N630" s="342"/>
      <c r="O630" s="342"/>
      <c r="P630" s="342"/>
      <c r="Q630" s="343"/>
      <c r="R630" s="266"/>
      <c r="S630" s="266"/>
      <c r="T630" s="266"/>
    </row>
    <row r="631" spans="1:23" ht="30" customHeight="1">
      <c r="A631" s="340">
        <v>626</v>
      </c>
      <c r="B631" s="344" t="s">
        <v>1206</v>
      </c>
      <c r="C631" s="340" t="s">
        <v>553</v>
      </c>
      <c r="D631" s="340"/>
      <c r="E631" s="340" t="s">
        <v>89</v>
      </c>
      <c r="F631" s="345">
        <v>160.30000000000001</v>
      </c>
      <c r="G631" s="346">
        <v>160.30000000000001</v>
      </c>
      <c r="H631" s="346">
        <v>160.30000000000001</v>
      </c>
      <c r="I631" s="346">
        <f t="shared" si="11"/>
        <v>0</v>
      </c>
      <c r="J631" s="342" t="s">
        <v>995</v>
      </c>
      <c r="K631" s="342"/>
      <c r="L631" s="342" t="s">
        <v>995</v>
      </c>
      <c r="M631" s="342"/>
      <c r="N631" s="342"/>
      <c r="O631" s="342"/>
      <c r="P631" s="342"/>
      <c r="Q631" s="343"/>
      <c r="R631" s="266"/>
      <c r="S631" s="266"/>
      <c r="T631" s="266"/>
    </row>
    <row r="632" spans="1:23" ht="30" customHeight="1">
      <c r="A632" s="340">
        <v>627</v>
      </c>
      <c r="B632" s="344" t="s">
        <v>1206</v>
      </c>
      <c r="C632" s="340" t="s">
        <v>744</v>
      </c>
      <c r="D632" s="340"/>
      <c r="E632" s="340" t="s">
        <v>89</v>
      </c>
      <c r="F632" s="345">
        <v>183.2</v>
      </c>
      <c r="G632" s="346">
        <v>183.2</v>
      </c>
      <c r="H632" s="346">
        <v>183.2</v>
      </c>
      <c r="I632" s="346">
        <f t="shared" si="11"/>
        <v>0</v>
      </c>
      <c r="J632" s="342" t="s">
        <v>995</v>
      </c>
      <c r="K632" s="342"/>
      <c r="L632" s="342" t="s">
        <v>995</v>
      </c>
      <c r="M632" s="342"/>
      <c r="N632" s="342"/>
      <c r="O632" s="342"/>
      <c r="P632" s="342"/>
      <c r="Q632" s="343"/>
      <c r="R632" s="266"/>
      <c r="S632" s="266"/>
      <c r="T632" s="266"/>
    </row>
    <row r="633" spans="1:23" ht="30" customHeight="1">
      <c r="A633" s="340">
        <v>628</v>
      </c>
      <c r="B633" s="344" t="s">
        <v>1206</v>
      </c>
      <c r="C633" s="340" t="s">
        <v>554</v>
      </c>
      <c r="D633" s="340"/>
      <c r="E633" s="340" t="s">
        <v>89</v>
      </c>
      <c r="F633" s="345">
        <v>300</v>
      </c>
      <c r="G633" s="346">
        <v>300</v>
      </c>
      <c r="H633" s="346">
        <v>300</v>
      </c>
      <c r="I633" s="346">
        <f t="shared" si="11"/>
        <v>0</v>
      </c>
      <c r="J633" s="342" t="s">
        <v>995</v>
      </c>
      <c r="K633" s="342"/>
      <c r="L633" s="342" t="s">
        <v>995</v>
      </c>
      <c r="M633" s="342"/>
      <c r="N633" s="342"/>
      <c r="O633" s="342"/>
      <c r="P633" s="342"/>
      <c r="Q633" s="343"/>
      <c r="R633" s="266"/>
      <c r="S633" s="266"/>
      <c r="T633" s="266"/>
    </row>
    <row r="634" spans="1:23" ht="30" customHeight="1">
      <c r="A634" s="340">
        <v>629</v>
      </c>
      <c r="B634" s="344" t="s">
        <v>1206</v>
      </c>
      <c r="C634" s="340" t="s">
        <v>555</v>
      </c>
      <c r="D634" s="340"/>
      <c r="E634" s="340" t="s">
        <v>87</v>
      </c>
      <c r="F634" s="345">
        <v>918.5</v>
      </c>
      <c r="G634" s="346">
        <v>918.5</v>
      </c>
      <c r="H634" s="346">
        <v>918.5</v>
      </c>
      <c r="I634" s="346">
        <f t="shared" si="11"/>
        <v>0</v>
      </c>
      <c r="J634" s="342" t="s">
        <v>1209</v>
      </c>
      <c r="K634" s="342"/>
      <c r="L634" s="342" t="s">
        <v>1209</v>
      </c>
      <c r="M634" s="342"/>
      <c r="N634" s="342"/>
      <c r="O634" s="343"/>
      <c r="P634" s="342"/>
      <c r="Q634" s="343"/>
      <c r="R634" s="266"/>
      <c r="S634" s="266"/>
      <c r="T634" s="268"/>
    </row>
    <row r="635" spans="1:23" ht="30" customHeight="1">
      <c r="A635" s="340">
        <v>630</v>
      </c>
      <c r="B635" s="344" t="s">
        <v>1206</v>
      </c>
      <c r="C635" s="340" t="s">
        <v>556</v>
      </c>
      <c r="D635" s="340"/>
      <c r="E635" s="340" t="s">
        <v>84</v>
      </c>
      <c r="F635" s="345">
        <v>1538</v>
      </c>
      <c r="G635" s="346">
        <v>1538</v>
      </c>
      <c r="H635" s="346">
        <v>1538</v>
      </c>
      <c r="I635" s="346">
        <f t="shared" si="11"/>
        <v>0</v>
      </c>
      <c r="J635" s="342" t="s">
        <v>1209</v>
      </c>
      <c r="K635" s="342"/>
      <c r="L635" s="342" t="s">
        <v>1209</v>
      </c>
      <c r="M635" s="342"/>
      <c r="N635" s="342"/>
      <c r="O635" s="342"/>
      <c r="P635" s="342"/>
      <c r="Q635" s="343"/>
      <c r="R635" s="266"/>
      <c r="S635" s="266"/>
      <c r="T635" s="268"/>
    </row>
    <row r="636" spans="1:23" ht="30" customHeight="1">
      <c r="A636" s="340">
        <v>631</v>
      </c>
      <c r="B636" s="344" t="s">
        <v>1206</v>
      </c>
      <c r="C636" s="340" t="s">
        <v>557</v>
      </c>
      <c r="D636" s="340"/>
      <c r="E636" s="340" t="s">
        <v>89</v>
      </c>
      <c r="F636" s="345">
        <v>591.6</v>
      </c>
      <c r="G636" s="346">
        <v>591.6</v>
      </c>
      <c r="H636" s="346">
        <v>591.6</v>
      </c>
      <c r="I636" s="346">
        <f t="shared" si="11"/>
        <v>0</v>
      </c>
      <c r="J636" s="342" t="s">
        <v>995</v>
      </c>
      <c r="K636" s="342"/>
      <c r="L636" s="342" t="s">
        <v>995</v>
      </c>
      <c r="M636" s="342"/>
      <c r="N636" s="342"/>
      <c r="O636" s="342"/>
      <c r="P636" s="342"/>
      <c r="Q636" s="343"/>
      <c r="R636" s="266"/>
      <c r="S636" s="266"/>
      <c r="T636" s="268"/>
    </row>
    <row r="637" spans="1:23" ht="30" customHeight="1">
      <c r="A637" s="340">
        <v>632</v>
      </c>
      <c r="B637" s="344" t="s">
        <v>1206</v>
      </c>
      <c r="C637" s="340" t="s">
        <v>558</v>
      </c>
      <c r="D637" s="340"/>
      <c r="E637" s="340" t="s">
        <v>89</v>
      </c>
      <c r="F637" s="345">
        <v>375.4</v>
      </c>
      <c r="G637" s="346">
        <v>375.4</v>
      </c>
      <c r="H637" s="346">
        <v>375.4</v>
      </c>
      <c r="I637" s="346">
        <f t="shared" si="11"/>
        <v>0</v>
      </c>
      <c r="J637" s="342" t="s">
        <v>995</v>
      </c>
      <c r="K637" s="342"/>
      <c r="L637" s="342" t="s">
        <v>995</v>
      </c>
      <c r="M637" s="342"/>
      <c r="N637" s="342"/>
      <c r="O637" s="342"/>
      <c r="P637" s="342"/>
      <c r="Q637" s="343"/>
      <c r="R637" s="266"/>
      <c r="S637" s="266"/>
      <c r="T637" s="268"/>
    </row>
    <row r="638" spans="1:23" ht="30" customHeight="1">
      <c r="A638" s="340">
        <v>633</v>
      </c>
      <c r="B638" s="344" t="s">
        <v>1206</v>
      </c>
      <c r="C638" s="340" t="s">
        <v>559</v>
      </c>
      <c r="D638" s="340"/>
      <c r="E638" s="340" t="s">
        <v>89</v>
      </c>
      <c r="F638" s="345">
        <v>350.5</v>
      </c>
      <c r="G638" s="346">
        <v>350.5</v>
      </c>
      <c r="H638" s="346">
        <v>350.5</v>
      </c>
      <c r="I638" s="346">
        <f t="shared" si="11"/>
        <v>0</v>
      </c>
      <c r="J638" s="342" t="s">
        <v>995</v>
      </c>
      <c r="K638" s="342"/>
      <c r="L638" s="342" t="s">
        <v>995</v>
      </c>
      <c r="M638" s="342"/>
      <c r="N638" s="342"/>
      <c r="O638" s="342"/>
      <c r="P638" s="342"/>
      <c r="Q638" s="343"/>
      <c r="R638" s="266"/>
      <c r="S638" s="266"/>
      <c r="T638" s="288"/>
      <c r="U638" s="266"/>
      <c r="V638" s="266"/>
      <c r="W638" s="266"/>
    </row>
    <row r="639" spans="1:23" ht="30" customHeight="1">
      <c r="A639" s="340">
        <v>634</v>
      </c>
      <c r="B639" s="344" t="s">
        <v>1206</v>
      </c>
      <c r="C639" s="340" t="s">
        <v>560</v>
      </c>
      <c r="D639" s="340"/>
      <c r="E639" s="340" t="s">
        <v>89</v>
      </c>
      <c r="F639" s="345">
        <v>1330</v>
      </c>
      <c r="G639" s="346">
        <v>1330</v>
      </c>
      <c r="H639" s="346">
        <v>1330</v>
      </c>
      <c r="I639" s="346">
        <f t="shared" si="11"/>
        <v>0</v>
      </c>
      <c r="J639" s="342" t="s">
        <v>995</v>
      </c>
      <c r="K639" s="342"/>
      <c r="L639" s="342" t="s">
        <v>995</v>
      </c>
      <c r="M639" s="342"/>
      <c r="N639" s="342"/>
      <c r="O639" s="342"/>
      <c r="P639" s="342"/>
      <c r="Q639" s="343"/>
      <c r="R639" s="266"/>
      <c r="S639" s="266"/>
      <c r="T639" s="288"/>
      <c r="U639" s="266"/>
      <c r="V639" s="266"/>
      <c r="W639" s="266"/>
    </row>
    <row r="640" spans="1:23" ht="30" customHeight="1">
      <c r="A640" s="340">
        <v>635</v>
      </c>
      <c r="B640" s="344" t="s">
        <v>1206</v>
      </c>
      <c r="C640" s="340" t="s">
        <v>561</v>
      </c>
      <c r="D640" s="340"/>
      <c r="E640" s="340" t="s">
        <v>87</v>
      </c>
      <c r="F640" s="345">
        <v>259.3</v>
      </c>
      <c r="G640" s="346">
        <v>259.3</v>
      </c>
      <c r="H640" s="346">
        <v>259.3</v>
      </c>
      <c r="I640" s="346">
        <f t="shared" si="11"/>
        <v>0</v>
      </c>
      <c r="J640" s="342" t="s">
        <v>1209</v>
      </c>
      <c r="K640" s="342"/>
      <c r="L640" s="342" t="s">
        <v>1209</v>
      </c>
      <c r="M640" s="342"/>
      <c r="N640" s="342"/>
      <c r="O640" s="342"/>
      <c r="P640" s="342"/>
      <c r="Q640" s="343"/>
      <c r="R640" s="266"/>
      <c r="S640" s="266"/>
      <c r="T640" s="266"/>
    </row>
    <row r="641" spans="1:20" ht="30" customHeight="1">
      <c r="A641" s="340">
        <v>636</v>
      </c>
      <c r="B641" s="344" t="s">
        <v>1206</v>
      </c>
      <c r="C641" s="340" t="s">
        <v>562</v>
      </c>
      <c r="D641" s="340"/>
      <c r="E641" s="340" t="s">
        <v>85</v>
      </c>
      <c r="F641" s="345">
        <v>165</v>
      </c>
      <c r="G641" s="346">
        <v>165</v>
      </c>
      <c r="H641" s="346">
        <v>165</v>
      </c>
      <c r="I641" s="346">
        <f t="shared" si="11"/>
        <v>0</v>
      </c>
      <c r="J641" s="342" t="s">
        <v>995</v>
      </c>
      <c r="K641" s="342"/>
      <c r="L641" s="342" t="s">
        <v>995</v>
      </c>
      <c r="M641" s="342"/>
      <c r="N641" s="342"/>
      <c r="O641" s="342"/>
      <c r="P641" s="342"/>
      <c r="Q641" s="343"/>
      <c r="R641" s="266"/>
      <c r="S641" s="266"/>
      <c r="T641" s="266"/>
    </row>
    <row r="642" spans="1:20" ht="30" customHeight="1">
      <c r="A642" s="340">
        <v>637</v>
      </c>
      <c r="B642" s="344" t="s">
        <v>1206</v>
      </c>
      <c r="C642" s="340" t="s">
        <v>563</v>
      </c>
      <c r="D642" s="340"/>
      <c r="E642" s="340" t="s">
        <v>316</v>
      </c>
      <c r="F642" s="345"/>
      <c r="G642" s="346">
        <v>71</v>
      </c>
      <c r="H642" s="346">
        <v>71</v>
      </c>
      <c r="I642" s="346">
        <f t="shared" si="11"/>
        <v>0</v>
      </c>
      <c r="J642" s="342" t="s">
        <v>1208</v>
      </c>
      <c r="K642" s="342"/>
      <c r="L642" s="342" t="s">
        <v>1208</v>
      </c>
      <c r="M642" s="342"/>
      <c r="N642" s="342"/>
      <c r="O642" s="343"/>
      <c r="P642" s="342"/>
      <c r="Q642" s="343"/>
      <c r="R642" s="266"/>
      <c r="S642" s="266"/>
      <c r="T642" s="266"/>
    </row>
    <row r="643" spans="1:20" ht="30" customHeight="1">
      <c r="A643" s="340">
        <v>638</v>
      </c>
      <c r="B643" s="344" t="s">
        <v>1206</v>
      </c>
      <c r="C643" s="340" t="s">
        <v>564</v>
      </c>
      <c r="D643" s="340"/>
      <c r="E643" s="340" t="s">
        <v>84</v>
      </c>
      <c r="F643" s="345">
        <v>1669</v>
      </c>
      <c r="G643" s="346">
        <v>1709</v>
      </c>
      <c r="H643" s="346">
        <v>1669</v>
      </c>
      <c r="I643" s="346">
        <f t="shared" si="11"/>
        <v>-40</v>
      </c>
      <c r="J643" s="342" t="s">
        <v>995</v>
      </c>
      <c r="K643" s="342"/>
      <c r="L643" s="342" t="s">
        <v>995</v>
      </c>
      <c r="M643" s="342"/>
      <c r="N643" s="342"/>
      <c r="O643" s="342"/>
      <c r="P643" s="342"/>
      <c r="Q643" s="343"/>
      <c r="R643" s="266"/>
      <c r="S643" s="266"/>
      <c r="T643" s="266"/>
    </row>
    <row r="644" spans="1:20" ht="30" customHeight="1">
      <c r="A644" s="340">
        <v>639</v>
      </c>
      <c r="B644" s="344" t="s">
        <v>1206</v>
      </c>
      <c r="C644" s="340" t="s">
        <v>565</v>
      </c>
      <c r="D644" s="340"/>
      <c r="E644" s="340" t="s">
        <v>84</v>
      </c>
      <c r="F644" s="345">
        <v>2056</v>
      </c>
      <c r="G644" s="346">
        <v>2161</v>
      </c>
      <c r="H644" s="346">
        <v>2056</v>
      </c>
      <c r="I644" s="346">
        <f t="shared" si="11"/>
        <v>-105</v>
      </c>
      <c r="J644" s="342" t="s">
        <v>995</v>
      </c>
      <c r="K644" s="342"/>
      <c r="L644" s="342" t="s">
        <v>995</v>
      </c>
      <c r="M644" s="342"/>
      <c r="N644" s="342"/>
      <c r="O644" s="342"/>
      <c r="P644" s="342"/>
      <c r="Q644" s="343"/>
      <c r="R644" s="266"/>
      <c r="S644" s="266"/>
      <c r="T644" s="266"/>
    </row>
    <row r="645" spans="1:20" ht="30" customHeight="1">
      <c r="A645" s="340">
        <v>640</v>
      </c>
      <c r="B645" s="344" t="s">
        <v>1206</v>
      </c>
      <c r="C645" s="340" t="s">
        <v>566</v>
      </c>
      <c r="D645" s="340"/>
      <c r="E645" s="340" t="s">
        <v>84</v>
      </c>
      <c r="F645" s="345">
        <v>1277</v>
      </c>
      <c r="G645" s="346">
        <v>1231</v>
      </c>
      <c r="H645" s="346">
        <v>1231</v>
      </c>
      <c r="I645" s="346">
        <f t="shared" si="11"/>
        <v>0</v>
      </c>
      <c r="J645" s="342" t="s">
        <v>995</v>
      </c>
      <c r="K645" s="342"/>
      <c r="L645" s="342" t="s">
        <v>995</v>
      </c>
      <c r="M645" s="342"/>
      <c r="N645" s="342"/>
      <c r="O645" s="342"/>
      <c r="P645" s="342"/>
      <c r="Q645" s="343"/>
      <c r="R645" s="266"/>
      <c r="S645" s="266"/>
      <c r="T645" s="266"/>
    </row>
    <row r="646" spans="1:20" ht="30" customHeight="1">
      <c r="A646" s="340">
        <v>641</v>
      </c>
      <c r="B646" s="344" t="s">
        <v>1206</v>
      </c>
      <c r="C646" s="340" t="s">
        <v>567</v>
      </c>
      <c r="D646" s="340"/>
      <c r="E646" s="340" t="s">
        <v>84</v>
      </c>
      <c r="F646" s="345">
        <v>4950</v>
      </c>
      <c r="G646" s="346">
        <v>3724</v>
      </c>
      <c r="H646" s="346">
        <v>3724</v>
      </c>
      <c r="I646" s="346">
        <f t="shared" si="11"/>
        <v>0</v>
      </c>
      <c r="J646" s="342" t="s">
        <v>995</v>
      </c>
      <c r="K646" s="342"/>
      <c r="L646" s="342" t="s">
        <v>995</v>
      </c>
      <c r="M646" s="342"/>
      <c r="N646" s="342"/>
      <c r="O646" s="342"/>
      <c r="P646" s="342"/>
      <c r="Q646" s="343"/>
      <c r="R646" s="266"/>
      <c r="S646" s="266"/>
      <c r="T646" s="266"/>
    </row>
    <row r="647" spans="1:20" ht="30" customHeight="1">
      <c r="A647" s="340">
        <v>642</v>
      </c>
      <c r="B647" s="344" t="s">
        <v>1206</v>
      </c>
      <c r="C647" s="340" t="s">
        <v>706</v>
      </c>
      <c r="D647" s="340"/>
      <c r="E647" s="340" t="s">
        <v>84</v>
      </c>
      <c r="F647" s="345">
        <v>2224</v>
      </c>
      <c r="G647" s="346">
        <v>2392</v>
      </c>
      <c r="H647" s="346">
        <v>2224</v>
      </c>
      <c r="I647" s="346">
        <f t="shared" si="11"/>
        <v>-168</v>
      </c>
      <c r="J647" s="342" t="s">
        <v>995</v>
      </c>
      <c r="K647" s="342"/>
      <c r="L647" s="342" t="s">
        <v>995</v>
      </c>
      <c r="M647" s="342"/>
      <c r="N647" s="342"/>
      <c r="O647" s="342"/>
      <c r="P647" s="342"/>
      <c r="Q647" s="343"/>
      <c r="R647" s="266"/>
      <c r="S647" s="266"/>
      <c r="T647" s="266"/>
    </row>
    <row r="648" spans="1:20" ht="30" customHeight="1">
      <c r="A648" s="340">
        <v>643</v>
      </c>
      <c r="B648" s="344" t="s">
        <v>1206</v>
      </c>
      <c r="C648" s="340" t="s">
        <v>568</v>
      </c>
      <c r="D648" s="340"/>
      <c r="E648" s="340" t="s">
        <v>84</v>
      </c>
      <c r="F648" s="345">
        <v>22152</v>
      </c>
      <c r="G648" s="346">
        <v>1761</v>
      </c>
      <c r="H648" s="346">
        <v>1761</v>
      </c>
      <c r="I648" s="346">
        <f t="shared" si="11"/>
        <v>0</v>
      </c>
      <c r="J648" s="342" t="s">
        <v>1208</v>
      </c>
      <c r="K648" s="342"/>
      <c r="L648" s="342" t="s">
        <v>1208</v>
      </c>
      <c r="M648" s="342"/>
      <c r="N648" s="342"/>
      <c r="O648" s="342"/>
      <c r="P648" s="342"/>
      <c r="Q648" s="343"/>
      <c r="R648" s="266"/>
      <c r="S648" s="266"/>
      <c r="T648" s="266"/>
    </row>
    <row r="649" spans="1:20" ht="30" customHeight="1">
      <c r="A649" s="340">
        <v>644</v>
      </c>
      <c r="B649" s="344" t="s">
        <v>1206</v>
      </c>
      <c r="C649" s="340" t="s">
        <v>569</v>
      </c>
      <c r="D649" s="340"/>
      <c r="E649" s="340" t="s">
        <v>84</v>
      </c>
      <c r="F649" s="345">
        <v>167</v>
      </c>
      <c r="G649" s="346">
        <v>89</v>
      </c>
      <c r="H649" s="346">
        <v>89</v>
      </c>
      <c r="I649" s="346">
        <f t="shared" si="11"/>
        <v>0</v>
      </c>
      <c r="J649" s="342" t="s">
        <v>995</v>
      </c>
      <c r="K649" s="342"/>
      <c r="L649" s="342" t="s">
        <v>995</v>
      </c>
      <c r="M649" s="342"/>
      <c r="N649" s="342"/>
      <c r="O649" s="342"/>
      <c r="P649" s="342"/>
      <c r="Q649" s="343"/>
      <c r="R649" s="266"/>
      <c r="S649" s="266"/>
      <c r="T649" s="266"/>
    </row>
    <row r="650" spans="1:20" ht="30" customHeight="1">
      <c r="A650" s="340">
        <v>645</v>
      </c>
      <c r="B650" s="344" t="s">
        <v>1206</v>
      </c>
      <c r="C650" s="340" t="s">
        <v>570</v>
      </c>
      <c r="D650" s="340"/>
      <c r="E650" s="340" t="s">
        <v>84</v>
      </c>
      <c r="F650" s="345">
        <v>1959</v>
      </c>
      <c r="G650" s="346">
        <v>1807</v>
      </c>
      <c r="H650" s="346">
        <v>1807</v>
      </c>
      <c r="I650" s="346">
        <f t="shared" si="11"/>
        <v>0</v>
      </c>
      <c r="J650" s="342" t="s">
        <v>995</v>
      </c>
      <c r="K650" s="342"/>
      <c r="L650" s="342" t="s">
        <v>995</v>
      </c>
      <c r="M650" s="342"/>
      <c r="N650" s="342"/>
      <c r="O650" s="343"/>
      <c r="P650" s="342"/>
      <c r="Q650" s="343"/>
      <c r="R650" s="266"/>
      <c r="S650" s="266"/>
      <c r="T650" s="266"/>
    </row>
    <row r="651" spans="1:20" ht="30" customHeight="1">
      <c r="A651" s="340">
        <v>646</v>
      </c>
      <c r="B651" s="344" t="s">
        <v>1206</v>
      </c>
      <c r="C651" s="340" t="s">
        <v>571</v>
      </c>
      <c r="D651" s="340"/>
      <c r="E651" s="340" t="s">
        <v>84</v>
      </c>
      <c r="F651" s="345">
        <v>1097</v>
      </c>
      <c r="G651" s="346">
        <v>480</v>
      </c>
      <c r="H651" s="346">
        <v>480</v>
      </c>
      <c r="I651" s="346">
        <f t="shared" si="11"/>
        <v>0</v>
      </c>
      <c r="J651" s="342" t="s">
        <v>995</v>
      </c>
      <c r="K651" s="342"/>
      <c r="L651" s="342" t="s">
        <v>995</v>
      </c>
      <c r="M651" s="342"/>
      <c r="N651" s="342"/>
      <c r="O651" s="342"/>
      <c r="P651" s="342"/>
      <c r="Q651" s="343"/>
      <c r="R651" s="266"/>
      <c r="S651" s="266"/>
      <c r="T651" s="266"/>
    </row>
    <row r="652" spans="1:20" ht="30" customHeight="1">
      <c r="A652" s="340">
        <v>647</v>
      </c>
      <c r="B652" s="344" t="s">
        <v>1206</v>
      </c>
      <c r="C652" s="340" t="s">
        <v>572</v>
      </c>
      <c r="D652" s="340"/>
      <c r="E652" s="340" t="s">
        <v>84</v>
      </c>
      <c r="F652" s="345">
        <v>1620</v>
      </c>
      <c r="G652" s="346">
        <v>944</v>
      </c>
      <c r="H652" s="346">
        <v>944</v>
      </c>
      <c r="I652" s="346">
        <f t="shared" si="11"/>
        <v>0</v>
      </c>
      <c r="J652" s="342" t="s">
        <v>995</v>
      </c>
      <c r="K652" s="342"/>
      <c r="L652" s="342" t="s">
        <v>995</v>
      </c>
      <c r="M652" s="342"/>
      <c r="N652" s="342"/>
      <c r="O652" s="342"/>
      <c r="P652" s="342"/>
      <c r="Q652" s="343"/>
      <c r="R652" s="266"/>
      <c r="S652" s="266"/>
      <c r="T652" s="266"/>
    </row>
    <row r="653" spans="1:20" ht="30" customHeight="1">
      <c r="A653" s="340">
        <v>648</v>
      </c>
      <c r="B653" s="344" t="s">
        <v>1206</v>
      </c>
      <c r="C653" s="340" t="s">
        <v>573</v>
      </c>
      <c r="D653" s="340"/>
      <c r="E653" s="340" t="s">
        <v>84</v>
      </c>
      <c r="F653" s="345">
        <v>1330</v>
      </c>
      <c r="G653" s="346">
        <v>182</v>
      </c>
      <c r="H653" s="346">
        <v>182</v>
      </c>
      <c r="I653" s="346">
        <f t="shared" si="11"/>
        <v>0</v>
      </c>
      <c r="J653" s="342" t="s">
        <v>995</v>
      </c>
      <c r="K653" s="342"/>
      <c r="L653" s="342" t="s">
        <v>995</v>
      </c>
      <c r="M653" s="342"/>
      <c r="N653" s="342"/>
      <c r="O653" s="342"/>
      <c r="P653" s="342"/>
      <c r="Q653" s="343"/>
      <c r="R653" s="266"/>
      <c r="S653" s="266"/>
      <c r="T653" s="266"/>
    </row>
    <row r="654" spans="1:20" ht="30" customHeight="1">
      <c r="A654" s="340">
        <v>649</v>
      </c>
      <c r="B654" s="344" t="s">
        <v>1206</v>
      </c>
      <c r="C654" s="340" t="s">
        <v>574</v>
      </c>
      <c r="D654" s="340"/>
      <c r="E654" s="340" t="s">
        <v>84</v>
      </c>
      <c r="F654" s="345">
        <v>1098</v>
      </c>
      <c r="G654" s="346">
        <v>12</v>
      </c>
      <c r="H654" s="346">
        <v>12</v>
      </c>
      <c r="I654" s="346">
        <f t="shared" si="11"/>
        <v>0</v>
      </c>
      <c r="J654" s="342" t="s">
        <v>995</v>
      </c>
      <c r="K654" s="342"/>
      <c r="L654" s="342" t="s">
        <v>995</v>
      </c>
      <c r="M654" s="342"/>
      <c r="N654" s="342"/>
      <c r="O654" s="342"/>
      <c r="P654" s="342"/>
      <c r="Q654" s="343"/>
      <c r="R654" s="266"/>
      <c r="S654" s="266"/>
      <c r="T654" s="266"/>
    </row>
    <row r="655" spans="1:20" ht="30" customHeight="1">
      <c r="A655" s="340">
        <v>650</v>
      </c>
      <c r="B655" s="344" t="s">
        <v>1207</v>
      </c>
      <c r="C655" s="340" t="s">
        <v>575</v>
      </c>
      <c r="D655" s="340"/>
      <c r="E655" s="340" t="s">
        <v>90</v>
      </c>
      <c r="F655" s="341">
        <v>80</v>
      </c>
      <c r="G655" s="341">
        <v>80</v>
      </c>
      <c r="H655" s="341">
        <v>80</v>
      </c>
      <c r="I655" s="341">
        <f>H655-G655</f>
        <v>0</v>
      </c>
      <c r="J655" s="342" t="s">
        <v>995</v>
      </c>
      <c r="K655" s="342"/>
      <c r="L655" s="342" t="s">
        <v>995</v>
      </c>
      <c r="M655" s="342"/>
      <c r="N655" s="342"/>
      <c r="O655" s="342"/>
      <c r="P655" s="342"/>
      <c r="Q655" s="342"/>
      <c r="R655" s="266"/>
      <c r="S655" s="266"/>
      <c r="T655" s="268"/>
    </row>
    <row r="656" spans="1:20" ht="30" customHeight="1">
      <c r="A656" s="340">
        <v>651</v>
      </c>
      <c r="B656" s="344" t="s">
        <v>1207</v>
      </c>
      <c r="C656" s="340" t="s">
        <v>745</v>
      </c>
      <c r="D656" s="340"/>
      <c r="E656" s="340" t="s">
        <v>90</v>
      </c>
      <c r="F656" s="341">
        <v>164</v>
      </c>
      <c r="G656" s="341"/>
      <c r="H656" s="341">
        <v>165</v>
      </c>
      <c r="I656" s="341">
        <f t="shared" ref="I656:I719" si="12">H656-G656</f>
        <v>165</v>
      </c>
      <c r="J656" s="342"/>
      <c r="K656" s="342"/>
      <c r="L656" s="342" t="s">
        <v>995</v>
      </c>
      <c r="M656" s="342"/>
      <c r="N656" s="342"/>
      <c r="O656" s="342"/>
      <c r="P656" s="342"/>
      <c r="Q656" s="342"/>
      <c r="R656" s="266"/>
      <c r="S656" s="266"/>
      <c r="T656" s="268"/>
    </row>
    <row r="657" spans="1:23" ht="30" customHeight="1">
      <c r="A657" s="340">
        <v>652</v>
      </c>
      <c r="B657" s="344" t="s">
        <v>1207</v>
      </c>
      <c r="C657" s="340" t="s">
        <v>746</v>
      </c>
      <c r="D657" s="340"/>
      <c r="E657" s="340" t="s">
        <v>710</v>
      </c>
      <c r="F657" s="341">
        <v>91</v>
      </c>
      <c r="G657" s="341"/>
      <c r="H657" s="341">
        <v>91</v>
      </c>
      <c r="I657" s="341">
        <f t="shared" si="12"/>
        <v>91</v>
      </c>
      <c r="J657" s="342"/>
      <c r="K657" s="342"/>
      <c r="L657" s="342" t="s">
        <v>995</v>
      </c>
      <c r="M657" s="342"/>
      <c r="N657" s="342"/>
      <c r="O657" s="342"/>
      <c r="P657" s="342"/>
      <c r="Q657" s="342"/>
      <c r="R657" s="266"/>
      <c r="S657" s="266"/>
      <c r="T657" s="268"/>
    </row>
    <row r="658" spans="1:23" ht="30" customHeight="1">
      <c r="A658" s="340">
        <v>653</v>
      </c>
      <c r="B658" s="344" t="s">
        <v>1207</v>
      </c>
      <c r="C658" s="340" t="s">
        <v>747</v>
      </c>
      <c r="D658" s="340"/>
      <c r="E658" s="340" t="s">
        <v>88</v>
      </c>
      <c r="F658" s="341">
        <v>197</v>
      </c>
      <c r="G658" s="341"/>
      <c r="H658" s="341">
        <v>197</v>
      </c>
      <c r="I658" s="341">
        <f t="shared" si="12"/>
        <v>197</v>
      </c>
      <c r="J658" s="342"/>
      <c r="K658" s="342"/>
      <c r="L658" s="342" t="s">
        <v>995</v>
      </c>
      <c r="M658" s="342"/>
      <c r="N658" s="342"/>
      <c r="O658" s="342"/>
      <c r="P658" s="342"/>
      <c r="Q658" s="342"/>
      <c r="R658" s="266"/>
      <c r="S658" s="266"/>
      <c r="T658" s="268"/>
    </row>
    <row r="659" spans="1:23" ht="30" customHeight="1">
      <c r="A659" s="340">
        <v>654</v>
      </c>
      <c r="B659" s="344" t="s">
        <v>1207</v>
      </c>
      <c r="C659" s="340" t="s">
        <v>576</v>
      </c>
      <c r="D659" s="340"/>
      <c r="E659" s="340" t="s">
        <v>305</v>
      </c>
      <c r="F659" s="341">
        <v>1827</v>
      </c>
      <c r="G659" s="341">
        <v>1827</v>
      </c>
      <c r="H659" s="341">
        <v>1827</v>
      </c>
      <c r="I659" s="341">
        <f t="shared" si="12"/>
        <v>0</v>
      </c>
      <c r="J659" s="342" t="s">
        <v>995</v>
      </c>
      <c r="K659" s="342"/>
      <c r="L659" s="342" t="s">
        <v>995</v>
      </c>
      <c r="M659" s="342"/>
      <c r="N659" s="342"/>
      <c r="O659" s="342"/>
      <c r="P659" s="342"/>
      <c r="Q659" s="342"/>
      <c r="R659" s="266"/>
      <c r="S659" s="266"/>
      <c r="T659" s="288"/>
      <c r="U659" s="266"/>
      <c r="V659" s="266"/>
      <c r="W659" s="266"/>
    </row>
    <row r="660" spans="1:23" ht="30" customHeight="1">
      <c r="A660" s="340">
        <v>655</v>
      </c>
      <c r="B660" s="344" t="s">
        <v>1207</v>
      </c>
      <c r="C660" s="340" t="s">
        <v>577</v>
      </c>
      <c r="D660" s="340"/>
      <c r="E660" s="340" t="s">
        <v>85</v>
      </c>
      <c r="F660" s="341">
        <v>1105</v>
      </c>
      <c r="G660" s="341">
        <v>1105</v>
      </c>
      <c r="H660" s="341">
        <v>1105</v>
      </c>
      <c r="I660" s="341">
        <f t="shared" si="12"/>
        <v>0</v>
      </c>
      <c r="J660" s="342" t="s">
        <v>995</v>
      </c>
      <c r="K660" s="342"/>
      <c r="L660" s="342" t="s">
        <v>995</v>
      </c>
      <c r="M660" s="342"/>
      <c r="N660" s="342"/>
      <c r="O660" s="342"/>
      <c r="P660" s="342"/>
      <c r="Q660" s="342"/>
      <c r="R660" s="266"/>
      <c r="S660" s="266"/>
      <c r="T660" s="288"/>
      <c r="U660" s="266"/>
      <c r="V660" s="266"/>
      <c r="W660" s="266"/>
    </row>
    <row r="661" spans="1:23" ht="30" customHeight="1">
      <c r="A661" s="340">
        <v>656</v>
      </c>
      <c r="B661" s="344" t="s">
        <v>1207</v>
      </c>
      <c r="C661" s="340" t="s">
        <v>578</v>
      </c>
      <c r="D661" s="340"/>
      <c r="E661" s="340" t="s">
        <v>305</v>
      </c>
      <c r="F661" s="341">
        <v>1808</v>
      </c>
      <c r="G661" s="341">
        <v>1808</v>
      </c>
      <c r="H661" s="341">
        <v>1808</v>
      </c>
      <c r="I661" s="341">
        <f t="shared" si="12"/>
        <v>0</v>
      </c>
      <c r="J661" s="342" t="s">
        <v>995</v>
      </c>
      <c r="K661" s="342"/>
      <c r="L661" s="342" t="s">
        <v>995</v>
      </c>
      <c r="M661" s="342"/>
      <c r="N661" s="342"/>
      <c r="O661" s="342"/>
      <c r="P661" s="342"/>
      <c r="Q661" s="342"/>
      <c r="R661" s="315"/>
      <c r="S661" s="315"/>
      <c r="T661" s="315"/>
    </row>
    <row r="662" spans="1:23" ht="30" customHeight="1">
      <c r="A662" s="340">
        <v>657</v>
      </c>
      <c r="B662" s="344" t="s">
        <v>1207</v>
      </c>
      <c r="C662" s="340" t="s">
        <v>579</v>
      </c>
      <c r="D662" s="340"/>
      <c r="E662" s="340" t="s">
        <v>305</v>
      </c>
      <c r="F662" s="341">
        <v>6172</v>
      </c>
      <c r="G662" s="341">
        <v>6172</v>
      </c>
      <c r="H662" s="341">
        <v>6172</v>
      </c>
      <c r="I662" s="341">
        <f t="shared" si="12"/>
        <v>0</v>
      </c>
      <c r="J662" s="342" t="s">
        <v>995</v>
      </c>
      <c r="K662" s="342"/>
      <c r="L662" s="342" t="s">
        <v>995</v>
      </c>
      <c r="M662" s="342"/>
      <c r="N662" s="342"/>
      <c r="O662" s="342"/>
      <c r="P662" s="342"/>
      <c r="Q662" s="342"/>
      <c r="R662" s="315"/>
      <c r="S662" s="315"/>
      <c r="T662" s="315"/>
    </row>
    <row r="663" spans="1:23" ht="30" customHeight="1">
      <c r="A663" s="340">
        <v>658</v>
      </c>
      <c r="B663" s="344" t="s">
        <v>1207</v>
      </c>
      <c r="C663" s="340" t="s">
        <v>580</v>
      </c>
      <c r="D663" s="340"/>
      <c r="E663" s="340" t="s">
        <v>305</v>
      </c>
      <c r="F663" s="341">
        <v>663</v>
      </c>
      <c r="G663" s="341">
        <v>663</v>
      </c>
      <c r="H663" s="341">
        <v>663</v>
      </c>
      <c r="I663" s="341">
        <f t="shared" si="12"/>
        <v>0</v>
      </c>
      <c r="J663" s="342" t="s">
        <v>1106</v>
      </c>
      <c r="K663" s="342" t="s">
        <v>1107</v>
      </c>
      <c r="L663" s="342" t="s">
        <v>995</v>
      </c>
      <c r="M663" s="342"/>
      <c r="N663" s="342"/>
      <c r="O663" s="342"/>
      <c r="P663" s="342"/>
      <c r="Q663" s="342"/>
    </row>
    <row r="664" spans="1:23" ht="30" customHeight="1">
      <c r="A664" s="340">
        <v>659</v>
      </c>
      <c r="B664" s="344" t="s">
        <v>1207</v>
      </c>
      <c r="C664" s="340" t="s">
        <v>581</v>
      </c>
      <c r="D664" s="340"/>
      <c r="E664" s="340" t="s">
        <v>305</v>
      </c>
      <c r="F664" s="341">
        <v>153</v>
      </c>
      <c r="G664" s="341">
        <v>153</v>
      </c>
      <c r="H664" s="341">
        <v>153</v>
      </c>
      <c r="I664" s="341">
        <f t="shared" si="12"/>
        <v>0</v>
      </c>
      <c r="J664" s="342" t="s">
        <v>995</v>
      </c>
      <c r="K664" s="342"/>
      <c r="L664" s="342" t="s">
        <v>995</v>
      </c>
      <c r="M664" s="342"/>
      <c r="N664" s="342"/>
      <c r="O664" s="342"/>
      <c r="P664" s="342"/>
      <c r="Q664" s="342"/>
    </row>
    <row r="665" spans="1:23" ht="30" customHeight="1">
      <c r="A665" s="340">
        <v>660</v>
      </c>
      <c r="B665" s="344" t="s">
        <v>1207</v>
      </c>
      <c r="C665" s="340" t="s">
        <v>582</v>
      </c>
      <c r="D665" s="340"/>
      <c r="E665" s="340" t="s">
        <v>305</v>
      </c>
      <c r="F665" s="341">
        <v>22</v>
      </c>
      <c r="G665" s="341">
        <v>22</v>
      </c>
      <c r="H665" s="341">
        <v>22</v>
      </c>
      <c r="I665" s="341">
        <f t="shared" si="12"/>
        <v>0</v>
      </c>
      <c r="J665" s="342" t="s">
        <v>995</v>
      </c>
      <c r="K665" s="342"/>
      <c r="L665" s="342" t="s">
        <v>995</v>
      </c>
      <c r="M665" s="342"/>
      <c r="N665" s="342"/>
      <c r="O665" s="342"/>
      <c r="P665" s="342"/>
      <c r="Q665" s="342"/>
    </row>
    <row r="666" spans="1:23" ht="30" customHeight="1">
      <c r="A666" s="340">
        <v>661</v>
      </c>
      <c r="B666" s="344" t="s">
        <v>1207</v>
      </c>
      <c r="C666" s="340" t="s">
        <v>583</v>
      </c>
      <c r="D666" s="340"/>
      <c r="E666" s="340" t="s">
        <v>305</v>
      </c>
      <c r="F666" s="341">
        <v>244</v>
      </c>
      <c r="G666" s="341">
        <v>244</v>
      </c>
      <c r="H666" s="341">
        <v>244</v>
      </c>
      <c r="I666" s="341">
        <f t="shared" si="12"/>
        <v>0</v>
      </c>
      <c r="J666" s="342" t="s">
        <v>995</v>
      </c>
      <c r="K666" s="342"/>
      <c r="L666" s="342" t="s">
        <v>995</v>
      </c>
      <c r="M666" s="342"/>
      <c r="N666" s="342"/>
      <c r="O666" s="342"/>
      <c r="P666" s="342"/>
      <c r="Q666" s="342"/>
    </row>
    <row r="667" spans="1:23" ht="30" customHeight="1">
      <c r="A667" s="340">
        <v>662</v>
      </c>
      <c r="B667" s="344" t="s">
        <v>1207</v>
      </c>
      <c r="C667" s="340" t="s">
        <v>584</v>
      </c>
      <c r="D667" s="340"/>
      <c r="E667" s="340" t="s">
        <v>305</v>
      </c>
      <c r="F667" s="341">
        <v>394</v>
      </c>
      <c r="G667" s="341">
        <v>394</v>
      </c>
      <c r="H667" s="341">
        <v>394</v>
      </c>
      <c r="I667" s="341">
        <f t="shared" si="12"/>
        <v>0</v>
      </c>
      <c r="J667" s="342" t="s">
        <v>995</v>
      </c>
      <c r="K667" s="342"/>
      <c r="L667" s="342" t="s">
        <v>995</v>
      </c>
      <c r="M667" s="342"/>
      <c r="N667" s="342"/>
      <c r="O667" s="342"/>
      <c r="P667" s="342"/>
      <c r="Q667" s="342"/>
    </row>
    <row r="668" spans="1:23" ht="30" customHeight="1">
      <c r="A668" s="340">
        <v>663</v>
      </c>
      <c r="B668" s="344" t="s">
        <v>1207</v>
      </c>
      <c r="C668" s="340" t="s">
        <v>585</v>
      </c>
      <c r="D668" s="340"/>
      <c r="E668" s="340" t="s">
        <v>305</v>
      </c>
      <c r="F668" s="341">
        <v>532</v>
      </c>
      <c r="G668" s="341">
        <v>532</v>
      </c>
      <c r="H668" s="341">
        <v>532</v>
      </c>
      <c r="I668" s="341">
        <f t="shared" si="12"/>
        <v>0</v>
      </c>
      <c r="J668" s="342" t="s">
        <v>995</v>
      </c>
      <c r="K668" s="342"/>
      <c r="L668" s="342" t="s">
        <v>995</v>
      </c>
      <c r="M668" s="342"/>
      <c r="N668" s="342"/>
      <c r="O668" s="342"/>
      <c r="P668" s="342"/>
      <c r="Q668" s="342"/>
    </row>
    <row r="669" spans="1:23" ht="30" customHeight="1">
      <c r="A669" s="340">
        <v>664</v>
      </c>
      <c r="B669" s="344" t="s">
        <v>1207</v>
      </c>
      <c r="C669" s="340" t="s">
        <v>586</v>
      </c>
      <c r="D669" s="340"/>
      <c r="E669" s="340" t="s">
        <v>366</v>
      </c>
      <c r="F669" s="341">
        <v>150</v>
      </c>
      <c r="G669" s="341">
        <v>150</v>
      </c>
      <c r="H669" s="341">
        <v>150</v>
      </c>
      <c r="I669" s="341">
        <f t="shared" si="12"/>
        <v>0</v>
      </c>
      <c r="J669" s="342" t="s">
        <v>995</v>
      </c>
      <c r="K669" s="342"/>
      <c r="L669" s="342" t="s">
        <v>995</v>
      </c>
      <c r="M669" s="342"/>
      <c r="N669" s="342"/>
      <c r="O669" s="342"/>
      <c r="P669" s="342"/>
      <c r="Q669" s="342"/>
    </row>
    <row r="670" spans="1:23" ht="30" customHeight="1">
      <c r="A670" s="340">
        <v>665</v>
      </c>
      <c r="B670" s="344" t="s">
        <v>1207</v>
      </c>
      <c r="C670" s="340" t="s">
        <v>587</v>
      </c>
      <c r="D670" s="340"/>
      <c r="E670" s="340" t="s">
        <v>366</v>
      </c>
      <c r="F670" s="341">
        <v>4079</v>
      </c>
      <c r="G670" s="341">
        <v>4079</v>
      </c>
      <c r="H670" s="341">
        <v>4079</v>
      </c>
      <c r="I670" s="341">
        <f t="shared" si="12"/>
        <v>0</v>
      </c>
      <c r="J670" s="342" t="s">
        <v>995</v>
      </c>
      <c r="K670" s="342"/>
      <c r="L670" s="342" t="s">
        <v>995</v>
      </c>
      <c r="M670" s="342"/>
      <c r="N670" s="342"/>
      <c r="O670" s="342"/>
      <c r="P670" s="342"/>
      <c r="Q670" s="342"/>
    </row>
    <row r="671" spans="1:23" ht="30" customHeight="1">
      <c r="A671" s="340">
        <v>666</v>
      </c>
      <c r="B671" s="344" t="s">
        <v>1207</v>
      </c>
      <c r="C671" s="340" t="s">
        <v>588</v>
      </c>
      <c r="D671" s="340"/>
      <c r="E671" s="340" t="s">
        <v>333</v>
      </c>
      <c r="F671" s="341">
        <v>10</v>
      </c>
      <c r="G671" s="341">
        <v>10</v>
      </c>
      <c r="H671" s="341">
        <v>10</v>
      </c>
      <c r="I671" s="341">
        <f t="shared" si="12"/>
        <v>0</v>
      </c>
      <c r="J671" s="342" t="s">
        <v>995</v>
      </c>
      <c r="K671" s="342"/>
      <c r="L671" s="342" t="s">
        <v>995</v>
      </c>
      <c r="M671" s="342"/>
      <c r="N671" s="342"/>
      <c r="O671" s="342"/>
      <c r="P671" s="342"/>
      <c r="Q671" s="342"/>
    </row>
    <row r="672" spans="1:23" ht="30" customHeight="1">
      <c r="A672" s="340">
        <v>667</v>
      </c>
      <c r="B672" s="344" t="s">
        <v>1207</v>
      </c>
      <c r="C672" s="340" t="s">
        <v>589</v>
      </c>
      <c r="D672" s="340"/>
      <c r="E672" s="340" t="s">
        <v>366</v>
      </c>
      <c r="F672" s="341">
        <v>7876</v>
      </c>
      <c r="G672" s="341">
        <v>7876</v>
      </c>
      <c r="H672" s="341">
        <v>7876</v>
      </c>
      <c r="I672" s="341">
        <f t="shared" si="12"/>
        <v>0</v>
      </c>
      <c r="J672" s="342" t="s">
        <v>995</v>
      </c>
      <c r="K672" s="342"/>
      <c r="L672" s="342" t="s">
        <v>995</v>
      </c>
      <c r="M672" s="342"/>
      <c r="N672" s="342"/>
      <c r="O672" s="342"/>
      <c r="P672" s="342"/>
      <c r="Q672" s="342"/>
    </row>
    <row r="673" spans="1:17" ht="30" customHeight="1">
      <c r="A673" s="340">
        <v>668</v>
      </c>
      <c r="B673" s="344" t="s">
        <v>1207</v>
      </c>
      <c r="C673" s="340" t="s">
        <v>590</v>
      </c>
      <c r="D673" s="340"/>
      <c r="E673" s="340" t="s">
        <v>366</v>
      </c>
      <c r="F673" s="341">
        <v>132</v>
      </c>
      <c r="G673" s="341">
        <v>132</v>
      </c>
      <c r="H673" s="341">
        <v>132</v>
      </c>
      <c r="I673" s="341">
        <f t="shared" si="12"/>
        <v>0</v>
      </c>
      <c r="J673" s="342" t="s">
        <v>995</v>
      </c>
      <c r="K673" s="342"/>
      <c r="L673" s="342" t="s">
        <v>995</v>
      </c>
      <c r="M673" s="342"/>
      <c r="N673" s="342"/>
      <c r="O673" s="342"/>
      <c r="P673" s="342"/>
      <c r="Q673" s="342"/>
    </row>
    <row r="674" spans="1:17" ht="30" customHeight="1">
      <c r="A674" s="340">
        <v>669</v>
      </c>
      <c r="B674" s="344" t="s">
        <v>1207</v>
      </c>
      <c r="C674" s="340" t="s">
        <v>591</v>
      </c>
      <c r="D674" s="340"/>
      <c r="E674" s="340" t="s">
        <v>366</v>
      </c>
      <c r="F674" s="341">
        <v>2635</v>
      </c>
      <c r="G674" s="341">
        <v>2635</v>
      </c>
      <c r="H674" s="341">
        <v>2635</v>
      </c>
      <c r="I674" s="341">
        <f t="shared" si="12"/>
        <v>0</v>
      </c>
      <c r="J674" s="342" t="s">
        <v>995</v>
      </c>
      <c r="K674" s="342"/>
      <c r="L674" s="342" t="s">
        <v>995</v>
      </c>
      <c r="M674" s="342"/>
      <c r="N674" s="342"/>
      <c r="O674" s="342"/>
      <c r="P674" s="348"/>
      <c r="Q674" s="348"/>
    </row>
    <row r="675" spans="1:17" ht="30" customHeight="1">
      <c r="A675" s="340">
        <v>670</v>
      </c>
      <c r="B675" s="344" t="s">
        <v>1207</v>
      </c>
      <c r="C675" s="340" t="s">
        <v>592</v>
      </c>
      <c r="D675" s="340"/>
      <c r="E675" s="340" t="s">
        <v>366</v>
      </c>
      <c r="F675" s="341">
        <v>4039</v>
      </c>
      <c r="G675" s="341">
        <v>4039</v>
      </c>
      <c r="H675" s="341">
        <v>4039</v>
      </c>
      <c r="I675" s="341">
        <f t="shared" si="12"/>
        <v>0</v>
      </c>
      <c r="J675" s="342" t="s">
        <v>995</v>
      </c>
      <c r="K675" s="342"/>
      <c r="L675" s="342" t="s">
        <v>995</v>
      </c>
      <c r="M675" s="342"/>
      <c r="N675" s="342"/>
      <c r="O675" s="342"/>
      <c r="P675" s="342"/>
      <c r="Q675" s="342"/>
    </row>
    <row r="676" spans="1:17" ht="30" customHeight="1">
      <c r="A676" s="340">
        <v>671</v>
      </c>
      <c r="B676" s="344" t="s">
        <v>1207</v>
      </c>
      <c r="C676" s="340" t="s">
        <v>593</v>
      </c>
      <c r="D676" s="340"/>
      <c r="E676" s="340" t="s">
        <v>366</v>
      </c>
      <c r="F676" s="341">
        <v>368</v>
      </c>
      <c r="G676" s="341">
        <v>368</v>
      </c>
      <c r="H676" s="341">
        <v>368</v>
      </c>
      <c r="I676" s="341">
        <f t="shared" si="12"/>
        <v>0</v>
      </c>
      <c r="J676" s="342" t="s">
        <v>995</v>
      </c>
      <c r="K676" s="342"/>
      <c r="L676" s="342" t="s">
        <v>995</v>
      </c>
      <c r="M676" s="342"/>
      <c r="N676" s="342"/>
      <c r="O676" s="342"/>
      <c r="P676" s="342"/>
      <c r="Q676" s="342"/>
    </row>
    <row r="677" spans="1:17" ht="30" customHeight="1">
      <c r="A677" s="340">
        <v>672</v>
      </c>
      <c r="B677" s="344" t="s">
        <v>1207</v>
      </c>
      <c r="C677" s="340" t="s">
        <v>594</v>
      </c>
      <c r="D677" s="340"/>
      <c r="E677" s="340" t="s">
        <v>366</v>
      </c>
      <c r="F677" s="341">
        <v>1251</v>
      </c>
      <c r="G677" s="341">
        <v>1251</v>
      </c>
      <c r="H677" s="341">
        <v>1251</v>
      </c>
      <c r="I677" s="341">
        <f t="shared" si="12"/>
        <v>0</v>
      </c>
      <c r="J677" s="342" t="s">
        <v>995</v>
      </c>
      <c r="K677" s="342"/>
      <c r="L677" s="342" t="s">
        <v>995</v>
      </c>
      <c r="M677" s="342"/>
      <c r="N677" s="342"/>
      <c r="O677" s="342"/>
      <c r="P677" s="342"/>
      <c r="Q677" s="342"/>
    </row>
    <row r="678" spans="1:17" ht="30" customHeight="1">
      <c r="A678" s="340">
        <v>673</v>
      </c>
      <c r="B678" s="344" t="s">
        <v>1207</v>
      </c>
      <c r="C678" s="340" t="s">
        <v>595</v>
      </c>
      <c r="D678" s="340"/>
      <c r="E678" s="340" t="s">
        <v>366</v>
      </c>
      <c r="F678" s="341">
        <v>219</v>
      </c>
      <c r="G678" s="341">
        <v>219</v>
      </c>
      <c r="H678" s="341">
        <v>219</v>
      </c>
      <c r="I678" s="341">
        <f t="shared" si="12"/>
        <v>0</v>
      </c>
      <c r="J678" s="342" t="s">
        <v>1263</v>
      </c>
      <c r="K678" s="342" t="s">
        <v>597</v>
      </c>
      <c r="L678" s="342" t="s">
        <v>1263</v>
      </c>
      <c r="M678" s="342" t="s">
        <v>597</v>
      </c>
      <c r="N678" s="342"/>
      <c r="O678" s="342"/>
      <c r="P678" s="342"/>
      <c r="Q678" s="342"/>
    </row>
    <row r="679" spans="1:17" ht="30" customHeight="1">
      <c r="A679" s="340">
        <v>674</v>
      </c>
      <c r="B679" s="344" t="s">
        <v>1207</v>
      </c>
      <c r="C679" s="340" t="s">
        <v>598</v>
      </c>
      <c r="D679" s="340"/>
      <c r="E679" s="340" t="s">
        <v>85</v>
      </c>
      <c r="F679" s="341">
        <v>62</v>
      </c>
      <c r="G679" s="341">
        <v>62</v>
      </c>
      <c r="H679" s="341">
        <v>62</v>
      </c>
      <c r="I679" s="341">
        <f t="shared" si="12"/>
        <v>0</v>
      </c>
      <c r="J679" s="342" t="s">
        <v>995</v>
      </c>
      <c r="K679" s="342"/>
      <c r="L679" s="342" t="s">
        <v>995</v>
      </c>
      <c r="M679" s="342"/>
      <c r="N679" s="342"/>
      <c r="O679" s="342"/>
      <c r="P679" s="342"/>
      <c r="Q679" s="342"/>
    </row>
    <row r="680" spans="1:17" ht="30" customHeight="1">
      <c r="A680" s="340">
        <v>675</v>
      </c>
      <c r="B680" s="344" t="s">
        <v>1207</v>
      </c>
      <c r="C680" s="340" t="s">
        <v>599</v>
      </c>
      <c r="D680" s="340"/>
      <c r="E680" s="340" t="s">
        <v>366</v>
      </c>
      <c r="F680" s="341">
        <v>4119</v>
      </c>
      <c r="G680" s="341">
        <v>4119</v>
      </c>
      <c r="H680" s="341">
        <v>2505</v>
      </c>
      <c r="I680" s="341">
        <f t="shared" si="12"/>
        <v>-1614</v>
      </c>
      <c r="J680" s="342" t="s">
        <v>1264</v>
      </c>
      <c r="K680" s="342" t="s">
        <v>597</v>
      </c>
      <c r="L680" s="342" t="s">
        <v>1264</v>
      </c>
      <c r="M680" s="342" t="s">
        <v>597</v>
      </c>
      <c r="N680" s="342"/>
      <c r="O680" s="342"/>
      <c r="P680" s="342"/>
      <c r="Q680" s="342"/>
    </row>
    <row r="681" spans="1:17" ht="30" customHeight="1">
      <c r="A681" s="340">
        <v>676</v>
      </c>
      <c r="B681" s="344" t="s">
        <v>1207</v>
      </c>
      <c r="C681" s="340" t="s">
        <v>601</v>
      </c>
      <c r="D681" s="340"/>
      <c r="E681" s="340" t="s">
        <v>333</v>
      </c>
      <c r="F681" s="341">
        <v>92</v>
      </c>
      <c r="G681" s="341">
        <v>92</v>
      </c>
      <c r="H681" s="341">
        <v>92</v>
      </c>
      <c r="I681" s="341">
        <f t="shared" si="12"/>
        <v>0</v>
      </c>
      <c r="J681" s="342" t="s">
        <v>995</v>
      </c>
      <c r="K681" s="342"/>
      <c r="L681" s="342" t="s">
        <v>995</v>
      </c>
      <c r="M681" s="342"/>
      <c r="N681" s="342"/>
      <c r="O681" s="342"/>
      <c r="P681" s="342"/>
      <c r="Q681" s="342"/>
    </row>
    <row r="682" spans="1:17" ht="30" customHeight="1">
      <c r="A682" s="340">
        <v>677</v>
      </c>
      <c r="B682" s="344" t="s">
        <v>1207</v>
      </c>
      <c r="C682" s="340" t="s">
        <v>602</v>
      </c>
      <c r="D682" s="340"/>
      <c r="E682" s="340" t="s">
        <v>333</v>
      </c>
      <c r="F682" s="341">
        <v>83</v>
      </c>
      <c r="G682" s="341">
        <v>83</v>
      </c>
      <c r="H682" s="341">
        <v>83</v>
      </c>
      <c r="I682" s="341">
        <f t="shared" si="12"/>
        <v>0</v>
      </c>
      <c r="J682" s="342" t="s">
        <v>995</v>
      </c>
      <c r="K682" s="342"/>
      <c r="L682" s="342" t="s">
        <v>995</v>
      </c>
      <c r="M682" s="342"/>
      <c r="N682" s="342"/>
      <c r="O682" s="342"/>
      <c r="P682" s="342"/>
      <c r="Q682" s="342"/>
    </row>
    <row r="683" spans="1:17" ht="30" customHeight="1">
      <c r="A683" s="340">
        <v>678</v>
      </c>
      <c r="B683" s="344" t="s">
        <v>1207</v>
      </c>
      <c r="C683" s="340" t="s">
        <v>603</v>
      </c>
      <c r="D683" s="340"/>
      <c r="E683" s="340" t="s">
        <v>333</v>
      </c>
      <c r="F683" s="341">
        <v>67</v>
      </c>
      <c r="G683" s="341">
        <v>67</v>
      </c>
      <c r="H683" s="341">
        <v>67</v>
      </c>
      <c r="I683" s="341">
        <f t="shared" si="12"/>
        <v>0</v>
      </c>
      <c r="J683" s="342" t="s">
        <v>995</v>
      </c>
      <c r="K683" s="342"/>
      <c r="L683" s="342" t="s">
        <v>995</v>
      </c>
      <c r="M683" s="342"/>
      <c r="N683" s="342"/>
      <c r="O683" s="342"/>
      <c r="P683" s="342"/>
      <c r="Q683" s="342"/>
    </row>
    <row r="684" spans="1:17" ht="30" customHeight="1">
      <c r="A684" s="340">
        <v>679</v>
      </c>
      <c r="B684" s="344" t="s">
        <v>1207</v>
      </c>
      <c r="C684" s="340" t="s">
        <v>604</v>
      </c>
      <c r="D684" s="340"/>
      <c r="E684" s="340" t="s">
        <v>333</v>
      </c>
      <c r="F684" s="341">
        <v>175</v>
      </c>
      <c r="G684" s="341">
        <v>175</v>
      </c>
      <c r="H684" s="341">
        <v>175</v>
      </c>
      <c r="I684" s="341">
        <f t="shared" si="12"/>
        <v>0</v>
      </c>
      <c r="J684" s="342" t="s">
        <v>995</v>
      </c>
      <c r="K684" s="342"/>
      <c r="L684" s="342" t="s">
        <v>995</v>
      </c>
      <c r="M684" s="342"/>
      <c r="N684" s="342"/>
      <c r="O684" s="342"/>
      <c r="P684" s="342"/>
      <c r="Q684" s="342"/>
    </row>
    <row r="685" spans="1:17" ht="30" customHeight="1">
      <c r="A685" s="340">
        <v>680</v>
      </c>
      <c r="B685" s="344" t="s">
        <v>1207</v>
      </c>
      <c r="C685" s="340" t="s">
        <v>605</v>
      </c>
      <c r="D685" s="340"/>
      <c r="E685" s="340" t="s">
        <v>333</v>
      </c>
      <c r="F685" s="341">
        <v>1088</v>
      </c>
      <c r="G685" s="341">
        <v>1088</v>
      </c>
      <c r="H685" s="341">
        <v>1088</v>
      </c>
      <c r="I685" s="341">
        <f t="shared" si="12"/>
        <v>0</v>
      </c>
      <c r="J685" s="342" t="s">
        <v>995</v>
      </c>
      <c r="K685" s="342"/>
      <c r="L685" s="342" t="s">
        <v>995</v>
      </c>
      <c r="M685" s="342"/>
      <c r="N685" s="342"/>
      <c r="O685" s="342"/>
      <c r="P685" s="342"/>
      <c r="Q685" s="342"/>
    </row>
    <row r="686" spans="1:17" ht="30" customHeight="1">
      <c r="A686" s="340">
        <v>681</v>
      </c>
      <c r="B686" s="344" t="s">
        <v>1207</v>
      </c>
      <c r="C686" s="340" t="s">
        <v>606</v>
      </c>
      <c r="D686" s="340"/>
      <c r="E686" s="340" t="s">
        <v>333</v>
      </c>
      <c r="F686" s="341">
        <v>618</v>
      </c>
      <c r="G686" s="341">
        <v>618</v>
      </c>
      <c r="H686" s="341">
        <v>618</v>
      </c>
      <c r="I686" s="341">
        <f t="shared" si="12"/>
        <v>0</v>
      </c>
      <c r="J686" s="342" t="s">
        <v>995</v>
      </c>
      <c r="K686" s="342"/>
      <c r="L686" s="342" t="s">
        <v>995</v>
      </c>
      <c r="M686" s="342"/>
      <c r="N686" s="342"/>
      <c r="O686" s="342"/>
      <c r="P686" s="342"/>
      <c r="Q686" s="342"/>
    </row>
    <row r="687" spans="1:17" ht="30" customHeight="1">
      <c r="A687" s="340">
        <v>682</v>
      </c>
      <c r="B687" s="344" t="s">
        <v>1207</v>
      </c>
      <c r="C687" s="340" t="s">
        <v>607</v>
      </c>
      <c r="D687" s="340"/>
      <c r="E687" s="340" t="s">
        <v>333</v>
      </c>
      <c r="F687" s="341">
        <v>130</v>
      </c>
      <c r="G687" s="341">
        <v>130</v>
      </c>
      <c r="H687" s="341">
        <v>130</v>
      </c>
      <c r="I687" s="341">
        <f t="shared" si="12"/>
        <v>0</v>
      </c>
      <c r="J687" s="342" t="s">
        <v>995</v>
      </c>
      <c r="K687" s="342"/>
      <c r="L687" s="342" t="s">
        <v>995</v>
      </c>
      <c r="M687" s="342"/>
      <c r="N687" s="342"/>
      <c r="O687" s="342"/>
      <c r="P687" s="342"/>
      <c r="Q687" s="342"/>
    </row>
    <row r="688" spans="1:17" ht="30" customHeight="1">
      <c r="A688" s="340">
        <v>683</v>
      </c>
      <c r="B688" s="344" t="s">
        <v>1207</v>
      </c>
      <c r="C688" s="340" t="s">
        <v>608</v>
      </c>
      <c r="D688" s="340"/>
      <c r="E688" s="340" t="s">
        <v>85</v>
      </c>
      <c r="F688" s="341">
        <v>379</v>
      </c>
      <c r="G688" s="341">
        <v>379</v>
      </c>
      <c r="H688" s="341">
        <v>379</v>
      </c>
      <c r="I688" s="341">
        <f t="shared" si="12"/>
        <v>0</v>
      </c>
      <c r="J688" s="342" t="s">
        <v>995</v>
      </c>
      <c r="K688" s="342"/>
      <c r="L688" s="342" t="s">
        <v>995</v>
      </c>
      <c r="M688" s="342"/>
      <c r="N688" s="342"/>
      <c r="O688" s="342"/>
      <c r="P688" s="342"/>
      <c r="Q688" s="342"/>
    </row>
    <row r="689" spans="1:17" ht="30" customHeight="1">
      <c r="A689" s="340">
        <v>684</v>
      </c>
      <c r="B689" s="344" t="s">
        <v>1207</v>
      </c>
      <c r="C689" s="340" t="s">
        <v>609</v>
      </c>
      <c r="D689" s="340"/>
      <c r="E689" s="340" t="s">
        <v>366</v>
      </c>
      <c r="F689" s="341">
        <v>50</v>
      </c>
      <c r="G689" s="341">
        <v>50</v>
      </c>
      <c r="H689" s="341">
        <v>50</v>
      </c>
      <c r="I689" s="341">
        <f t="shared" si="12"/>
        <v>0</v>
      </c>
      <c r="J689" s="342" t="s">
        <v>995</v>
      </c>
      <c r="K689" s="342"/>
      <c r="L689" s="342" t="s">
        <v>995</v>
      </c>
      <c r="M689" s="342"/>
      <c r="N689" s="342"/>
      <c r="O689" s="342"/>
      <c r="P689" s="342"/>
      <c r="Q689" s="342"/>
    </row>
    <row r="690" spans="1:17" ht="30" customHeight="1">
      <c r="A690" s="340">
        <v>685</v>
      </c>
      <c r="B690" s="344" t="s">
        <v>1207</v>
      </c>
      <c r="C690" s="340" t="s">
        <v>610</v>
      </c>
      <c r="D690" s="340"/>
      <c r="E690" s="340" t="s">
        <v>366</v>
      </c>
      <c r="F690" s="341">
        <v>1468</v>
      </c>
      <c r="G690" s="341">
        <v>1468</v>
      </c>
      <c r="H690" s="341">
        <v>1468</v>
      </c>
      <c r="I690" s="341">
        <f t="shared" si="12"/>
        <v>0</v>
      </c>
      <c r="J690" s="342" t="s">
        <v>611</v>
      </c>
      <c r="K690" s="342"/>
      <c r="L690" s="342" t="s">
        <v>611</v>
      </c>
      <c r="M690" s="342"/>
      <c r="N690" s="342"/>
      <c r="O690" s="342"/>
      <c r="P690" s="342"/>
      <c r="Q690" s="342"/>
    </row>
    <row r="691" spans="1:17" ht="30" customHeight="1">
      <c r="A691" s="340">
        <v>686</v>
      </c>
      <c r="B691" s="344" t="s">
        <v>1207</v>
      </c>
      <c r="C691" s="340" t="s">
        <v>612</v>
      </c>
      <c r="D691" s="340"/>
      <c r="E691" s="340" t="s">
        <v>85</v>
      </c>
      <c r="F691" s="341">
        <v>604</v>
      </c>
      <c r="G691" s="341">
        <v>604</v>
      </c>
      <c r="H691" s="341">
        <v>604</v>
      </c>
      <c r="I691" s="341">
        <f t="shared" si="12"/>
        <v>0</v>
      </c>
      <c r="J691" s="342" t="s">
        <v>995</v>
      </c>
      <c r="K691" s="342"/>
      <c r="L691" s="342" t="s">
        <v>995</v>
      </c>
      <c r="M691" s="342"/>
      <c r="N691" s="342"/>
      <c r="O691" s="342"/>
      <c r="P691" s="342"/>
      <c r="Q691" s="342"/>
    </row>
    <row r="692" spans="1:17" ht="30" customHeight="1">
      <c r="A692" s="340">
        <v>687</v>
      </c>
      <c r="B692" s="344" t="s">
        <v>1207</v>
      </c>
      <c r="C692" s="340" t="s">
        <v>613</v>
      </c>
      <c r="D692" s="340"/>
      <c r="E692" s="340" t="s">
        <v>366</v>
      </c>
      <c r="F692" s="341">
        <v>17</v>
      </c>
      <c r="G692" s="341">
        <v>17</v>
      </c>
      <c r="H692" s="341">
        <v>17</v>
      </c>
      <c r="I692" s="341">
        <f t="shared" si="12"/>
        <v>0</v>
      </c>
      <c r="J692" s="342" t="s">
        <v>611</v>
      </c>
      <c r="K692" s="342"/>
      <c r="L692" s="342" t="s">
        <v>611</v>
      </c>
      <c r="M692" s="342"/>
      <c r="N692" s="342"/>
      <c r="O692" s="342"/>
      <c r="P692" s="342"/>
      <c r="Q692" s="342"/>
    </row>
    <row r="693" spans="1:17" ht="30" customHeight="1">
      <c r="A693" s="340">
        <v>688</v>
      </c>
      <c r="B693" s="344" t="s">
        <v>1207</v>
      </c>
      <c r="C693" s="340" t="s">
        <v>614</v>
      </c>
      <c r="D693" s="340"/>
      <c r="E693" s="340" t="s">
        <v>366</v>
      </c>
      <c r="F693" s="341">
        <v>843</v>
      </c>
      <c r="G693" s="341">
        <v>843</v>
      </c>
      <c r="H693" s="341">
        <v>843</v>
      </c>
      <c r="I693" s="341">
        <f t="shared" si="12"/>
        <v>0</v>
      </c>
      <c r="J693" s="342" t="s">
        <v>995</v>
      </c>
      <c r="K693" s="342"/>
      <c r="L693" s="342" t="s">
        <v>995</v>
      </c>
      <c r="M693" s="342"/>
      <c r="N693" s="342"/>
      <c r="O693" s="342"/>
      <c r="P693" s="342"/>
      <c r="Q693" s="342"/>
    </row>
    <row r="694" spans="1:17" ht="30" customHeight="1">
      <c r="A694" s="340">
        <v>689</v>
      </c>
      <c r="B694" s="344" t="s">
        <v>1207</v>
      </c>
      <c r="C694" s="340" t="s">
        <v>615</v>
      </c>
      <c r="D694" s="340"/>
      <c r="E694" s="340" t="s">
        <v>366</v>
      </c>
      <c r="F694" s="341">
        <v>171</v>
      </c>
      <c r="G694" s="341">
        <v>171</v>
      </c>
      <c r="H694" s="341">
        <v>171</v>
      </c>
      <c r="I694" s="341">
        <f t="shared" si="12"/>
        <v>0</v>
      </c>
      <c r="J694" s="342" t="s">
        <v>995</v>
      </c>
      <c r="K694" s="342"/>
      <c r="L694" s="342" t="s">
        <v>995</v>
      </c>
      <c r="M694" s="342"/>
      <c r="N694" s="342"/>
      <c r="O694" s="342"/>
      <c r="P694" s="342"/>
      <c r="Q694" s="342"/>
    </row>
    <row r="695" spans="1:17" ht="30" customHeight="1">
      <c r="A695" s="340">
        <v>690</v>
      </c>
      <c r="B695" s="344" t="s">
        <v>1207</v>
      </c>
      <c r="C695" s="340" t="s">
        <v>616</v>
      </c>
      <c r="D695" s="340"/>
      <c r="E695" s="340" t="s">
        <v>333</v>
      </c>
      <c r="F695" s="341">
        <v>1083</v>
      </c>
      <c r="G695" s="347">
        <v>1083</v>
      </c>
      <c r="H695" s="347">
        <v>1083</v>
      </c>
      <c r="I695" s="341">
        <f t="shared" si="12"/>
        <v>0</v>
      </c>
      <c r="J695" s="342" t="s">
        <v>995</v>
      </c>
      <c r="K695" s="342"/>
      <c r="L695" s="342" t="s">
        <v>995</v>
      </c>
      <c r="M695" s="342"/>
      <c r="N695" s="342"/>
      <c r="O695" s="342"/>
      <c r="P695" s="342"/>
      <c r="Q695" s="342"/>
    </row>
    <row r="696" spans="1:17" ht="30" customHeight="1">
      <c r="A696" s="340">
        <v>691</v>
      </c>
      <c r="B696" s="344" t="s">
        <v>1207</v>
      </c>
      <c r="C696" s="340" t="s">
        <v>617</v>
      </c>
      <c r="D696" s="340"/>
      <c r="E696" s="340" t="s">
        <v>333</v>
      </c>
      <c r="F696" s="341">
        <v>1460</v>
      </c>
      <c r="G696" s="341">
        <v>1460</v>
      </c>
      <c r="H696" s="341">
        <v>1460</v>
      </c>
      <c r="I696" s="341">
        <f t="shared" si="12"/>
        <v>0</v>
      </c>
      <c r="J696" s="342" t="s">
        <v>995</v>
      </c>
      <c r="K696" s="342"/>
      <c r="L696" s="342" t="s">
        <v>995</v>
      </c>
      <c r="M696" s="342"/>
      <c r="N696" s="342"/>
      <c r="O696" s="342"/>
      <c r="P696" s="342"/>
      <c r="Q696" s="342"/>
    </row>
    <row r="697" spans="1:17" ht="30" customHeight="1">
      <c r="A697" s="340">
        <v>692</v>
      </c>
      <c r="B697" s="344" t="s">
        <v>1207</v>
      </c>
      <c r="C697" s="340" t="s">
        <v>618</v>
      </c>
      <c r="D697" s="340"/>
      <c r="E697" s="340" t="s">
        <v>333</v>
      </c>
      <c r="F697" s="341">
        <v>44</v>
      </c>
      <c r="G697" s="341">
        <v>44</v>
      </c>
      <c r="H697" s="341">
        <v>44</v>
      </c>
      <c r="I697" s="341">
        <f t="shared" si="12"/>
        <v>0</v>
      </c>
      <c r="J697" s="342" t="s">
        <v>995</v>
      </c>
      <c r="K697" s="342"/>
      <c r="L697" s="342" t="s">
        <v>995</v>
      </c>
      <c r="M697" s="342"/>
      <c r="N697" s="342"/>
      <c r="O697" s="342"/>
      <c r="P697" s="342"/>
      <c r="Q697" s="342"/>
    </row>
    <row r="698" spans="1:17" ht="30" customHeight="1">
      <c r="A698" s="340">
        <v>693</v>
      </c>
      <c r="B698" s="344" t="s">
        <v>1207</v>
      </c>
      <c r="C698" s="340" t="s">
        <v>619</v>
      </c>
      <c r="D698" s="340"/>
      <c r="E698" s="340" t="s">
        <v>333</v>
      </c>
      <c r="F698" s="341">
        <v>183</v>
      </c>
      <c r="G698" s="341">
        <v>183</v>
      </c>
      <c r="H698" s="341">
        <v>183</v>
      </c>
      <c r="I698" s="341">
        <f t="shared" si="12"/>
        <v>0</v>
      </c>
      <c r="J698" s="342" t="s">
        <v>995</v>
      </c>
      <c r="K698" s="342"/>
      <c r="L698" s="342" t="s">
        <v>995</v>
      </c>
      <c r="M698" s="342"/>
      <c r="N698" s="342"/>
      <c r="O698" s="342"/>
      <c r="P698" s="342"/>
      <c r="Q698" s="342"/>
    </row>
    <row r="699" spans="1:17" ht="30" customHeight="1">
      <c r="A699" s="340">
        <v>694</v>
      </c>
      <c r="B699" s="344" t="s">
        <v>1207</v>
      </c>
      <c r="C699" s="340" t="s">
        <v>620</v>
      </c>
      <c r="D699" s="340"/>
      <c r="E699" s="340" t="s">
        <v>333</v>
      </c>
      <c r="F699" s="341">
        <v>1701</v>
      </c>
      <c r="G699" s="341">
        <v>1701</v>
      </c>
      <c r="H699" s="341">
        <v>1701</v>
      </c>
      <c r="I699" s="341">
        <f t="shared" si="12"/>
        <v>0</v>
      </c>
      <c r="J699" s="342" t="s">
        <v>995</v>
      </c>
      <c r="K699" s="342"/>
      <c r="L699" s="342" t="s">
        <v>995</v>
      </c>
      <c r="M699" s="342"/>
      <c r="N699" s="342"/>
      <c r="O699" s="342"/>
      <c r="P699" s="342"/>
      <c r="Q699" s="342"/>
    </row>
    <row r="700" spans="1:17" ht="30" customHeight="1">
      <c r="A700" s="340">
        <v>695</v>
      </c>
      <c r="B700" s="344" t="s">
        <v>1207</v>
      </c>
      <c r="C700" s="340" t="s">
        <v>621</v>
      </c>
      <c r="D700" s="340"/>
      <c r="E700" s="340" t="s">
        <v>622</v>
      </c>
      <c r="F700" s="341">
        <v>546</v>
      </c>
      <c r="G700" s="341">
        <v>546</v>
      </c>
      <c r="H700" s="341">
        <v>546</v>
      </c>
      <c r="I700" s="341">
        <f t="shared" si="12"/>
        <v>0</v>
      </c>
      <c r="J700" s="342" t="s">
        <v>1208</v>
      </c>
      <c r="K700" s="342"/>
      <c r="L700" s="342" t="s">
        <v>1208</v>
      </c>
      <c r="M700" s="342"/>
      <c r="N700" s="342"/>
      <c r="O700" s="342"/>
      <c r="P700" s="342"/>
      <c r="Q700" s="342"/>
    </row>
    <row r="701" spans="1:17" ht="30" customHeight="1">
      <c r="A701" s="340">
        <v>696</v>
      </c>
      <c r="B701" s="344" t="s">
        <v>1207</v>
      </c>
      <c r="C701" s="340" t="s">
        <v>623</v>
      </c>
      <c r="D701" s="340"/>
      <c r="E701" s="340" t="s">
        <v>325</v>
      </c>
      <c r="F701" s="341">
        <v>2433</v>
      </c>
      <c r="G701" s="341">
        <v>2433</v>
      </c>
      <c r="H701" s="341">
        <v>2433</v>
      </c>
      <c r="I701" s="341">
        <f t="shared" si="12"/>
        <v>0</v>
      </c>
      <c r="J701" s="342" t="s">
        <v>995</v>
      </c>
      <c r="K701" s="342"/>
      <c r="L701" s="342" t="s">
        <v>995</v>
      </c>
      <c r="M701" s="342"/>
      <c r="N701" s="342"/>
      <c r="O701" s="342"/>
      <c r="P701" s="342"/>
      <c r="Q701" s="342"/>
    </row>
    <row r="702" spans="1:17" ht="30" customHeight="1">
      <c r="A702" s="340">
        <v>697</v>
      </c>
      <c r="B702" s="344" t="s">
        <v>1207</v>
      </c>
      <c r="C702" s="340" t="s">
        <v>624</v>
      </c>
      <c r="D702" s="340"/>
      <c r="E702" s="340" t="s">
        <v>366</v>
      </c>
      <c r="F702" s="341">
        <v>517</v>
      </c>
      <c r="G702" s="341">
        <v>517</v>
      </c>
      <c r="H702" s="341">
        <v>517</v>
      </c>
      <c r="I702" s="341">
        <f t="shared" si="12"/>
        <v>0</v>
      </c>
      <c r="J702" s="342" t="s">
        <v>1116</v>
      </c>
      <c r="K702" s="342"/>
      <c r="L702" s="342" t="s">
        <v>1116</v>
      </c>
      <c r="M702" s="342"/>
      <c r="N702" s="342"/>
      <c r="O702" s="342"/>
      <c r="P702" s="342"/>
      <c r="Q702" s="343"/>
    </row>
    <row r="703" spans="1:17" ht="30" customHeight="1">
      <c r="A703" s="340">
        <v>698</v>
      </c>
      <c r="B703" s="344" t="s">
        <v>1207</v>
      </c>
      <c r="C703" s="340" t="s">
        <v>625</v>
      </c>
      <c r="D703" s="340"/>
      <c r="E703" s="340" t="s">
        <v>366</v>
      </c>
      <c r="F703" s="341">
        <v>63</v>
      </c>
      <c r="G703" s="341">
        <v>63</v>
      </c>
      <c r="H703" s="341">
        <v>63</v>
      </c>
      <c r="I703" s="341">
        <f t="shared" si="12"/>
        <v>0</v>
      </c>
      <c r="J703" s="342" t="s">
        <v>995</v>
      </c>
      <c r="K703" s="342"/>
      <c r="L703" s="342" t="s">
        <v>995</v>
      </c>
      <c r="M703" s="342"/>
      <c r="N703" s="342"/>
      <c r="O703" s="342"/>
      <c r="P703" s="342"/>
      <c r="Q703" s="343"/>
    </row>
    <row r="704" spans="1:17" ht="30" customHeight="1">
      <c r="A704" s="340">
        <v>699</v>
      </c>
      <c r="B704" s="344" t="s">
        <v>1207</v>
      </c>
      <c r="C704" s="340" t="s">
        <v>626</v>
      </c>
      <c r="D704" s="340"/>
      <c r="E704" s="340" t="s">
        <v>366</v>
      </c>
      <c r="F704" s="341">
        <v>1710</v>
      </c>
      <c r="G704" s="341">
        <v>1710</v>
      </c>
      <c r="H704" s="341">
        <v>1710</v>
      </c>
      <c r="I704" s="341">
        <f t="shared" si="12"/>
        <v>0</v>
      </c>
      <c r="J704" s="342" t="s">
        <v>611</v>
      </c>
      <c r="K704" s="342"/>
      <c r="L704" s="342" t="s">
        <v>611</v>
      </c>
      <c r="M704" s="342"/>
      <c r="N704" s="342"/>
      <c r="O704" s="342"/>
      <c r="P704" s="342"/>
      <c r="Q704" s="343"/>
    </row>
    <row r="705" spans="1:17" ht="30" customHeight="1">
      <c r="A705" s="340">
        <v>700</v>
      </c>
      <c r="B705" s="344" t="s">
        <v>1207</v>
      </c>
      <c r="C705" s="340" t="s">
        <v>627</v>
      </c>
      <c r="D705" s="340"/>
      <c r="E705" s="340" t="s">
        <v>366</v>
      </c>
      <c r="F705" s="341">
        <v>602</v>
      </c>
      <c r="G705" s="341">
        <v>602</v>
      </c>
      <c r="H705" s="341">
        <v>602</v>
      </c>
      <c r="I705" s="341">
        <f t="shared" si="12"/>
        <v>0</v>
      </c>
      <c r="J705" s="342" t="s">
        <v>995</v>
      </c>
      <c r="K705" s="342"/>
      <c r="L705" s="342" t="s">
        <v>995</v>
      </c>
      <c r="M705" s="342"/>
      <c r="N705" s="342"/>
      <c r="O705" s="342"/>
      <c r="P705" s="342"/>
      <c r="Q705" s="343"/>
    </row>
    <row r="706" spans="1:17" ht="30" customHeight="1">
      <c r="A706" s="340">
        <v>701</v>
      </c>
      <c r="B706" s="344" t="s">
        <v>1207</v>
      </c>
      <c r="C706" s="340" t="s">
        <v>628</v>
      </c>
      <c r="D706" s="340"/>
      <c r="E706" s="340" t="s">
        <v>85</v>
      </c>
      <c r="F706" s="341">
        <v>130</v>
      </c>
      <c r="G706" s="341">
        <v>130</v>
      </c>
      <c r="H706" s="341">
        <v>130</v>
      </c>
      <c r="I706" s="341">
        <f t="shared" si="12"/>
        <v>0</v>
      </c>
      <c r="J706" s="342" t="s">
        <v>995</v>
      </c>
      <c r="K706" s="342"/>
      <c r="L706" s="342" t="s">
        <v>995</v>
      </c>
      <c r="M706" s="342"/>
      <c r="N706" s="342"/>
      <c r="O706" s="342"/>
      <c r="P706" s="342"/>
      <c r="Q706" s="343"/>
    </row>
    <row r="707" spans="1:17" ht="30" customHeight="1">
      <c r="A707" s="340">
        <v>702</v>
      </c>
      <c r="B707" s="344" t="s">
        <v>1207</v>
      </c>
      <c r="C707" s="340" t="s">
        <v>629</v>
      </c>
      <c r="D707" s="340"/>
      <c r="E707" s="340" t="s">
        <v>333</v>
      </c>
      <c r="F707" s="341">
        <v>1775</v>
      </c>
      <c r="G707" s="341">
        <v>1775</v>
      </c>
      <c r="H707" s="341">
        <v>1775</v>
      </c>
      <c r="I707" s="341">
        <f t="shared" si="12"/>
        <v>0</v>
      </c>
      <c r="J707" s="342" t="s">
        <v>995</v>
      </c>
      <c r="K707" s="342"/>
      <c r="L707" s="342" t="s">
        <v>995</v>
      </c>
      <c r="M707" s="342"/>
      <c r="N707" s="342"/>
      <c r="O707" s="342"/>
      <c r="P707" s="342"/>
      <c r="Q707" s="343"/>
    </row>
    <row r="708" spans="1:17" ht="30" customHeight="1">
      <c r="A708" s="340">
        <v>703</v>
      </c>
      <c r="B708" s="344" t="s">
        <v>1207</v>
      </c>
      <c r="C708" s="340" t="s">
        <v>742</v>
      </c>
      <c r="D708" s="340"/>
      <c r="E708" s="340" t="s">
        <v>333</v>
      </c>
      <c r="F708" s="341">
        <v>2266</v>
      </c>
      <c r="G708" s="341">
        <v>2266</v>
      </c>
      <c r="H708" s="341">
        <v>2266</v>
      </c>
      <c r="I708" s="341">
        <f t="shared" si="12"/>
        <v>0</v>
      </c>
      <c r="J708" s="342" t="s">
        <v>995</v>
      </c>
      <c r="K708" s="342"/>
      <c r="L708" s="342" t="s">
        <v>995</v>
      </c>
      <c r="M708" s="342"/>
      <c r="N708" s="342"/>
      <c r="O708" s="342"/>
      <c r="P708" s="342"/>
      <c r="Q708" s="343"/>
    </row>
    <row r="709" spans="1:17" ht="30" customHeight="1">
      <c r="A709" s="340">
        <v>704</v>
      </c>
      <c r="B709" s="344" t="s">
        <v>1207</v>
      </c>
      <c r="C709" s="340" t="s">
        <v>630</v>
      </c>
      <c r="D709" s="340"/>
      <c r="E709" s="340" t="s">
        <v>333</v>
      </c>
      <c r="F709" s="341">
        <v>17</v>
      </c>
      <c r="G709" s="341">
        <v>17</v>
      </c>
      <c r="H709" s="341">
        <v>17</v>
      </c>
      <c r="I709" s="341">
        <f t="shared" si="12"/>
        <v>0</v>
      </c>
      <c r="J709" s="342" t="s">
        <v>995</v>
      </c>
      <c r="K709" s="342"/>
      <c r="L709" s="342" t="s">
        <v>995</v>
      </c>
      <c r="M709" s="342"/>
      <c r="N709" s="342"/>
      <c r="O709" s="342"/>
      <c r="P709" s="342"/>
      <c r="Q709" s="343"/>
    </row>
    <row r="710" spans="1:17" ht="30" customHeight="1">
      <c r="A710" s="340">
        <v>705</v>
      </c>
      <c r="B710" s="344" t="s">
        <v>1207</v>
      </c>
      <c r="C710" s="340" t="s">
        <v>631</v>
      </c>
      <c r="D710" s="340"/>
      <c r="E710" s="340" t="s">
        <v>333</v>
      </c>
      <c r="F710" s="341">
        <v>65</v>
      </c>
      <c r="G710" s="341">
        <v>65</v>
      </c>
      <c r="H710" s="341">
        <v>65</v>
      </c>
      <c r="I710" s="341">
        <f t="shared" si="12"/>
        <v>0</v>
      </c>
      <c r="J710" s="342" t="s">
        <v>995</v>
      </c>
      <c r="K710" s="342"/>
      <c r="L710" s="342" t="s">
        <v>995</v>
      </c>
      <c r="M710" s="342"/>
      <c r="N710" s="342"/>
      <c r="O710" s="342"/>
      <c r="P710" s="342"/>
      <c r="Q710" s="343"/>
    </row>
    <row r="711" spans="1:17" ht="30" customHeight="1">
      <c r="A711" s="340">
        <v>706</v>
      </c>
      <c r="B711" s="344" t="s">
        <v>1207</v>
      </c>
      <c r="C711" s="340" t="s">
        <v>632</v>
      </c>
      <c r="D711" s="340"/>
      <c r="E711" s="340" t="s">
        <v>326</v>
      </c>
      <c r="F711" s="341">
        <v>189</v>
      </c>
      <c r="G711" s="341">
        <v>189</v>
      </c>
      <c r="H711" s="341">
        <v>189</v>
      </c>
      <c r="I711" s="341">
        <f t="shared" si="12"/>
        <v>0</v>
      </c>
      <c r="J711" s="342" t="s">
        <v>1208</v>
      </c>
      <c r="K711" s="342"/>
      <c r="L711" s="342" t="s">
        <v>1208</v>
      </c>
      <c r="M711" s="342"/>
      <c r="N711" s="342"/>
      <c r="O711" s="342"/>
      <c r="P711" s="342"/>
      <c r="Q711" s="343"/>
    </row>
    <row r="712" spans="1:17" ht="30" customHeight="1">
      <c r="A712" s="340">
        <v>707</v>
      </c>
      <c r="B712" s="344" t="s">
        <v>1207</v>
      </c>
      <c r="C712" s="340" t="s">
        <v>633</v>
      </c>
      <c r="D712" s="340"/>
      <c r="E712" s="340" t="s">
        <v>325</v>
      </c>
      <c r="F712" s="341">
        <v>139</v>
      </c>
      <c r="G712" s="341">
        <v>139</v>
      </c>
      <c r="H712" s="341">
        <v>139</v>
      </c>
      <c r="I712" s="341">
        <f t="shared" si="12"/>
        <v>0</v>
      </c>
      <c r="J712" s="342" t="s">
        <v>995</v>
      </c>
      <c r="K712" s="342"/>
      <c r="L712" s="342" t="s">
        <v>995</v>
      </c>
      <c r="M712" s="342"/>
      <c r="N712" s="342"/>
      <c r="O712" s="342"/>
      <c r="P712" s="342"/>
      <c r="Q712" s="343"/>
    </row>
    <row r="713" spans="1:17" ht="30" customHeight="1">
      <c r="A713" s="340">
        <v>708</v>
      </c>
      <c r="B713" s="344" t="s">
        <v>1207</v>
      </c>
      <c r="C713" s="340" t="s">
        <v>634</v>
      </c>
      <c r="D713" s="340"/>
      <c r="E713" s="340" t="s">
        <v>325</v>
      </c>
      <c r="F713" s="341">
        <v>76</v>
      </c>
      <c r="G713" s="341">
        <v>76</v>
      </c>
      <c r="H713" s="341">
        <v>76</v>
      </c>
      <c r="I713" s="341">
        <f t="shared" si="12"/>
        <v>0</v>
      </c>
      <c r="J713" s="342" t="s">
        <v>995</v>
      </c>
      <c r="K713" s="342"/>
      <c r="L713" s="342" t="s">
        <v>995</v>
      </c>
      <c r="M713" s="342"/>
      <c r="N713" s="342"/>
      <c r="O713" s="342"/>
      <c r="P713" s="342"/>
      <c r="Q713" s="343"/>
    </row>
    <row r="714" spans="1:17" ht="30" customHeight="1">
      <c r="A714" s="340">
        <v>709</v>
      </c>
      <c r="B714" s="344" t="s">
        <v>1207</v>
      </c>
      <c r="C714" s="340" t="s">
        <v>635</v>
      </c>
      <c r="D714" s="340"/>
      <c r="E714" s="340" t="s">
        <v>325</v>
      </c>
      <c r="F714" s="341">
        <v>29</v>
      </c>
      <c r="G714" s="341">
        <v>29</v>
      </c>
      <c r="H714" s="341">
        <v>29</v>
      </c>
      <c r="I714" s="341">
        <f t="shared" si="12"/>
        <v>0</v>
      </c>
      <c r="J714" s="342" t="s">
        <v>995</v>
      </c>
      <c r="K714" s="342"/>
      <c r="L714" s="342" t="s">
        <v>995</v>
      </c>
      <c r="M714" s="342"/>
      <c r="N714" s="342"/>
      <c r="O714" s="342"/>
      <c r="P714" s="342"/>
      <c r="Q714" s="343"/>
    </row>
    <row r="715" spans="1:17" ht="30" customHeight="1">
      <c r="A715" s="340">
        <v>710</v>
      </c>
      <c r="B715" s="344" t="s">
        <v>1207</v>
      </c>
      <c r="C715" s="340" t="s">
        <v>636</v>
      </c>
      <c r="D715" s="340"/>
      <c r="E715" s="340" t="s">
        <v>325</v>
      </c>
      <c r="F715" s="341">
        <v>2315</v>
      </c>
      <c r="G715" s="341">
        <v>2315</v>
      </c>
      <c r="H715" s="341">
        <v>2315</v>
      </c>
      <c r="I715" s="341">
        <f t="shared" si="12"/>
        <v>0</v>
      </c>
      <c r="J715" s="342" t="s">
        <v>995</v>
      </c>
      <c r="K715" s="342"/>
      <c r="L715" s="342" t="s">
        <v>995</v>
      </c>
      <c r="M715" s="342"/>
      <c r="N715" s="342"/>
      <c r="O715" s="342"/>
      <c r="P715" s="342"/>
      <c r="Q715" s="343"/>
    </row>
    <row r="716" spans="1:17" ht="30" customHeight="1">
      <c r="A716" s="340">
        <v>711</v>
      </c>
      <c r="B716" s="344" t="s">
        <v>1207</v>
      </c>
      <c r="C716" s="340" t="s">
        <v>637</v>
      </c>
      <c r="D716" s="340"/>
      <c r="E716" s="340" t="s">
        <v>88</v>
      </c>
      <c r="F716" s="341">
        <v>6617</v>
      </c>
      <c r="G716" s="341">
        <v>6617</v>
      </c>
      <c r="H716" s="341">
        <v>6617</v>
      </c>
      <c r="I716" s="341">
        <f t="shared" si="12"/>
        <v>0</v>
      </c>
      <c r="J716" s="342" t="s">
        <v>995</v>
      </c>
      <c r="K716" s="342"/>
      <c r="L716" s="342" t="s">
        <v>995</v>
      </c>
      <c r="M716" s="342"/>
      <c r="N716" s="342"/>
      <c r="O716" s="342"/>
      <c r="P716" s="342"/>
      <c r="Q716" s="343"/>
    </row>
    <row r="717" spans="1:17" ht="30" customHeight="1">
      <c r="A717" s="340">
        <v>712</v>
      </c>
      <c r="B717" s="344" t="s">
        <v>1207</v>
      </c>
      <c r="C717" s="340" t="s">
        <v>638</v>
      </c>
      <c r="D717" s="340"/>
      <c r="E717" s="340" t="s">
        <v>88</v>
      </c>
      <c r="F717" s="341">
        <v>18</v>
      </c>
      <c r="G717" s="341">
        <v>18</v>
      </c>
      <c r="H717" s="341">
        <v>18</v>
      </c>
      <c r="I717" s="341">
        <f t="shared" si="12"/>
        <v>0</v>
      </c>
      <c r="J717" s="342" t="s">
        <v>995</v>
      </c>
      <c r="K717" s="342"/>
      <c r="L717" s="342" t="s">
        <v>995</v>
      </c>
      <c r="M717" s="342"/>
      <c r="N717" s="342"/>
      <c r="O717" s="342"/>
      <c r="P717" s="342"/>
      <c r="Q717" s="343"/>
    </row>
    <row r="718" spans="1:17" ht="30" customHeight="1">
      <c r="A718" s="340">
        <v>713</v>
      </c>
      <c r="B718" s="344" t="s">
        <v>1207</v>
      </c>
      <c r="C718" s="340" t="s">
        <v>639</v>
      </c>
      <c r="D718" s="340"/>
      <c r="E718" s="340" t="s">
        <v>88</v>
      </c>
      <c r="F718" s="341">
        <v>601</v>
      </c>
      <c r="G718" s="341">
        <v>601</v>
      </c>
      <c r="H718" s="341">
        <v>601</v>
      </c>
      <c r="I718" s="341">
        <f t="shared" si="12"/>
        <v>0</v>
      </c>
      <c r="J718" s="342" t="s">
        <v>995</v>
      </c>
      <c r="K718" s="342"/>
      <c r="L718" s="342" t="s">
        <v>995</v>
      </c>
      <c r="M718" s="342"/>
      <c r="N718" s="342"/>
      <c r="O718" s="342"/>
      <c r="P718" s="342"/>
      <c r="Q718" s="343"/>
    </row>
    <row r="719" spans="1:17" ht="30" customHeight="1">
      <c r="A719" s="340">
        <v>714</v>
      </c>
      <c r="B719" s="344" t="s">
        <v>1207</v>
      </c>
      <c r="C719" s="340" t="s">
        <v>640</v>
      </c>
      <c r="D719" s="340"/>
      <c r="E719" s="340" t="s">
        <v>88</v>
      </c>
      <c r="F719" s="341">
        <v>3228</v>
      </c>
      <c r="G719" s="341">
        <v>3228</v>
      </c>
      <c r="H719" s="341">
        <v>3228</v>
      </c>
      <c r="I719" s="341">
        <f t="shared" si="12"/>
        <v>0</v>
      </c>
      <c r="J719" s="342" t="s">
        <v>995</v>
      </c>
      <c r="K719" s="342"/>
      <c r="L719" s="342" t="s">
        <v>995</v>
      </c>
      <c r="M719" s="342"/>
      <c r="N719" s="342"/>
      <c r="O719" s="342"/>
      <c r="P719" s="342"/>
      <c r="Q719" s="343"/>
    </row>
    <row r="720" spans="1:17" ht="30" customHeight="1">
      <c r="A720" s="340">
        <v>715</v>
      </c>
      <c r="B720" s="344" t="s">
        <v>1207</v>
      </c>
      <c r="C720" s="340" t="s">
        <v>641</v>
      </c>
      <c r="D720" s="340"/>
      <c r="E720" s="340" t="s">
        <v>88</v>
      </c>
      <c r="F720" s="341">
        <v>6580</v>
      </c>
      <c r="G720" s="341">
        <v>6580</v>
      </c>
      <c r="H720" s="341">
        <v>6580</v>
      </c>
      <c r="I720" s="341">
        <f t="shared" ref="I720:I783" si="13">H720-G720</f>
        <v>0</v>
      </c>
      <c r="J720" s="342" t="s">
        <v>995</v>
      </c>
      <c r="K720" s="342"/>
      <c r="L720" s="342" t="s">
        <v>995</v>
      </c>
      <c r="M720" s="342"/>
      <c r="N720" s="342"/>
      <c r="O720" s="342"/>
      <c r="P720" s="342"/>
      <c r="Q720" s="343"/>
    </row>
    <row r="721" spans="1:17" ht="30" customHeight="1">
      <c r="A721" s="340">
        <v>716</v>
      </c>
      <c r="B721" s="344" t="s">
        <v>1207</v>
      </c>
      <c r="C721" s="340" t="s">
        <v>642</v>
      </c>
      <c r="D721" s="340"/>
      <c r="E721" s="340" t="s">
        <v>333</v>
      </c>
      <c r="F721" s="341">
        <v>65</v>
      </c>
      <c r="G721" s="341">
        <v>65</v>
      </c>
      <c r="H721" s="341">
        <v>65</v>
      </c>
      <c r="I721" s="341">
        <f t="shared" si="13"/>
        <v>0</v>
      </c>
      <c r="J721" s="342" t="s">
        <v>995</v>
      </c>
      <c r="K721" s="342"/>
      <c r="L721" s="342" t="s">
        <v>995</v>
      </c>
      <c r="M721" s="342"/>
      <c r="N721" s="342"/>
      <c r="O721" s="342"/>
      <c r="P721" s="342"/>
      <c r="Q721" s="343"/>
    </row>
    <row r="722" spans="1:17" ht="30" customHeight="1">
      <c r="A722" s="340">
        <v>717</v>
      </c>
      <c r="B722" s="344" t="s">
        <v>1207</v>
      </c>
      <c r="C722" s="340" t="s">
        <v>643</v>
      </c>
      <c r="D722" s="340"/>
      <c r="E722" s="340" t="s">
        <v>326</v>
      </c>
      <c r="F722" s="341">
        <v>71</v>
      </c>
      <c r="G722" s="341">
        <v>71</v>
      </c>
      <c r="H722" s="341">
        <v>71</v>
      </c>
      <c r="I722" s="341">
        <f t="shared" si="13"/>
        <v>0</v>
      </c>
      <c r="J722" s="342" t="s">
        <v>995</v>
      </c>
      <c r="K722" s="342"/>
      <c r="L722" s="342" t="s">
        <v>995</v>
      </c>
      <c r="M722" s="342"/>
      <c r="N722" s="342"/>
      <c r="O722" s="342"/>
      <c r="P722" s="342"/>
      <c r="Q722" s="343"/>
    </row>
    <row r="723" spans="1:17" ht="30" customHeight="1">
      <c r="A723" s="340">
        <v>718</v>
      </c>
      <c r="B723" s="344" t="s">
        <v>1207</v>
      </c>
      <c r="C723" s="340" t="s">
        <v>644</v>
      </c>
      <c r="D723" s="340"/>
      <c r="E723" s="340" t="s">
        <v>326</v>
      </c>
      <c r="F723" s="341">
        <v>57</v>
      </c>
      <c r="G723" s="341">
        <v>57</v>
      </c>
      <c r="H723" s="341">
        <v>57</v>
      </c>
      <c r="I723" s="341">
        <f t="shared" si="13"/>
        <v>0</v>
      </c>
      <c r="J723" s="342" t="s">
        <v>995</v>
      </c>
      <c r="K723" s="342"/>
      <c r="L723" s="342" t="s">
        <v>995</v>
      </c>
      <c r="M723" s="342"/>
      <c r="N723" s="342"/>
      <c r="O723" s="342"/>
      <c r="P723" s="342"/>
      <c r="Q723" s="343"/>
    </row>
    <row r="724" spans="1:17" ht="30" customHeight="1">
      <c r="A724" s="340">
        <v>719</v>
      </c>
      <c r="B724" s="344" t="s">
        <v>1207</v>
      </c>
      <c r="C724" s="340" t="s">
        <v>645</v>
      </c>
      <c r="D724" s="340"/>
      <c r="E724" s="340" t="s">
        <v>366</v>
      </c>
      <c r="F724" s="341">
        <v>994</v>
      </c>
      <c r="G724" s="341">
        <v>994</v>
      </c>
      <c r="H724" s="341">
        <v>994</v>
      </c>
      <c r="I724" s="341">
        <f t="shared" si="13"/>
        <v>0</v>
      </c>
      <c r="J724" s="342" t="s">
        <v>995</v>
      </c>
      <c r="K724" s="342"/>
      <c r="L724" s="342" t="s">
        <v>995</v>
      </c>
      <c r="M724" s="342"/>
      <c r="N724" s="342"/>
      <c r="O724" s="342"/>
      <c r="P724" s="342"/>
      <c r="Q724" s="343"/>
    </row>
    <row r="725" spans="1:17" ht="30" customHeight="1">
      <c r="A725" s="340">
        <v>720</v>
      </c>
      <c r="B725" s="344" t="s">
        <v>1207</v>
      </c>
      <c r="C725" s="340" t="s">
        <v>646</v>
      </c>
      <c r="D725" s="340"/>
      <c r="E725" s="340" t="s">
        <v>333</v>
      </c>
      <c r="F725" s="341">
        <v>78</v>
      </c>
      <c r="G725" s="341">
        <v>78</v>
      </c>
      <c r="H725" s="341">
        <v>78</v>
      </c>
      <c r="I725" s="341">
        <f t="shared" si="13"/>
        <v>0</v>
      </c>
      <c r="J725" s="342" t="s">
        <v>995</v>
      </c>
      <c r="K725" s="342"/>
      <c r="L725" s="342" t="s">
        <v>995</v>
      </c>
      <c r="M725" s="342"/>
      <c r="N725" s="342"/>
      <c r="O725" s="342"/>
      <c r="P725" s="342"/>
      <c r="Q725" s="343"/>
    </row>
    <row r="726" spans="1:17" ht="30" customHeight="1">
      <c r="A726" s="340">
        <v>721</v>
      </c>
      <c r="B726" s="344" t="s">
        <v>1207</v>
      </c>
      <c r="C726" s="340" t="s">
        <v>647</v>
      </c>
      <c r="D726" s="340"/>
      <c r="E726" s="340" t="s">
        <v>326</v>
      </c>
      <c r="F726" s="341">
        <v>479</v>
      </c>
      <c r="G726" s="341">
        <v>63</v>
      </c>
      <c r="H726" s="341">
        <v>63</v>
      </c>
      <c r="I726" s="341">
        <f t="shared" si="13"/>
        <v>0</v>
      </c>
      <c r="J726" s="342" t="s">
        <v>995</v>
      </c>
      <c r="K726" s="342"/>
      <c r="L726" s="342" t="s">
        <v>995</v>
      </c>
      <c r="M726" s="342"/>
      <c r="N726" s="342"/>
      <c r="O726" s="342"/>
      <c r="P726" s="342"/>
      <c r="Q726" s="343"/>
    </row>
    <row r="727" spans="1:17" ht="30" customHeight="1">
      <c r="A727" s="340">
        <v>722</v>
      </c>
      <c r="B727" s="344" t="s">
        <v>1207</v>
      </c>
      <c r="C727" s="340" t="s">
        <v>648</v>
      </c>
      <c r="D727" s="340"/>
      <c r="E727" s="340" t="s">
        <v>326</v>
      </c>
      <c r="F727" s="341">
        <v>13</v>
      </c>
      <c r="G727" s="341">
        <v>3</v>
      </c>
      <c r="H727" s="341">
        <v>3</v>
      </c>
      <c r="I727" s="341">
        <f t="shared" si="13"/>
        <v>0</v>
      </c>
      <c r="J727" s="342" t="s">
        <v>995</v>
      </c>
      <c r="K727" s="342"/>
      <c r="L727" s="342" t="s">
        <v>995</v>
      </c>
      <c r="M727" s="342"/>
      <c r="N727" s="342"/>
      <c r="O727" s="342"/>
      <c r="P727" s="342"/>
      <c r="Q727" s="343"/>
    </row>
    <row r="728" spans="1:17" ht="30" customHeight="1">
      <c r="A728" s="340">
        <v>723</v>
      </c>
      <c r="B728" s="344" t="s">
        <v>1207</v>
      </c>
      <c r="C728" s="340" t="s">
        <v>649</v>
      </c>
      <c r="D728" s="340"/>
      <c r="E728" s="340" t="s">
        <v>326</v>
      </c>
      <c r="F728" s="341">
        <v>112</v>
      </c>
      <c r="G728" s="341">
        <v>3</v>
      </c>
      <c r="H728" s="341">
        <v>3</v>
      </c>
      <c r="I728" s="341">
        <f t="shared" si="13"/>
        <v>0</v>
      </c>
      <c r="J728" s="342" t="s">
        <v>995</v>
      </c>
      <c r="K728" s="342"/>
      <c r="L728" s="342" t="s">
        <v>995</v>
      </c>
      <c r="M728" s="342"/>
      <c r="N728" s="342"/>
      <c r="O728" s="342"/>
      <c r="P728" s="342"/>
      <c r="Q728" s="343"/>
    </row>
    <row r="729" spans="1:17" ht="30" customHeight="1">
      <c r="A729" s="340">
        <v>724</v>
      </c>
      <c r="B729" s="344" t="s">
        <v>1207</v>
      </c>
      <c r="C729" s="340" t="s">
        <v>650</v>
      </c>
      <c r="D729" s="340"/>
      <c r="E729" s="340" t="s">
        <v>326</v>
      </c>
      <c r="F729" s="341">
        <v>15</v>
      </c>
      <c r="G729" s="341">
        <v>15</v>
      </c>
      <c r="H729" s="341">
        <v>15</v>
      </c>
      <c r="I729" s="341">
        <f t="shared" si="13"/>
        <v>0</v>
      </c>
      <c r="J729" s="342" t="s">
        <v>995</v>
      </c>
      <c r="K729" s="342"/>
      <c r="L729" s="342" t="s">
        <v>995</v>
      </c>
      <c r="M729" s="342"/>
      <c r="N729" s="342"/>
      <c r="O729" s="342"/>
      <c r="P729" s="342"/>
      <c r="Q729" s="343"/>
    </row>
    <row r="730" spans="1:17" ht="30" customHeight="1">
      <c r="A730" s="340">
        <v>725</v>
      </c>
      <c r="B730" s="344" t="s">
        <v>1207</v>
      </c>
      <c r="C730" s="340" t="s">
        <v>651</v>
      </c>
      <c r="D730" s="340"/>
      <c r="E730" s="340" t="s">
        <v>366</v>
      </c>
      <c r="F730" s="341">
        <v>99</v>
      </c>
      <c r="G730" s="341">
        <v>99</v>
      </c>
      <c r="H730" s="341">
        <v>99</v>
      </c>
      <c r="I730" s="341">
        <f t="shared" si="13"/>
        <v>0</v>
      </c>
      <c r="J730" s="342" t="s">
        <v>995</v>
      </c>
      <c r="K730" s="342"/>
      <c r="L730" s="342" t="s">
        <v>995</v>
      </c>
      <c r="M730" s="342"/>
      <c r="N730" s="342"/>
      <c r="O730" s="342"/>
      <c r="P730" s="342"/>
      <c r="Q730" s="343"/>
    </row>
    <row r="731" spans="1:17" ht="30" customHeight="1">
      <c r="A731" s="340">
        <v>726</v>
      </c>
      <c r="B731" s="344" t="s">
        <v>1207</v>
      </c>
      <c r="C731" s="340" t="s">
        <v>652</v>
      </c>
      <c r="D731" s="340"/>
      <c r="E731" s="340" t="s">
        <v>85</v>
      </c>
      <c r="F731" s="341">
        <v>213</v>
      </c>
      <c r="G731" s="341">
        <v>213</v>
      </c>
      <c r="H731" s="341">
        <v>213</v>
      </c>
      <c r="I731" s="341">
        <f t="shared" si="13"/>
        <v>0</v>
      </c>
      <c r="J731" s="342" t="s">
        <v>995</v>
      </c>
      <c r="K731" s="342"/>
      <c r="L731" s="342" t="s">
        <v>995</v>
      </c>
      <c r="M731" s="342"/>
      <c r="N731" s="342"/>
      <c r="O731" s="342"/>
      <c r="P731" s="342"/>
      <c r="Q731" s="343"/>
    </row>
    <row r="732" spans="1:17" ht="30" customHeight="1">
      <c r="A732" s="340">
        <v>727</v>
      </c>
      <c r="B732" s="344" t="s">
        <v>1207</v>
      </c>
      <c r="C732" s="340" t="s">
        <v>92</v>
      </c>
      <c r="D732" s="340"/>
      <c r="E732" s="340" t="s">
        <v>85</v>
      </c>
      <c r="F732" s="341">
        <v>223</v>
      </c>
      <c r="G732" s="341">
        <v>223</v>
      </c>
      <c r="H732" s="341">
        <v>223</v>
      </c>
      <c r="I732" s="341">
        <f t="shared" si="13"/>
        <v>0</v>
      </c>
      <c r="J732" s="342" t="s">
        <v>995</v>
      </c>
      <c r="K732" s="342"/>
      <c r="L732" s="342" t="s">
        <v>995</v>
      </c>
      <c r="M732" s="342"/>
      <c r="N732" s="342"/>
      <c r="O732" s="342"/>
      <c r="P732" s="342"/>
      <c r="Q732" s="343"/>
    </row>
    <row r="733" spans="1:17" ht="30" customHeight="1">
      <c r="A733" s="340">
        <v>728</v>
      </c>
      <c r="B733" s="344" t="s">
        <v>1207</v>
      </c>
      <c r="C733" s="340" t="s">
        <v>653</v>
      </c>
      <c r="D733" s="340"/>
      <c r="E733" s="340" t="s">
        <v>326</v>
      </c>
      <c r="F733" s="349">
        <v>368</v>
      </c>
      <c r="G733" s="347">
        <v>368</v>
      </c>
      <c r="H733" s="347">
        <v>368</v>
      </c>
      <c r="I733" s="341">
        <f t="shared" si="13"/>
        <v>0</v>
      </c>
      <c r="J733" s="342" t="s">
        <v>995</v>
      </c>
      <c r="K733" s="342"/>
      <c r="L733" s="342" t="s">
        <v>995</v>
      </c>
      <c r="M733" s="342"/>
      <c r="N733" s="342"/>
      <c r="O733" s="342"/>
      <c r="P733" s="342"/>
      <c r="Q733" s="343"/>
    </row>
    <row r="734" spans="1:17" ht="30" customHeight="1">
      <c r="A734" s="340">
        <v>729</v>
      </c>
      <c r="B734" s="344" t="s">
        <v>1207</v>
      </c>
      <c r="C734" s="340" t="s">
        <v>654</v>
      </c>
      <c r="D734" s="340"/>
      <c r="E734" s="340" t="s">
        <v>85</v>
      </c>
      <c r="F734" s="349">
        <v>26</v>
      </c>
      <c r="G734" s="347">
        <v>26</v>
      </c>
      <c r="H734" s="347">
        <v>26</v>
      </c>
      <c r="I734" s="341">
        <f t="shared" si="13"/>
        <v>0</v>
      </c>
      <c r="J734" s="342" t="s">
        <v>995</v>
      </c>
      <c r="K734" s="342"/>
      <c r="L734" s="342" t="s">
        <v>995</v>
      </c>
      <c r="M734" s="342"/>
      <c r="N734" s="342"/>
      <c r="O734" s="342"/>
      <c r="P734" s="342"/>
      <c r="Q734" s="343"/>
    </row>
    <row r="735" spans="1:17" ht="30" customHeight="1">
      <c r="A735" s="340">
        <v>730</v>
      </c>
      <c r="B735" s="344" t="s">
        <v>1207</v>
      </c>
      <c r="C735" s="340" t="s">
        <v>655</v>
      </c>
      <c r="D735" s="340"/>
      <c r="E735" s="340" t="s">
        <v>326</v>
      </c>
      <c r="F735" s="341">
        <v>351</v>
      </c>
      <c r="G735" s="341">
        <v>351</v>
      </c>
      <c r="H735" s="341">
        <v>351</v>
      </c>
      <c r="I735" s="341">
        <f t="shared" si="13"/>
        <v>0</v>
      </c>
      <c r="J735" s="342" t="s">
        <v>995</v>
      </c>
      <c r="K735" s="342"/>
      <c r="L735" s="342" t="s">
        <v>995</v>
      </c>
      <c r="M735" s="342"/>
      <c r="N735" s="342"/>
      <c r="O735" s="342"/>
      <c r="P735" s="342"/>
      <c r="Q735" s="343"/>
    </row>
    <row r="736" spans="1:17" ht="30" customHeight="1">
      <c r="A736" s="340">
        <v>731</v>
      </c>
      <c r="B736" s="344" t="s">
        <v>1207</v>
      </c>
      <c r="C736" s="340" t="s">
        <v>656</v>
      </c>
      <c r="D736" s="340"/>
      <c r="E736" s="340" t="s">
        <v>326</v>
      </c>
      <c r="F736" s="341">
        <v>400</v>
      </c>
      <c r="G736" s="341">
        <v>231</v>
      </c>
      <c r="H736" s="341">
        <v>231</v>
      </c>
      <c r="I736" s="341">
        <f t="shared" si="13"/>
        <v>0</v>
      </c>
      <c r="J736" s="342" t="s">
        <v>1208</v>
      </c>
      <c r="K736" s="342"/>
      <c r="L736" s="342" t="s">
        <v>1208</v>
      </c>
      <c r="M736" s="342"/>
      <c r="N736" s="342"/>
      <c r="O736" s="342"/>
      <c r="P736" s="342"/>
      <c r="Q736" s="343"/>
    </row>
    <row r="737" spans="1:17" ht="30" customHeight="1">
      <c r="A737" s="340">
        <v>732</v>
      </c>
      <c r="B737" s="344" t="s">
        <v>1207</v>
      </c>
      <c r="C737" s="340" t="s">
        <v>657</v>
      </c>
      <c r="D737" s="340"/>
      <c r="E737" s="340" t="s">
        <v>90</v>
      </c>
      <c r="F737" s="341">
        <v>158</v>
      </c>
      <c r="G737" s="341">
        <v>158</v>
      </c>
      <c r="H737" s="341">
        <v>158</v>
      </c>
      <c r="I737" s="341">
        <f t="shared" si="13"/>
        <v>0</v>
      </c>
      <c r="J737" s="342" t="s">
        <v>995</v>
      </c>
      <c r="K737" s="342"/>
      <c r="L737" s="342" t="s">
        <v>995</v>
      </c>
      <c r="M737" s="342"/>
      <c r="N737" s="342"/>
      <c r="O737" s="342"/>
      <c r="P737" s="342"/>
      <c r="Q737" s="343"/>
    </row>
    <row r="738" spans="1:17" ht="30" customHeight="1">
      <c r="A738" s="340">
        <v>733</v>
      </c>
      <c r="B738" s="344" t="s">
        <v>1207</v>
      </c>
      <c r="C738" s="340" t="s">
        <v>658</v>
      </c>
      <c r="D738" s="340"/>
      <c r="E738" s="340" t="s">
        <v>326</v>
      </c>
      <c r="F738" s="341">
        <v>36</v>
      </c>
      <c r="G738" s="341">
        <v>36</v>
      </c>
      <c r="H738" s="341">
        <v>36</v>
      </c>
      <c r="I738" s="341">
        <f t="shared" si="13"/>
        <v>0</v>
      </c>
      <c r="J738" s="342" t="s">
        <v>1208</v>
      </c>
      <c r="K738" s="342"/>
      <c r="L738" s="342" t="s">
        <v>1208</v>
      </c>
      <c r="M738" s="342"/>
      <c r="N738" s="342"/>
      <c r="O738" s="342"/>
      <c r="P738" s="342"/>
      <c r="Q738" s="343"/>
    </row>
    <row r="739" spans="1:17" ht="30" customHeight="1">
      <c r="A739" s="340">
        <v>734</v>
      </c>
      <c r="B739" s="344" t="s">
        <v>1207</v>
      </c>
      <c r="C739" s="340" t="s">
        <v>659</v>
      </c>
      <c r="D739" s="340"/>
      <c r="E739" s="340" t="s">
        <v>85</v>
      </c>
      <c r="F739" s="341">
        <v>682</v>
      </c>
      <c r="G739" s="341">
        <v>225</v>
      </c>
      <c r="H739" s="341">
        <v>225</v>
      </c>
      <c r="I739" s="341">
        <f t="shared" si="13"/>
        <v>0</v>
      </c>
      <c r="J739" s="342" t="s">
        <v>995</v>
      </c>
      <c r="K739" s="342"/>
      <c r="L739" s="342" t="s">
        <v>995</v>
      </c>
      <c r="M739" s="342"/>
      <c r="N739" s="342"/>
      <c r="O739" s="342"/>
      <c r="P739" s="342"/>
      <c r="Q739" s="343"/>
    </row>
    <row r="740" spans="1:17" ht="30" customHeight="1">
      <c r="A740" s="340">
        <v>735</v>
      </c>
      <c r="B740" s="344" t="s">
        <v>1207</v>
      </c>
      <c r="C740" s="340" t="s">
        <v>660</v>
      </c>
      <c r="D740" s="340"/>
      <c r="E740" s="340" t="s">
        <v>326</v>
      </c>
      <c r="F740" s="341">
        <v>33</v>
      </c>
      <c r="G740" s="341">
        <v>33</v>
      </c>
      <c r="H740" s="341">
        <v>33</v>
      </c>
      <c r="I740" s="341">
        <f t="shared" si="13"/>
        <v>0</v>
      </c>
      <c r="J740" s="342" t="s">
        <v>1208</v>
      </c>
      <c r="K740" s="342"/>
      <c r="L740" s="342" t="s">
        <v>1208</v>
      </c>
      <c r="M740" s="342"/>
      <c r="N740" s="342"/>
      <c r="O740" s="342"/>
      <c r="P740" s="342"/>
      <c r="Q740" s="343"/>
    </row>
    <row r="741" spans="1:17" ht="30" customHeight="1">
      <c r="A741" s="340">
        <v>736</v>
      </c>
      <c r="B741" s="344" t="s">
        <v>1207</v>
      </c>
      <c r="C741" s="340" t="s">
        <v>661</v>
      </c>
      <c r="D741" s="340"/>
      <c r="E741" s="340" t="s">
        <v>85</v>
      </c>
      <c r="F741" s="341">
        <v>17</v>
      </c>
      <c r="G741" s="341">
        <v>17</v>
      </c>
      <c r="H741" s="341">
        <v>17</v>
      </c>
      <c r="I741" s="341">
        <f t="shared" si="13"/>
        <v>0</v>
      </c>
      <c r="J741" s="342" t="s">
        <v>995</v>
      </c>
      <c r="K741" s="342"/>
      <c r="L741" s="342" t="s">
        <v>995</v>
      </c>
      <c r="M741" s="342"/>
      <c r="N741" s="342"/>
      <c r="O741" s="342"/>
      <c r="P741" s="342"/>
      <c r="Q741" s="343"/>
    </row>
    <row r="742" spans="1:17" ht="30" customHeight="1">
      <c r="A742" s="340">
        <v>737</v>
      </c>
      <c r="B742" s="344" t="s">
        <v>1207</v>
      </c>
      <c r="C742" s="340" t="s">
        <v>662</v>
      </c>
      <c r="D742" s="340"/>
      <c r="E742" s="340" t="s">
        <v>325</v>
      </c>
      <c r="F742" s="341">
        <v>292</v>
      </c>
      <c r="G742" s="341">
        <v>292</v>
      </c>
      <c r="H742" s="341">
        <v>292</v>
      </c>
      <c r="I742" s="341">
        <f t="shared" si="13"/>
        <v>0</v>
      </c>
      <c r="J742" s="342" t="s">
        <v>995</v>
      </c>
      <c r="K742" s="342"/>
      <c r="L742" s="342" t="s">
        <v>995</v>
      </c>
      <c r="M742" s="342"/>
      <c r="N742" s="342"/>
      <c r="O742" s="342"/>
      <c r="P742" s="342"/>
      <c r="Q742" s="343"/>
    </row>
    <row r="743" spans="1:17" ht="30" customHeight="1">
      <c r="A743" s="340">
        <v>738</v>
      </c>
      <c r="B743" s="344" t="s">
        <v>1207</v>
      </c>
      <c r="C743" s="340" t="s">
        <v>663</v>
      </c>
      <c r="D743" s="340"/>
      <c r="E743" s="340" t="s">
        <v>325</v>
      </c>
      <c r="F743" s="341">
        <v>23</v>
      </c>
      <c r="G743" s="341">
        <v>23</v>
      </c>
      <c r="H743" s="341">
        <v>23</v>
      </c>
      <c r="I743" s="341">
        <f t="shared" si="13"/>
        <v>0</v>
      </c>
      <c r="J743" s="342" t="s">
        <v>1265</v>
      </c>
      <c r="K743" s="342" t="s">
        <v>665</v>
      </c>
      <c r="L743" s="342" t="s">
        <v>995</v>
      </c>
      <c r="M743" s="342"/>
      <c r="N743" s="342"/>
      <c r="O743" s="342"/>
      <c r="P743" s="342"/>
      <c r="Q743" s="343"/>
    </row>
    <row r="744" spans="1:17" ht="30" customHeight="1">
      <c r="A744" s="340">
        <v>739</v>
      </c>
      <c r="B744" s="344" t="s">
        <v>1207</v>
      </c>
      <c r="C744" s="340" t="s">
        <v>666</v>
      </c>
      <c r="D744" s="340"/>
      <c r="E744" s="340" t="s">
        <v>85</v>
      </c>
      <c r="F744" s="341">
        <v>387</v>
      </c>
      <c r="G744" s="341">
        <v>387</v>
      </c>
      <c r="H744" s="341">
        <v>387</v>
      </c>
      <c r="I744" s="341">
        <f t="shared" si="13"/>
        <v>0</v>
      </c>
      <c r="J744" s="342" t="s">
        <v>995</v>
      </c>
      <c r="K744" s="342"/>
      <c r="L744" s="342" t="s">
        <v>995</v>
      </c>
      <c r="M744" s="342"/>
      <c r="N744" s="342"/>
      <c r="O744" s="342"/>
      <c r="P744" s="342"/>
      <c r="Q744" s="343"/>
    </row>
    <row r="745" spans="1:17" ht="30" customHeight="1">
      <c r="A745" s="340">
        <v>740</v>
      </c>
      <c r="B745" s="344" t="s">
        <v>1207</v>
      </c>
      <c r="C745" s="340" t="s">
        <v>667</v>
      </c>
      <c r="D745" s="340"/>
      <c r="E745" s="340" t="s">
        <v>85</v>
      </c>
      <c r="F745" s="341">
        <v>33</v>
      </c>
      <c r="G745" s="341">
        <v>33</v>
      </c>
      <c r="H745" s="341">
        <v>33</v>
      </c>
      <c r="I745" s="341">
        <f t="shared" si="13"/>
        <v>0</v>
      </c>
      <c r="J745" s="342" t="s">
        <v>995</v>
      </c>
      <c r="K745" s="342"/>
      <c r="L745" s="342" t="s">
        <v>995</v>
      </c>
      <c r="M745" s="342"/>
      <c r="N745" s="342"/>
      <c r="O745" s="342"/>
      <c r="P745" s="342"/>
      <c r="Q745" s="343"/>
    </row>
    <row r="746" spans="1:17" ht="30" customHeight="1">
      <c r="A746" s="340">
        <v>741</v>
      </c>
      <c r="B746" s="344" t="s">
        <v>1207</v>
      </c>
      <c r="C746" s="340" t="s">
        <v>668</v>
      </c>
      <c r="D746" s="340"/>
      <c r="E746" s="340" t="s">
        <v>85</v>
      </c>
      <c r="F746" s="341">
        <v>330</v>
      </c>
      <c r="G746" s="341">
        <v>330</v>
      </c>
      <c r="H746" s="341">
        <v>330</v>
      </c>
      <c r="I746" s="341">
        <f t="shared" si="13"/>
        <v>0</v>
      </c>
      <c r="J746" s="342" t="s">
        <v>995</v>
      </c>
      <c r="K746" s="342"/>
      <c r="L746" s="342" t="s">
        <v>995</v>
      </c>
      <c r="M746" s="342"/>
      <c r="N746" s="342"/>
      <c r="O746" s="342"/>
      <c r="P746" s="342"/>
      <c r="Q746" s="343"/>
    </row>
    <row r="747" spans="1:17" ht="30" customHeight="1">
      <c r="A747" s="340">
        <v>742</v>
      </c>
      <c r="B747" s="344" t="s">
        <v>1207</v>
      </c>
      <c r="C747" s="340" t="s">
        <v>669</v>
      </c>
      <c r="D747" s="340"/>
      <c r="E747" s="340" t="s">
        <v>85</v>
      </c>
      <c r="F747" s="341">
        <v>15</v>
      </c>
      <c r="G747" s="341">
        <v>15</v>
      </c>
      <c r="H747" s="341">
        <v>15</v>
      </c>
      <c r="I747" s="341">
        <f t="shared" si="13"/>
        <v>0</v>
      </c>
      <c r="J747" s="342" t="s">
        <v>995</v>
      </c>
      <c r="K747" s="342"/>
      <c r="L747" s="342" t="s">
        <v>995</v>
      </c>
      <c r="M747" s="342"/>
      <c r="N747" s="342"/>
      <c r="O747" s="342"/>
      <c r="P747" s="342"/>
      <c r="Q747" s="343"/>
    </row>
    <row r="748" spans="1:17" ht="30" customHeight="1">
      <c r="A748" s="340">
        <v>743</v>
      </c>
      <c r="B748" s="344" t="s">
        <v>1207</v>
      </c>
      <c r="C748" s="340" t="s">
        <v>670</v>
      </c>
      <c r="D748" s="340"/>
      <c r="E748" s="340" t="s">
        <v>85</v>
      </c>
      <c r="F748" s="341">
        <v>140</v>
      </c>
      <c r="G748" s="341">
        <v>140</v>
      </c>
      <c r="H748" s="341">
        <v>140</v>
      </c>
      <c r="I748" s="341">
        <f t="shared" si="13"/>
        <v>0</v>
      </c>
      <c r="J748" s="342" t="s">
        <v>995</v>
      </c>
      <c r="K748" s="342"/>
      <c r="L748" s="342" t="s">
        <v>995</v>
      </c>
      <c r="M748" s="342"/>
      <c r="N748" s="342"/>
      <c r="O748" s="342"/>
      <c r="P748" s="342"/>
      <c r="Q748" s="343"/>
    </row>
    <row r="749" spans="1:17" ht="30" customHeight="1">
      <c r="A749" s="340">
        <v>744</v>
      </c>
      <c r="B749" s="344" t="s">
        <v>1207</v>
      </c>
      <c r="C749" s="340" t="s">
        <v>671</v>
      </c>
      <c r="D749" s="340"/>
      <c r="E749" s="340" t="s">
        <v>366</v>
      </c>
      <c r="F749" s="341">
        <v>43</v>
      </c>
      <c r="G749" s="341">
        <v>43</v>
      </c>
      <c r="H749" s="341">
        <v>43</v>
      </c>
      <c r="I749" s="341">
        <f t="shared" si="13"/>
        <v>0</v>
      </c>
      <c r="J749" s="342" t="s">
        <v>995</v>
      </c>
      <c r="K749" s="342"/>
      <c r="L749" s="342" t="s">
        <v>995</v>
      </c>
      <c r="M749" s="342"/>
      <c r="N749" s="342"/>
      <c r="O749" s="342"/>
      <c r="P749" s="342"/>
      <c r="Q749" s="343"/>
    </row>
    <row r="750" spans="1:17" ht="30" customHeight="1">
      <c r="A750" s="340">
        <v>745</v>
      </c>
      <c r="B750" s="344" t="s">
        <v>1207</v>
      </c>
      <c r="C750" s="340" t="s">
        <v>672</v>
      </c>
      <c r="D750" s="340"/>
      <c r="E750" s="340" t="s">
        <v>326</v>
      </c>
      <c r="F750" s="341">
        <v>110</v>
      </c>
      <c r="G750" s="341">
        <v>110</v>
      </c>
      <c r="H750" s="341">
        <v>110</v>
      </c>
      <c r="I750" s="341">
        <f t="shared" si="13"/>
        <v>0</v>
      </c>
      <c r="J750" s="342" t="s">
        <v>995</v>
      </c>
      <c r="K750" s="342"/>
      <c r="L750" s="342" t="s">
        <v>995</v>
      </c>
      <c r="M750" s="342"/>
      <c r="N750" s="342"/>
      <c r="O750" s="342"/>
      <c r="P750" s="342"/>
      <c r="Q750" s="343"/>
    </row>
    <row r="751" spans="1:17" ht="30" customHeight="1">
      <c r="A751" s="340">
        <v>746</v>
      </c>
      <c r="B751" s="344" t="s">
        <v>1207</v>
      </c>
      <c r="C751" s="340" t="s">
        <v>673</v>
      </c>
      <c r="D751" s="340"/>
      <c r="E751" s="340" t="s">
        <v>366</v>
      </c>
      <c r="F751" s="341">
        <v>28</v>
      </c>
      <c r="G751" s="341">
        <v>28</v>
      </c>
      <c r="H751" s="341">
        <v>28</v>
      </c>
      <c r="I751" s="341">
        <f t="shared" si="13"/>
        <v>0</v>
      </c>
      <c r="J751" s="342" t="s">
        <v>995</v>
      </c>
      <c r="K751" s="342"/>
      <c r="L751" s="342" t="s">
        <v>995</v>
      </c>
      <c r="M751" s="342"/>
      <c r="N751" s="342"/>
      <c r="O751" s="342"/>
      <c r="P751" s="342"/>
      <c r="Q751" s="343"/>
    </row>
    <row r="752" spans="1:17" ht="30" customHeight="1">
      <c r="A752" s="340">
        <v>747</v>
      </c>
      <c r="B752" s="344" t="s">
        <v>1207</v>
      </c>
      <c r="C752" s="340" t="s">
        <v>674</v>
      </c>
      <c r="D752" s="340"/>
      <c r="E752" s="340" t="s">
        <v>85</v>
      </c>
      <c r="F752" s="341">
        <v>214</v>
      </c>
      <c r="G752" s="341">
        <v>214</v>
      </c>
      <c r="H752" s="341">
        <v>214</v>
      </c>
      <c r="I752" s="341">
        <f t="shared" si="13"/>
        <v>0</v>
      </c>
      <c r="J752" s="342" t="s">
        <v>995</v>
      </c>
      <c r="K752" s="342"/>
      <c r="L752" s="342" t="s">
        <v>995</v>
      </c>
      <c r="M752" s="342"/>
      <c r="N752" s="342"/>
      <c r="O752" s="342"/>
      <c r="P752" s="342"/>
      <c r="Q752" s="343"/>
    </row>
    <row r="753" spans="1:17" ht="30" customHeight="1">
      <c r="A753" s="340">
        <v>748</v>
      </c>
      <c r="B753" s="344" t="s">
        <v>1207</v>
      </c>
      <c r="C753" s="340" t="s">
        <v>675</v>
      </c>
      <c r="D753" s="340"/>
      <c r="E753" s="340" t="s">
        <v>366</v>
      </c>
      <c r="F753" s="341">
        <v>265</v>
      </c>
      <c r="G753" s="341">
        <v>265</v>
      </c>
      <c r="H753" s="341">
        <v>265</v>
      </c>
      <c r="I753" s="341">
        <f t="shared" si="13"/>
        <v>0</v>
      </c>
      <c r="J753" s="342" t="s">
        <v>995</v>
      </c>
      <c r="K753" s="342"/>
      <c r="L753" s="342" t="s">
        <v>995</v>
      </c>
      <c r="M753" s="342"/>
      <c r="N753" s="342"/>
      <c r="O753" s="342"/>
      <c r="P753" s="342"/>
      <c r="Q753" s="343"/>
    </row>
    <row r="754" spans="1:17" ht="30" customHeight="1">
      <c r="A754" s="340">
        <v>749</v>
      </c>
      <c r="B754" s="344" t="s">
        <v>1207</v>
      </c>
      <c r="C754" s="340" t="s">
        <v>676</v>
      </c>
      <c r="D754" s="340"/>
      <c r="E754" s="340" t="s">
        <v>326</v>
      </c>
      <c r="F754" s="341">
        <v>370</v>
      </c>
      <c r="G754" s="341">
        <v>370</v>
      </c>
      <c r="H754" s="341">
        <v>370</v>
      </c>
      <c r="I754" s="341">
        <f t="shared" si="13"/>
        <v>0</v>
      </c>
      <c r="J754" s="342" t="s">
        <v>995</v>
      </c>
      <c r="K754" s="342"/>
      <c r="L754" s="342" t="s">
        <v>995</v>
      </c>
      <c r="M754" s="342"/>
      <c r="N754" s="342"/>
      <c r="O754" s="342"/>
      <c r="P754" s="342"/>
      <c r="Q754" s="343"/>
    </row>
    <row r="755" spans="1:17" ht="30" customHeight="1">
      <c r="A755" s="340">
        <v>750</v>
      </c>
      <c r="B755" s="344" t="s">
        <v>1207</v>
      </c>
      <c r="C755" s="340" t="s">
        <v>677</v>
      </c>
      <c r="D755" s="340"/>
      <c r="E755" s="340" t="s">
        <v>85</v>
      </c>
      <c r="F755" s="341">
        <v>2422</v>
      </c>
      <c r="G755" s="341">
        <v>2422</v>
      </c>
      <c r="H755" s="341">
        <v>2422</v>
      </c>
      <c r="I755" s="341">
        <f t="shared" si="13"/>
        <v>0</v>
      </c>
      <c r="J755" s="342" t="s">
        <v>995</v>
      </c>
      <c r="K755" s="342"/>
      <c r="L755" s="342" t="s">
        <v>995</v>
      </c>
      <c r="M755" s="342"/>
      <c r="N755" s="342"/>
      <c r="O755" s="342"/>
      <c r="P755" s="342"/>
      <c r="Q755" s="343"/>
    </row>
    <row r="756" spans="1:17" ht="30" customHeight="1">
      <c r="A756" s="340">
        <v>751</v>
      </c>
      <c r="B756" s="344" t="s">
        <v>1207</v>
      </c>
      <c r="C756" s="340" t="s">
        <v>678</v>
      </c>
      <c r="D756" s="340"/>
      <c r="E756" s="340" t="s">
        <v>326</v>
      </c>
      <c r="F756" s="341">
        <v>770</v>
      </c>
      <c r="G756" s="341">
        <v>489</v>
      </c>
      <c r="H756" s="341">
        <v>489</v>
      </c>
      <c r="I756" s="341">
        <f t="shared" si="13"/>
        <v>0</v>
      </c>
      <c r="J756" s="342" t="s">
        <v>995</v>
      </c>
      <c r="K756" s="342"/>
      <c r="L756" s="342" t="s">
        <v>995</v>
      </c>
      <c r="M756" s="342"/>
      <c r="N756" s="342"/>
      <c r="O756" s="342"/>
      <c r="P756" s="342"/>
      <c r="Q756" s="342"/>
    </row>
    <row r="757" spans="1:17" ht="30" customHeight="1">
      <c r="A757" s="340">
        <v>752</v>
      </c>
      <c r="B757" s="344" t="s">
        <v>1207</v>
      </c>
      <c r="C757" s="340" t="s">
        <v>707</v>
      </c>
      <c r="D757" s="340"/>
      <c r="E757" s="340" t="s">
        <v>109</v>
      </c>
      <c r="F757" s="341">
        <v>285</v>
      </c>
      <c r="G757" s="341">
        <v>285</v>
      </c>
      <c r="H757" s="341">
        <v>285</v>
      </c>
      <c r="I757" s="341">
        <f t="shared" si="13"/>
        <v>0</v>
      </c>
      <c r="J757" s="342" t="s">
        <v>995</v>
      </c>
      <c r="K757" s="342"/>
      <c r="L757" s="342" t="s">
        <v>995</v>
      </c>
      <c r="M757" s="342"/>
      <c r="N757" s="342"/>
      <c r="O757" s="342"/>
      <c r="P757" s="342"/>
      <c r="Q757" s="342"/>
    </row>
    <row r="758" spans="1:17" ht="30" customHeight="1">
      <c r="A758" s="340">
        <v>753</v>
      </c>
      <c r="B758" s="344" t="s">
        <v>1207</v>
      </c>
      <c r="C758" s="340" t="s">
        <v>679</v>
      </c>
      <c r="D758" s="340"/>
      <c r="E758" s="340" t="s">
        <v>84</v>
      </c>
      <c r="F758" s="341">
        <v>196</v>
      </c>
      <c r="G758" s="341">
        <v>196</v>
      </c>
      <c r="H758" s="341">
        <v>196</v>
      </c>
      <c r="I758" s="341">
        <f t="shared" si="13"/>
        <v>0</v>
      </c>
      <c r="J758" s="342" t="s">
        <v>995</v>
      </c>
      <c r="K758" s="342"/>
      <c r="L758" s="342" t="s">
        <v>995</v>
      </c>
      <c r="M758" s="342"/>
      <c r="N758" s="342"/>
      <c r="O758" s="342"/>
      <c r="P758" s="342"/>
      <c r="Q758" s="342"/>
    </row>
    <row r="759" spans="1:17" ht="30" customHeight="1">
      <c r="A759" s="340">
        <v>754</v>
      </c>
      <c r="B759" s="344" t="s">
        <v>1207</v>
      </c>
      <c r="C759" s="340" t="s">
        <v>680</v>
      </c>
      <c r="D759" s="340"/>
      <c r="E759" s="340" t="s">
        <v>84</v>
      </c>
      <c r="F759" s="341">
        <v>592</v>
      </c>
      <c r="G759" s="341">
        <v>592</v>
      </c>
      <c r="H759" s="341">
        <v>592</v>
      </c>
      <c r="I759" s="341">
        <f t="shared" si="13"/>
        <v>0</v>
      </c>
      <c r="J759" s="342" t="s">
        <v>995</v>
      </c>
      <c r="K759" s="342"/>
      <c r="L759" s="342" t="s">
        <v>995</v>
      </c>
      <c r="M759" s="342"/>
      <c r="N759" s="342"/>
      <c r="O759" s="342"/>
      <c r="P759" s="342"/>
      <c r="Q759" s="342"/>
    </row>
    <row r="760" spans="1:17" ht="30" customHeight="1">
      <c r="A760" s="340">
        <v>755</v>
      </c>
      <c r="B760" s="344" t="s">
        <v>1207</v>
      </c>
      <c r="C760" s="340" t="s">
        <v>681</v>
      </c>
      <c r="D760" s="340"/>
      <c r="E760" s="340" t="s">
        <v>84</v>
      </c>
      <c r="F760" s="341">
        <v>1602</v>
      </c>
      <c r="G760" s="341">
        <v>68</v>
      </c>
      <c r="H760" s="341">
        <v>68</v>
      </c>
      <c r="I760" s="341">
        <f t="shared" si="13"/>
        <v>0</v>
      </c>
      <c r="J760" s="342" t="s">
        <v>995</v>
      </c>
      <c r="K760" s="342"/>
      <c r="L760" s="342" t="s">
        <v>995</v>
      </c>
      <c r="M760" s="342"/>
      <c r="N760" s="342"/>
      <c r="O760" s="342"/>
      <c r="P760" s="342"/>
      <c r="Q760" s="342"/>
    </row>
    <row r="761" spans="1:17" ht="30" customHeight="1">
      <c r="A761" s="340">
        <v>756</v>
      </c>
      <c r="B761" s="344" t="s">
        <v>1207</v>
      </c>
      <c r="C761" s="340" t="s">
        <v>682</v>
      </c>
      <c r="D761" s="340"/>
      <c r="E761" s="340" t="s">
        <v>109</v>
      </c>
      <c r="F761" s="341">
        <v>31</v>
      </c>
      <c r="G761" s="341">
        <v>31</v>
      </c>
      <c r="H761" s="341">
        <v>31</v>
      </c>
      <c r="I761" s="341">
        <f t="shared" si="13"/>
        <v>0</v>
      </c>
      <c r="J761" s="342" t="s">
        <v>995</v>
      </c>
      <c r="K761" s="342"/>
      <c r="L761" s="342" t="s">
        <v>995</v>
      </c>
      <c r="M761" s="342"/>
      <c r="N761" s="342"/>
      <c r="O761" s="342"/>
      <c r="P761" s="342"/>
      <c r="Q761" s="342"/>
    </row>
    <row r="762" spans="1:17" ht="30" customHeight="1">
      <c r="A762" s="340">
        <v>757</v>
      </c>
      <c r="B762" s="344" t="s">
        <v>1207</v>
      </c>
      <c r="C762" s="340" t="s">
        <v>683</v>
      </c>
      <c r="D762" s="340"/>
      <c r="E762" s="340" t="s">
        <v>258</v>
      </c>
      <c r="F762" s="341">
        <v>32</v>
      </c>
      <c r="G762" s="341">
        <v>32</v>
      </c>
      <c r="H762" s="341">
        <v>32</v>
      </c>
      <c r="I762" s="341">
        <f t="shared" si="13"/>
        <v>0</v>
      </c>
      <c r="J762" s="342" t="s">
        <v>995</v>
      </c>
      <c r="K762" s="342"/>
      <c r="L762" s="342" t="s">
        <v>995</v>
      </c>
      <c r="M762" s="342"/>
      <c r="N762" s="342"/>
      <c r="O762" s="342"/>
      <c r="P762" s="342"/>
      <c r="Q762" s="342"/>
    </row>
    <row r="763" spans="1:17" ht="30" customHeight="1">
      <c r="A763" s="340">
        <v>758</v>
      </c>
      <c r="B763" s="344" t="s">
        <v>1207</v>
      </c>
      <c r="C763" s="340" t="s">
        <v>684</v>
      </c>
      <c r="D763" s="340"/>
      <c r="E763" s="340" t="s">
        <v>135</v>
      </c>
      <c r="F763" s="341">
        <v>2344</v>
      </c>
      <c r="G763" s="341">
        <v>63</v>
      </c>
      <c r="H763" s="341">
        <v>63</v>
      </c>
      <c r="I763" s="341">
        <f t="shared" si="13"/>
        <v>0</v>
      </c>
      <c r="J763" s="342" t="s">
        <v>995</v>
      </c>
      <c r="K763" s="342"/>
      <c r="L763" s="342" t="s">
        <v>995</v>
      </c>
      <c r="M763" s="342"/>
      <c r="N763" s="342"/>
      <c r="O763" s="342"/>
      <c r="P763" s="342"/>
      <c r="Q763" s="342"/>
    </row>
    <row r="764" spans="1:17" ht="30" customHeight="1">
      <c r="A764" s="340">
        <v>759</v>
      </c>
      <c r="B764" s="344" t="s">
        <v>1207</v>
      </c>
      <c r="C764" s="340" t="s">
        <v>685</v>
      </c>
      <c r="D764" s="340"/>
      <c r="E764" s="340" t="s">
        <v>84</v>
      </c>
      <c r="F764" s="341">
        <v>606</v>
      </c>
      <c r="G764" s="341">
        <v>53</v>
      </c>
      <c r="H764" s="341">
        <v>53</v>
      </c>
      <c r="I764" s="341">
        <f t="shared" si="13"/>
        <v>0</v>
      </c>
      <c r="J764" s="342" t="s">
        <v>1208</v>
      </c>
      <c r="K764" s="342"/>
      <c r="L764" s="342" t="s">
        <v>1208</v>
      </c>
      <c r="M764" s="342"/>
      <c r="N764" s="342"/>
      <c r="O764" s="342"/>
      <c r="P764" s="342"/>
      <c r="Q764" s="342"/>
    </row>
    <row r="765" spans="1:17" ht="30" customHeight="1">
      <c r="A765" s="340">
        <v>760</v>
      </c>
      <c r="B765" s="344" t="s">
        <v>1207</v>
      </c>
      <c r="C765" s="340" t="s">
        <v>686</v>
      </c>
      <c r="D765" s="340"/>
      <c r="E765" s="340" t="s">
        <v>84</v>
      </c>
      <c r="F765" s="341">
        <v>401</v>
      </c>
      <c r="G765" s="341">
        <v>24</v>
      </c>
      <c r="H765" s="341">
        <v>24</v>
      </c>
      <c r="I765" s="341">
        <f t="shared" si="13"/>
        <v>0</v>
      </c>
      <c r="J765" s="342" t="s">
        <v>1208</v>
      </c>
      <c r="K765" s="342"/>
      <c r="L765" s="342" t="s">
        <v>1208</v>
      </c>
      <c r="M765" s="342"/>
      <c r="N765" s="342"/>
      <c r="O765" s="342"/>
      <c r="P765" s="342"/>
      <c r="Q765" s="342"/>
    </row>
    <row r="766" spans="1:17" ht="30" customHeight="1">
      <c r="A766" s="340">
        <v>761</v>
      </c>
      <c r="B766" s="344" t="s">
        <v>1207</v>
      </c>
      <c r="C766" s="340" t="s">
        <v>687</v>
      </c>
      <c r="D766" s="340"/>
      <c r="E766" s="340" t="s">
        <v>84</v>
      </c>
      <c r="F766" s="341">
        <v>394</v>
      </c>
      <c r="G766" s="341">
        <v>394</v>
      </c>
      <c r="H766" s="341">
        <v>394</v>
      </c>
      <c r="I766" s="341">
        <f t="shared" si="13"/>
        <v>0</v>
      </c>
      <c r="J766" s="342" t="s">
        <v>1208</v>
      </c>
      <c r="K766" s="342"/>
      <c r="L766" s="342" t="s">
        <v>1208</v>
      </c>
      <c r="M766" s="342"/>
      <c r="N766" s="342"/>
      <c r="O766" s="342"/>
      <c r="P766" s="342"/>
      <c r="Q766" s="342"/>
    </row>
    <row r="767" spans="1:17" ht="30" customHeight="1">
      <c r="A767" s="340">
        <v>762</v>
      </c>
      <c r="B767" s="344" t="s">
        <v>1207</v>
      </c>
      <c r="C767" s="340" t="s">
        <v>688</v>
      </c>
      <c r="D767" s="340"/>
      <c r="E767" s="340" t="s">
        <v>135</v>
      </c>
      <c r="F767" s="341">
        <v>2099</v>
      </c>
      <c r="G767" s="341">
        <v>1136</v>
      </c>
      <c r="H767" s="341">
        <v>1136</v>
      </c>
      <c r="I767" s="341">
        <f t="shared" si="13"/>
        <v>0</v>
      </c>
      <c r="J767" s="342" t="s">
        <v>995</v>
      </c>
      <c r="K767" s="342"/>
      <c r="L767" s="342" t="s">
        <v>995</v>
      </c>
      <c r="M767" s="342"/>
      <c r="N767" s="342"/>
      <c r="O767" s="342"/>
      <c r="P767" s="342"/>
      <c r="Q767" s="342"/>
    </row>
    <row r="768" spans="1:17" ht="30" customHeight="1">
      <c r="A768" s="340">
        <v>763</v>
      </c>
      <c r="B768" s="344" t="s">
        <v>1207</v>
      </c>
      <c r="C768" s="340" t="s">
        <v>689</v>
      </c>
      <c r="D768" s="340"/>
      <c r="E768" s="340" t="s">
        <v>135</v>
      </c>
      <c r="F768" s="341">
        <v>85</v>
      </c>
      <c r="G768" s="341">
        <v>85</v>
      </c>
      <c r="H768" s="341">
        <v>85</v>
      </c>
      <c r="I768" s="341">
        <f t="shared" si="13"/>
        <v>0</v>
      </c>
      <c r="J768" s="342" t="s">
        <v>995</v>
      </c>
      <c r="K768" s="342"/>
      <c r="L768" s="342" t="s">
        <v>995</v>
      </c>
      <c r="M768" s="342"/>
      <c r="N768" s="342"/>
      <c r="O768" s="342"/>
      <c r="P768" s="342"/>
      <c r="Q768" s="342"/>
    </row>
    <row r="769" spans="1:17" ht="30" customHeight="1">
      <c r="A769" s="340">
        <v>764</v>
      </c>
      <c r="B769" s="344" t="s">
        <v>1207</v>
      </c>
      <c r="C769" s="340" t="s">
        <v>690</v>
      </c>
      <c r="D769" s="340"/>
      <c r="E769" s="340" t="s">
        <v>135</v>
      </c>
      <c r="F769" s="341">
        <v>601</v>
      </c>
      <c r="G769" s="341">
        <v>601</v>
      </c>
      <c r="H769" s="341">
        <v>601</v>
      </c>
      <c r="I769" s="341">
        <f t="shared" si="13"/>
        <v>0</v>
      </c>
      <c r="J769" s="342" t="s">
        <v>995</v>
      </c>
      <c r="K769" s="342"/>
      <c r="L769" s="342" t="s">
        <v>995</v>
      </c>
      <c r="M769" s="342"/>
      <c r="N769" s="342"/>
      <c r="O769" s="342"/>
      <c r="P769" s="342"/>
      <c r="Q769" s="342"/>
    </row>
    <row r="770" spans="1:17" ht="30" customHeight="1">
      <c r="A770" s="340">
        <v>765</v>
      </c>
      <c r="B770" s="344" t="s">
        <v>1207</v>
      </c>
      <c r="C770" s="340" t="s">
        <v>691</v>
      </c>
      <c r="D770" s="340"/>
      <c r="E770" s="340" t="s">
        <v>84</v>
      </c>
      <c r="F770" s="341">
        <v>172</v>
      </c>
      <c r="G770" s="341">
        <v>172</v>
      </c>
      <c r="H770" s="341">
        <v>172</v>
      </c>
      <c r="I770" s="341">
        <f t="shared" si="13"/>
        <v>0</v>
      </c>
      <c r="J770" s="342" t="s">
        <v>1266</v>
      </c>
      <c r="K770" s="342" t="s">
        <v>693</v>
      </c>
      <c r="L770" s="342" t="s">
        <v>995</v>
      </c>
      <c r="M770" s="342"/>
      <c r="N770" s="342"/>
      <c r="O770" s="342"/>
      <c r="P770" s="342"/>
      <c r="Q770" s="342"/>
    </row>
    <row r="771" spans="1:17" ht="30" customHeight="1">
      <c r="A771" s="340">
        <v>766</v>
      </c>
      <c r="B771" s="344" t="s">
        <v>1207</v>
      </c>
      <c r="C771" s="340" t="s">
        <v>694</v>
      </c>
      <c r="D771" s="340"/>
      <c r="E771" s="340" t="s">
        <v>109</v>
      </c>
      <c r="F771" s="341">
        <v>104</v>
      </c>
      <c r="G771" s="341">
        <v>104</v>
      </c>
      <c r="H771" s="341">
        <v>104</v>
      </c>
      <c r="I771" s="341">
        <f t="shared" si="13"/>
        <v>0</v>
      </c>
      <c r="J771" s="342" t="s">
        <v>995</v>
      </c>
      <c r="K771" s="342"/>
      <c r="L771" s="342" t="s">
        <v>995</v>
      </c>
      <c r="M771" s="342"/>
      <c r="N771" s="342"/>
      <c r="O771" s="342"/>
      <c r="P771" s="342"/>
      <c r="Q771" s="342"/>
    </row>
    <row r="772" spans="1:17" ht="30" customHeight="1">
      <c r="A772" s="340">
        <v>767</v>
      </c>
      <c r="B772" s="344" t="s">
        <v>1207</v>
      </c>
      <c r="C772" s="340" t="s">
        <v>708</v>
      </c>
      <c r="D772" s="340"/>
      <c r="E772" s="340" t="s">
        <v>109</v>
      </c>
      <c r="F772" s="341">
        <v>83</v>
      </c>
      <c r="G772" s="341">
        <v>83</v>
      </c>
      <c r="H772" s="341">
        <v>83</v>
      </c>
      <c r="I772" s="341">
        <f t="shared" si="13"/>
        <v>0</v>
      </c>
      <c r="J772" s="342" t="s">
        <v>995</v>
      </c>
      <c r="K772" s="342"/>
      <c r="L772" s="342" t="s">
        <v>995</v>
      </c>
      <c r="M772" s="342"/>
      <c r="N772" s="342"/>
      <c r="O772" s="342"/>
      <c r="P772" s="342"/>
      <c r="Q772" s="342"/>
    </row>
    <row r="773" spans="1:17" ht="30" customHeight="1">
      <c r="A773" s="340">
        <v>768</v>
      </c>
      <c r="B773" s="344" t="s">
        <v>1207</v>
      </c>
      <c r="C773" s="340" t="s">
        <v>695</v>
      </c>
      <c r="D773" s="340"/>
      <c r="E773" s="340" t="s">
        <v>84</v>
      </c>
      <c r="F773" s="341">
        <v>122</v>
      </c>
      <c r="G773" s="341">
        <v>122</v>
      </c>
      <c r="H773" s="341">
        <v>122</v>
      </c>
      <c r="I773" s="341">
        <f t="shared" si="13"/>
        <v>0</v>
      </c>
      <c r="J773" s="342" t="s">
        <v>995</v>
      </c>
      <c r="K773" s="342"/>
      <c r="L773" s="342" t="s">
        <v>995</v>
      </c>
      <c r="M773" s="342"/>
      <c r="N773" s="342"/>
      <c r="O773" s="342"/>
      <c r="P773" s="342"/>
      <c r="Q773" s="342"/>
    </row>
    <row r="774" spans="1:17" ht="30" customHeight="1">
      <c r="A774" s="340">
        <v>769</v>
      </c>
      <c r="B774" s="344" t="s">
        <v>1207</v>
      </c>
      <c r="C774" s="340" t="s">
        <v>696</v>
      </c>
      <c r="D774" s="340"/>
      <c r="E774" s="340" t="s">
        <v>84</v>
      </c>
      <c r="F774" s="341">
        <v>15</v>
      </c>
      <c r="G774" s="341">
        <v>15</v>
      </c>
      <c r="H774" s="341">
        <v>15</v>
      </c>
      <c r="I774" s="341">
        <f t="shared" si="13"/>
        <v>0</v>
      </c>
      <c r="J774" s="342" t="s">
        <v>1208</v>
      </c>
      <c r="K774" s="342"/>
      <c r="L774" s="342" t="s">
        <v>1208</v>
      </c>
      <c r="M774" s="342"/>
      <c r="N774" s="342"/>
      <c r="O774" s="342"/>
      <c r="P774" s="342"/>
      <c r="Q774" s="342"/>
    </row>
    <row r="775" spans="1:17" ht="30" customHeight="1">
      <c r="A775" s="340">
        <v>770</v>
      </c>
      <c r="B775" s="344" t="s">
        <v>1207</v>
      </c>
      <c r="C775" s="340" t="s">
        <v>697</v>
      </c>
      <c r="D775" s="340"/>
      <c r="E775" s="340" t="s">
        <v>84</v>
      </c>
      <c r="F775" s="341">
        <v>813</v>
      </c>
      <c r="G775" s="341">
        <v>813</v>
      </c>
      <c r="H775" s="341">
        <v>813</v>
      </c>
      <c r="I775" s="341">
        <f t="shared" si="13"/>
        <v>0</v>
      </c>
      <c r="J775" s="342" t="s">
        <v>995</v>
      </c>
      <c r="K775" s="342"/>
      <c r="L775" s="342" t="s">
        <v>995</v>
      </c>
      <c r="M775" s="342"/>
      <c r="N775" s="342"/>
      <c r="O775" s="342"/>
      <c r="P775" s="342"/>
      <c r="Q775" s="342"/>
    </row>
    <row r="776" spans="1:17" ht="30" customHeight="1">
      <c r="A776" s="340">
        <v>771</v>
      </c>
      <c r="B776" s="344" t="s">
        <v>1207</v>
      </c>
      <c r="C776" s="340" t="s">
        <v>698</v>
      </c>
      <c r="D776" s="340"/>
      <c r="E776" s="340" t="s">
        <v>85</v>
      </c>
      <c r="F776" s="341">
        <v>264</v>
      </c>
      <c r="G776" s="341">
        <v>264</v>
      </c>
      <c r="H776" s="341">
        <v>264</v>
      </c>
      <c r="I776" s="341">
        <f t="shared" si="13"/>
        <v>0</v>
      </c>
      <c r="J776" s="342" t="s">
        <v>995</v>
      </c>
      <c r="K776" s="342"/>
      <c r="L776" s="342" t="s">
        <v>995</v>
      </c>
      <c r="M776" s="342"/>
      <c r="N776" s="342"/>
      <c r="O776" s="342"/>
      <c r="P776" s="342"/>
      <c r="Q776" s="342"/>
    </row>
    <row r="777" spans="1:17" ht="30" customHeight="1">
      <c r="A777" s="340">
        <v>772</v>
      </c>
      <c r="B777" s="344" t="s">
        <v>1207</v>
      </c>
      <c r="C777" s="340" t="s">
        <v>699</v>
      </c>
      <c r="D777" s="340"/>
      <c r="E777" s="340" t="s">
        <v>85</v>
      </c>
      <c r="F777" s="341">
        <v>6</v>
      </c>
      <c r="G777" s="341">
        <v>6</v>
      </c>
      <c r="H777" s="341">
        <v>6</v>
      </c>
      <c r="I777" s="341">
        <f t="shared" si="13"/>
        <v>0</v>
      </c>
      <c r="J777" s="342" t="s">
        <v>995</v>
      </c>
      <c r="K777" s="342"/>
      <c r="L777" s="342" t="s">
        <v>995</v>
      </c>
      <c r="M777" s="342"/>
      <c r="N777" s="342"/>
      <c r="O777" s="342"/>
      <c r="P777" s="342"/>
      <c r="Q777" s="342"/>
    </row>
    <row r="778" spans="1:17" ht="30" customHeight="1">
      <c r="A778" s="340">
        <v>773</v>
      </c>
      <c r="B778" s="344" t="s">
        <v>1207</v>
      </c>
      <c r="C778" s="340" t="s">
        <v>700</v>
      </c>
      <c r="D778" s="340"/>
      <c r="E778" s="340" t="s">
        <v>85</v>
      </c>
      <c r="F778" s="341">
        <v>2</v>
      </c>
      <c r="G778" s="341">
        <v>2</v>
      </c>
      <c r="H778" s="341">
        <v>2</v>
      </c>
      <c r="I778" s="341">
        <f t="shared" si="13"/>
        <v>0</v>
      </c>
      <c r="J778" s="342" t="s">
        <v>995</v>
      </c>
      <c r="K778" s="342"/>
      <c r="L778" s="342" t="s">
        <v>995</v>
      </c>
      <c r="M778" s="342"/>
      <c r="N778" s="342"/>
      <c r="O778" s="342"/>
      <c r="P778" s="342"/>
      <c r="Q778" s="342"/>
    </row>
    <row r="779" spans="1:17" ht="30" customHeight="1">
      <c r="A779" s="340">
        <v>774</v>
      </c>
      <c r="B779" s="344" t="s">
        <v>1207</v>
      </c>
      <c r="C779" s="340" t="s">
        <v>277</v>
      </c>
      <c r="D779" s="340"/>
      <c r="E779" s="340" t="s">
        <v>85</v>
      </c>
      <c r="F779" s="341">
        <v>2</v>
      </c>
      <c r="G779" s="341">
        <v>2</v>
      </c>
      <c r="H779" s="341">
        <v>2</v>
      </c>
      <c r="I779" s="341">
        <f t="shared" si="13"/>
        <v>0</v>
      </c>
      <c r="J779" s="342" t="s">
        <v>995</v>
      </c>
      <c r="K779" s="342"/>
      <c r="L779" s="342" t="s">
        <v>995</v>
      </c>
      <c r="M779" s="342"/>
      <c r="N779" s="342"/>
      <c r="O779" s="342"/>
      <c r="P779" s="342"/>
      <c r="Q779" s="342"/>
    </row>
    <row r="780" spans="1:17" ht="30" customHeight="1">
      <c r="A780" s="340">
        <v>775</v>
      </c>
      <c r="B780" s="344" t="s">
        <v>1207</v>
      </c>
      <c r="C780" s="340" t="s">
        <v>248</v>
      </c>
      <c r="D780" s="340"/>
      <c r="E780" s="340" t="s">
        <v>84</v>
      </c>
      <c r="F780" s="341">
        <v>37</v>
      </c>
      <c r="G780" s="341">
        <v>37</v>
      </c>
      <c r="H780" s="341">
        <v>37</v>
      </c>
      <c r="I780" s="341">
        <f t="shared" si="13"/>
        <v>0</v>
      </c>
      <c r="J780" s="342" t="s">
        <v>1208</v>
      </c>
      <c r="K780" s="342"/>
      <c r="L780" s="342" t="s">
        <v>1208</v>
      </c>
      <c r="M780" s="342"/>
      <c r="N780" s="342"/>
      <c r="O780" s="342"/>
      <c r="P780" s="342"/>
      <c r="Q780" s="342"/>
    </row>
    <row r="781" spans="1:17" ht="30" customHeight="1">
      <c r="A781" s="340">
        <v>776</v>
      </c>
      <c r="B781" s="344" t="s">
        <v>1207</v>
      </c>
      <c r="C781" s="340" t="s">
        <v>780</v>
      </c>
      <c r="D781" s="340"/>
      <c r="E781" s="340" t="s">
        <v>85</v>
      </c>
      <c r="F781" s="341">
        <v>183</v>
      </c>
      <c r="G781" s="341">
        <v>95</v>
      </c>
      <c r="H781" s="341">
        <v>95</v>
      </c>
      <c r="I781" s="341">
        <f t="shared" si="13"/>
        <v>0</v>
      </c>
      <c r="J781" s="342" t="s">
        <v>995</v>
      </c>
      <c r="K781" s="342"/>
      <c r="L781" s="342" t="s">
        <v>995</v>
      </c>
      <c r="M781" s="342"/>
      <c r="N781" s="342"/>
      <c r="O781" s="342"/>
      <c r="P781" s="342"/>
      <c r="Q781" s="342"/>
    </row>
    <row r="782" spans="1:17" ht="30" customHeight="1">
      <c r="A782" s="340">
        <v>777</v>
      </c>
      <c r="B782" s="344" t="s">
        <v>1207</v>
      </c>
      <c r="C782" s="340" t="s">
        <v>170</v>
      </c>
      <c r="D782" s="340"/>
      <c r="E782" s="340" t="s">
        <v>85</v>
      </c>
      <c r="F782" s="341">
        <v>13</v>
      </c>
      <c r="G782" s="341">
        <v>13</v>
      </c>
      <c r="H782" s="341">
        <v>13</v>
      </c>
      <c r="I782" s="341">
        <f t="shared" si="13"/>
        <v>0</v>
      </c>
      <c r="J782" s="342" t="s">
        <v>1267</v>
      </c>
      <c r="K782" s="342" t="s">
        <v>263</v>
      </c>
      <c r="L782" s="342" t="s">
        <v>995</v>
      </c>
      <c r="M782" s="342"/>
      <c r="N782" s="342"/>
      <c r="O782" s="342"/>
      <c r="P782" s="342"/>
      <c r="Q782" s="342"/>
    </row>
    <row r="783" spans="1:17" ht="30" customHeight="1">
      <c r="A783" s="340">
        <v>778</v>
      </c>
      <c r="B783" s="344" t="s">
        <v>1207</v>
      </c>
      <c r="C783" s="340" t="s">
        <v>978</v>
      </c>
      <c r="D783" s="340"/>
      <c r="E783" s="340" t="s">
        <v>85</v>
      </c>
      <c r="F783" s="341">
        <v>646</v>
      </c>
      <c r="G783" s="341">
        <v>285</v>
      </c>
      <c r="H783" s="341">
        <v>285</v>
      </c>
      <c r="I783" s="341">
        <f t="shared" si="13"/>
        <v>0</v>
      </c>
      <c r="J783" s="342" t="s">
        <v>995</v>
      </c>
      <c r="K783" s="342"/>
      <c r="L783" s="342" t="s">
        <v>995</v>
      </c>
      <c r="M783" s="342"/>
      <c r="N783" s="342"/>
      <c r="O783" s="342"/>
      <c r="P783" s="342"/>
      <c r="Q783" s="342"/>
    </row>
    <row r="784" spans="1:17" ht="30" customHeight="1">
      <c r="A784" s="340">
        <v>779</v>
      </c>
      <c r="B784" s="344" t="s">
        <v>1207</v>
      </c>
      <c r="C784" s="340" t="s">
        <v>249</v>
      </c>
      <c r="D784" s="340"/>
      <c r="E784" s="340" t="s">
        <v>84</v>
      </c>
      <c r="F784" s="341">
        <v>136</v>
      </c>
      <c r="G784" s="341">
        <v>13</v>
      </c>
      <c r="H784" s="341">
        <v>13</v>
      </c>
      <c r="I784" s="341">
        <f t="shared" ref="I784:I811" si="14">H784-G784</f>
        <v>0</v>
      </c>
      <c r="J784" s="342" t="s">
        <v>995</v>
      </c>
      <c r="K784" s="342"/>
      <c r="L784" s="342" t="s">
        <v>995</v>
      </c>
      <c r="M784" s="342"/>
      <c r="N784" s="342"/>
      <c r="O784" s="342"/>
      <c r="P784" s="342"/>
      <c r="Q784" s="342"/>
    </row>
    <row r="785" spans="1:17" ht="30" customHeight="1">
      <c r="A785" s="340">
        <v>780</v>
      </c>
      <c r="B785" s="344" t="s">
        <v>1207</v>
      </c>
      <c r="C785" s="340" t="s">
        <v>250</v>
      </c>
      <c r="D785" s="340"/>
      <c r="E785" s="340" t="s">
        <v>84</v>
      </c>
      <c r="F785" s="341">
        <v>164</v>
      </c>
      <c r="G785" s="341">
        <v>5</v>
      </c>
      <c r="H785" s="341">
        <v>5</v>
      </c>
      <c r="I785" s="341">
        <f t="shared" si="14"/>
        <v>0</v>
      </c>
      <c r="J785" s="342" t="s">
        <v>995</v>
      </c>
      <c r="K785" s="342"/>
      <c r="L785" s="342" t="s">
        <v>995</v>
      </c>
      <c r="M785" s="342"/>
      <c r="N785" s="342"/>
      <c r="O785" s="342"/>
      <c r="P785" s="342"/>
      <c r="Q785" s="342"/>
    </row>
    <row r="786" spans="1:17" ht="30" customHeight="1">
      <c r="A786" s="340">
        <v>781</v>
      </c>
      <c r="B786" s="344" t="s">
        <v>1207</v>
      </c>
      <c r="C786" s="340" t="s">
        <v>251</v>
      </c>
      <c r="D786" s="340"/>
      <c r="E786" s="340" t="s">
        <v>84</v>
      </c>
      <c r="F786" s="341">
        <v>298</v>
      </c>
      <c r="G786" s="341">
        <v>302</v>
      </c>
      <c r="H786" s="341">
        <v>302</v>
      </c>
      <c r="I786" s="341">
        <f t="shared" si="14"/>
        <v>0</v>
      </c>
      <c r="J786" s="342" t="s">
        <v>995</v>
      </c>
      <c r="K786" s="342"/>
      <c r="L786" s="342" t="s">
        <v>995</v>
      </c>
      <c r="M786" s="342"/>
      <c r="N786" s="342"/>
      <c r="O786" s="342"/>
      <c r="P786" s="342"/>
      <c r="Q786" s="342"/>
    </row>
    <row r="787" spans="1:17" ht="30" customHeight="1">
      <c r="A787" s="340">
        <v>782</v>
      </c>
      <c r="B787" s="344" t="s">
        <v>1207</v>
      </c>
      <c r="C787" s="340" t="s">
        <v>252</v>
      </c>
      <c r="D787" s="340"/>
      <c r="E787" s="340" t="s">
        <v>84</v>
      </c>
      <c r="F787" s="341">
        <v>140</v>
      </c>
      <c r="G787" s="341">
        <v>127</v>
      </c>
      <c r="H787" s="341">
        <v>127</v>
      </c>
      <c r="I787" s="341">
        <f t="shared" si="14"/>
        <v>0</v>
      </c>
      <c r="J787" s="342" t="s">
        <v>1208</v>
      </c>
      <c r="K787" s="342"/>
      <c r="L787" s="342" t="s">
        <v>1208</v>
      </c>
      <c r="M787" s="342"/>
      <c r="N787" s="342"/>
      <c r="O787" s="342"/>
      <c r="P787" s="342"/>
      <c r="Q787" s="342"/>
    </row>
    <row r="788" spans="1:17" ht="30" customHeight="1">
      <c r="A788" s="340">
        <v>783</v>
      </c>
      <c r="B788" s="344" t="s">
        <v>1207</v>
      </c>
      <c r="C788" s="340" t="s">
        <v>253</v>
      </c>
      <c r="D788" s="340"/>
      <c r="E788" s="340" t="s">
        <v>89</v>
      </c>
      <c r="F788" s="341">
        <v>170</v>
      </c>
      <c r="G788" s="341">
        <v>147</v>
      </c>
      <c r="H788" s="341">
        <v>147</v>
      </c>
      <c r="I788" s="341">
        <f t="shared" si="14"/>
        <v>0</v>
      </c>
      <c r="J788" s="342" t="s">
        <v>995</v>
      </c>
      <c r="K788" s="342"/>
      <c r="L788" s="342" t="s">
        <v>995</v>
      </c>
      <c r="M788" s="342"/>
      <c r="N788" s="342"/>
      <c r="O788" s="342"/>
      <c r="P788" s="342"/>
      <c r="Q788" s="342"/>
    </row>
    <row r="789" spans="1:17" ht="30" customHeight="1">
      <c r="A789" s="340">
        <v>784</v>
      </c>
      <c r="B789" s="344" t="s">
        <v>1207</v>
      </c>
      <c r="C789" s="340" t="s">
        <v>254</v>
      </c>
      <c r="D789" s="340"/>
      <c r="E789" s="340" t="s">
        <v>89</v>
      </c>
      <c r="F789" s="341">
        <v>156</v>
      </c>
      <c r="G789" s="341">
        <v>156</v>
      </c>
      <c r="H789" s="341">
        <v>156</v>
      </c>
      <c r="I789" s="341">
        <f t="shared" si="14"/>
        <v>0</v>
      </c>
      <c r="J789" s="342" t="s">
        <v>995</v>
      </c>
      <c r="K789" s="342"/>
      <c r="L789" s="342" t="s">
        <v>995</v>
      </c>
      <c r="M789" s="342"/>
      <c r="N789" s="342"/>
      <c r="O789" s="342"/>
      <c r="P789" s="342"/>
      <c r="Q789" s="342"/>
    </row>
    <row r="790" spans="1:17" ht="30" customHeight="1">
      <c r="A790" s="340">
        <v>785</v>
      </c>
      <c r="B790" s="344" t="s">
        <v>1207</v>
      </c>
      <c r="C790" s="340" t="s">
        <v>648</v>
      </c>
      <c r="D790" s="340"/>
      <c r="E790" s="340" t="s">
        <v>84</v>
      </c>
      <c r="F790" s="341">
        <v>13</v>
      </c>
      <c r="G790" s="341">
        <v>10</v>
      </c>
      <c r="H790" s="341">
        <v>10</v>
      </c>
      <c r="I790" s="341">
        <f t="shared" si="14"/>
        <v>0</v>
      </c>
      <c r="J790" s="342" t="s">
        <v>995</v>
      </c>
      <c r="K790" s="342"/>
      <c r="L790" s="342" t="s">
        <v>995</v>
      </c>
      <c r="M790" s="342"/>
      <c r="N790" s="342"/>
      <c r="O790" s="342"/>
      <c r="P790" s="342"/>
      <c r="Q790" s="342"/>
    </row>
    <row r="791" spans="1:17" ht="30" customHeight="1">
      <c r="A791" s="340">
        <v>786</v>
      </c>
      <c r="B791" s="344" t="s">
        <v>1207</v>
      </c>
      <c r="C791" s="340" t="s">
        <v>979</v>
      </c>
      <c r="D791" s="340"/>
      <c r="E791" s="340" t="s">
        <v>89</v>
      </c>
      <c r="F791" s="341">
        <v>391</v>
      </c>
      <c r="G791" s="341">
        <v>391</v>
      </c>
      <c r="H791" s="341">
        <v>391</v>
      </c>
      <c r="I791" s="341">
        <f t="shared" si="14"/>
        <v>0</v>
      </c>
      <c r="J791" s="342" t="s">
        <v>995</v>
      </c>
      <c r="K791" s="342"/>
      <c r="L791" s="342" t="s">
        <v>995</v>
      </c>
      <c r="M791" s="342"/>
      <c r="N791" s="342"/>
      <c r="O791" s="342"/>
      <c r="P791" s="342"/>
      <c r="Q791" s="342"/>
    </row>
    <row r="792" spans="1:17" ht="30" customHeight="1">
      <c r="A792" s="340">
        <v>787</v>
      </c>
      <c r="B792" s="344" t="s">
        <v>1207</v>
      </c>
      <c r="C792" s="340" t="s">
        <v>91</v>
      </c>
      <c r="D792" s="340"/>
      <c r="E792" s="340" t="s">
        <v>84</v>
      </c>
      <c r="F792" s="341">
        <v>479</v>
      </c>
      <c r="G792" s="341">
        <v>130</v>
      </c>
      <c r="H792" s="341">
        <v>130</v>
      </c>
      <c r="I792" s="341">
        <f t="shared" si="14"/>
        <v>0</v>
      </c>
      <c r="J792" s="342" t="s">
        <v>995</v>
      </c>
      <c r="K792" s="342"/>
      <c r="L792" s="342" t="s">
        <v>995</v>
      </c>
      <c r="M792" s="342"/>
      <c r="N792" s="342"/>
      <c r="O792" s="342"/>
      <c r="P792" s="342"/>
      <c r="Q792" s="342"/>
    </row>
    <row r="793" spans="1:17" ht="30" customHeight="1">
      <c r="A793" s="340">
        <v>788</v>
      </c>
      <c r="B793" s="344" t="s">
        <v>1207</v>
      </c>
      <c r="C793" s="340" t="s">
        <v>656</v>
      </c>
      <c r="D793" s="340"/>
      <c r="E793" s="340" t="s">
        <v>84</v>
      </c>
      <c r="F793" s="341">
        <v>400</v>
      </c>
      <c r="G793" s="341">
        <v>169</v>
      </c>
      <c r="H793" s="341">
        <v>169</v>
      </c>
      <c r="I793" s="341">
        <f t="shared" si="14"/>
        <v>0</v>
      </c>
      <c r="J793" s="342" t="s">
        <v>1208</v>
      </c>
      <c r="K793" s="342"/>
      <c r="L793" s="342" t="s">
        <v>1208</v>
      </c>
      <c r="M793" s="342"/>
      <c r="N793" s="342"/>
      <c r="O793" s="342"/>
      <c r="P793" s="342"/>
      <c r="Q793" s="342"/>
    </row>
    <row r="794" spans="1:17" ht="30" customHeight="1">
      <c r="A794" s="340">
        <v>789</v>
      </c>
      <c r="B794" s="344" t="s">
        <v>1207</v>
      </c>
      <c r="C794" s="340" t="s">
        <v>980</v>
      </c>
      <c r="D794" s="340"/>
      <c r="E794" s="340" t="s">
        <v>84</v>
      </c>
      <c r="F794" s="341">
        <v>66</v>
      </c>
      <c r="G794" s="341">
        <v>66</v>
      </c>
      <c r="H794" s="341">
        <v>66</v>
      </c>
      <c r="I794" s="341">
        <f t="shared" si="14"/>
        <v>0</v>
      </c>
      <c r="J794" s="342" t="s">
        <v>995</v>
      </c>
      <c r="K794" s="342"/>
      <c r="L794" s="342" t="s">
        <v>995</v>
      </c>
      <c r="M794" s="342"/>
      <c r="N794" s="342"/>
      <c r="O794" s="342"/>
      <c r="P794" s="342"/>
      <c r="Q794" s="342"/>
    </row>
    <row r="795" spans="1:17" ht="30" customHeight="1">
      <c r="A795" s="340">
        <v>790</v>
      </c>
      <c r="B795" s="344" t="s">
        <v>1207</v>
      </c>
      <c r="C795" s="340" t="s">
        <v>255</v>
      </c>
      <c r="D795" s="340"/>
      <c r="E795" s="340" t="s">
        <v>109</v>
      </c>
      <c r="F795" s="341">
        <v>52</v>
      </c>
      <c r="G795" s="341">
        <v>52</v>
      </c>
      <c r="H795" s="341">
        <v>52</v>
      </c>
      <c r="I795" s="341">
        <f t="shared" si="14"/>
        <v>0</v>
      </c>
      <c r="J795" s="342" t="s">
        <v>995</v>
      </c>
      <c r="K795" s="342"/>
      <c r="L795" s="342" t="s">
        <v>995</v>
      </c>
      <c r="M795" s="342"/>
      <c r="N795" s="342"/>
      <c r="O795" s="342"/>
      <c r="P795" s="342"/>
      <c r="Q795" s="342"/>
    </row>
    <row r="796" spans="1:17" ht="30" customHeight="1">
      <c r="A796" s="340">
        <v>791</v>
      </c>
      <c r="B796" s="344" t="s">
        <v>1207</v>
      </c>
      <c r="C796" s="340" t="s">
        <v>256</v>
      </c>
      <c r="D796" s="340"/>
      <c r="E796" s="340" t="s">
        <v>109</v>
      </c>
      <c r="F796" s="341">
        <v>5</v>
      </c>
      <c r="G796" s="341">
        <v>5</v>
      </c>
      <c r="H796" s="341">
        <v>5</v>
      </c>
      <c r="I796" s="341">
        <f t="shared" si="14"/>
        <v>0</v>
      </c>
      <c r="J796" s="342" t="s">
        <v>995</v>
      </c>
      <c r="K796" s="342"/>
      <c r="L796" s="342" t="s">
        <v>995</v>
      </c>
      <c r="M796" s="342"/>
      <c r="N796" s="342"/>
      <c r="O796" s="342"/>
      <c r="P796" s="342"/>
      <c r="Q796" s="342"/>
    </row>
    <row r="797" spans="1:17" ht="30" customHeight="1">
      <c r="A797" s="340">
        <v>792</v>
      </c>
      <c r="B797" s="344" t="s">
        <v>1207</v>
      </c>
      <c r="C797" s="340" t="s">
        <v>681</v>
      </c>
      <c r="D797" s="340"/>
      <c r="E797" s="340" t="s">
        <v>84</v>
      </c>
      <c r="F797" s="341">
        <v>1602</v>
      </c>
      <c r="G797" s="341">
        <v>952</v>
      </c>
      <c r="H797" s="341">
        <v>952</v>
      </c>
      <c r="I797" s="341">
        <f t="shared" si="14"/>
        <v>0</v>
      </c>
      <c r="J797" s="342" t="s">
        <v>995</v>
      </c>
      <c r="K797" s="342"/>
      <c r="L797" s="342" t="s">
        <v>995</v>
      </c>
      <c r="M797" s="342"/>
      <c r="N797" s="342"/>
      <c r="O797" s="342"/>
      <c r="P797" s="342"/>
      <c r="Q797" s="342"/>
    </row>
    <row r="798" spans="1:17" ht="30" customHeight="1">
      <c r="A798" s="340">
        <v>793</v>
      </c>
      <c r="B798" s="344" t="s">
        <v>1207</v>
      </c>
      <c r="C798" s="340" t="s">
        <v>257</v>
      </c>
      <c r="D798" s="340"/>
      <c r="E798" s="340" t="s">
        <v>258</v>
      </c>
      <c r="F798" s="341">
        <v>466</v>
      </c>
      <c r="G798" s="341">
        <v>466</v>
      </c>
      <c r="H798" s="341">
        <v>466</v>
      </c>
      <c r="I798" s="341">
        <f t="shared" si="14"/>
        <v>0</v>
      </c>
      <c r="J798" s="342" t="s">
        <v>995</v>
      </c>
      <c r="K798" s="342"/>
      <c r="L798" s="342" t="s">
        <v>995</v>
      </c>
      <c r="M798" s="342"/>
      <c r="N798" s="342"/>
      <c r="O798" s="342"/>
      <c r="P798" s="342"/>
      <c r="Q798" s="342"/>
    </row>
    <row r="799" spans="1:17" ht="30" customHeight="1">
      <c r="A799" s="340">
        <v>794</v>
      </c>
      <c r="B799" s="344" t="s">
        <v>1207</v>
      </c>
      <c r="C799" s="340" t="s">
        <v>981</v>
      </c>
      <c r="D799" s="340"/>
      <c r="E799" s="340" t="s">
        <v>84</v>
      </c>
      <c r="F799" s="341">
        <v>675</v>
      </c>
      <c r="G799" s="341">
        <v>610</v>
      </c>
      <c r="H799" s="341">
        <v>610</v>
      </c>
      <c r="I799" s="341">
        <f t="shared" si="14"/>
        <v>0</v>
      </c>
      <c r="J799" s="342" t="s">
        <v>995</v>
      </c>
      <c r="K799" s="342"/>
      <c r="L799" s="342" t="s">
        <v>995</v>
      </c>
      <c r="M799" s="342"/>
      <c r="N799" s="342"/>
      <c r="O799" s="342"/>
      <c r="P799" s="342"/>
      <c r="Q799" s="342"/>
    </row>
    <row r="800" spans="1:17" ht="30" customHeight="1">
      <c r="A800" s="340">
        <v>795</v>
      </c>
      <c r="B800" s="344" t="s">
        <v>1207</v>
      </c>
      <c r="C800" s="340" t="s">
        <v>259</v>
      </c>
      <c r="D800" s="340"/>
      <c r="E800" s="340" t="s">
        <v>258</v>
      </c>
      <c r="F800" s="341">
        <v>261</v>
      </c>
      <c r="G800" s="341">
        <v>261</v>
      </c>
      <c r="H800" s="341">
        <v>261</v>
      </c>
      <c r="I800" s="341">
        <f t="shared" si="14"/>
        <v>0</v>
      </c>
      <c r="J800" s="342" t="s">
        <v>995</v>
      </c>
      <c r="K800" s="342"/>
      <c r="L800" s="342" t="s">
        <v>995</v>
      </c>
      <c r="M800" s="342"/>
      <c r="N800" s="342"/>
      <c r="O800" s="342"/>
      <c r="P800" s="342"/>
      <c r="Q800" s="342"/>
    </row>
    <row r="801" spans="1:17" ht="30" customHeight="1">
      <c r="A801" s="340">
        <v>796</v>
      </c>
      <c r="B801" s="344" t="s">
        <v>1207</v>
      </c>
      <c r="C801" s="340" t="s">
        <v>260</v>
      </c>
      <c r="D801" s="340"/>
      <c r="E801" s="340" t="s">
        <v>258</v>
      </c>
      <c r="F801" s="341">
        <v>1104</v>
      </c>
      <c r="G801" s="341">
        <v>72</v>
      </c>
      <c r="H801" s="341">
        <v>72</v>
      </c>
      <c r="I801" s="341">
        <f t="shared" si="14"/>
        <v>0</v>
      </c>
      <c r="J801" s="342" t="s">
        <v>995</v>
      </c>
      <c r="K801" s="342"/>
      <c r="L801" s="342" t="s">
        <v>995</v>
      </c>
      <c r="M801" s="342"/>
      <c r="N801" s="342"/>
      <c r="O801" s="342"/>
      <c r="P801" s="342"/>
      <c r="Q801" s="342"/>
    </row>
    <row r="802" spans="1:17" ht="30" customHeight="1">
      <c r="A802" s="340">
        <v>797</v>
      </c>
      <c r="B802" s="344" t="s">
        <v>1207</v>
      </c>
      <c r="C802" s="340" t="s">
        <v>261</v>
      </c>
      <c r="D802" s="340"/>
      <c r="E802" s="340" t="s">
        <v>258</v>
      </c>
      <c r="F802" s="341">
        <v>1362</v>
      </c>
      <c r="G802" s="341">
        <v>218</v>
      </c>
      <c r="H802" s="341">
        <v>218</v>
      </c>
      <c r="I802" s="341">
        <f t="shared" si="14"/>
        <v>0</v>
      </c>
      <c r="J802" s="342" t="s">
        <v>995</v>
      </c>
      <c r="K802" s="342"/>
      <c r="L802" s="342" t="s">
        <v>995</v>
      </c>
      <c r="M802" s="342"/>
      <c r="N802" s="342"/>
      <c r="O802" s="342"/>
      <c r="P802" s="342"/>
      <c r="Q802" s="342"/>
    </row>
    <row r="803" spans="1:17" ht="30" customHeight="1">
      <c r="A803" s="340">
        <v>798</v>
      </c>
      <c r="B803" s="344" t="s">
        <v>1207</v>
      </c>
      <c r="C803" s="340" t="s">
        <v>982</v>
      </c>
      <c r="D803" s="340"/>
      <c r="E803" s="340" t="s">
        <v>258</v>
      </c>
      <c r="F803" s="341">
        <v>863</v>
      </c>
      <c r="G803" s="341">
        <v>127</v>
      </c>
      <c r="H803" s="341">
        <v>127</v>
      </c>
      <c r="I803" s="341">
        <f t="shared" si="14"/>
        <v>0</v>
      </c>
      <c r="J803" s="342" t="s">
        <v>995</v>
      </c>
      <c r="K803" s="342"/>
      <c r="L803" s="342" t="s">
        <v>995</v>
      </c>
      <c r="M803" s="342"/>
      <c r="N803" s="342"/>
      <c r="O803" s="342"/>
      <c r="P803" s="342"/>
      <c r="Q803" s="342"/>
    </row>
    <row r="804" spans="1:17" ht="30" customHeight="1">
      <c r="A804" s="340">
        <v>799</v>
      </c>
      <c r="B804" s="344" t="s">
        <v>1207</v>
      </c>
      <c r="C804" s="340" t="s">
        <v>289</v>
      </c>
      <c r="D804" s="340"/>
      <c r="E804" s="340" t="s">
        <v>84</v>
      </c>
      <c r="F804" s="341">
        <v>1266</v>
      </c>
      <c r="G804" s="341">
        <v>111</v>
      </c>
      <c r="H804" s="341">
        <v>111</v>
      </c>
      <c r="I804" s="341">
        <f t="shared" si="14"/>
        <v>0</v>
      </c>
      <c r="J804" s="342" t="s">
        <v>1208</v>
      </c>
      <c r="K804" s="342"/>
      <c r="L804" s="342" t="s">
        <v>1208</v>
      </c>
      <c r="M804" s="342"/>
      <c r="N804" s="342"/>
      <c r="O804" s="342"/>
      <c r="P804" s="342"/>
      <c r="Q804" s="342"/>
    </row>
    <row r="805" spans="1:17" ht="30" customHeight="1">
      <c r="A805" s="340">
        <v>800</v>
      </c>
      <c r="B805" s="344" t="s">
        <v>1207</v>
      </c>
      <c r="C805" s="340" t="s">
        <v>290</v>
      </c>
      <c r="D805" s="340"/>
      <c r="E805" s="340" t="s">
        <v>84</v>
      </c>
      <c r="F805" s="341">
        <v>783</v>
      </c>
      <c r="G805" s="341">
        <v>57</v>
      </c>
      <c r="H805" s="341">
        <v>57</v>
      </c>
      <c r="I805" s="341">
        <f t="shared" si="14"/>
        <v>0</v>
      </c>
      <c r="J805" s="342" t="s">
        <v>995</v>
      </c>
      <c r="K805" s="342"/>
      <c r="L805" s="342" t="s">
        <v>995</v>
      </c>
      <c r="M805" s="342"/>
      <c r="N805" s="342"/>
      <c r="O805" s="342"/>
      <c r="P805" s="342"/>
      <c r="Q805" s="342"/>
    </row>
    <row r="806" spans="1:17" ht="30" customHeight="1">
      <c r="A806" s="340">
        <v>801</v>
      </c>
      <c r="B806" s="344" t="s">
        <v>1207</v>
      </c>
      <c r="C806" s="340" t="s">
        <v>983</v>
      </c>
      <c r="D806" s="340"/>
      <c r="E806" s="340" t="s">
        <v>89</v>
      </c>
      <c r="F806" s="341">
        <v>1806</v>
      </c>
      <c r="G806" s="341"/>
      <c r="H806" s="341">
        <v>41</v>
      </c>
      <c r="I806" s="341">
        <f t="shared" si="14"/>
        <v>41</v>
      </c>
      <c r="J806" s="342"/>
      <c r="K806" s="342"/>
      <c r="L806" s="342" t="s">
        <v>995</v>
      </c>
      <c r="M806" s="342"/>
      <c r="N806" s="342"/>
      <c r="O806" s="342"/>
      <c r="P806" s="342"/>
      <c r="Q806" s="342"/>
    </row>
    <row r="807" spans="1:17" ht="30" customHeight="1">
      <c r="A807" s="340">
        <v>802</v>
      </c>
      <c r="B807" s="344" t="s">
        <v>1207</v>
      </c>
      <c r="C807" s="340" t="s">
        <v>984</v>
      </c>
      <c r="D807" s="340"/>
      <c r="E807" s="340" t="s">
        <v>89</v>
      </c>
      <c r="F807" s="341">
        <v>403</v>
      </c>
      <c r="G807" s="341"/>
      <c r="H807" s="341">
        <v>123</v>
      </c>
      <c r="I807" s="341">
        <f t="shared" si="14"/>
        <v>123</v>
      </c>
      <c r="J807" s="342"/>
      <c r="K807" s="342"/>
      <c r="L807" s="342" t="s">
        <v>995</v>
      </c>
      <c r="M807" s="342"/>
      <c r="N807" s="342"/>
      <c r="O807" s="342"/>
      <c r="P807" s="342"/>
      <c r="Q807" s="342"/>
    </row>
    <row r="808" spans="1:17" ht="30" customHeight="1">
      <c r="A808" s="340">
        <v>803</v>
      </c>
      <c r="B808" s="344" t="s">
        <v>1207</v>
      </c>
      <c r="C808" s="340" t="s">
        <v>985</v>
      </c>
      <c r="D808" s="340"/>
      <c r="E808" s="340" t="s">
        <v>89</v>
      </c>
      <c r="F808" s="341">
        <v>1241</v>
      </c>
      <c r="G808" s="341"/>
      <c r="H808" s="341">
        <v>153</v>
      </c>
      <c r="I808" s="341">
        <f t="shared" si="14"/>
        <v>153</v>
      </c>
      <c r="J808" s="342"/>
      <c r="K808" s="342"/>
      <c r="L808" s="342" t="s">
        <v>995</v>
      </c>
      <c r="M808" s="342"/>
      <c r="N808" s="342"/>
      <c r="O808" s="342"/>
      <c r="P808" s="342"/>
      <c r="Q808" s="342"/>
    </row>
    <row r="809" spans="1:17" ht="30" customHeight="1">
      <c r="A809" s="340">
        <v>804</v>
      </c>
      <c r="B809" s="344" t="s">
        <v>1207</v>
      </c>
      <c r="C809" s="340" t="s">
        <v>986</v>
      </c>
      <c r="D809" s="340"/>
      <c r="E809" s="340" t="s">
        <v>89</v>
      </c>
      <c r="F809" s="341">
        <v>1083</v>
      </c>
      <c r="G809" s="341"/>
      <c r="H809" s="341">
        <v>16</v>
      </c>
      <c r="I809" s="341">
        <f t="shared" si="14"/>
        <v>16</v>
      </c>
      <c r="J809" s="342"/>
      <c r="K809" s="342"/>
      <c r="L809" s="342" t="s">
        <v>995</v>
      </c>
      <c r="M809" s="342"/>
      <c r="N809" s="342"/>
      <c r="O809" s="342"/>
      <c r="P809" s="342"/>
      <c r="Q809" s="342"/>
    </row>
    <row r="810" spans="1:17" ht="30" customHeight="1">
      <c r="A810" s="340">
        <v>805</v>
      </c>
      <c r="B810" s="344" t="s">
        <v>1207</v>
      </c>
      <c r="C810" s="340" t="s">
        <v>987</v>
      </c>
      <c r="D810" s="340"/>
      <c r="E810" s="340" t="s">
        <v>135</v>
      </c>
      <c r="F810" s="341">
        <v>513</v>
      </c>
      <c r="G810" s="341"/>
      <c r="H810" s="341">
        <v>513</v>
      </c>
      <c r="I810" s="341">
        <f t="shared" si="14"/>
        <v>513</v>
      </c>
      <c r="J810" s="342"/>
      <c r="K810" s="342"/>
      <c r="L810" s="342" t="s">
        <v>995</v>
      </c>
      <c r="M810" s="342"/>
      <c r="N810" s="342"/>
      <c r="O810" s="342"/>
      <c r="P810" s="342"/>
      <c r="Q810" s="342"/>
    </row>
    <row r="811" spans="1:17" ht="30" customHeight="1">
      <c r="A811" s="340">
        <v>806</v>
      </c>
      <c r="B811" s="344" t="s">
        <v>1207</v>
      </c>
      <c r="C811" s="340" t="s">
        <v>740</v>
      </c>
      <c r="D811" s="340"/>
      <c r="E811" s="340" t="s">
        <v>109</v>
      </c>
      <c r="F811" s="341">
        <v>20</v>
      </c>
      <c r="G811" s="341"/>
      <c r="H811" s="341">
        <v>20</v>
      </c>
      <c r="I811" s="341">
        <f t="shared" si="14"/>
        <v>20</v>
      </c>
      <c r="J811" s="342"/>
      <c r="K811" s="342"/>
      <c r="L811" s="342" t="s">
        <v>995</v>
      </c>
      <c r="M811" s="342"/>
      <c r="N811" s="342"/>
      <c r="O811" s="342"/>
      <c r="P811" s="342"/>
      <c r="Q811" s="342"/>
    </row>
    <row r="812" spans="1:17" ht="30" customHeight="1">
      <c r="A812" s="376" t="s">
        <v>1269</v>
      </c>
      <c r="B812" s="376"/>
      <c r="C812" s="376"/>
      <c r="D812" s="376"/>
      <c r="E812" s="376"/>
      <c r="F812" s="345">
        <f>SUM(F6:F811)</f>
        <v>609424.80000000005</v>
      </c>
      <c r="G812" s="345">
        <f>SUM(G6:G811)</f>
        <v>399461.89999999997</v>
      </c>
      <c r="H812" s="345">
        <f>SUM(H6:H811)</f>
        <v>410200.69999999995</v>
      </c>
      <c r="I812" s="345">
        <f>SUM(I6:I811)</f>
        <v>10738.800000000001</v>
      </c>
      <c r="J812" s="342"/>
      <c r="K812" s="342"/>
      <c r="L812" s="342"/>
      <c r="M812" s="342"/>
      <c r="N812" s="342"/>
      <c r="O812" s="342"/>
      <c r="P812" s="342"/>
      <c r="Q812" s="344"/>
    </row>
    <row r="813" spans="1:17" ht="30" customHeight="1">
      <c r="A813" s="282"/>
      <c r="B813" s="351"/>
      <c r="C813" s="209"/>
      <c r="D813" s="209"/>
      <c r="E813" s="209"/>
      <c r="F813" s="333"/>
      <c r="G813" s="334"/>
      <c r="H813" s="334"/>
      <c r="I813" s="283"/>
      <c r="J813" s="283"/>
      <c r="K813" s="283"/>
      <c r="L813" s="283"/>
      <c r="M813" s="283"/>
      <c r="N813" s="283"/>
      <c r="O813" s="283"/>
      <c r="P813" s="335"/>
      <c r="Q813" s="282"/>
    </row>
    <row r="814" spans="1:17" ht="30" customHeight="1">
      <c r="A814" s="204"/>
      <c r="B814" s="352"/>
      <c r="C814" s="202"/>
      <c r="D814" s="202"/>
      <c r="E814" s="202"/>
      <c r="F814" s="304"/>
      <c r="G814" s="211"/>
      <c r="H814" s="211"/>
      <c r="I814" s="203"/>
      <c r="J814" s="203"/>
      <c r="K814" s="203"/>
      <c r="L814" s="203"/>
      <c r="M814" s="203"/>
      <c r="N814" s="203"/>
      <c r="O814" s="203"/>
      <c r="P814" s="205"/>
      <c r="Q814" s="204"/>
    </row>
    <row r="815" spans="1:17" ht="30" customHeight="1">
      <c r="A815" s="204"/>
      <c r="B815" s="352"/>
      <c r="C815" s="202"/>
      <c r="D815" s="202"/>
      <c r="E815" s="202"/>
      <c r="F815" s="304"/>
      <c r="G815" s="211"/>
      <c r="H815" s="211"/>
      <c r="I815" s="203"/>
      <c r="J815" s="203"/>
      <c r="K815" s="203"/>
      <c r="L815" s="203"/>
      <c r="M815" s="203"/>
      <c r="N815" s="203"/>
      <c r="O815" s="203"/>
      <c r="P815" s="205"/>
      <c r="Q815" s="204"/>
    </row>
    <row r="816" spans="1:17" ht="30" customHeight="1">
      <c r="A816" s="204"/>
      <c r="B816" s="352"/>
      <c r="C816" s="202"/>
      <c r="D816" s="202"/>
      <c r="E816" s="202"/>
      <c r="F816" s="304"/>
      <c r="G816" s="211"/>
      <c r="H816" s="211"/>
      <c r="I816" s="203"/>
      <c r="J816" s="203"/>
      <c r="K816" s="203"/>
      <c r="L816" s="203"/>
      <c r="M816" s="203"/>
      <c r="N816" s="203"/>
      <c r="O816" s="203"/>
      <c r="P816" s="205"/>
      <c r="Q816" s="204"/>
    </row>
    <row r="817" spans="1:17" ht="30" customHeight="1">
      <c r="A817" s="204"/>
      <c r="B817" s="352"/>
      <c r="C817" s="202"/>
      <c r="D817" s="202"/>
      <c r="E817" s="202"/>
      <c r="F817" s="304"/>
      <c r="G817" s="211"/>
      <c r="H817" s="211"/>
      <c r="I817" s="203"/>
      <c r="J817" s="203"/>
      <c r="K817" s="203"/>
      <c r="L817" s="203"/>
      <c r="M817" s="203"/>
      <c r="N817" s="203"/>
      <c r="O817" s="203"/>
      <c r="P817" s="205"/>
      <c r="Q817" s="204"/>
    </row>
    <row r="818" spans="1:17" ht="30" customHeight="1">
      <c r="A818" s="204"/>
      <c r="B818" s="352"/>
      <c r="C818" s="202"/>
      <c r="D818" s="202"/>
      <c r="E818" s="202"/>
      <c r="F818" s="304"/>
      <c r="G818" s="211"/>
      <c r="H818" s="211"/>
      <c r="I818" s="203"/>
      <c r="J818" s="203"/>
      <c r="K818" s="203"/>
      <c r="L818" s="203"/>
      <c r="M818" s="203"/>
      <c r="N818" s="203"/>
      <c r="O818" s="203"/>
      <c r="P818" s="205"/>
      <c r="Q818" s="204"/>
    </row>
    <row r="819" spans="1:17" ht="30" customHeight="1">
      <c r="A819" s="204"/>
      <c r="B819" s="352"/>
      <c r="C819" s="202"/>
      <c r="D819" s="202"/>
      <c r="E819" s="202"/>
      <c r="F819" s="304"/>
      <c r="G819" s="211"/>
      <c r="H819" s="211"/>
      <c r="I819" s="203"/>
      <c r="J819" s="203"/>
      <c r="K819" s="203"/>
      <c r="L819" s="203"/>
      <c r="M819" s="203"/>
      <c r="N819" s="203"/>
      <c r="O819" s="203"/>
      <c r="P819" s="205"/>
      <c r="Q819" s="204"/>
    </row>
    <row r="820" spans="1:17" ht="30" customHeight="1">
      <c r="A820" s="204"/>
      <c r="B820" s="352"/>
      <c r="C820" s="202"/>
      <c r="D820" s="202"/>
      <c r="E820" s="202"/>
      <c r="F820" s="304"/>
      <c r="G820" s="211"/>
      <c r="H820" s="211"/>
      <c r="I820" s="203"/>
      <c r="J820" s="203"/>
      <c r="K820" s="203"/>
      <c r="L820" s="203"/>
      <c r="M820" s="203"/>
      <c r="N820" s="203"/>
      <c r="O820" s="203"/>
      <c r="P820" s="205"/>
      <c r="Q820" s="204"/>
    </row>
    <row r="821" spans="1:17" ht="30" customHeight="1">
      <c r="A821" s="204"/>
      <c r="B821" s="352"/>
      <c r="C821" s="202"/>
      <c r="D821" s="202"/>
      <c r="E821" s="202"/>
      <c r="F821" s="304"/>
      <c r="G821" s="211"/>
      <c r="H821" s="211"/>
      <c r="I821" s="203"/>
      <c r="J821" s="203"/>
      <c r="K821" s="203"/>
      <c r="L821" s="203"/>
      <c r="M821" s="203"/>
      <c r="N821" s="203"/>
      <c r="O821" s="203"/>
      <c r="P821" s="205"/>
      <c r="Q821" s="204"/>
    </row>
    <row r="822" spans="1:17" ht="30" customHeight="1">
      <c r="A822" s="204"/>
      <c r="B822" s="352"/>
      <c r="C822" s="202"/>
      <c r="D822" s="202"/>
      <c r="E822" s="202"/>
      <c r="F822" s="304"/>
      <c r="G822" s="211"/>
      <c r="H822" s="211"/>
      <c r="I822" s="203"/>
      <c r="J822" s="203"/>
      <c r="K822" s="203"/>
      <c r="L822" s="203"/>
      <c r="M822" s="203"/>
      <c r="N822" s="203"/>
      <c r="O822" s="203"/>
      <c r="P822" s="205"/>
      <c r="Q822" s="204"/>
    </row>
    <row r="823" spans="1:17" ht="30" customHeight="1">
      <c r="A823" s="204"/>
      <c r="B823" s="352"/>
      <c r="C823" s="202"/>
      <c r="D823" s="202"/>
      <c r="E823" s="202"/>
      <c r="F823" s="304"/>
      <c r="G823" s="211"/>
      <c r="H823" s="211"/>
      <c r="I823" s="203"/>
      <c r="J823" s="203"/>
      <c r="K823" s="203"/>
      <c r="L823" s="203"/>
      <c r="M823" s="203"/>
      <c r="N823" s="203"/>
      <c r="O823" s="203"/>
      <c r="P823" s="205"/>
      <c r="Q823" s="204"/>
    </row>
    <row r="824" spans="1:17" ht="30" customHeight="1">
      <c r="A824" s="204"/>
      <c r="B824" s="352"/>
      <c r="C824" s="202"/>
      <c r="D824" s="202"/>
      <c r="E824" s="202"/>
      <c r="F824" s="304"/>
      <c r="G824" s="211"/>
      <c r="H824" s="211"/>
      <c r="I824" s="203"/>
      <c r="J824" s="203"/>
      <c r="K824" s="203"/>
      <c r="L824" s="203"/>
      <c r="M824" s="203"/>
      <c r="N824" s="203"/>
      <c r="O824" s="203"/>
      <c r="P824" s="205"/>
      <c r="Q824" s="204"/>
    </row>
    <row r="825" spans="1:17" ht="30" customHeight="1">
      <c r="A825" s="204"/>
      <c r="B825" s="352"/>
      <c r="C825" s="202"/>
      <c r="D825" s="202"/>
      <c r="E825" s="202"/>
      <c r="F825" s="304"/>
      <c r="G825" s="211"/>
      <c r="H825" s="211"/>
      <c r="I825" s="203"/>
      <c r="J825" s="203"/>
      <c r="K825" s="203"/>
      <c r="L825" s="203"/>
      <c r="M825" s="203"/>
      <c r="N825" s="203"/>
      <c r="O825" s="203"/>
      <c r="P825" s="205"/>
      <c r="Q825" s="204"/>
    </row>
    <row r="826" spans="1:17" ht="30" customHeight="1">
      <c r="A826" s="204"/>
      <c r="B826" s="352"/>
      <c r="C826" s="202"/>
      <c r="D826" s="202"/>
      <c r="E826" s="202"/>
      <c r="F826" s="304"/>
      <c r="G826" s="211"/>
      <c r="H826" s="211"/>
      <c r="I826" s="203"/>
      <c r="J826" s="203"/>
      <c r="K826" s="203"/>
      <c r="L826" s="203"/>
      <c r="M826" s="203"/>
      <c r="N826" s="203"/>
      <c r="O826" s="203"/>
      <c r="P826" s="205"/>
      <c r="Q826" s="204"/>
    </row>
    <row r="827" spans="1:17" ht="30" customHeight="1">
      <c r="A827" s="204"/>
      <c r="B827" s="352"/>
      <c r="C827" s="202"/>
      <c r="D827" s="202"/>
      <c r="E827" s="202"/>
      <c r="F827" s="304"/>
      <c r="G827" s="211"/>
      <c r="H827" s="211"/>
      <c r="I827" s="203"/>
      <c r="J827" s="203"/>
      <c r="K827" s="203"/>
      <c r="L827" s="203"/>
      <c r="M827" s="203"/>
      <c r="N827" s="203"/>
      <c r="O827" s="203"/>
      <c r="P827" s="205"/>
      <c r="Q827" s="204"/>
    </row>
    <row r="828" spans="1:17" ht="30" customHeight="1">
      <c r="A828" s="204"/>
      <c r="B828" s="352"/>
      <c r="C828" s="202"/>
      <c r="D828" s="202"/>
      <c r="E828" s="202"/>
      <c r="F828" s="304"/>
      <c r="G828" s="211"/>
      <c r="H828" s="211"/>
      <c r="I828" s="203"/>
      <c r="J828" s="203"/>
      <c r="K828" s="203"/>
      <c r="L828" s="203"/>
      <c r="M828" s="203"/>
      <c r="N828" s="203"/>
      <c r="O828" s="203"/>
      <c r="P828" s="205"/>
      <c r="Q828" s="204"/>
    </row>
    <row r="829" spans="1:17" ht="30" customHeight="1">
      <c r="A829" s="204"/>
      <c r="B829" s="352"/>
      <c r="C829" s="202"/>
      <c r="D829" s="202"/>
      <c r="E829" s="202"/>
      <c r="F829" s="304"/>
      <c r="G829" s="211"/>
      <c r="H829" s="211"/>
      <c r="I829" s="203"/>
      <c r="J829" s="203"/>
      <c r="K829" s="203"/>
      <c r="L829" s="203"/>
      <c r="M829" s="203"/>
      <c r="N829" s="203"/>
      <c r="O829" s="203"/>
      <c r="P829" s="205"/>
      <c r="Q829" s="204"/>
    </row>
    <row r="830" spans="1:17" ht="30" customHeight="1">
      <c r="A830" s="204"/>
      <c r="B830" s="352"/>
      <c r="C830" s="202"/>
      <c r="D830" s="202"/>
      <c r="E830" s="202"/>
      <c r="F830" s="304"/>
      <c r="G830" s="211"/>
      <c r="H830" s="211"/>
      <c r="I830" s="203"/>
      <c r="J830" s="203"/>
      <c r="K830" s="203"/>
      <c r="L830" s="203"/>
      <c r="M830" s="203"/>
      <c r="N830" s="203"/>
      <c r="O830" s="203"/>
      <c r="P830" s="205"/>
      <c r="Q830" s="204"/>
    </row>
    <row r="831" spans="1:17" ht="30" customHeight="1">
      <c r="A831" s="204"/>
      <c r="B831" s="352"/>
      <c r="C831" s="202"/>
      <c r="D831" s="202"/>
      <c r="E831" s="202"/>
      <c r="F831" s="304"/>
      <c r="G831" s="211"/>
      <c r="H831" s="211"/>
      <c r="I831" s="203"/>
      <c r="J831" s="203"/>
      <c r="K831" s="203"/>
      <c r="L831" s="203"/>
      <c r="M831" s="203"/>
      <c r="N831" s="203"/>
      <c r="O831" s="203"/>
      <c r="P831" s="205"/>
      <c r="Q831" s="204"/>
    </row>
    <row r="832" spans="1:17" ht="30" customHeight="1">
      <c r="A832" s="204"/>
      <c r="B832" s="352"/>
      <c r="C832" s="202"/>
      <c r="D832" s="202"/>
      <c r="E832" s="202"/>
      <c r="F832" s="304"/>
      <c r="G832" s="211"/>
      <c r="H832" s="211"/>
      <c r="I832" s="203"/>
      <c r="J832" s="203"/>
      <c r="K832" s="203"/>
      <c r="L832" s="203"/>
      <c r="M832" s="203"/>
      <c r="N832" s="203"/>
      <c r="O832" s="203"/>
      <c r="P832" s="205"/>
      <c r="Q832" s="204"/>
    </row>
    <row r="833" spans="1:17" ht="30" customHeight="1">
      <c r="A833" s="204"/>
      <c r="B833" s="352"/>
      <c r="C833" s="202"/>
      <c r="D833" s="202"/>
      <c r="E833" s="202"/>
      <c r="F833" s="304"/>
      <c r="G833" s="211"/>
      <c r="H833" s="211"/>
      <c r="I833" s="203"/>
      <c r="J833" s="203"/>
      <c r="K833" s="203"/>
      <c r="L833" s="203"/>
      <c r="M833" s="203"/>
      <c r="N833" s="203"/>
      <c r="O833" s="203"/>
      <c r="P833" s="205"/>
      <c r="Q833" s="204"/>
    </row>
    <row r="834" spans="1:17" ht="30" customHeight="1">
      <c r="A834" s="204"/>
      <c r="B834" s="352"/>
      <c r="C834" s="202"/>
      <c r="D834" s="202"/>
      <c r="E834" s="202"/>
      <c r="F834" s="304"/>
      <c r="G834" s="211"/>
      <c r="H834" s="211"/>
      <c r="I834" s="203"/>
      <c r="J834" s="203"/>
      <c r="K834" s="203"/>
      <c r="L834" s="203"/>
      <c r="M834" s="203"/>
      <c r="N834" s="203"/>
      <c r="O834" s="203"/>
      <c r="P834" s="205"/>
      <c r="Q834" s="204"/>
    </row>
    <row r="835" spans="1:17" ht="30" customHeight="1">
      <c r="A835" s="204"/>
      <c r="B835" s="352"/>
      <c r="C835" s="202"/>
      <c r="D835" s="202"/>
      <c r="E835" s="202"/>
      <c r="F835" s="304"/>
      <c r="G835" s="211"/>
      <c r="H835" s="211"/>
      <c r="I835" s="203"/>
      <c r="J835" s="203"/>
      <c r="K835" s="203"/>
      <c r="L835" s="203"/>
      <c r="M835" s="203"/>
      <c r="N835" s="203"/>
      <c r="O835" s="203"/>
      <c r="P835" s="205"/>
      <c r="Q835" s="204"/>
    </row>
    <row r="836" spans="1:17" ht="30" customHeight="1">
      <c r="A836" s="204"/>
      <c r="B836" s="352"/>
      <c r="C836" s="202"/>
      <c r="D836" s="202"/>
      <c r="E836" s="202"/>
      <c r="F836" s="304"/>
      <c r="G836" s="211"/>
      <c r="H836" s="211"/>
      <c r="I836" s="203"/>
      <c r="J836" s="203"/>
      <c r="K836" s="203"/>
      <c r="L836" s="203"/>
      <c r="M836" s="203"/>
      <c r="N836" s="203"/>
      <c r="O836" s="203"/>
      <c r="P836" s="205"/>
      <c r="Q836" s="204"/>
    </row>
    <row r="837" spans="1:17" ht="30" customHeight="1">
      <c r="A837" s="204"/>
      <c r="B837" s="352"/>
      <c r="C837" s="202"/>
      <c r="D837" s="202"/>
      <c r="E837" s="202"/>
      <c r="F837" s="304"/>
      <c r="G837" s="211"/>
      <c r="H837" s="211"/>
      <c r="I837" s="203"/>
      <c r="J837" s="203"/>
      <c r="K837" s="203"/>
      <c r="L837" s="203"/>
      <c r="M837" s="203"/>
      <c r="N837" s="203"/>
      <c r="O837" s="203"/>
      <c r="P837" s="205"/>
      <c r="Q837" s="204"/>
    </row>
    <row r="838" spans="1:17" ht="30" customHeight="1">
      <c r="A838" s="204"/>
      <c r="B838" s="352"/>
      <c r="C838" s="202"/>
      <c r="D838" s="202"/>
      <c r="E838" s="202"/>
      <c r="F838" s="304"/>
      <c r="G838" s="211"/>
      <c r="H838" s="211"/>
      <c r="I838" s="203"/>
      <c r="J838" s="203"/>
      <c r="K838" s="203"/>
      <c r="L838" s="203"/>
      <c r="M838" s="203"/>
      <c r="N838" s="203"/>
      <c r="O838" s="203"/>
      <c r="P838" s="205"/>
      <c r="Q838" s="204"/>
    </row>
    <row r="839" spans="1:17" ht="30" customHeight="1">
      <c r="A839" s="204"/>
      <c r="B839" s="352"/>
      <c r="C839" s="202"/>
      <c r="D839" s="202"/>
      <c r="E839" s="202"/>
      <c r="F839" s="304"/>
      <c r="G839" s="211"/>
      <c r="H839" s="211"/>
      <c r="I839" s="203"/>
      <c r="J839" s="203"/>
      <c r="K839" s="203"/>
      <c r="L839" s="203"/>
      <c r="M839" s="203"/>
      <c r="N839" s="203"/>
      <c r="O839" s="203"/>
      <c r="P839" s="205"/>
      <c r="Q839" s="204"/>
    </row>
    <row r="840" spans="1:17" ht="30" customHeight="1">
      <c r="A840" s="204"/>
      <c r="B840" s="352"/>
      <c r="C840" s="202"/>
      <c r="D840" s="202"/>
      <c r="E840" s="202"/>
      <c r="F840" s="304"/>
      <c r="G840" s="211"/>
      <c r="H840" s="211"/>
      <c r="I840" s="203"/>
      <c r="J840" s="203"/>
      <c r="K840" s="203"/>
      <c r="L840" s="203"/>
      <c r="M840" s="203"/>
      <c r="N840" s="203"/>
      <c r="O840" s="203"/>
      <c r="P840" s="205"/>
      <c r="Q840" s="204"/>
    </row>
    <row r="841" spans="1:17" ht="30" customHeight="1">
      <c r="A841" s="204"/>
      <c r="B841" s="352"/>
      <c r="C841" s="202"/>
      <c r="D841" s="202"/>
      <c r="E841" s="202"/>
      <c r="F841" s="304"/>
      <c r="G841" s="211"/>
      <c r="H841" s="211"/>
      <c r="I841" s="203"/>
      <c r="J841" s="203"/>
      <c r="K841" s="203"/>
      <c r="L841" s="203"/>
      <c r="M841" s="203"/>
      <c r="N841" s="203"/>
      <c r="O841" s="203"/>
      <c r="P841" s="205"/>
      <c r="Q841" s="204"/>
    </row>
    <row r="842" spans="1:17" ht="30" customHeight="1">
      <c r="A842" s="204"/>
      <c r="B842" s="352"/>
      <c r="C842" s="202"/>
      <c r="D842" s="202"/>
      <c r="E842" s="202"/>
      <c r="F842" s="304"/>
      <c r="G842" s="211"/>
      <c r="H842" s="211"/>
      <c r="I842" s="203"/>
      <c r="J842" s="203"/>
      <c r="K842" s="203"/>
      <c r="L842" s="203"/>
      <c r="M842" s="203"/>
      <c r="N842" s="203"/>
      <c r="O842" s="203"/>
      <c r="P842" s="205"/>
      <c r="Q842" s="204"/>
    </row>
    <row r="843" spans="1:17" ht="30" customHeight="1">
      <c r="A843" s="204"/>
      <c r="B843" s="352"/>
      <c r="C843" s="202"/>
      <c r="D843" s="202"/>
      <c r="E843" s="202"/>
      <c r="F843" s="304"/>
      <c r="G843" s="211"/>
      <c r="H843" s="211"/>
      <c r="I843" s="203"/>
      <c r="J843" s="203"/>
      <c r="K843" s="203"/>
      <c r="L843" s="203"/>
      <c r="M843" s="203"/>
      <c r="N843" s="203"/>
      <c r="O843" s="203"/>
      <c r="P843" s="205"/>
      <c r="Q843" s="204"/>
    </row>
    <row r="844" spans="1:17" ht="30" customHeight="1">
      <c r="A844" s="204"/>
      <c r="B844" s="352"/>
      <c r="C844" s="202"/>
      <c r="D844" s="202"/>
      <c r="E844" s="202"/>
      <c r="F844" s="304"/>
      <c r="G844" s="211"/>
      <c r="H844" s="211"/>
      <c r="I844" s="203"/>
      <c r="J844" s="203"/>
      <c r="K844" s="203"/>
      <c r="L844" s="203"/>
      <c r="M844" s="203"/>
      <c r="N844" s="203"/>
      <c r="O844" s="203"/>
      <c r="P844" s="205"/>
      <c r="Q844" s="204"/>
    </row>
    <row r="845" spans="1:17" ht="30" customHeight="1">
      <c r="A845" s="204"/>
      <c r="B845" s="352"/>
      <c r="C845" s="202"/>
      <c r="D845" s="202"/>
      <c r="E845" s="202"/>
      <c r="F845" s="304"/>
      <c r="G845" s="211"/>
      <c r="H845" s="211"/>
      <c r="I845" s="203"/>
      <c r="J845" s="203"/>
      <c r="K845" s="203"/>
      <c r="L845" s="203"/>
      <c r="M845" s="203"/>
      <c r="N845" s="203"/>
      <c r="O845" s="203"/>
      <c r="P845" s="205"/>
      <c r="Q845" s="204"/>
    </row>
    <row r="846" spans="1:17" ht="30" customHeight="1">
      <c r="A846" s="204"/>
      <c r="B846" s="352"/>
      <c r="C846" s="202"/>
      <c r="D846" s="202"/>
      <c r="E846" s="202"/>
      <c r="F846" s="304"/>
      <c r="G846" s="211"/>
      <c r="H846" s="211"/>
      <c r="I846" s="203"/>
      <c r="J846" s="203"/>
      <c r="K846" s="203"/>
      <c r="L846" s="203"/>
      <c r="M846" s="203"/>
      <c r="N846" s="203"/>
      <c r="O846" s="203"/>
      <c r="P846" s="205"/>
      <c r="Q846" s="204"/>
    </row>
    <row r="847" spans="1:17" ht="30" customHeight="1">
      <c r="A847" s="204"/>
      <c r="B847" s="352"/>
      <c r="C847" s="202"/>
      <c r="D847" s="202"/>
      <c r="E847" s="202"/>
      <c r="F847" s="304"/>
      <c r="G847" s="211"/>
      <c r="H847" s="211"/>
      <c r="I847" s="203"/>
      <c r="J847" s="203"/>
      <c r="K847" s="203"/>
      <c r="L847" s="203"/>
      <c r="M847" s="203"/>
      <c r="N847" s="203"/>
      <c r="O847" s="203"/>
      <c r="P847" s="205"/>
      <c r="Q847" s="204"/>
    </row>
    <row r="848" spans="1:17" ht="30" customHeight="1">
      <c r="A848" s="204"/>
      <c r="B848" s="352"/>
      <c r="C848" s="202"/>
      <c r="D848" s="202"/>
      <c r="E848" s="202"/>
      <c r="F848" s="304"/>
      <c r="G848" s="211"/>
      <c r="H848" s="211"/>
      <c r="I848" s="203"/>
      <c r="J848" s="203"/>
      <c r="K848" s="203"/>
      <c r="L848" s="203"/>
      <c r="M848" s="203"/>
      <c r="N848" s="203"/>
      <c r="O848" s="203"/>
      <c r="P848" s="205"/>
      <c r="Q848" s="204"/>
    </row>
    <row r="849" spans="1:17" ht="30" customHeight="1">
      <c r="A849" s="204"/>
      <c r="B849" s="352"/>
      <c r="C849" s="202"/>
      <c r="D849" s="202"/>
      <c r="E849" s="202"/>
      <c r="F849" s="304"/>
      <c r="G849" s="211"/>
      <c r="H849" s="211"/>
      <c r="I849" s="203"/>
      <c r="J849" s="203"/>
      <c r="K849" s="203"/>
      <c r="L849" s="203"/>
      <c r="M849" s="203"/>
      <c r="N849" s="203"/>
      <c r="O849" s="203"/>
      <c r="P849" s="205"/>
      <c r="Q849" s="204"/>
    </row>
    <row r="850" spans="1:17" ht="30" customHeight="1">
      <c r="A850" s="204"/>
      <c r="B850" s="352"/>
      <c r="C850" s="202"/>
      <c r="D850" s="202"/>
      <c r="E850" s="202"/>
      <c r="F850" s="304"/>
      <c r="G850" s="211"/>
      <c r="H850" s="211"/>
      <c r="I850" s="203"/>
      <c r="J850" s="203"/>
      <c r="K850" s="203"/>
      <c r="L850" s="203"/>
      <c r="M850" s="203"/>
      <c r="N850" s="203"/>
      <c r="O850" s="203"/>
      <c r="P850" s="205"/>
      <c r="Q850" s="204"/>
    </row>
    <row r="851" spans="1:17" ht="30" customHeight="1">
      <c r="A851" s="204"/>
      <c r="B851" s="352"/>
      <c r="C851" s="202"/>
      <c r="D851" s="202"/>
      <c r="E851" s="202"/>
      <c r="F851" s="304"/>
      <c r="G851" s="211"/>
      <c r="H851" s="211"/>
      <c r="I851" s="203"/>
      <c r="J851" s="203"/>
      <c r="K851" s="203"/>
      <c r="L851" s="203"/>
      <c r="M851" s="203"/>
      <c r="N851" s="203"/>
      <c r="O851" s="203"/>
      <c r="P851" s="205"/>
      <c r="Q851" s="204"/>
    </row>
    <row r="852" spans="1:17" ht="30" customHeight="1">
      <c r="A852" s="204"/>
      <c r="B852" s="352"/>
      <c r="C852" s="202"/>
      <c r="D852" s="202"/>
      <c r="E852" s="202"/>
      <c r="F852" s="304"/>
      <c r="G852" s="211"/>
      <c r="H852" s="211"/>
      <c r="I852" s="203"/>
      <c r="J852" s="203"/>
      <c r="K852" s="203"/>
      <c r="L852" s="203"/>
      <c r="M852" s="203"/>
      <c r="N852" s="203"/>
      <c r="O852" s="203"/>
      <c r="P852" s="205"/>
      <c r="Q852" s="204"/>
    </row>
    <row r="853" spans="1:17" ht="30" customHeight="1">
      <c r="A853" s="204"/>
      <c r="B853" s="352"/>
      <c r="C853" s="202"/>
      <c r="D853" s="202"/>
      <c r="E853" s="202"/>
      <c r="F853" s="304"/>
      <c r="G853" s="211"/>
      <c r="H853" s="211"/>
      <c r="I853" s="203"/>
      <c r="J853" s="203"/>
      <c r="K853" s="203"/>
      <c r="L853" s="203"/>
      <c r="M853" s="203"/>
      <c r="N853" s="203"/>
      <c r="O853" s="203"/>
      <c r="P853" s="205"/>
      <c r="Q853" s="204"/>
    </row>
    <row r="854" spans="1:17" ht="30" customHeight="1">
      <c r="A854" s="204"/>
      <c r="B854" s="352"/>
      <c r="C854" s="202"/>
      <c r="D854" s="202"/>
      <c r="E854" s="202"/>
      <c r="F854" s="304"/>
      <c r="G854" s="211"/>
      <c r="H854" s="211"/>
      <c r="I854" s="203"/>
      <c r="J854" s="203"/>
      <c r="K854" s="203"/>
      <c r="L854" s="203"/>
      <c r="M854" s="203"/>
      <c r="N854" s="203"/>
      <c r="O854" s="203"/>
      <c r="P854" s="205"/>
      <c r="Q854" s="204"/>
    </row>
    <row r="855" spans="1:17" ht="30" customHeight="1">
      <c r="A855" s="204"/>
      <c r="B855" s="352"/>
      <c r="C855" s="202"/>
      <c r="D855" s="202"/>
      <c r="E855" s="202"/>
      <c r="F855" s="304"/>
      <c r="G855" s="211"/>
      <c r="H855" s="211"/>
      <c r="I855" s="203"/>
      <c r="J855" s="203"/>
      <c r="K855" s="203"/>
      <c r="L855" s="203"/>
      <c r="M855" s="203"/>
      <c r="N855" s="203"/>
      <c r="O855" s="203"/>
      <c r="P855" s="205"/>
      <c r="Q855" s="204"/>
    </row>
    <row r="856" spans="1:17" ht="30" customHeight="1">
      <c r="A856" s="204"/>
      <c r="B856" s="352"/>
      <c r="C856" s="202"/>
      <c r="D856" s="202"/>
      <c r="E856" s="202"/>
      <c r="F856" s="304"/>
      <c r="G856" s="211"/>
      <c r="H856" s="211"/>
      <c r="I856" s="203"/>
      <c r="J856" s="203"/>
      <c r="K856" s="203"/>
      <c r="L856" s="203"/>
      <c r="M856" s="203"/>
      <c r="N856" s="203"/>
      <c r="O856" s="203"/>
      <c r="P856" s="205"/>
      <c r="Q856" s="204"/>
    </row>
    <row r="857" spans="1:17" ht="30" customHeight="1">
      <c r="A857" s="204"/>
      <c r="B857" s="352"/>
      <c r="C857" s="202"/>
      <c r="D857" s="202"/>
      <c r="E857" s="202"/>
      <c r="F857" s="304"/>
      <c r="G857" s="211"/>
      <c r="H857" s="211"/>
      <c r="I857" s="203"/>
      <c r="J857" s="203"/>
      <c r="K857" s="203"/>
      <c r="L857" s="203"/>
      <c r="M857" s="203"/>
      <c r="N857" s="203"/>
      <c r="O857" s="203"/>
      <c r="P857" s="205"/>
      <c r="Q857" s="204"/>
    </row>
    <row r="858" spans="1:17" ht="30" customHeight="1">
      <c r="A858" s="204"/>
      <c r="B858" s="352"/>
      <c r="C858" s="202"/>
      <c r="D858" s="202"/>
      <c r="E858" s="202"/>
      <c r="F858" s="304"/>
      <c r="G858" s="211"/>
      <c r="H858" s="211"/>
      <c r="I858" s="203"/>
      <c r="J858" s="203"/>
      <c r="K858" s="203"/>
      <c r="L858" s="203"/>
      <c r="M858" s="203"/>
      <c r="N858" s="203"/>
      <c r="O858" s="203"/>
      <c r="P858" s="205"/>
      <c r="Q858" s="204"/>
    </row>
    <row r="859" spans="1:17" ht="30" customHeight="1">
      <c r="A859" s="204"/>
      <c r="B859" s="352"/>
      <c r="C859" s="202"/>
      <c r="D859" s="202"/>
      <c r="E859" s="202"/>
      <c r="F859" s="304"/>
      <c r="G859" s="211"/>
      <c r="H859" s="211"/>
      <c r="I859" s="203"/>
      <c r="J859" s="203"/>
      <c r="K859" s="203"/>
      <c r="L859" s="203"/>
      <c r="M859" s="203"/>
      <c r="N859" s="203"/>
      <c r="O859" s="203"/>
      <c r="P859" s="205"/>
      <c r="Q859" s="204"/>
    </row>
    <row r="860" spans="1:17" ht="30" customHeight="1">
      <c r="A860" s="204"/>
      <c r="B860" s="352"/>
      <c r="C860" s="202"/>
      <c r="D860" s="202"/>
      <c r="E860" s="202"/>
      <c r="F860" s="304"/>
      <c r="G860" s="211"/>
      <c r="H860" s="211"/>
      <c r="I860" s="203"/>
      <c r="J860" s="203"/>
      <c r="K860" s="203"/>
      <c r="L860" s="203"/>
      <c r="M860" s="203"/>
      <c r="N860" s="203"/>
      <c r="O860" s="203"/>
      <c r="P860" s="205"/>
      <c r="Q860" s="204"/>
    </row>
    <row r="861" spans="1:17" ht="30" customHeight="1">
      <c r="A861" s="204"/>
      <c r="B861" s="352"/>
      <c r="C861" s="202"/>
      <c r="D861" s="202"/>
      <c r="E861" s="202"/>
      <c r="F861" s="304"/>
      <c r="G861" s="211"/>
      <c r="H861" s="211"/>
      <c r="I861" s="203"/>
      <c r="J861" s="203"/>
      <c r="K861" s="203"/>
      <c r="L861" s="203"/>
      <c r="M861" s="203"/>
      <c r="N861" s="203"/>
      <c r="O861" s="203"/>
      <c r="P861" s="205"/>
      <c r="Q861" s="204"/>
    </row>
    <row r="862" spans="1:17" ht="30" customHeight="1">
      <c r="A862" s="204"/>
      <c r="B862" s="352"/>
      <c r="C862" s="202"/>
      <c r="D862" s="202"/>
      <c r="E862" s="202"/>
      <c r="F862" s="304"/>
      <c r="G862" s="211"/>
      <c r="H862" s="211"/>
      <c r="I862" s="203"/>
      <c r="J862" s="203"/>
      <c r="K862" s="203"/>
      <c r="L862" s="203"/>
      <c r="M862" s="203"/>
      <c r="N862" s="203"/>
      <c r="O862" s="203"/>
      <c r="P862" s="205"/>
      <c r="Q862" s="204"/>
    </row>
    <row r="863" spans="1:17" ht="30" customHeight="1">
      <c r="A863" s="204"/>
      <c r="B863" s="352"/>
      <c r="C863" s="202"/>
      <c r="D863" s="202"/>
      <c r="E863" s="202"/>
      <c r="F863" s="304"/>
      <c r="G863" s="211"/>
      <c r="H863" s="211"/>
      <c r="I863" s="203"/>
      <c r="J863" s="203"/>
      <c r="K863" s="203"/>
      <c r="L863" s="203"/>
      <c r="M863" s="203"/>
      <c r="N863" s="203"/>
      <c r="O863" s="203"/>
      <c r="P863" s="205"/>
      <c r="Q863" s="204"/>
    </row>
    <row r="864" spans="1:17" ht="30" customHeight="1">
      <c r="A864" s="204"/>
      <c r="B864" s="352"/>
      <c r="C864" s="202"/>
      <c r="D864" s="202"/>
      <c r="E864" s="202"/>
      <c r="F864" s="304"/>
      <c r="G864" s="211"/>
      <c r="H864" s="211"/>
      <c r="I864" s="203"/>
      <c r="J864" s="203"/>
      <c r="K864" s="203"/>
      <c r="L864" s="203"/>
      <c r="M864" s="203"/>
      <c r="N864" s="203"/>
      <c r="O864" s="203"/>
      <c r="P864" s="205"/>
      <c r="Q864" s="204"/>
    </row>
    <row r="865" spans="1:17" ht="30" customHeight="1">
      <c r="A865" s="204"/>
      <c r="B865" s="352"/>
      <c r="C865" s="202"/>
      <c r="D865" s="202"/>
      <c r="E865" s="202"/>
      <c r="F865" s="304"/>
      <c r="G865" s="211"/>
      <c r="H865" s="211"/>
      <c r="I865" s="203"/>
      <c r="J865" s="203"/>
      <c r="K865" s="203"/>
      <c r="L865" s="203"/>
      <c r="M865" s="203"/>
      <c r="N865" s="203"/>
      <c r="O865" s="203"/>
      <c r="P865" s="205"/>
      <c r="Q865" s="204"/>
    </row>
    <row r="866" spans="1:17" ht="30" customHeight="1">
      <c r="A866" s="204"/>
      <c r="B866" s="352"/>
      <c r="C866" s="202"/>
      <c r="D866" s="202"/>
      <c r="E866" s="202"/>
      <c r="F866" s="304"/>
      <c r="G866" s="211"/>
      <c r="H866" s="211"/>
      <c r="I866" s="203"/>
      <c r="J866" s="203"/>
      <c r="K866" s="203"/>
      <c r="L866" s="203"/>
      <c r="M866" s="203"/>
      <c r="N866" s="203"/>
      <c r="O866" s="203"/>
      <c r="P866" s="205"/>
      <c r="Q866" s="204"/>
    </row>
    <row r="867" spans="1:17" ht="30" customHeight="1">
      <c r="A867" s="204"/>
      <c r="B867" s="352"/>
      <c r="C867" s="202"/>
      <c r="D867" s="202"/>
      <c r="E867" s="202"/>
      <c r="F867" s="304"/>
      <c r="G867" s="211"/>
      <c r="H867" s="211"/>
      <c r="I867" s="203"/>
      <c r="J867" s="203"/>
      <c r="K867" s="203"/>
      <c r="L867" s="203"/>
      <c r="M867" s="203"/>
      <c r="N867" s="203"/>
      <c r="O867" s="203"/>
      <c r="P867" s="205"/>
      <c r="Q867" s="204"/>
    </row>
    <row r="868" spans="1:17" ht="30" customHeight="1">
      <c r="A868" s="204"/>
      <c r="B868" s="352"/>
      <c r="C868" s="202"/>
      <c r="D868" s="202"/>
      <c r="E868" s="202"/>
      <c r="F868" s="304"/>
      <c r="G868" s="211"/>
      <c r="H868" s="211"/>
      <c r="I868" s="203"/>
      <c r="J868" s="203"/>
      <c r="K868" s="203"/>
      <c r="L868" s="203"/>
      <c r="M868" s="203"/>
      <c r="N868" s="203"/>
      <c r="O868" s="203"/>
      <c r="P868" s="205"/>
      <c r="Q868" s="204"/>
    </row>
    <row r="869" spans="1:17" ht="30" customHeight="1">
      <c r="A869" s="204"/>
      <c r="B869" s="352"/>
      <c r="C869" s="202"/>
      <c r="D869" s="202"/>
      <c r="E869" s="202"/>
      <c r="F869" s="304"/>
      <c r="G869" s="211"/>
      <c r="H869" s="211"/>
      <c r="I869" s="203"/>
      <c r="J869" s="203"/>
      <c r="K869" s="203"/>
      <c r="L869" s="203"/>
      <c r="M869" s="203"/>
      <c r="N869" s="203"/>
      <c r="O869" s="203"/>
      <c r="P869" s="205"/>
      <c r="Q869" s="204"/>
    </row>
    <row r="870" spans="1:17" ht="30" customHeight="1">
      <c r="A870" s="204"/>
      <c r="B870" s="352"/>
      <c r="C870" s="202"/>
      <c r="D870" s="202"/>
      <c r="E870" s="202"/>
      <c r="F870" s="304"/>
      <c r="G870" s="211"/>
      <c r="H870" s="211"/>
      <c r="I870" s="203"/>
      <c r="J870" s="203"/>
      <c r="K870" s="203"/>
      <c r="L870" s="203"/>
      <c r="M870" s="203"/>
      <c r="N870" s="203"/>
      <c r="O870" s="203"/>
      <c r="P870" s="205"/>
      <c r="Q870" s="204"/>
    </row>
    <row r="871" spans="1:17" ht="30" customHeight="1">
      <c r="A871" s="204"/>
      <c r="B871" s="352"/>
      <c r="C871" s="202"/>
      <c r="D871" s="202"/>
      <c r="E871" s="202"/>
      <c r="F871" s="304"/>
      <c r="G871" s="211"/>
      <c r="H871" s="211"/>
      <c r="I871" s="203"/>
      <c r="J871" s="203"/>
      <c r="K871" s="203"/>
      <c r="L871" s="203"/>
      <c r="M871" s="203"/>
      <c r="N871" s="203"/>
      <c r="O871" s="203"/>
      <c r="P871" s="205"/>
      <c r="Q871" s="204"/>
    </row>
    <row r="872" spans="1:17" ht="30" customHeight="1">
      <c r="A872" s="204"/>
      <c r="B872" s="352"/>
      <c r="C872" s="202"/>
      <c r="D872" s="202"/>
      <c r="E872" s="202"/>
      <c r="F872" s="304"/>
      <c r="G872" s="211"/>
      <c r="H872" s="211"/>
      <c r="I872" s="203"/>
      <c r="J872" s="203"/>
      <c r="K872" s="203"/>
      <c r="L872" s="203"/>
      <c r="M872" s="203"/>
      <c r="N872" s="203"/>
      <c r="O872" s="203"/>
      <c r="P872" s="205"/>
      <c r="Q872" s="204"/>
    </row>
    <row r="873" spans="1:17" ht="30" customHeight="1">
      <c r="A873" s="204"/>
      <c r="B873" s="352"/>
      <c r="C873" s="202"/>
      <c r="D873" s="202"/>
      <c r="E873" s="202"/>
      <c r="F873" s="304"/>
      <c r="G873" s="211"/>
      <c r="H873" s="211"/>
      <c r="I873" s="203"/>
      <c r="J873" s="203"/>
      <c r="K873" s="203"/>
      <c r="L873" s="203"/>
      <c r="M873" s="203"/>
      <c r="N873" s="203"/>
      <c r="O873" s="203"/>
      <c r="P873" s="205"/>
      <c r="Q873" s="204"/>
    </row>
    <row r="874" spans="1:17" ht="30" customHeight="1">
      <c r="A874" s="204"/>
      <c r="B874" s="352"/>
      <c r="C874" s="202"/>
      <c r="D874" s="202"/>
      <c r="E874" s="202"/>
      <c r="F874" s="304"/>
      <c r="G874" s="211"/>
      <c r="H874" s="211"/>
      <c r="I874" s="203"/>
      <c r="J874" s="203"/>
      <c r="K874" s="203"/>
      <c r="L874" s="203"/>
      <c r="M874" s="203"/>
      <c r="N874" s="203"/>
      <c r="O874" s="203"/>
      <c r="P874" s="205"/>
      <c r="Q874" s="204"/>
    </row>
    <row r="875" spans="1:17" ht="30" customHeight="1">
      <c r="A875" s="204"/>
      <c r="B875" s="352"/>
      <c r="C875" s="202"/>
      <c r="D875" s="202"/>
      <c r="E875" s="202"/>
      <c r="F875" s="304"/>
      <c r="G875" s="211"/>
      <c r="H875" s="211"/>
      <c r="I875" s="203"/>
      <c r="J875" s="203"/>
      <c r="K875" s="203"/>
      <c r="L875" s="203"/>
      <c r="M875" s="203"/>
      <c r="N875" s="203"/>
      <c r="O875" s="203"/>
      <c r="P875" s="205"/>
      <c r="Q875" s="204"/>
    </row>
    <row r="876" spans="1:17" ht="30" customHeight="1">
      <c r="A876" s="204"/>
      <c r="B876" s="352"/>
      <c r="C876" s="202"/>
      <c r="D876" s="202"/>
      <c r="E876" s="202"/>
      <c r="F876" s="304"/>
      <c r="G876" s="211"/>
      <c r="H876" s="211"/>
      <c r="I876" s="203"/>
      <c r="J876" s="203"/>
      <c r="K876" s="203"/>
      <c r="L876" s="203"/>
      <c r="M876" s="203"/>
      <c r="N876" s="203"/>
      <c r="O876" s="203"/>
      <c r="P876" s="205"/>
      <c r="Q876" s="204"/>
    </row>
    <row r="877" spans="1:17" ht="30" customHeight="1">
      <c r="A877" s="204"/>
      <c r="B877" s="352"/>
      <c r="C877" s="202"/>
      <c r="D877" s="202"/>
      <c r="E877" s="202"/>
      <c r="F877" s="304"/>
      <c r="G877" s="211"/>
      <c r="H877" s="211"/>
      <c r="I877" s="203"/>
      <c r="J877" s="203"/>
      <c r="K877" s="203"/>
      <c r="L877" s="203"/>
      <c r="M877" s="203"/>
      <c r="N877" s="203"/>
      <c r="O877" s="203"/>
      <c r="P877" s="205"/>
      <c r="Q877" s="204"/>
    </row>
    <row r="878" spans="1:17" ht="30" customHeight="1">
      <c r="A878" s="204"/>
      <c r="B878" s="352"/>
      <c r="C878" s="202"/>
      <c r="D878" s="202"/>
      <c r="E878" s="202"/>
      <c r="F878" s="304"/>
      <c r="G878" s="211"/>
      <c r="H878" s="211"/>
      <c r="I878" s="203"/>
      <c r="J878" s="203"/>
      <c r="K878" s="203"/>
      <c r="L878" s="203"/>
      <c r="M878" s="203"/>
      <c r="N878" s="203"/>
      <c r="O878" s="203"/>
      <c r="P878" s="205"/>
      <c r="Q878" s="204"/>
    </row>
    <row r="879" spans="1:17" ht="30" customHeight="1">
      <c r="A879" s="204"/>
      <c r="B879" s="352"/>
      <c r="C879" s="202"/>
      <c r="D879" s="202"/>
      <c r="E879" s="202"/>
      <c r="F879" s="304"/>
      <c r="G879" s="211"/>
      <c r="H879" s="211"/>
      <c r="I879" s="203"/>
      <c r="J879" s="203"/>
      <c r="K879" s="203"/>
      <c r="L879" s="203"/>
      <c r="M879" s="203"/>
      <c r="N879" s="203"/>
      <c r="O879" s="203"/>
      <c r="P879" s="205"/>
      <c r="Q879" s="204"/>
    </row>
    <row r="880" spans="1:17" ht="30" customHeight="1">
      <c r="A880" s="204"/>
      <c r="B880" s="352"/>
      <c r="C880" s="202"/>
      <c r="D880" s="202"/>
      <c r="E880" s="202"/>
      <c r="F880" s="304"/>
      <c r="G880" s="211"/>
      <c r="H880" s="211"/>
      <c r="I880" s="203"/>
      <c r="J880" s="203"/>
      <c r="K880" s="203"/>
      <c r="L880" s="203"/>
      <c r="M880" s="203"/>
      <c r="N880" s="203"/>
      <c r="O880" s="203"/>
      <c r="P880" s="205"/>
      <c r="Q880" s="204"/>
    </row>
    <row r="881" spans="1:17" ht="30" customHeight="1">
      <c r="A881" s="204"/>
      <c r="B881" s="352"/>
      <c r="C881" s="202"/>
      <c r="D881" s="202"/>
      <c r="E881" s="202"/>
      <c r="F881" s="304"/>
      <c r="G881" s="211"/>
      <c r="H881" s="211"/>
      <c r="I881" s="203"/>
      <c r="J881" s="203"/>
      <c r="K881" s="203"/>
      <c r="L881" s="203"/>
      <c r="M881" s="203"/>
      <c r="N881" s="203"/>
      <c r="O881" s="203"/>
      <c r="P881" s="205"/>
      <c r="Q881" s="204"/>
    </row>
    <row r="882" spans="1:17" ht="30" customHeight="1">
      <c r="A882" s="204"/>
      <c r="B882" s="352"/>
      <c r="C882" s="202"/>
      <c r="D882" s="202"/>
      <c r="E882" s="202"/>
      <c r="F882" s="304"/>
      <c r="G882" s="211"/>
      <c r="H882" s="211"/>
      <c r="I882" s="203"/>
      <c r="J882" s="203"/>
      <c r="K882" s="203"/>
      <c r="L882" s="203"/>
      <c r="M882" s="203"/>
      <c r="N882" s="203"/>
      <c r="O882" s="203"/>
      <c r="P882" s="205"/>
      <c r="Q882" s="204"/>
    </row>
    <row r="883" spans="1:17" ht="30" customHeight="1">
      <c r="A883" s="204"/>
      <c r="B883" s="352"/>
      <c r="C883" s="202"/>
      <c r="D883" s="202"/>
      <c r="E883" s="202"/>
      <c r="F883" s="304"/>
      <c r="G883" s="211"/>
      <c r="H883" s="211"/>
      <c r="I883" s="203"/>
      <c r="J883" s="203"/>
      <c r="K883" s="203"/>
      <c r="L883" s="203"/>
      <c r="M883" s="203"/>
      <c r="N883" s="203"/>
      <c r="O883" s="203"/>
      <c r="P883" s="205"/>
      <c r="Q883" s="204"/>
    </row>
    <row r="884" spans="1:17" ht="30" customHeight="1">
      <c r="A884" s="204"/>
      <c r="B884" s="352"/>
      <c r="C884" s="202"/>
      <c r="D884" s="202"/>
      <c r="E884" s="202"/>
      <c r="F884" s="304"/>
      <c r="G884" s="211"/>
      <c r="H884" s="211"/>
      <c r="I884" s="203"/>
      <c r="J884" s="203"/>
      <c r="K884" s="203"/>
      <c r="L884" s="203"/>
      <c r="M884" s="203"/>
      <c r="N884" s="203"/>
      <c r="O884" s="203"/>
      <c r="P884" s="205"/>
      <c r="Q884" s="204"/>
    </row>
    <row r="885" spans="1:17" ht="30" customHeight="1">
      <c r="A885" s="204"/>
      <c r="B885" s="352"/>
      <c r="C885" s="202"/>
      <c r="D885" s="202"/>
      <c r="E885" s="202"/>
      <c r="F885" s="304"/>
      <c r="G885" s="211"/>
      <c r="H885" s="211"/>
      <c r="I885" s="203"/>
      <c r="J885" s="203"/>
      <c r="K885" s="203"/>
      <c r="L885" s="203"/>
      <c r="M885" s="203"/>
      <c r="N885" s="203"/>
      <c r="O885" s="203"/>
      <c r="P885" s="205"/>
      <c r="Q885" s="204"/>
    </row>
    <row r="886" spans="1:17" ht="30" customHeight="1">
      <c r="A886" s="204"/>
      <c r="B886" s="352"/>
      <c r="C886" s="202"/>
      <c r="D886" s="202"/>
      <c r="E886" s="202"/>
      <c r="F886" s="304"/>
      <c r="G886" s="211"/>
      <c r="H886" s="211"/>
      <c r="I886" s="203"/>
      <c r="J886" s="203"/>
      <c r="K886" s="203"/>
      <c r="L886" s="203"/>
      <c r="M886" s="203"/>
      <c r="N886" s="203"/>
      <c r="O886" s="203"/>
      <c r="P886" s="205"/>
      <c r="Q886" s="204"/>
    </row>
    <row r="887" spans="1:17" ht="30" customHeight="1">
      <c r="A887" s="204"/>
      <c r="B887" s="352"/>
      <c r="C887" s="202"/>
      <c r="D887" s="202"/>
      <c r="E887" s="202"/>
      <c r="F887" s="304"/>
      <c r="G887" s="211"/>
      <c r="H887" s="211"/>
      <c r="I887" s="203"/>
      <c r="J887" s="203"/>
      <c r="K887" s="203"/>
      <c r="L887" s="203"/>
      <c r="M887" s="203"/>
      <c r="N887" s="203"/>
      <c r="O887" s="203"/>
      <c r="P887" s="205"/>
      <c r="Q887" s="204"/>
    </row>
    <row r="888" spans="1:17" ht="30" customHeight="1">
      <c r="A888" s="204"/>
      <c r="B888" s="352"/>
      <c r="C888" s="202"/>
      <c r="D888" s="202"/>
      <c r="E888" s="202"/>
      <c r="F888" s="304"/>
      <c r="G888" s="211"/>
      <c r="H888" s="211"/>
      <c r="I888" s="203"/>
      <c r="J888" s="203"/>
      <c r="K888" s="203"/>
      <c r="L888" s="203"/>
      <c r="M888" s="203"/>
      <c r="N888" s="203"/>
      <c r="O888" s="203"/>
      <c r="P888" s="205"/>
      <c r="Q888" s="204"/>
    </row>
    <row r="889" spans="1:17" ht="30" customHeight="1">
      <c r="A889" s="204"/>
      <c r="B889" s="352"/>
      <c r="C889" s="202"/>
      <c r="D889" s="202"/>
      <c r="E889" s="202"/>
      <c r="F889" s="304"/>
      <c r="G889" s="211"/>
      <c r="H889" s="211"/>
      <c r="I889" s="203"/>
      <c r="J889" s="203"/>
      <c r="K889" s="203"/>
      <c r="L889" s="203"/>
      <c r="M889" s="203"/>
      <c r="N889" s="203"/>
      <c r="O889" s="203"/>
      <c r="P889" s="205"/>
      <c r="Q889" s="204"/>
    </row>
    <row r="890" spans="1:17" ht="30" customHeight="1">
      <c r="A890" s="204"/>
      <c r="B890" s="352"/>
      <c r="C890" s="202"/>
      <c r="D890" s="202"/>
      <c r="E890" s="202"/>
      <c r="F890" s="304"/>
      <c r="G890" s="211"/>
      <c r="H890" s="211"/>
      <c r="I890" s="203"/>
      <c r="J890" s="203"/>
      <c r="K890" s="203"/>
      <c r="L890" s="203"/>
      <c r="M890" s="203"/>
      <c r="N890" s="203"/>
      <c r="O890" s="203"/>
      <c r="P890" s="205"/>
      <c r="Q890" s="204"/>
    </row>
    <row r="891" spans="1:17" ht="30" customHeight="1">
      <c r="A891" s="204"/>
      <c r="B891" s="352"/>
      <c r="C891" s="202"/>
      <c r="D891" s="202"/>
      <c r="E891" s="202"/>
      <c r="F891" s="304"/>
      <c r="G891" s="211"/>
      <c r="H891" s="211"/>
      <c r="I891" s="203"/>
      <c r="J891" s="203"/>
      <c r="K891" s="203"/>
      <c r="L891" s="203"/>
      <c r="M891" s="203"/>
      <c r="N891" s="203"/>
      <c r="O891" s="203"/>
      <c r="P891" s="205"/>
      <c r="Q891" s="204"/>
    </row>
    <row r="892" spans="1:17" ht="30" customHeight="1">
      <c r="A892" s="204"/>
      <c r="B892" s="352"/>
      <c r="C892" s="202"/>
      <c r="D892" s="202"/>
      <c r="E892" s="202"/>
      <c r="F892" s="304"/>
      <c r="G892" s="211"/>
      <c r="H892" s="211"/>
      <c r="I892" s="203"/>
      <c r="J892" s="203"/>
      <c r="K892" s="203"/>
      <c r="L892" s="203"/>
      <c r="M892" s="203"/>
      <c r="N892" s="203"/>
      <c r="O892" s="203"/>
      <c r="P892" s="205"/>
      <c r="Q892" s="204"/>
    </row>
    <row r="893" spans="1:17" ht="30" customHeight="1">
      <c r="A893" s="204"/>
      <c r="B893" s="352"/>
      <c r="C893" s="202"/>
      <c r="D893" s="202"/>
      <c r="E893" s="202"/>
      <c r="F893" s="304"/>
      <c r="G893" s="211"/>
      <c r="H893" s="211"/>
      <c r="I893" s="203"/>
      <c r="J893" s="203"/>
      <c r="K893" s="203"/>
      <c r="L893" s="203"/>
      <c r="M893" s="203"/>
      <c r="N893" s="203"/>
      <c r="O893" s="203"/>
      <c r="P893" s="205"/>
      <c r="Q893" s="204"/>
    </row>
    <row r="894" spans="1:17" ht="30" customHeight="1">
      <c r="A894" s="204"/>
      <c r="B894" s="352"/>
      <c r="C894" s="202"/>
      <c r="D894" s="202"/>
      <c r="E894" s="202"/>
      <c r="F894" s="304"/>
      <c r="G894" s="211"/>
      <c r="H894" s="211"/>
      <c r="I894" s="203"/>
      <c r="J894" s="203"/>
      <c r="K894" s="203"/>
      <c r="L894" s="203"/>
      <c r="M894" s="203"/>
      <c r="N894" s="203"/>
      <c r="O894" s="203"/>
      <c r="P894" s="205"/>
      <c r="Q894" s="204"/>
    </row>
    <row r="895" spans="1:17" ht="30" customHeight="1">
      <c r="A895" s="204"/>
      <c r="B895" s="352"/>
      <c r="C895" s="202"/>
      <c r="D895" s="202"/>
      <c r="E895" s="202"/>
      <c r="F895" s="304"/>
      <c r="G895" s="211"/>
      <c r="H895" s="211"/>
      <c r="I895" s="203"/>
      <c r="J895" s="203"/>
      <c r="K895" s="203"/>
      <c r="L895" s="203"/>
      <c r="M895" s="203"/>
      <c r="N895" s="203"/>
      <c r="O895" s="203"/>
      <c r="P895" s="205"/>
      <c r="Q895" s="204"/>
    </row>
    <row r="896" spans="1:17" ht="30" customHeight="1">
      <c r="A896" s="204"/>
      <c r="B896" s="352"/>
      <c r="C896" s="202"/>
      <c r="D896" s="202"/>
      <c r="E896" s="202"/>
      <c r="F896" s="304"/>
      <c r="G896" s="211"/>
      <c r="H896" s="211"/>
      <c r="I896" s="203"/>
      <c r="J896" s="203"/>
      <c r="K896" s="203"/>
      <c r="L896" s="203"/>
      <c r="M896" s="203"/>
      <c r="N896" s="203"/>
      <c r="O896" s="203"/>
      <c r="P896" s="205"/>
      <c r="Q896" s="204"/>
    </row>
    <row r="897" spans="1:17" ht="30" customHeight="1">
      <c r="A897" s="204"/>
      <c r="B897" s="352"/>
      <c r="C897" s="202"/>
      <c r="D897" s="202"/>
      <c r="E897" s="202"/>
      <c r="F897" s="304"/>
      <c r="G897" s="211"/>
      <c r="H897" s="211"/>
      <c r="I897" s="203"/>
      <c r="J897" s="203"/>
      <c r="K897" s="203"/>
      <c r="L897" s="203"/>
      <c r="M897" s="203"/>
      <c r="N897" s="203"/>
      <c r="O897" s="203"/>
      <c r="P897" s="205"/>
      <c r="Q897" s="204"/>
    </row>
    <row r="898" spans="1:17" ht="30" customHeight="1">
      <c r="A898" s="204"/>
      <c r="B898" s="352"/>
      <c r="C898" s="202"/>
      <c r="D898" s="202"/>
      <c r="E898" s="202"/>
      <c r="F898" s="304"/>
      <c r="G898" s="211"/>
      <c r="H898" s="211"/>
      <c r="I898" s="203"/>
      <c r="J898" s="203"/>
      <c r="K898" s="203"/>
      <c r="L898" s="203"/>
      <c r="M898" s="203"/>
      <c r="N898" s="203"/>
      <c r="O898" s="203"/>
      <c r="P898" s="205"/>
      <c r="Q898" s="204"/>
    </row>
    <row r="899" spans="1:17" ht="30" customHeight="1">
      <c r="A899" s="204"/>
      <c r="B899" s="352"/>
      <c r="C899" s="202"/>
      <c r="D899" s="202"/>
      <c r="E899" s="202"/>
      <c r="F899" s="304"/>
      <c r="G899" s="211"/>
      <c r="H899" s="211"/>
      <c r="I899" s="203"/>
      <c r="J899" s="203"/>
      <c r="K899" s="203"/>
      <c r="L899" s="203"/>
      <c r="M899" s="203"/>
      <c r="N899" s="203"/>
      <c r="O899" s="203"/>
      <c r="P899" s="205"/>
      <c r="Q899" s="204"/>
    </row>
    <row r="900" spans="1:17" ht="30" customHeight="1">
      <c r="A900" s="204"/>
      <c r="B900" s="352"/>
      <c r="C900" s="202"/>
      <c r="D900" s="202"/>
      <c r="E900" s="202"/>
      <c r="F900" s="304"/>
      <c r="G900" s="211"/>
      <c r="H900" s="211"/>
      <c r="I900" s="203"/>
      <c r="J900" s="203"/>
      <c r="K900" s="203"/>
      <c r="L900" s="203"/>
      <c r="M900" s="203"/>
      <c r="N900" s="203"/>
      <c r="O900" s="203"/>
      <c r="P900" s="205"/>
      <c r="Q900" s="204"/>
    </row>
    <row r="901" spans="1:17" ht="30" customHeight="1">
      <c r="A901" s="204"/>
      <c r="B901" s="352"/>
      <c r="C901" s="202"/>
      <c r="D901" s="202"/>
      <c r="E901" s="202"/>
      <c r="F901" s="304"/>
      <c r="G901" s="211"/>
      <c r="H901" s="211"/>
      <c r="I901" s="203"/>
      <c r="J901" s="203"/>
      <c r="K901" s="203"/>
      <c r="L901" s="203"/>
      <c r="M901" s="203"/>
      <c r="N901" s="203"/>
      <c r="O901" s="203"/>
      <c r="P901" s="205"/>
      <c r="Q901" s="204"/>
    </row>
    <row r="902" spans="1:17" ht="30" customHeight="1">
      <c r="A902" s="204"/>
      <c r="B902" s="352"/>
      <c r="C902" s="202"/>
      <c r="D902" s="202"/>
      <c r="E902" s="202"/>
      <c r="F902" s="304"/>
      <c r="G902" s="211"/>
      <c r="H902" s="211"/>
      <c r="I902" s="203"/>
      <c r="J902" s="203"/>
      <c r="K902" s="203"/>
      <c r="L902" s="203"/>
      <c r="M902" s="203"/>
      <c r="N902" s="203"/>
      <c r="O902" s="203"/>
      <c r="P902" s="205"/>
      <c r="Q902" s="204"/>
    </row>
    <row r="903" spans="1:17" ht="30" customHeight="1">
      <c r="A903" s="204"/>
      <c r="B903" s="352"/>
      <c r="C903" s="202"/>
      <c r="D903" s="202"/>
      <c r="E903" s="202"/>
      <c r="F903" s="304"/>
      <c r="G903" s="211"/>
      <c r="H903" s="211"/>
      <c r="I903" s="203"/>
      <c r="J903" s="203"/>
      <c r="K903" s="203"/>
      <c r="L903" s="203"/>
      <c r="M903" s="203"/>
      <c r="N903" s="203"/>
      <c r="O903" s="203"/>
      <c r="P903" s="205"/>
      <c r="Q903" s="204"/>
    </row>
    <row r="904" spans="1:17" ht="30" customHeight="1">
      <c r="A904" s="204"/>
      <c r="B904" s="352"/>
      <c r="C904" s="202"/>
      <c r="D904" s="202"/>
      <c r="E904" s="202"/>
      <c r="F904" s="304"/>
      <c r="G904" s="211"/>
      <c r="H904" s="211"/>
      <c r="I904" s="203"/>
      <c r="J904" s="203"/>
      <c r="K904" s="203"/>
      <c r="L904" s="203"/>
      <c r="M904" s="203"/>
      <c r="N904" s="203"/>
      <c r="O904" s="203"/>
      <c r="P904" s="205"/>
      <c r="Q904" s="204"/>
    </row>
    <row r="905" spans="1:17" ht="30" customHeight="1">
      <c r="A905" s="204"/>
      <c r="B905" s="352"/>
      <c r="C905" s="202"/>
      <c r="D905" s="202"/>
      <c r="E905" s="202"/>
      <c r="F905" s="304"/>
      <c r="G905" s="211"/>
      <c r="H905" s="211"/>
      <c r="I905" s="203"/>
      <c r="J905" s="203"/>
      <c r="K905" s="203"/>
      <c r="L905" s="203"/>
      <c r="M905" s="203"/>
      <c r="N905" s="203"/>
      <c r="O905" s="203"/>
      <c r="P905" s="205"/>
      <c r="Q905" s="204"/>
    </row>
    <row r="906" spans="1:17" ht="30" customHeight="1">
      <c r="A906" s="204"/>
      <c r="B906" s="352"/>
      <c r="C906" s="202"/>
      <c r="D906" s="202"/>
      <c r="E906" s="202"/>
      <c r="F906" s="304"/>
      <c r="G906" s="211"/>
      <c r="H906" s="211"/>
      <c r="I906" s="203"/>
      <c r="J906" s="203"/>
      <c r="K906" s="203"/>
      <c r="L906" s="203"/>
      <c r="M906" s="203"/>
      <c r="N906" s="203"/>
      <c r="O906" s="203"/>
      <c r="P906" s="205"/>
      <c r="Q906" s="204"/>
    </row>
    <row r="907" spans="1:17" ht="30" customHeight="1">
      <c r="A907" s="204"/>
      <c r="B907" s="352"/>
      <c r="C907" s="202"/>
      <c r="D907" s="202"/>
      <c r="E907" s="202"/>
      <c r="F907" s="304"/>
      <c r="G907" s="211"/>
      <c r="H907" s="211"/>
      <c r="I907" s="203"/>
      <c r="J907" s="203"/>
      <c r="K907" s="203"/>
      <c r="L907" s="203"/>
      <c r="M907" s="203"/>
      <c r="N907" s="203"/>
      <c r="O907" s="203"/>
      <c r="P907" s="205"/>
      <c r="Q907" s="204"/>
    </row>
    <row r="908" spans="1:17" ht="30" customHeight="1">
      <c r="A908" s="204"/>
      <c r="B908" s="352"/>
      <c r="C908" s="202"/>
      <c r="D908" s="202"/>
      <c r="E908" s="202"/>
      <c r="F908" s="304"/>
      <c r="G908" s="211"/>
      <c r="H908" s="211"/>
      <c r="I908" s="203"/>
      <c r="J908" s="203"/>
      <c r="K908" s="203"/>
      <c r="L908" s="203"/>
      <c r="M908" s="203"/>
      <c r="N908" s="203"/>
      <c r="O908" s="203"/>
      <c r="P908" s="205"/>
      <c r="Q908" s="204"/>
    </row>
    <row r="909" spans="1:17" ht="30" customHeight="1">
      <c r="A909" s="204"/>
      <c r="B909" s="352"/>
      <c r="C909" s="202"/>
      <c r="D909" s="202"/>
      <c r="E909" s="202"/>
      <c r="F909" s="304"/>
      <c r="G909" s="211"/>
      <c r="H909" s="211"/>
      <c r="I909" s="203"/>
      <c r="J909" s="203"/>
      <c r="K909" s="203"/>
      <c r="L909" s="203"/>
      <c r="M909" s="203"/>
      <c r="N909" s="203"/>
      <c r="O909" s="203"/>
      <c r="P909" s="205"/>
      <c r="Q909" s="204"/>
    </row>
    <row r="910" spans="1:17" ht="30" customHeight="1">
      <c r="A910" s="204"/>
      <c r="B910" s="352"/>
      <c r="C910" s="202"/>
      <c r="D910" s="202"/>
      <c r="E910" s="202"/>
      <c r="F910" s="304"/>
      <c r="G910" s="211"/>
      <c r="H910" s="211"/>
      <c r="I910" s="203"/>
      <c r="J910" s="203"/>
      <c r="K910" s="203"/>
      <c r="L910" s="203"/>
      <c r="M910" s="203"/>
      <c r="N910" s="203"/>
      <c r="O910" s="203"/>
      <c r="P910" s="205"/>
      <c r="Q910" s="204"/>
    </row>
    <row r="911" spans="1:17" ht="30" customHeight="1">
      <c r="A911" s="204"/>
      <c r="B911" s="352"/>
      <c r="C911" s="202"/>
      <c r="D911" s="202"/>
      <c r="E911" s="202"/>
      <c r="F911" s="304"/>
      <c r="G911" s="211"/>
      <c r="H911" s="211"/>
      <c r="I911" s="203"/>
      <c r="J911" s="203"/>
      <c r="K911" s="203"/>
      <c r="L911" s="203"/>
      <c r="M911" s="203"/>
      <c r="N911" s="203"/>
      <c r="O911" s="203"/>
      <c r="P911" s="205"/>
      <c r="Q911" s="204"/>
    </row>
    <row r="912" spans="1:17" ht="30" customHeight="1">
      <c r="A912" s="204"/>
      <c r="B912" s="352"/>
      <c r="C912" s="202"/>
      <c r="D912" s="202"/>
      <c r="E912" s="202"/>
      <c r="F912" s="304"/>
      <c r="G912" s="211"/>
      <c r="H912" s="211"/>
      <c r="I912" s="203"/>
      <c r="J912" s="203"/>
      <c r="K912" s="203"/>
      <c r="L912" s="203"/>
      <c r="M912" s="203"/>
      <c r="N912" s="203"/>
      <c r="O912" s="203"/>
      <c r="P912" s="205"/>
      <c r="Q912" s="204"/>
    </row>
    <row r="913" spans="1:17" ht="30" customHeight="1">
      <c r="A913" s="204"/>
      <c r="B913" s="352"/>
      <c r="C913" s="202"/>
      <c r="D913" s="202"/>
      <c r="E913" s="202"/>
      <c r="F913" s="304"/>
      <c r="G913" s="211"/>
      <c r="H913" s="211"/>
      <c r="I913" s="203"/>
      <c r="J913" s="203"/>
      <c r="K913" s="203"/>
      <c r="L913" s="203"/>
      <c r="M913" s="203"/>
      <c r="N913" s="203"/>
      <c r="O913" s="203"/>
      <c r="P913" s="205"/>
      <c r="Q913" s="204"/>
    </row>
    <row r="914" spans="1:17" ht="30" customHeight="1">
      <c r="A914" s="204"/>
      <c r="B914" s="352"/>
      <c r="C914" s="202"/>
      <c r="D914" s="202"/>
      <c r="E914" s="202"/>
      <c r="F914" s="304"/>
      <c r="G914" s="211"/>
      <c r="H914" s="211"/>
      <c r="I914" s="203"/>
      <c r="J914" s="203"/>
      <c r="K914" s="203"/>
      <c r="L914" s="203"/>
      <c r="M914" s="203"/>
      <c r="N914" s="203"/>
      <c r="O914" s="203"/>
      <c r="P914" s="205"/>
      <c r="Q914" s="204"/>
    </row>
    <row r="915" spans="1:17" ht="30" customHeight="1">
      <c r="A915" s="204"/>
      <c r="B915" s="352"/>
      <c r="C915" s="202"/>
      <c r="D915" s="202"/>
      <c r="E915" s="202"/>
      <c r="F915" s="304"/>
      <c r="G915" s="211"/>
      <c r="H915" s="211"/>
      <c r="I915" s="203"/>
      <c r="J915" s="203"/>
      <c r="K915" s="203"/>
      <c r="L915" s="203"/>
      <c r="M915" s="203"/>
      <c r="N915" s="203"/>
      <c r="O915" s="203"/>
      <c r="P915" s="205"/>
      <c r="Q915" s="204"/>
    </row>
    <row r="916" spans="1:17" ht="30" customHeight="1">
      <c r="A916" s="204"/>
      <c r="B916" s="352"/>
      <c r="C916" s="202"/>
      <c r="D916" s="202"/>
      <c r="E916" s="202"/>
      <c r="F916" s="304"/>
      <c r="G916" s="211"/>
      <c r="H916" s="211"/>
      <c r="I916" s="203"/>
      <c r="J916" s="203"/>
      <c r="K916" s="203"/>
      <c r="L916" s="203"/>
      <c r="M916" s="203"/>
      <c r="N916" s="203"/>
      <c r="O916" s="203"/>
      <c r="P916" s="205"/>
      <c r="Q916" s="204"/>
    </row>
    <row r="917" spans="1:17" ht="30" customHeight="1">
      <c r="A917" s="204"/>
      <c r="B917" s="352"/>
      <c r="C917" s="202"/>
      <c r="D917" s="202"/>
      <c r="E917" s="202"/>
      <c r="F917" s="304"/>
      <c r="G917" s="211"/>
      <c r="H917" s="211"/>
      <c r="I917" s="203"/>
      <c r="J917" s="203"/>
      <c r="K917" s="203"/>
      <c r="L917" s="203"/>
      <c r="M917" s="203"/>
      <c r="N917" s="203"/>
      <c r="O917" s="203"/>
      <c r="P917" s="205"/>
      <c r="Q917" s="204"/>
    </row>
    <row r="918" spans="1:17" ht="30" customHeight="1">
      <c r="A918" s="204"/>
      <c r="B918" s="352"/>
      <c r="C918" s="202"/>
      <c r="D918" s="202"/>
      <c r="E918" s="202"/>
      <c r="F918" s="304"/>
      <c r="G918" s="211"/>
      <c r="H918" s="211"/>
      <c r="I918" s="203"/>
      <c r="J918" s="203"/>
      <c r="K918" s="203"/>
      <c r="L918" s="203"/>
      <c r="M918" s="203"/>
      <c r="N918" s="203"/>
      <c r="O918" s="203"/>
      <c r="P918" s="205"/>
      <c r="Q918" s="204"/>
    </row>
    <row r="919" spans="1:17" ht="30" customHeight="1">
      <c r="A919" s="204"/>
      <c r="B919" s="352"/>
      <c r="C919" s="202"/>
      <c r="D919" s="202"/>
      <c r="E919" s="202"/>
      <c r="F919" s="304"/>
      <c r="G919" s="211"/>
      <c r="H919" s="211"/>
      <c r="I919" s="203"/>
      <c r="J919" s="203"/>
      <c r="K919" s="203"/>
      <c r="L919" s="203"/>
      <c r="M919" s="203"/>
      <c r="N919" s="203"/>
      <c r="O919" s="203"/>
      <c r="P919" s="205"/>
      <c r="Q919" s="204"/>
    </row>
    <row r="920" spans="1:17" ht="30" customHeight="1">
      <c r="A920" s="204"/>
      <c r="B920" s="352"/>
      <c r="C920" s="202"/>
      <c r="D920" s="202"/>
      <c r="E920" s="202"/>
      <c r="F920" s="304"/>
      <c r="G920" s="211"/>
      <c r="H920" s="211"/>
      <c r="I920" s="203"/>
      <c r="J920" s="203"/>
      <c r="K920" s="203"/>
      <c r="L920" s="203"/>
      <c r="M920" s="203"/>
      <c r="N920" s="203"/>
      <c r="O920" s="203"/>
      <c r="P920" s="205"/>
      <c r="Q920" s="204"/>
    </row>
    <row r="921" spans="1:17" ht="30" customHeight="1">
      <c r="A921" s="204"/>
      <c r="B921" s="352"/>
      <c r="C921" s="202"/>
      <c r="D921" s="202"/>
      <c r="E921" s="202"/>
      <c r="F921" s="304"/>
      <c r="G921" s="211"/>
      <c r="H921" s="211"/>
      <c r="I921" s="203"/>
      <c r="J921" s="203"/>
      <c r="K921" s="203"/>
      <c r="L921" s="203"/>
      <c r="M921" s="203"/>
      <c r="N921" s="203"/>
      <c r="O921" s="203"/>
      <c r="P921" s="205"/>
      <c r="Q921" s="204"/>
    </row>
    <row r="922" spans="1:17" ht="30" customHeight="1">
      <c r="A922" s="204"/>
      <c r="B922" s="352"/>
      <c r="C922" s="202"/>
      <c r="D922" s="202"/>
      <c r="E922" s="202"/>
      <c r="F922" s="304"/>
      <c r="G922" s="211"/>
      <c r="H922" s="211"/>
      <c r="I922" s="203"/>
      <c r="J922" s="203"/>
      <c r="K922" s="203"/>
      <c r="L922" s="203"/>
      <c r="M922" s="203"/>
      <c r="N922" s="203"/>
      <c r="O922" s="203"/>
      <c r="P922" s="205"/>
      <c r="Q922" s="204"/>
    </row>
    <row r="923" spans="1:17" ht="30" customHeight="1">
      <c r="A923" s="204"/>
      <c r="B923" s="352"/>
      <c r="C923" s="202"/>
      <c r="D923" s="202"/>
      <c r="E923" s="202"/>
      <c r="F923" s="304"/>
      <c r="G923" s="211"/>
      <c r="H923" s="211"/>
      <c r="I923" s="203"/>
      <c r="J923" s="203"/>
      <c r="K923" s="203"/>
      <c r="L923" s="203"/>
      <c r="M923" s="203"/>
      <c r="N923" s="203"/>
      <c r="O923" s="203"/>
      <c r="P923" s="205"/>
      <c r="Q923" s="204"/>
    </row>
    <row r="924" spans="1:17" ht="30" customHeight="1">
      <c r="A924" s="204"/>
      <c r="B924" s="352"/>
      <c r="C924" s="202"/>
      <c r="D924" s="202"/>
      <c r="E924" s="202"/>
      <c r="F924" s="304"/>
      <c r="G924" s="211"/>
      <c r="H924" s="211"/>
      <c r="I924" s="203"/>
      <c r="J924" s="203"/>
      <c r="K924" s="203"/>
      <c r="L924" s="203"/>
      <c r="M924" s="203"/>
      <c r="N924" s="203"/>
      <c r="O924" s="203"/>
      <c r="P924" s="205"/>
      <c r="Q924" s="204"/>
    </row>
    <row r="925" spans="1:17" ht="30" customHeight="1">
      <c r="A925" s="204"/>
      <c r="B925" s="352"/>
      <c r="C925" s="202"/>
      <c r="D925" s="202"/>
      <c r="E925" s="202"/>
      <c r="F925" s="304"/>
      <c r="G925" s="211"/>
      <c r="H925" s="211"/>
      <c r="I925" s="203"/>
      <c r="J925" s="203"/>
      <c r="K925" s="203"/>
      <c r="L925" s="203"/>
      <c r="M925" s="203"/>
      <c r="N925" s="203"/>
      <c r="O925" s="203"/>
      <c r="P925" s="205"/>
      <c r="Q925" s="204"/>
    </row>
    <row r="926" spans="1:17" ht="30" customHeight="1">
      <c r="A926" s="204"/>
      <c r="B926" s="352"/>
      <c r="C926" s="202"/>
      <c r="D926" s="202"/>
      <c r="E926" s="202"/>
      <c r="F926" s="304"/>
      <c r="G926" s="211"/>
      <c r="H926" s="211"/>
      <c r="I926" s="203"/>
      <c r="J926" s="203"/>
      <c r="K926" s="203"/>
      <c r="L926" s="203"/>
      <c r="M926" s="203"/>
      <c r="N926" s="203"/>
      <c r="O926" s="203"/>
      <c r="P926" s="205"/>
      <c r="Q926" s="204"/>
    </row>
    <row r="927" spans="1:17" ht="30" customHeight="1">
      <c r="A927" s="204"/>
      <c r="B927" s="352"/>
      <c r="C927" s="202"/>
      <c r="D927" s="202"/>
      <c r="E927" s="202"/>
      <c r="F927" s="304"/>
      <c r="G927" s="211"/>
      <c r="H927" s="211"/>
      <c r="I927" s="203"/>
      <c r="J927" s="203"/>
      <c r="K927" s="203"/>
      <c r="L927" s="203"/>
      <c r="M927" s="203"/>
      <c r="N927" s="203"/>
      <c r="O927" s="203"/>
      <c r="P927" s="205"/>
      <c r="Q927" s="204"/>
    </row>
    <row r="928" spans="1:17" ht="30" customHeight="1">
      <c r="A928" s="204"/>
      <c r="B928" s="352"/>
      <c r="C928" s="202"/>
      <c r="D928" s="202"/>
      <c r="E928" s="202"/>
      <c r="F928" s="304"/>
      <c r="G928" s="211"/>
      <c r="H928" s="211"/>
      <c r="I928" s="203"/>
      <c r="J928" s="203"/>
      <c r="K928" s="203"/>
      <c r="L928" s="203"/>
      <c r="M928" s="203"/>
      <c r="N928" s="203"/>
      <c r="O928" s="203"/>
      <c r="P928" s="205"/>
      <c r="Q928" s="204"/>
    </row>
    <row r="929" spans="1:17" ht="30" customHeight="1">
      <c r="A929" s="204"/>
      <c r="B929" s="352"/>
      <c r="C929" s="202"/>
      <c r="D929" s="202"/>
      <c r="E929" s="202"/>
      <c r="F929" s="304"/>
      <c r="G929" s="211"/>
      <c r="H929" s="211"/>
      <c r="I929" s="203"/>
      <c r="J929" s="203"/>
      <c r="K929" s="203"/>
      <c r="L929" s="203"/>
      <c r="M929" s="203"/>
      <c r="N929" s="203"/>
      <c r="O929" s="203"/>
      <c r="P929" s="205"/>
      <c r="Q929" s="204"/>
    </row>
    <row r="930" spans="1:17" ht="30" customHeight="1">
      <c r="A930" s="204"/>
      <c r="B930" s="352"/>
      <c r="C930" s="202"/>
      <c r="D930" s="202"/>
      <c r="E930" s="202"/>
      <c r="F930" s="304"/>
      <c r="G930" s="211"/>
      <c r="H930" s="211"/>
      <c r="I930" s="203"/>
      <c r="J930" s="203"/>
      <c r="K930" s="203"/>
      <c r="L930" s="203"/>
      <c r="M930" s="203"/>
      <c r="N930" s="203"/>
      <c r="O930" s="203"/>
      <c r="P930" s="205"/>
      <c r="Q930" s="204"/>
    </row>
    <row r="931" spans="1:17" ht="30" customHeight="1">
      <c r="A931" s="204"/>
      <c r="B931" s="352"/>
      <c r="C931" s="202"/>
      <c r="D931" s="202"/>
      <c r="E931" s="202"/>
      <c r="F931" s="304"/>
      <c r="G931" s="211"/>
      <c r="H931" s="211"/>
      <c r="I931" s="203"/>
      <c r="J931" s="203"/>
      <c r="K931" s="203"/>
      <c r="L931" s="203"/>
      <c r="M931" s="203"/>
      <c r="N931" s="203"/>
      <c r="O931" s="203"/>
      <c r="P931" s="205"/>
      <c r="Q931" s="204"/>
    </row>
    <row r="932" spans="1:17" ht="30" customHeight="1">
      <c r="A932" s="204"/>
      <c r="B932" s="352"/>
      <c r="C932" s="202"/>
      <c r="D932" s="202"/>
      <c r="E932" s="202"/>
      <c r="F932" s="304"/>
      <c r="G932" s="211"/>
      <c r="H932" s="211"/>
      <c r="I932" s="203"/>
      <c r="J932" s="203"/>
      <c r="K932" s="203"/>
      <c r="L932" s="203"/>
      <c r="M932" s="203"/>
      <c r="N932" s="203"/>
      <c r="O932" s="203"/>
      <c r="P932" s="205"/>
      <c r="Q932" s="204"/>
    </row>
    <row r="933" spans="1:17" ht="30" customHeight="1">
      <c r="A933" s="204"/>
      <c r="B933" s="352"/>
      <c r="C933" s="202"/>
      <c r="D933" s="202"/>
      <c r="E933" s="202"/>
      <c r="F933" s="304"/>
      <c r="G933" s="211"/>
      <c r="H933" s="211"/>
      <c r="I933" s="203"/>
      <c r="J933" s="203"/>
      <c r="K933" s="203"/>
      <c r="L933" s="203"/>
      <c r="M933" s="203"/>
      <c r="N933" s="203"/>
      <c r="O933" s="203"/>
      <c r="P933" s="205"/>
      <c r="Q933" s="204"/>
    </row>
    <row r="934" spans="1:17" ht="30" customHeight="1">
      <c r="A934" s="204"/>
      <c r="B934" s="352"/>
      <c r="C934" s="202"/>
      <c r="D934" s="202"/>
      <c r="E934" s="202"/>
      <c r="F934" s="304"/>
      <c r="G934" s="211"/>
      <c r="H934" s="211"/>
      <c r="I934" s="203"/>
      <c r="J934" s="203"/>
      <c r="K934" s="203"/>
      <c r="L934" s="203"/>
      <c r="M934" s="203"/>
      <c r="N934" s="203"/>
      <c r="O934" s="203"/>
      <c r="P934" s="205"/>
      <c r="Q934" s="204"/>
    </row>
    <row r="935" spans="1:17" ht="30" customHeight="1">
      <c r="A935" s="204"/>
      <c r="B935" s="352"/>
      <c r="C935" s="202"/>
      <c r="D935" s="202"/>
      <c r="E935" s="202"/>
      <c r="F935" s="304"/>
      <c r="G935" s="211"/>
      <c r="H935" s="211"/>
      <c r="I935" s="203"/>
      <c r="J935" s="203"/>
      <c r="K935" s="203"/>
      <c r="L935" s="203"/>
      <c r="M935" s="203"/>
      <c r="N935" s="203"/>
      <c r="O935" s="203"/>
      <c r="P935" s="205"/>
      <c r="Q935" s="204"/>
    </row>
    <row r="936" spans="1:17" ht="30" customHeight="1">
      <c r="A936" s="204"/>
      <c r="B936" s="352"/>
      <c r="C936" s="202"/>
      <c r="D936" s="202"/>
      <c r="E936" s="202"/>
      <c r="F936" s="304"/>
      <c r="G936" s="211"/>
      <c r="H936" s="211"/>
      <c r="I936" s="203"/>
      <c r="J936" s="203"/>
      <c r="K936" s="203"/>
      <c r="L936" s="203"/>
      <c r="M936" s="203"/>
      <c r="N936" s="203"/>
      <c r="O936" s="203"/>
      <c r="P936" s="205"/>
      <c r="Q936" s="204"/>
    </row>
    <row r="937" spans="1:17" ht="30" customHeight="1">
      <c r="A937" s="204"/>
      <c r="B937" s="352"/>
      <c r="C937" s="202"/>
      <c r="D937" s="202"/>
      <c r="E937" s="202"/>
      <c r="F937" s="304"/>
      <c r="G937" s="211"/>
      <c r="H937" s="211"/>
      <c r="I937" s="203"/>
      <c r="J937" s="203"/>
      <c r="K937" s="203"/>
      <c r="L937" s="203"/>
      <c r="M937" s="203"/>
      <c r="N937" s="203"/>
      <c r="O937" s="203"/>
      <c r="P937" s="205"/>
      <c r="Q937" s="204"/>
    </row>
    <row r="938" spans="1:17" ht="30" customHeight="1">
      <c r="A938" s="204"/>
      <c r="B938" s="352"/>
      <c r="C938" s="202"/>
      <c r="D938" s="202"/>
      <c r="E938" s="202"/>
      <c r="F938" s="304"/>
      <c r="G938" s="211"/>
      <c r="H938" s="211"/>
      <c r="I938" s="203"/>
      <c r="J938" s="203"/>
      <c r="K938" s="203"/>
      <c r="L938" s="203"/>
      <c r="M938" s="203"/>
      <c r="N938" s="203"/>
      <c r="O938" s="203"/>
      <c r="P938" s="205"/>
      <c r="Q938" s="204"/>
    </row>
    <row r="939" spans="1:17" ht="30" customHeight="1">
      <c r="A939" s="204"/>
      <c r="B939" s="352"/>
      <c r="C939" s="202"/>
      <c r="D939" s="202"/>
      <c r="E939" s="202"/>
      <c r="F939" s="304"/>
      <c r="G939" s="211"/>
      <c r="H939" s="211"/>
      <c r="I939" s="203"/>
      <c r="J939" s="203"/>
      <c r="K939" s="203"/>
      <c r="L939" s="203"/>
      <c r="M939" s="203"/>
      <c r="N939" s="203"/>
      <c r="O939" s="203"/>
      <c r="P939" s="205"/>
      <c r="Q939" s="204"/>
    </row>
    <row r="940" spans="1:17" ht="30" customHeight="1">
      <c r="A940" s="204"/>
      <c r="B940" s="352"/>
      <c r="C940" s="202"/>
      <c r="D940" s="202"/>
      <c r="E940" s="202"/>
      <c r="F940" s="304"/>
      <c r="G940" s="211"/>
      <c r="H940" s="211"/>
      <c r="I940" s="203"/>
      <c r="J940" s="203"/>
      <c r="K940" s="203"/>
      <c r="L940" s="203"/>
      <c r="M940" s="203"/>
      <c r="N940" s="203"/>
      <c r="O940" s="203"/>
      <c r="P940" s="205"/>
      <c r="Q940" s="204"/>
    </row>
    <row r="941" spans="1:17" ht="30" customHeight="1">
      <c r="A941" s="204"/>
      <c r="B941" s="352"/>
      <c r="C941" s="202"/>
      <c r="D941" s="202"/>
      <c r="E941" s="202"/>
      <c r="F941" s="304"/>
      <c r="G941" s="211"/>
      <c r="H941" s="211"/>
      <c r="I941" s="203"/>
      <c r="J941" s="203"/>
      <c r="K941" s="203"/>
      <c r="L941" s="203"/>
      <c r="M941" s="203"/>
      <c r="N941" s="203"/>
      <c r="O941" s="203"/>
      <c r="P941" s="205"/>
      <c r="Q941" s="204"/>
    </row>
    <row r="942" spans="1:17" ht="30" customHeight="1">
      <c r="A942" s="204"/>
      <c r="B942" s="352"/>
      <c r="C942" s="202"/>
      <c r="D942" s="202"/>
      <c r="E942" s="202"/>
      <c r="F942" s="304"/>
      <c r="G942" s="211"/>
      <c r="H942" s="211"/>
      <c r="I942" s="203"/>
      <c r="J942" s="203"/>
      <c r="K942" s="203"/>
      <c r="L942" s="203"/>
      <c r="M942" s="203"/>
      <c r="N942" s="203"/>
      <c r="O942" s="203"/>
      <c r="P942" s="205"/>
      <c r="Q942" s="204"/>
    </row>
    <row r="943" spans="1:17" ht="30" customHeight="1">
      <c r="A943" s="204"/>
      <c r="B943" s="352"/>
      <c r="C943" s="202"/>
      <c r="D943" s="202"/>
      <c r="E943" s="202"/>
      <c r="F943" s="304"/>
      <c r="G943" s="211"/>
      <c r="H943" s="211"/>
      <c r="I943" s="203"/>
      <c r="J943" s="203"/>
      <c r="K943" s="203"/>
      <c r="L943" s="203"/>
      <c r="M943" s="203"/>
      <c r="N943" s="203"/>
      <c r="O943" s="203"/>
      <c r="P943" s="205"/>
      <c r="Q943" s="204"/>
    </row>
    <row r="944" spans="1:17" ht="30" customHeight="1">
      <c r="A944" s="204"/>
      <c r="B944" s="352"/>
      <c r="C944" s="202"/>
      <c r="D944" s="202"/>
      <c r="E944" s="202"/>
      <c r="F944" s="304"/>
      <c r="G944" s="211"/>
      <c r="H944" s="211"/>
      <c r="I944" s="203"/>
      <c r="J944" s="203"/>
      <c r="K944" s="203"/>
      <c r="L944" s="203"/>
      <c r="M944" s="203"/>
      <c r="N944" s="203"/>
      <c r="O944" s="203"/>
      <c r="P944" s="205"/>
      <c r="Q944" s="204"/>
    </row>
    <row r="945" spans="1:17" ht="30" customHeight="1">
      <c r="A945" s="204"/>
      <c r="B945" s="352"/>
      <c r="C945" s="202"/>
      <c r="D945" s="202"/>
      <c r="E945" s="202"/>
      <c r="F945" s="304"/>
      <c r="G945" s="211"/>
      <c r="H945" s="211"/>
      <c r="I945" s="203"/>
      <c r="J945" s="203"/>
      <c r="K945" s="203"/>
      <c r="L945" s="203"/>
      <c r="M945" s="203"/>
      <c r="N945" s="203"/>
      <c r="O945" s="203"/>
      <c r="P945" s="205"/>
      <c r="Q945" s="204"/>
    </row>
    <row r="946" spans="1:17" ht="30" customHeight="1">
      <c r="A946" s="204"/>
      <c r="B946" s="352"/>
      <c r="C946" s="202"/>
      <c r="D946" s="202"/>
      <c r="E946" s="202"/>
      <c r="F946" s="304"/>
      <c r="G946" s="211"/>
      <c r="H946" s="211"/>
      <c r="I946" s="203"/>
      <c r="J946" s="203"/>
      <c r="K946" s="203"/>
      <c r="L946" s="203"/>
      <c r="M946" s="203"/>
      <c r="N946" s="203"/>
      <c r="O946" s="203"/>
      <c r="P946" s="205"/>
      <c r="Q946" s="204"/>
    </row>
    <row r="947" spans="1:17" ht="30" customHeight="1">
      <c r="A947" s="204"/>
      <c r="B947" s="352"/>
      <c r="C947" s="202"/>
      <c r="D947" s="202"/>
      <c r="E947" s="202"/>
      <c r="F947" s="304"/>
      <c r="G947" s="211"/>
      <c r="H947" s="211"/>
      <c r="I947" s="203"/>
      <c r="J947" s="203"/>
      <c r="K947" s="203"/>
      <c r="L947" s="203"/>
      <c r="M947" s="203"/>
      <c r="N947" s="203"/>
      <c r="O947" s="203"/>
      <c r="P947" s="205"/>
      <c r="Q947" s="204"/>
    </row>
    <row r="948" spans="1:17" ht="30" customHeight="1">
      <c r="A948" s="204"/>
      <c r="B948" s="352"/>
      <c r="C948" s="202"/>
      <c r="D948" s="202"/>
      <c r="E948" s="202"/>
      <c r="F948" s="304"/>
      <c r="G948" s="211"/>
      <c r="H948" s="211"/>
      <c r="I948" s="203"/>
      <c r="J948" s="203"/>
      <c r="K948" s="203"/>
      <c r="L948" s="203"/>
      <c r="M948" s="203"/>
      <c r="N948" s="203"/>
      <c r="O948" s="203"/>
      <c r="P948" s="205"/>
      <c r="Q948" s="204"/>
    </row>
    <row r="949" spans="1:17" ht="30" customHeight="1">
      <c r="A949" s="204"/>
      <c r="B949" s="352"/>
      <c r="C949" s="202"/>
      <c r="D949" s="202"/>
      <c r="E949" s="202"/>
      <c r="F949" s="304"/>
      <c r="G949" s="211"/>
      <c r="H949" s="211"/>
      <c r="I949" s="203"/>
      <c r="J949" s="203"/>
      <c r="K949" s="203"/>
      <c r="L949" s="203"/>
      <c r="M949" s="203"/>
      <c r="N949" s="203"/>
      <c r="O949" s="203"/>
      <c r="P949" s="205"/>
      <c r="Q949" s="204"/>
    </row>
    <row r="950" spans="1:17" ht="30" customHeight="1">
      <c r="A950" s="204"/>
      <c r="B950" s="352"/>
      <c r="C950" s="202"/>
      <c r="D950" s="202"/>
      <c r="E950" s="202"/>
      <c r="F950" s="304"/>
      <c r="G950" s="211"/>
      <c r="H950" s="211"/>
      <c r="I950" s="203"/>
      <c r="J950" s="203"/>
      <c r="K950" s="203"/>
      <c r="L950" s="203"/>
      <c r="M950" s="203"/>
      <c r="N950" s="203"/>
      <c r="O950" s="203"/>
      <c r="P950" s="205"/>
      <c r="Q950" s="204"/>
    </row>
    <row r="951" spans="1:17" ht="30" customHeight="1">
      <c r="A951" s="204"/>
      <c r="B951" s="352"/>
      <c r="C951" s="202"/>
      <c r="D951" s="202"/>
      <c r="E951" s="202"/>
      <c r="F951" s="304"/>
      <c r="G951" s="211"/>
      <c r="H951" s="211"/>
      <c r="I951" s="203"/>
      <c r="J951" s="203"/>
      <c r="K951" s="203"/>
      <c r="L951" s="203"/>
      <c r="M951" s="203"/>
      <c r="N951" s="203"/>
      <c r="O951" s="203"/>
      <c r="P951" s="205"/>
      <c r="Q951" s="204"/>
    </row>
    <row r="952" spans="1:17" ht="30" customHeight="1">
      <c r="A952" s="204"/>
      <c r="B952" s="352"/>
      <c r="C952" s="202"/>
      <c r="D952" s="202"/>
      <c r="E952" s="202"/>
      <c r="F952" s="304"/>
      <c r="G952" s="211"/>
      <c r="H952" s="211"/>
      <c r="I952" s="203"/>
      <c r="J952" s="203"/>
      <c r="K952" s="203"/>
      <c r="L952" s="203"/>
      <c r="M952" s="203"/>
      <c r="N952" s="203"/>
      <c r="O952" s="203"/>
      <c r="P952" s="205"/>
      <c r="Q952" s="204"/>
    </row>
    <row r="953" spans="1:17" ht="30" customHeight="1">
      <c r="A953" s="204"/>
      <c r="B953" s="352"/>
      <c r="C953" s="202"/>
      <c r="D953" s="202"/>
      <c r="E953" s="202"/>
      <c r="F953" s="304"/>
      <c r="G953" s="211"/>
      <c r="H953" s="211"/>
      <c r="I953" s="203"/>
      <c r="J953" s="203"/>
      <c r="K953" s="203"/>
      <c r="L953" s="203"/>
      <c r="M953" s="203"/>
      <c r="N953" s="203"/>
      <c r="O953" s="203"/>
      <c r="P953" s="205"/>
      <c r="Q953" s="204"/>
    </row>
    <row r="954" spans="1:17" ht="30" customHeight="1">
      <c r="A954" s="204"/>
      <c r="B954" s="352"/>
      <c r="C954" s="202"/>
      <c r="D954" s="202"/>
      <c r="E954" s="202"/>
      <c r="F954" s="304"/>
      <c r="G954" s="211"/>
      <c r="H954" s="211"/>
      <c r="I954" s="203"/>
      <c r="J954" s="203"/>
      <c r="K954" s="203"/>
      <c r="L954" s="203"/>
      <c r="M954" s="203"/>
      <c r="N954" s="203"/>
      <c r="O954" s="203"/>
      <c r="P954" s="205"/>
      <c r="Q954" s="204"/>
    </row>
    <row r="955" spans="1:17" ht="30" customHeight="1">
      <c r="A955" s="204"/>
      <c r="B955" s="352"/>
      <c r="C955" s="202"/>
      <c r="D955" s="202"/>
      <c r="E955" s="202"/>
      <c r="F955" s="304"/>
      <c r="G955" s="211"/>
      <c r="H955" s="211"/>
      <c r="I955" s="203"/>
      <c r="J955" s="203"/>
      <c r="K955" s="203"/>
      <c r="L955" s="203"/>
      <c r="M955" s="203"/>
      <c r="N955" s="203"/>
      <c r="O955" s="203"/>
      <c r="P955" s="205"/>
      <c r="Q955" s="204"/>
    </row>
    <row r="956" spans="1:17" ht="30" customHeight="1">
      <c r="A956" s="204"/>
      <c r="B956" s="352"/>
      <c r="C956" s="202"/>
      <c r="D956" s="202"/>
      <c r="E956" s="202"/>
      <c r="F956" s="304"/>
      <c r="G956" s="211"/>
      <c r="H956" s="211"/>
      <c r="I956" s="203"/>
      <c r="J956" s="203"/>
      <c r="K956" s="203"/>
      <c r="L956" s="203"/>
      <c r="M956" s="203"/>
      <c r="N956" s="203"/>
      <c r="O956" s="203"/>
      <c r="P956" s="205"/>
      <c r="Q956" s="204"/>
    </row>
    <row r="957" spans="1:17" ht="30" customHeight="1">
      <c r="A957" s="204"/>
      <c r="B957" s="352"/>
      <c r="C957" s="202"/>
      <c r="D957" s="202"/>
      <c r="E957" s="202"/>
      <c r="F957" s="304"/>
      <c r="G957" s="211"/>
      <c r="H957" s="211"/>
      <c r="I957" s="203"/>
      <c r="J957" s="203"/>
      <c r="K957" s="203"/>
      <c r="L957" s="203"/>
      <c r="M957" s="203"/>
      <c r="N957" s="203"/>
      <c r="O957" s="203"/>
      <c r="P957" s="205"/>
      <c r="Q957" s="204"/>
    </row>
    <row r="958" spans="1:17" ht="30" customHeight="1">
      <c r="A958" s="204"/>
      <c r="B958" s="352"/>
      <c r="C958" s="202"/>
      <c r="D958" s="202"/>
      <c r="E958" s="202"/>
      <c r="F958" s="304"/>
      <c r="G958" s="211"/>
      <c r="H958" s="211"/>
      <c r="I958" s="203"/>
      <c r="J958" s="203"/>
      <c r="K958" s="203"/>
      <c r="L958" s="203"/>
      <c r="M958" s="203"/>
      <c r="N958" s="203"/>
      <c r="O958" s="203"/>
      <c r="P958" s="205"/>
      <c r="Q958" s="204"/>
    </row>
    <row r="959" spans="1:17" ht="30" customHeight="1">
      <c r="A959" s="204"/>
      <c r="B959" s="352"/>
      <c r="C959" s="202"/>
      <c r="D959" s="202"/>
      <c r="E959" s="202"/>
      <c r="F959" s="304"/>
      <c r="G959" s="211"/>
      <c r="H959" s="211"/>
      <c r="I959" s="203"/>
      <c r="J959" s="203"/>
      <c r="K959" s="203"/>
      <c r="L959" s="203"/>
      <c r="M959" s="203"/>
      <c r="N959" s="203"/>
      <c r="O959" s="203"/>
      <c r="P959" s="205"/>
      <c r="Q959" s="204"/>
    </row>
    <row r="960" spans="1:17" ht="30" customHeight="1">
      <c r="A960" s="204"/>
      <c r="B960" s="352"/>
      <c r="C960" s="202"/>
      <c r="D960" s="202"/>
      <c r="E960" s="202"/>
      <c r="F960" s="304"/>
      <c r="G960" s="211"/>
      <c r="H960" s="211"/>
      <c r="I960" s="203"/>
      <c r="J960" s="203"/>
      <c r="K960" s="203"/>
      <c r="L960" s="203"/>
      <c r="M960" s="203"/>
      <c r="N960" s="203"/>
      <c r="O960" s="203"/>
      <c r="P960" s="205"/>
      <c r="Q960" s="204"/>
    </row>
    <row r="961" spans="1:17" ht="30" customHeight="1">
      <c r="A961" s="204"/>
      <c r="B961" s="352"/>
      <c r="C961" s="202"/>
      <c r="D961" s="202"/>
      <c r="E961" s="202"/>
      <c r="F961" s="304"/>
      <c r="G961" s="211"/>
      <c r="H961" s="211"/>
      <c r="I961" s="203"/>
      <c r="J961" s="203"/>
      <c r="K961" s="203"/>
      <c r="L961" s="203"/>
      <c r="M961" s="203"/>
      <c r="N961" s="203"/>
      <c r="O961" s="203"/>
      <c r="P961" s="205"/>
      <c r="Q961" s="204"/>
    </row>
    <row r="962" spans="1:17" ht="30" customHeight="1">
      <c r="A962" s="204"/>
      <c r="B962" s="352"/>
      <c r="C962" s="202"/>
      <c r="D962" s="202"/>
      <c r="E962" s="202"/>
      <c r="F962" s="304"/>
      <c r="G962" s="211"/>
      <c r="H962" s="211"/>
      <c r="I962" s="203"/>
      <c r="J962" s="203"/>
      <c r="K962" s="203"/>
      <c r="L962" s="203"/>
      <c r="M962" s="203"/>
      <c r="N962" s="203"/>
      <c r="O962" s="203"/>
      <c r="P962" s="205"/>
      <c r="Q962" s="204"/>
    </row>
    <row r="963" spans="1:17" ht="30" customHeight="1">
      <c r="A963" s="204"/>
      <c r="B963" s="352"/>
      <c r="C963" s="202"/>
      <c r="D963" s="202"/>
      <c r="E963" s="202"/>
      <c r="F963" s="304"/>
      <c r="G963" s="211"/>
      <c r="H963" s="211"/>
      <c r="I963" s="203"/>
      <c r="J963" s="203"/>
      <c r="K963" s="203"/>
      <c r="L963" s="203"/>
      <c r="M963" s="203"/>
      <c r="N963" s="203"/>
      <c r="O963" s="203"/>
      <c r="P963" s="205"/>
      <c r="Q963" s="204"/>
    </row>
    <row r="964" spans="1:17" ht="30" customHeight="1">
      <c r="A964" s="204"/>
      <c r="B964" s="352"/>
      <c r="C964" s="202"/>
      <c r="D964" s="202"/>
      <c r="E964" s="202"/>
      <c r="F964" s="304"/>
      <c r="G964" s="211"/>
      <c r="H964" s="211"/>
      <c r="I964" s="203"/>
      <c r="J964" s="203"/>
      <c r="K964" s="203"/>
      <c r="L964" s="203"/>
      <c r="M964" s="203"/>
      <c r="N964" s="203"/>
      <c r="O964" s="203"/>
      <c r="P964" s="205"/>
      <c r="Q964" s="204"/>
    </row>
    <row r="965" spans="1:17" ht="30" customHeight="1">
      <c r="A965" s="204"/>
      <c r="B965" s="352"/>
      <c r="C965" s="202"/>
      <c r="D965" s="202"/>
      <c r="E965" s="202"/>
      <c r="F965" s="304"/>
      <c r="G965" s="211"/>
      <c r="H965" s="211"/>
      <c r="I965" s="203"/>
      <c r="J965" s="203"/>
      <c r="K965" s="203"/>
      <c r="L965" s="203"/>
      <c r="M965" s="203"/>
      <c r="N965" s="203"/>
      <c r="O965" s="203"/>
      <c r="P965" s="205"/>
      <c r="Q965" s="204"/>
    </row>
    <row r="966" spans="1:17" ht="30" customHeight="1">
      <c r="A966" s="204"/>
      <c r="B966" s="352"/>
      <c r="C966" s="202"/>
      <c r="D966" s="202"/>
      <c r="E966" s="202"/>
      <c r="F966" s="304"/>
      <c r="G966" s="211"/>
      <c r="H966" s="211"/>
      <c r="I966" s="203"/>
      <c r="J966" s="203"/>
      <c r="K966" s="203"/>
      <c r="L966" s="203"/>
      <c r="M966" s="203"/>
      <c r="N966" s="203"/>
      <c r="O966" s="203"/>
      <c r="P966" s="205"/>
      <c r="Q966" s="204"/>
    </row>
    <row r="967" spans="1:17" ht="30" customHeight="1">
      <c r="A967" s="204"/>
      <c r="B967" s="352"/>
      <c r="C967" s="202"/>
      <c r="D967" s="202"/>
      <c r="E967" s="202"/>
      <c r="F967" s="304"/>
      <c r="G967" s="211"/>
      <c r="H967" s="211"/>
      <c r="I967" s="203"/>
      <c r="J967" s="203"/>
      <c r="K967" s="203"/>
      <c r="L967" s="203"/>
      <c r="M967" s="203"/>
      <c r="N967" s="203"/>
      <c r="O967" s="203"/>
      <c r="P967" s="205"/>
      <c r="Q967" s="204"/>
    </row>
    <row r="968" spans="1:17" ht="30" customHeight="1">
      <c r="A968" s="204"/>
      <c r="B968" s="352"/>
      <c r="C968" s="202"/>
      <c r="D968" s="202"/>
      <c r="E968" s="202"/>
      <c r="F968" s="304"/>
      <c r="G968" s="211"/>
      <c r="H968" s="211"/>
      <c r="I968" s="203"/>
      <c r="J968" s="203"/>
      <c r="K968" s="203"/>
      <c r="L968" s="203"/>
      <c r="M968" s="203"/>
      <c r="N968" s="203"/>
      <c r="O968" s="203"/>
      <c r="P968" s="205"/>
      <c r="Q968" s="204"/>
    </row>
    <row r="969" spans="1:17" ht="30" customHeight="1">
      <c r="A969" s="204"/>
      <c r="B969" s="352"/>
      <c r="C969" s="202"/>
      <c r="D969" s="202"/>
      <c r="E969" s="202"/>
      <c r="F969" s="304"/>
      <c r="G969" s="211"/>
      <c r="H969" s="211"/>
      <c r="I969" s="203"/>
      <c r="J969" s="203"/>
      <c r="K969" s="203"/>
      <c r="L969" s="203"/>
      <c r="M969" s="203"/>
      <c r="N969" s="203"/>
      <c r="O969" s="203"/>
      <c r="P969" s="205"/>
      <c r="Q969" s="204"/>
    </row>
    <row r="970" spans="1:17" ht="30" customHeight="1">
      <c r="A970" s="204"/>
      <c r="B970" s="352"/>
      <c r="C970" s="202"/>
      <c r="D970" s="202"/>
      <c r="E970" s="202"/>
      <c r="F970" s="304"/>
      <c r="G970" s="211"/>
      <c r="H970" s="211"/>
      <c r="I970" s="203"/>
      <c r="J970" s="203"/>
      <c r="K970" s="203"/>
      <c r="L970" s="203"/>
      <c r="M970" s="203"/>
      <c r="N970" s="203"/>
      <c r="O970" s="203"/>
      <c r="P970" s="205"/>
      <c r="Q970" s="204"/>
    </row>
    <row r="971" spans="1:17" ht="30" customHeight="1">
      <c r="A971" s="204"/>
      <c r="B971" s="352"/>
      <c r="C971" s="202"/>
      <c r="D971" s="202"/>
      <c r="E971" s="202"/>
      <c r="F971" s="304"/>
      <c r="G971" s="211"/>
      <c r="H971" s="211"/>
      <c r="I971" s="203"/>
      <c r="J971" s="203"/>
      <c r="K971" s="203"/>
      <c r="L971" s="203"/>
      <c r="M971" s="203"/>
      <c r="N971" s="203"/>
      <c r="O971" s="203"/>
      <c r="P971" s="205"/>
      <c r="Q971" s="204"/>
    </row>
    <row r="972" spans="1:17" ht="30" customHeight="1">
      <c r="A972" s="204"/>
      <c r="B972" s="352"/>
      <c r="C972" s="202"/>
      <c r="D972" s="202"/>
      <c r="E972" s="202"/>
      <c r="F972" s="304"/>
      <c r="G972" s="211"/>
      <c r="H972" s="211"/>
      <c r="I972" s="203"/>
      <c r="J972" s="203"/>
      <c r="K972" s="203"/>
      <c r="L972" s="203"/>
      <c r="M972" s="203"/>
      <c r="N972" s="203"/>
      <c r="O972" s="203"/>
      <c r="P972" s="205"/>
      <c r="Q972" s="204"/>
    </row>
    <row r="973" spans="1:17" ht="30" customHeight="1">
      <c r="A973" s="204"/>
      <c r="B973" s="352"/>
      <c r="C973" s="202"/>
      <c r="D973" s="202"/>
      <c r="E973" s="202"/>
      <c r="F973" s="304"/>
      <c r="G973" s="211"/>
      <c r="H973" s="211"/>
      <c r="I973" s="203"/>
      <c r="J973" s="203"/>
      <c r="K973" s="203"/>
      <c r="L973" s="203"/>
      <c r="M973" s="203"/>
      <c r="N973" s="203"/>
      <c r="O973" s="203"/>
      <c r="P973" s="205"/>
      <c r="Q973" s="204"/>
    </row>
    <row r="974" spans="1:17" ht="30" customHeight="1">
      <c r="A974" s="204"/>
      <c r="B974" s="352"/>
      <c r="C974" s="202"/>
      <c r="D974" s="202"/>
      <c r="E974" s="202"/>
      <c r="F974" s="304"/>
      <c r="G974" s="211"/>
      <c r="H974" s="211"/>
      <c r="I974" s="203"/>
      <c r="J974" s="203"/>
      <c r="K974" s="203"/>
      <c r="L974" s="203"/>
      <c r="M974" s="203"/>
      <c r="N974" s="203"/>
      <c r="O974" s="203"/>
      <c r="P974" s="205"/>
      <c r="Q974" s="204"/>
    </row>
    <row r="975" spans="1:17" ht="30" customHeight="1">
      <c r="A975" s="204"/>
      <c r="B975" s="352"/>
      <c r="C975" s="202"/>
      <c r="D975" s="202"/>
      <c r="E975" s="202"/>
      <c r="F975" s="304"/>
      <c r="G975" s="211"/>
      <c r="H975" s="211"/>
      <c r="I975" s="203"/>
      <c r="J975" s="203"/>
      <c r="K975" s="203"/>
      <c r="L975" s="203"/>
      <c r="M975" s="203"/>
      <c r="N975" s="203"/>
      <c r="O975" s="203"/>
      <c r="P975" s="205"/>
      <c r="Q975" s="204"/>
    </row>
    <row r="976" spans="1:17" ht="30" customHeight="1">
      <c r="A976" s="204"/>
      <c r="B976" s="352"/>
      <c r="C976" s="202"/>
      <c r="D976" s="202"/>
      <c r="E976" s="202"/>
      <c r="F976" s="304"/>
      <c r="G976" s="211"/>
      <c r="H976" s="211"/>
      <c r="I976" s="203"/>
      <c r="J976" s="203"/>
      <c r="K976" s="203"/>
      <c r="L976" s="203"/>
      <c r="M976" s="203"/>
      <c r="N976" s="203"/>
      <c r="O976" s="203"/>
      <c r="P976" s="205"/>
      <c r="Q976" s="204"/>
    </row>
    <row r="977" spans="1:17" ht="30" customHeight="1">
      <c r="A977" s="204"/>
      <c r="B977" s="352"/>
      <c r="C977" s="202"/>
      <c r="D977" s="202"/>
      <c r="E977" s="202"/>
      <c r="F977" s="304"/>
      <c r="G977" s="211"/>
      <c r="H977" s="211"/>
      <c r="I977" s="203"/>
      <c r="J977" s="203"/>
      <c r="K977" s="203"/>
      <c r="L977" s="203"/>
      <c r="M977" s="203"/>
      <c r="N977" s="203"/>
      <c r="O977" s="203"/>
      <c r="P977" s="205"/>
      <c r="Q977" s="204"/>
    </row>
    <row r="978" spans="1:17" ht="30" customHeight="1">
      <c r="A978" s="204"/>
      <c r="B978" s="352"/>
      <c r="C978" s="202"/>
      <c r="D978" s="202"/>
      <c r="E978" s="202"/>
      <c r="F978" s="304"/>
      <c r="G978" s="211"/>
      <c r="H978" s="211"/>
      <c r="I978" s="203"/>
      <c r="J978" s="203"/>
      <c r="K978" s="203"/>
      <c r="L978" s="203"/>
      <c r="M978" s="203"/>
      <c r="N978" s="203"/>
      <c r="O978" s="203"/>
      <c r="P978" s="205"/>
      <c r="Q978" s="204"/>
    </row>
    <row r="979" spans="1:17" ht="30" customHeight="1">
      <c r="A979" s="204"/>
      <c r="B979" s="352"/>
      <c r="C979" s="202"/>
      <c r="D979" s="202"/>
      <c r="E979" s="202"/>
      <c r="F979" s="304"/>
      <c r="G979" s="211"/>
      <c r="H979" s="211"/>
      <c r="I979" s="203"/>
      <c r="J979" s="203"/>
      <c r="K979" s="203"/>
      <c r="L979" s="203"/>
      <c r="M979" s="203"/>
      <c r="N979" s="203"/>
      <c r="O979" s="203"/>
      <c r="P979" s="205"/>
      <c r="Q979" s="204"/>
    </row>
    <row r="980" spans="1:17" ht="30" customHeight="1">
      <c r="A980" s="204"/>
      <c r="B980" s="352"/>
      <c r="C980" s="202"/>
      <c r="D980" s="202"/>
      <c r="E980" s="202"/>
      <c r="F980" s="304"/>
      <c r="G980" s="211"/>
      <c r="H980" s="211"/>
      <c r="I980" s="203"/>
      <c r="J980" s="203"/>
      <c r="K980" s="203"/>
      <c r="L980" s="203"/>
      <c r="M980" s="203"/>
      <c r="N980" s="203"/>
      <c r="O980" s="203"/>
      <c r="P980" s="205"/>
      <c r="Q980" s="204"/>
    </row>
    <row r="981" spans="1:17" ht="30" customHeight="1">
      <c r="A981" s="204"/>
      <c r="B981" s="352"/>
      <c r="C981" s="202"/>
      <c r="D981" s="202"/>
      <c r="E981" s="202"/>
      <c r="F981" s="304"/>
      <c r="G981" s="211"/>
      <c r="H981" s="211"/>
      <c r="I981" s="203"/>
      <c r="J981" s="203"/>
      <c r="K981" s="203"/>
      <c r="L981" s="203"/>
      <c r="M981" s="203"/>
      <c r="N981" s="203"/>
      <c r="O981" s="203"/>
      <c r="P981" s="205"/>
      <c r="Q981" s="204"/>
    </row>
    <row r="982" spans="1:17" ht="30" customHeight="1">
      <c r="A982" s="204"/>
      <c r="B982" s="352"/>
      <c r="C982" s="202"/>
      <c r="D982" s="202"/>
      <c r="E982" s="202"/>
      <c r="F982" s="304"/>
      <c r="G982" s="211"/>
      <c r="H982" s="211"/>
      <c r="I982" s="203"/>
      <c r="J982" s="203"/>
      <c r="K982" s="203"/>
      <c r="L982" s="203"/>
      <c r="M982" s="203"/>
      <c r="N982" s="203"/>
      <c r="O982" s="203"/>
      <c r="P982" s="205"/>
      <c r="Q982" s="204"/>
    </row>
    <row r="983" spans="1:17" ht="30" customHeight="1">
      <c r="A983" s="204"/>
      <c r="B983" s="352"/>
      <c r="C983" s="202"/>
      <c r="D983" s="202"/>
      <c r="E983" s="202"/>
      <c r="F983" s="304"/>
      <c r="G983" s="211"/>
      <c r="H983" s="211"/>
      <c r="I983" s="203"/>
      <c r="J983" s="203"/>
      <c r="K983" s="203"/>
      <c r="L983" s="203"/>
      <c r="M983" s="203"/>
      <c r="N983" s="203"/>
      <c r="O983" s="203"/>
      <c r="P983" s="205"/>
      <c r="Q983" s="204"/>
    </row>
    <row r="984" spans="1:17" ht="30" customHeight="1">
      <c r="A984" s="204"/>
      <c r="B984" s="352"/>
      <c r="C984" s="202"/>
      <c r="D984" s="202"/>
      <c r="E984" s="202"/>
      <c r="F984" s="304"/>
      <c r="G984" s="211"/>
      <c r="H984" s="211"/>
      <c r="I984" s="203"/>
      <c r="J984" s="203"/>
      <c r="K984" s="203"/>
      <c r="L984" s="203"/>
      <c r="M984" s="203"/>
      <c r="N984" s="203"/>
      <c r="O984" s="203"/>
      <c r="P984" s="205"/>
      <c r="Q984" s="204"/>
    </row>
    <row r="985" spans="1:17" ht="30" customHeight="1">
      <c r="A985" s="204"/>
      <c r="B985" s="352"/>
      <c r="C985" s="202"/>
      <c r="D985" s="202"/>
      <c r="E985" s="202"/>
      <c r="F985" s="304"/>
      <c r="G985" s="211"/>
      <c r="H985" s="211"/>
      <c r="I985" s="203"/>
      <c r="J985" s="203"/>
      <c r="K985" s="203"/>
      <c r="L985" s="203"/>
      <c r="M985" s="203"/>
      <c r="N985" s="203"/>
      <c r="O985" s="203"/>
      <c r="P985" s="205"/>
      <c r="Q985" s="204"/>
    </row>
    <row r="986" spans="1:17" ht="30" customHeight="1">
      <c r="A986" s="204"/>
      <c r="B986" s="352"/>
      <c r="C986" s="202"/>
      <c r="D986" s="202"/>
      <c r="E986" s="202"/>
      <c r="F986" s="304"/>
      <c r="G986" s="211"/>
      <c r="H986" s="211"/>
      <c r="I986" s="203"/>
      <c r="J986" s="203"/>
      <c r="K986" s="203"/>
      <c r="L986" s="203"/>
      <c r="M986" s="203"/>
      <c r="N986" s="203"/>
      <c r="O986" s="203"/>
      <c r="P986" s="205"/>
      <c r="Q986" s="204"/>
    </row>
    <row r="987" spans="1:17" ht="30" customHeight="1">
      <c r="A987" s="204"/>
      <c r="B987" s="352"/>
      <c r="C987" s="202"/>
      <c r="D987" s="202"/>
      <c r="E987" s="202"/>
      <c r="F987" s="304"/>
      <c r="G987" s="211"/>
      <c r="H987" s="211"/>
      <c r="I987" s="203"/>
      <c r="J987" s="203"/>
      <c r="K987" s="203"/>
      <c r="L987" s="203"/>
      <c r="M987" s="203"/>
      <c r="N987" s="203"/>
      <c r="O987" s="203"/>
      <c r="P987" s="205"/>
      <c r="Q987" s="204"/>
    </row>
    <row r="988" spans="1:17" ht="30" customHeight="1">
      <c r="A988" s="204"/>
      <c r="B988" s="352"/>
      <c r="C988" s="202"/>
      <c r="D988" s="202"/>
      <c r="E988" s="202"/>
      <c r="F988" s="304"/>
      <c r="G988" s="211"/>
      <c r="H988" s="211"/>
      <c r="I988" s="203"/>
      <c r="J988" s="203"/>
      <c r="K988" s="203"/>
      <c r="L988" s="203"/>
      <c r="M988" s="203"/>
      <c r="N988" s="203"/>
      <c r="O988" s="203"/>
      <c r="P988" s="205"/>
      <c r="Q988" s="204"/>
    </row>
    <row r="989" spans="1:17" ht="30" customHeight="1">
      <c r="A989" s="204"/>
      <c r="B989" s="352"/>
      <c r="C989" s="202"/>
      <c r="D989" s="202"/>
      <c r="E989" s="202"/>
      <c r="F989" s="304"/>
      <c r="G989" s="211"/>
      <c r="H989" s="211"/>
      <c r="I989" s="203"/>
      <c r="J989" s="203"/>
      <c r="K989" s="203"/>
      <c r="L989" s="203"/>
      <c r="M989" s="203"/>
      <c r="N989" s="203"/>
      <c r="O989" s="203"/>
      <c r="P989" s="205"/>
      <c r="Q989" s="204"/>
    </row>
    <row r="990" spans="1:17" ht="30" customHeight="1">
      <c r="A990" s="204"/>
      <c r="B990" s="352"/>
      <c r="C990" s="202"/>
      <c r="D990" s="202"/>
      <c r="E990" s="202"/>
      <c r="F990" s="304"/>
      <c r="G990" s="211"/>
      <c r="H990" s="211"/>
      <c r="I990" s="203"/>
      <c r="J990" s="203"/>
      <c r="K990" s="203"/>
      <c r="L990" s="203"/>
      <c r="M990" s="203"/>
      <c r="N990" s="203"/>
      <c r="O990" s="203"/>
      <c r="P990" s="205"/>
      <c r="Q990" s="204"/>
    </row>
    <row r="991" spans="1:17" ht="30" customHeight="1">
      <c r="A991" s="204"/>
      <c r="B991" s="352"/>
      <c r="C991" s="202"/>
      <c r="D991" s="202"/>
      <c r="E991" s="202"/>
      <c r="F991" s="304"/>
      <c r="G991" s="211"/>
      <c r="H991" s="211"/>
      <c r="I991" s="203"/>
      <c r="J991" s="203"/>
      <c r="K991" s="203"/>
      <c r="L991" s="203"/>
      <c r="M991" s="203"/>
      <c r="N991" s="203"/>
      <c r="O991" s="203"/>
      <c r="P991" s="205"/>
      <c r="Q991" s="204"/>
    </row>
    <row r="992" spans="1:17" ht="30" customHeight="1">
      <c r="A992" s="204"/>
      <c r="B992" s="352"/>
      <c r="C992" s="202"/>
      <c r="D992" s="202"/>
      <c r="E992" s="202"/>
      <c r="F992" s="304"/>
      <c r="G992" s="211"/>
      <c r="H992" s="211"/>
      <c r="I992" s="203"/>
      <c r="J992" s="203"/>
      <c r="K992" s="203"/>
      <c r="L992" s="203"/>
      <c r="M992" s="203"/>
      <c r="N992" s="203"/>
      <c r="O992" s="203"/>
      <c r="P992" s="205"/>
      <c r="Q992" s="204"/>
    </row>
    <row r="993" spans="1:17" ht="30" customHeight="1">
      <c r="A993" s="204"/>
      <c r="B993" s="352"/>
      <c r="C993" s="202"/>
      <c r="D993" s="202"/>
      <c r="E993" s="202"/>
      <c r="F993" s="304"/>
      <c r="G993" s="211"/>
      <c r="H993" s="211"/>
      <c r="I993" s="203"/>
      <c r="J993" s="203"/>
      <c r="K993" s="203"/>
      <c r="L993" s="203"/>
      <c r="M993" s="203"/>
      <c r="N993" s="203"/>
      <c r="O993" s="203"/>
      <c r="P993" s="205"/>
      <c r="Q993" s="204"/>
    </row>
    <row r="994" spans="1:17" ht="30" customHeight="1">
      <c r="A994" s="204"/>
      <c r="B994" s="352"/>
      <c r="C994" s="202"/>
      <c r="D994" s="202"/>
      <c r="E994" s="202"/>
      <c r="F994" s="304"/>
      <c r="G994" s="211"/>
      <c r="H994" s="211"/>
      <c r="I994" s="203"/>
      <c r="J994" s="203"/>
      <c r="K994" s="203"/>
      <c r="L994" s="203"/>
      <c r="M994" s="203"/>
      <c r="N994" s="203"/>
      <c r="O994" s="203"/>
      <c r="P994" s="205"/>
      <c r="Q994" s="204"/>
    </row>
    <row r="995" spans="1:17" ht="30" customHeight="1">
      <c r="A995" s="204"/>
      <c r="B995" s="352"/>
      <c r="C995" s="202"/>
      <c r="D995" s="202"/>
      <c r="E995" s="202"/>
      <c r="F995" s="304"/>
      <c r="G995" s="211"/>
      <c r="H995" s="211"/>
      <c r="I995" s="203"/>
      <c r="J995" s="203"/>
      <c r="K995" s="203"/>
      <c r="L995" s="203"/>
      <c r="M995" s="203"/>
      <c r="N995" s="203"/>
      <c r="O995" s="203"/>
      <c r="P995" s="205"/>
      <c r="Q995" s="204"/>
    </row>
    <row r="996" spans="1:17" ht="30" customHeight="1">
      <c r="A996" s="204"/>
      <c r="B996" s="352"/>
      <c r="C996" s="202"/>
      <c r="D996" s="202"/>
      <c r="E996" s="202"/>
      <c r="F996" s="304"/>
      <c r="G996" s="211"/>
      <c r="H996" s="211"/>
      <c r="I996" s="203"/>
      <c r="J996" s="203"/>
      <c r="K996" s="203"/>
      <c r="L996" s="203"/>
      <c r="M996" s="203"/>
      <c r="N996" s="203"/>
      <c r="O996" s="203"/>
      <c r="P996" s="205"/>
      <c r="Q996" s="204"/>
    </row>
    <row r="997" spans="1:17" ht="30" customHeight="1">
      <c r="A997" s="204"/>
      <c r="B997" s="352"/>
      <c r="C997" s="202"/>
      <c r="D997" s="202"/>
      <c r="E997" s="202"/>
      <c r="F997" s="304"/>
      <c r="G997" s="211"/>
      <c r="H997" s="211"/>
      <c r="I997" s="203"/>
      <c r="J997" s="203"/>
      <c r="K997" s="203"/>
      <c r="L997" s="203"/>
      <c r="M997" s="203"/>
      <c r="N997" s="203"/>
      <c r="O997" s="203"/>
      <c r="P997" s="205"/>
      <c r="Q997" s="204"/>
    </row>
    <row r="998" spans="1:17" ht="30" customHeight="1">
      <c r="A998" s="204"/>
      <c r="B998" s="352"/>
      <c r="C998" s="202"/>
      <c r="D998" s="202"/>
      <c r="E998" s="202"/>
      <c r="F998" s="304"/>
      <c r="G998" s="211"/>
      <c r="H998" s="211"/>
      <c r="I998" s="203"/>
      <c r="J998" s="203"/>
      <c r="K998" s="203"/>
      <c r="L998" s="203"/>
      <c r="M998" s="203"/>
      <c r="N998" s="203"/>
      <c r="O998" s="203"/>
      <c r="P998" s="205"/>
      <c r="Q998" s="204"/>
    </row>
    <row r="999" spans="1:17" ht="30" customHeight="1">
      <c r="A999" s="204"/>
      <c r="B999" s="352"/>
      <c r="C999" s="202"/>
      <c r="D999" s="202"/>
      <c r="E999" s="202"/>
      <c r="F999" s="304"/>
      <c r="G999" s="211"/>
      <c r="H999" s="211"/>
      <c r="I999" s="203"/>
      <c r="J999" s="203"/>
      <c r="K999" s="203"/>
      <c r="L999" s="203"/>
      <c r="M999" s="203"/>
      <c r="N999" s="203"/>
      <c r="O999" s="203"/>
      <c r="P999" s="205"/>
      <c r="Q999" s="204"/>
    </row>
    <row r="1000" spans="1:17" ht="30" customHeight="1">
      <c r="A1000" s="204"/>
      <c r="B1000" s="352"/>
      <c r="C1000" s="202"/>
      <c r="D1000" s="202"/>
      <c r="E1000" s="202"/>
      <c r="F1000" s="304"/>
      <c r="G1000" s="211"/>
      <c r="H1000" s="211"/>
      <c r="I1000" s="203"/>
      <c r="J1000" s="203"/>
      <c r="K1000" s="203"/>
      <c r="L1000" s="203"/>
      <c r="M1000" s="203"/>
      <c r="N1000" s="203"/>
      <c r="O1000" s="203"/>
      <c r="P1000" s="205"/>
      <c r="Q1000" s="204"/>
    </row>
    <row r="1001" spans="1:17" ht="30" customHeight="1">
      <c r="A1001" s="204"/>
      <c r="B1001" s="352"/>
      <c r="C1001" s="202"/>
      <c r="D1001" s="202"/>
      <c r="E1001" s="202"/>
      <c r="F1001" s="304"/>
      <c r="G1001" s="211"/>
      <c r="H1001" s="211"/>
      <c r="I1001" s="203"/>
      <c r="J1001" s="203"/>
      <c r="K1001" s="203"/>
      <c r="L1001" s="203"/>
      <c r="M1001" s="203"/>
      <c r="N1001" s="203"/>
      <c r="O1001" s="203"/>
      <c r="P1001" s="205"/>
      <c r="Q1001" s="204"/>
    </row>
    <row r="1002" spans="1:17" ht="30" customHeight="1">
      <c r="A1002" s="204"/>
      <c r="B1002" s="352"/>
      <c r="C1002" s="202"/>
      <c r="D1002" s="202"/>
      <c r="E1002" s="202"/>
      <c r="F1002" s="304"/>
      <c r="G1002" s="211"/>
      <c r="H1002" s="211"/>
      <c r="I1002" s="203"/>
      <c r="J1002" s="203"/>
      <c r="K1002" s="203"/>
      <c r="L1002" s="203"/>
      <c r="M1002" s="203"/>
      <c r="N1002" s="203"/>
      <c r="O1002" s="203"/>
      <c r="P1002" s="205"/>
      <c r="Q1002" s="204"/>
    </row>
    <row r="1003" spans="1:17" ht="30" customHeight="1">
      <c r="A1003" s="204"/>
      <c r="B1003" s="352"/>
      <c r="C1003" s="202"/>
      <c r="D1003" s="202"/>
      <c r="E1003" s="202"/>
      <c r="F1003" s="304"/>
      <c r="G1003" s="211"/>
      <c r="H1003" s="211"/>
      <c r="I1003" s="203"/>
      <c r="J1003" s="203"/>
      <c r="K1003" s="203"/>
      <c r="L1003" s="203"/>
      <c r="M1003" s="203"/>
      <c r="N1003" s="203"/>
      <c r="O1003" s="203"/>
      <c r="P1003" s="205"/>
      <c r="Q1003" s="204"/>
    </row>
    <row r="1004" spans="1:17" ht="30" customHeight="1">
      <c r="A1004" s="204"/>
      <c r="B1004" s="352"/>
      <c r="C1004" s="202"/>
      <c r="D1004" s="202"/>
      <c r="E1004" s="202"/>
      <c r="F1004" s="304"/>
      <c r="G1004" s="211"/>
      <c r="H1004" s="211"/>
      <c r="I1004" s="203"/>
      <c r="J1004" s="203"/>
      <c r="K1004" s="203"/>
      <c r="L1004" s="203"/>
      <c r="M1004" s="203"/>
      <c r="N1004" s="203"/>
      <c r="O1004" s="203"/>
      <c r="P1004" s="205"/>
      <c r="Q1004" s="204"/>
    </row>
    <row r="1005" spans="1:17" ht="30" customHeight="1">
      <c r="A1005" s="204"/>
      <c r="B1005" s="352"/>
      <c r="C1005" s="202"/>
      <c r="D1005" s="202"/>
      <c r="E1005" s="202"/>
      <c r="F1005" s="304"/>
      <c r="G1005" s="211"/>
      <c r="H1005" s="211"/>
      <c r="I1005" s="203"/>
      <c r="J1005" s="203"/>
      <c r="K1005" s="203"/>
      <c r="L1005" s="203"/>
      <c r="M1005" s="203"/>
      <c r="N1005" s="203"/>
      <c r="O1005" s="203"/>
      <c r="P1005" s="205"/>
      <c r="Q1005" s="204"/>
    </row>
    <row r="1006" spans="1:17" ht="30" customHeight="1">
      <c r="A1006" s="204"/>
      <c r="B1006" s="352"/>
      <c r="C1006" s="202"/>
      <c r="D1006" s="202"/>
      <c r="E1006" s="202"/>
      <c r="F1006" s="304"/>
      <c r="G1006" s="211"/>
      <c r="H1006" s="211"/>
      <c r="I1006" s="203"/>
      <c r="J1006" s="203"/>
      <c r="K1006" s="203"/>
      <c r="L1006" s="203"/>
      <c r="M1006" s="203"/>
      <c r="N1006" s="203"/>
      <c r="O1006" s="203"/>
      <c r="P1006" s="205"/>
      <c r="Q1006" s="204"/>
    </row>
    <row r="1007" spans="1:17" ht="30" customHeight="1">
      <c r="A1007" s="204"/>
      <c r="B1007" s="352"/>
      <c r="C1007" s="202"/>
      <c r="D1007" s="202"/>
      <c r="E1007" s="202"/>
      <c r="F1007" s="304"/>
      <c r="G1007" s="211"/>
      <c r="H1007" s="211"/>
      <c r="I1007" s="203"/>
      <c r="J1007" s="203"/>
      <c r="K1007" s="203"/>
      <c r="L1007" s="203"/>
      <c r="M1007" s="203"/>
      <c r="N1007" s="203"/>
      <c r="O1007" s="203"/>
      <c r="P1007" s="205"/>
      <c r="Q1007" s="204"/>
    </row>
    <row r="1008" spans="1:17" ht="30" customHeight="1">
      <c r="A1008" s="204"/>
      <c r="B1008" s="352"/>
      <c r="C1008" s="202"/>
      <c r="D1008" s="202"/>
      <c r="E1008" s="202"/>
      <c r="F1008" s="304"/>
      <c r="G1008" s="211"/>
      <c r="H1008" s="211"/>
      <c r="I1008" s="203"/>
      <c r="J1008" s="203"/>
      <c r="K1008" s="203"/>
      <c r="L1008" s="203"/>
      <c r="M1008" s="203"/>
      <c r="N1008" s="203"/>
      <c r="O1008" s="203"/>
      <c r="P1008" s="205"/>
      <c r="Q1008" s="204"/>
    </row>
    <row r="1009" spans="1:17" ht="30" customHeight="1">
      <c r="A1009" s="204"/>
      <c r="B1009" s="352"/>
      <c r="C1009" s="202"/>
      <c r="D1009" s="202"/>
      <c r="E1009" s="202"/>
      <c r="F1009" s="304"/>
      <c r="G1009" s="211"/>
      <c r="H1009" s="211"/>
      <c r="I1009" s="203"/>
      <c r="J1009" s="203"/>
      <c r="K1009" s="203"/>
      <c r="L1009" s="203"/>
      <c r="M1009" s="203"/>
      <c r="N1009" s="203"/>
      <c r="O1009" s="203"/>
      <c r="P1009" s="205"/>
      <c r="Q1009" s="204"/>
    </row>
    <row r="1010" spans="1:17" ht="30" customHeight="1">
      <c r="A1010" s="204"/>
      <c r="B1010" s="352"/>
      <c r="C1010" s="202"/>
      <c r="D1010" s="202"/>
      <c r="E1010" s="202"/>
      <c r="F1010" s="304"/>
      <c r="G1010" s="211"/>
      <c r="H1010" s="211"/>
      <c r="I1010" s="203"/>
      <c r="J1010" s="203"/>
      <c r="K1010" s="203"/>
      <c r="L1010" s="203"/>
      <c r="M1010" s="203"/>
      <c r="N1010" s="203"/>
      <c r="O1010" s="203"/>
      <c r="P1010" s="205"/>
      <c r="Q1010" s="204"/>
    </row>
    <row r="1011" spans="1:17" ht="30" customHeight="1">
      <c r="A1011" s="204"/>
      <c r="B1011" s="352"/>
      <c r="C1011" s="202"/>
      <c r="D1011" s="202"/>
      <c r="E1011" s="202"/>
      <c r="F1011" s="304"/>
      <c r="G1011" s="211"/>
      <c r="H1011" s="211"/>
      <c r="I1011" s="203"/>
      <c r="J1011" s="203"/>
      <c r="K1011" s="203"/>
      <c r="L1011" s="203"/>
      <c r="M1011" s="203"/>
      <c r="N1011" s="203"/>
      <c r="O1011" s="203"/>
      <c r="P1011" s="205"/>
      <c r="Q1011" s="204"/>
    </row>
    <row r="1012" spans="1:17" ht="30" customHeight="1">
      <c r="A1012" s="204"/>
      <c r="B1012" s="352"/>
      <c r="C1012" s="202"/>
      <c r="D1012" s="202"/>
      <c r="E1012" s="202"/>
      <c r="F1012" s="304"/>
      <c r="G1012" s="211"/>
      <c r="H1012" s="211"/>
      <c r="I1012" s="203"/>
      <c r="J1012" s="203"/>
      <c r="K1012" s="203"/>
      <c r="L1012" s="203"/>
      <c r="M1012" s="203"/>
      <c r="N1012" s="203"/>
      <c r="O1012" s="203"/>
      <c r="P1012" s="205"/>
      <c r="Q1012" s="204"/>
    </row>
    <row r="1013" spans="1:17" ht="30" customHeight="1">
      <c r="A1013" s="204"/>
      <c r="B1013" s="352"/>
      <c r="C1013" s="202"/>
      <c r="D1013" s="202"/>
      <c r="E1013" s="202"/>
      <c r="F1013" s="304"/>
      <c r="G1013" s="211"/>
      <c r="H1013" s="211"/>
      <c r="I1013" s="203"/>
      <c r="J1013" s="203"/>
      <c r="K1013" s="203"/>
      <c r="L1013" s="203"/>
      <c r="M1013" s="203"/>
      <c r="N1013" s="203"/>
      <c r="O1013" s="203"/>
      <c r="P1013" s="205"/>
      <c r="Q1013" s="204"/>
    </row>
    <row r="1014" spans="1:17" ht="30" customHeight="1">
      <c r="A1014" s="204"/>
      <c r="B1014" s="352"/>
      <c r="C1014" s="202"/>
      <c r="D1014" s="202"/>
      <c r="E1014" s="202"/>
      <c r="F1014" s="304"/>
      <c r="G1014" s="211"/>
      <c r="H1014" s="211"/>
      <c r="I1014" s="203"/>
      <c r="J1014" s="203"/>
      <c r="K1014" s="203"/>
      <c r="L1014" s="203"/>
      <c r="M1014" s="203"/>
      <c r="N1014" s="203"/>
      <c r="O1014" s="203"/>
      <c r="P1014" s="205"/>
      <c r="Q1014" s="204"/>
    </row>
    <row r="1015" spans="1:17" ht="30" customHeight="1">
      <c r="A1015" s="204"/>
      <c r="B1015" s="352"/>
      <c r="C1015" s="202"/>
      <c r="D1015" s="202"/>
      <c r="E1015" s="202"/>
      <c r="F1015" s="304"/>
      <c r="G1015" s="211"/>
      <c r="H1015" s="211"/>
      <c r="I1015" s="203"/>
      <c r="J1015" s="203"/>
      <c r="K1015" s="203"/>
      <c r="L1015" s="203"/>
      <c r="M1015" s="203"/>
      <c r="N1015" s="203"/>
      <c r="O1015" s="203"/>
      <c r="P1015" s="205"/>
      <c r="Q1015" s="204"/>
    </row>
    <row r="1016" spans="1:17" ht="30" customHeight="1">
      <c r="A1016" s="204"/>
      <c r="B1016" s="352"/>
      <c r="C1016" s="202"/>
      <c r="D1016" s="202"/>
      <c r="E1016" s="202"/>
      <c r="F1016" s="304"/>
      <c r="G1016" s="211"/>
      <c r="H1016" s="211"/>
      <c r="I1016" s="203"/>
      <c r="J1016" s="203"/>
      <c r="K1016" s="203"/>
      <c r="L1016" s="203"/>
      <c r="M1016" s="203"/>
      <c r="N1016" s="203"/>
      <c r="O1016" s="203"/>
      <c r="P1016" s="205"/>
      <c r="Q1016" s="204"/>
    </row>
    <row r="1017" spans="1:17" ht="30" customHeight="1">
      <c r="A1017" s="204"/>
      <c r="B1017" s="352"/>
      <c r="C1017" s="202"/>
      <c r="D1017" s="202"/>
      <c r="E1017" s="202"/>
      <c r="F1017" s="304"/>
      <c r="G1017" s="211"/>
      <c r="H1017" s="211"/>
      <c r="I1017" s="203"/>
      <c r="J1017" s="203"/>
      <c r="K1017" s="203"/>
      <c r="L1017" s="203"/>
      <c r="M1017" s="203"/>
      <c r="N1017" s="203"/>
      <c r="O1017" s="203"/>
      <c r="P1017" s="205"/>
      <c r="Q1017" s="204"/>
    </row>
    <row r="1018" spans="1:17" ht="30" customHeight="1">
      <c r="A1018" s="204"/>
      <c r="B1018" s="352"/>
      <c r="C1018" s="202"/>
      <c r="D1018" s="202"/>
      <c r="E1018" s="202"/>
      <c r="F1018" s="304"/>
      <c r="G1018" s="211"/>
      <c r="H1018" s="211"/>
      <c r="I1018" s="203"/>
      <c r="J1018" s="203"/>
      <c r="K1018" s="203"/>
      <c r="L1018" s="203"/>
      <c r="M1018" s="203"/>
      <c r="N1018" s="203"/>
      <c r="O1018" s="203"/>
      <c r="P1018" s="205"/>
      <c r="Q1018" s="204"/>
    </row>
    <row r="1019" spans="1:17" ht="30" customHeight="1">
      <c r="A1019" s="204"/>
      <c r="B1019" s="352"/>
      <c r="C1019" s="202"/>
      <c r="D1019" s="202"/>
      <c r="E1019" s="202"/>
      <c r="F1019" s="304"/>
      <c r="G1019" s="211"/>
      <c r="H1019" s="211"/>
      <c r="I1019" s="203"/>
      <c r="J1019" s="203"/>
      <c r="K1019" s="203"/>
      <c r="L1019" s="203"/>
      <c r="M1019" s="203"/>
      <c r="N1019" s="203"/>
      <c r="O1019" s="203"/>
      <c r="P1019" s="205"/>
      <c r="Q1019" s="204"/>
    </row>
    <row r="1020" spans="1:17" ht="30" customHeight="1">
      <c r="A1020" s="204"/>
      <c r="B1020" s="352"/>
      <c r="C1020" s="202"/>
      <c r="D1020" s="202"/>
      <c r="E1020" s="202"/>
      <c r="F1020" s="304"/>
      <c r="G1020" s="211"/>
      <c r="H1020" s="211"/>
      <c r="I1020" s="203"/>
      <c r="J1020" s="203"/>
      <c r="K1020" s="203"/>
      <c r="L1020" s="203"/>
      <c r="M1020" s="203"/>
      <c r="N1020" s="203"/>
      <c r="O1020" s="203"/>
      <c r="P1020" s="205"/>
      <c r="Q1020" s="204"/>
    </row>
    <row r="1021" spans="1:17" ht="30" customHeight="1">
      <c r="A1021" s="204"/>
      <c r="B1021" s="352"/>
      <c r="C1021" s="202"/>
      <c r="D1021" s="202"/>
      <c r="E1021" s="202"/>
      <c r="F1021" s="304"/>
      <c r="G1021" s="211"/>
      <c r="H1021" s="211"/>
      <c r="I1021" s="203"/>
      <c r="J1021" s="203"/>
      <c r="K1021" s="203"/>
      <c r="L1021" s="203"/>
      <c r="M1021" s="203"/>
      <c r="N1021" s="203"/>
      <c r="O1021" s="203"/>
      <c r="P1021" s="205"/>
      <c r="Q1021" s="204"/>
    </row>
    <row r="1022" spans="1:17" ht="30" customHeight="1">
      <c r="A1022" s="204"/>
      <c r="B1022" s="352"/>
      <c r="C1022" s="202"/>
      <c r="D1022" s="202"/>
      <c r="E1022" s="202"/>
      <c r="F1022" s="304"/>
      <c r="G1022" s="211"/>
      <c r="H1022" s="211"/>
      <c r="I1022" s="203"/>
      <c r="J1022" s="203"/>
      <c r="K1022" s="203"/>
      <c r="L1022" s="203"/>
      <c r="M1022" s="203"/>
      <c r="N1022" s="203"/>
      <c r="O1022" s="203"/>
      <c r="P1022" s="205"/>
      <c r="Q1022" s="204"/>
    </row>
    <row r="1023" spans="1:17" ht="30" customHeight="1">
      <c r="A1023" s="204"/>
      <c r="B1023" s="352"/>
      <c r="C1023" s="202"/>
      <c r="D1023" s="202"/>
      <c r="E1023" s="202"/>
      <c r="F1023" s="304"/>
      <c r="G1023" s="211"/>
      <c r="H1023" s="211"/>
      <c r="I1023" s="203"/>
      <c r="J1023" s="203"/>
      <c r="K1023" s="203"/>
      <c r="L1023" s="203"/>
      <c r="M1023" s="203"/>
      <c r="N1023" s="203"/>
      <c r="O1023" s="203"/>
      <c r="P1023" s="205"/>
      <c r="Q1023" s="204"/>
    </row>
    <row r="1024" spans="1:17" ht="30" customHeight="1">
      <c r="A1024" s="204"/>
      <c r="B1024" s="352"/>
      <c r="C1024" s="202"/>
      <c r="D1024" s="202"/>
      <c r="E1024" s="202"/>
      <c r="F1024" s="304"/>
      <c r="G1024" s="211"/>
      <c r="H1024" s="211"/>
      <c r="I1024" s="203"/>
      <c r="J1024" s="203"/>
      <c r="K1024" s="203"/>
      <c r="L1024" s="203"/>
      <c r="M1024" s="203"/>
      <c r="N1024" s="203"/>
      <c r="O1024" s="203"/>
      <c r="P1024" s="205"/>
      <c r="Q1024" s="204"/>
    </row>
    <row r="1025" spans="1:17" ht="30" customHeight="1">
      <c r="A1025" s="204"/>
      <c r="B1025" s="352"/>
      <c r="C1025" s="202"/>
      <c r="D1025" s="202"/>
      <c r="E1025" s="202"/>
      <c r="F1025" s="304"/>
      <c r="G1025" s="211"/>
      <c r="H1025" s="211"/>
      <c r="I1025" s="203"/>
      <c r="J1025" s="203"/>
      <c r="K1025" s="203"/>
      <c r="L1025" s="203"/>
      <c r="M1025" s="203"/>
      <c r="N1025" s="203"/>
      <c r="O1025" s="203"/>
      <c r="P1025" s="205"/>
      <c r="Q1025" s="204"/>
    </row>
    <row r="1026" spans="1:17" ht="30" customHeight="1">
      <c r="A1026" s="204"/>
      <c r="B1026" s="352"/>
      <c r="C1026" s="202"/>
      <c r="D1026" s="202"/>
      <c r="E1026" s="202"/>
      <c r="F1026" s="304"/>
      <c r="G1026" s="211"/>
      <c r="H1026" s="211"/>
      <c r="I1026" s="203"/>
      <c r="J1026" s="203"/>
      <c r="K1026" s="203"/>
      <c r="L1026" s="203"/>
      <c r="M1026" s="203"/>
      <c r="N1026" s="203"/>
      <c r="O1026" s="203"/>
      <c r="P1026" s="205"/>
      <c r="Q1026" s="204"/>
    </row>
    <row r="1027" spans="1:17" ht="30" customHeight="1">
      <c r="A1027" s="204"/>
      <c r="B1027" s="352"/>
      <c r="C1027" s="202"/>
      <c r="D1027" s="202"/>
      <c r="E1027" s="202"/>
      <c r="F1027" s="304"/>
      <c r="G1027" s="211"/>
      <c r="H1027" s="211"/>
      <c r="I1027" s="203"/>
      <c r="J1027" s="203"/>
      <c r="K1027" s="203"/>
      <c r="L1027" s="203"/>
      <c r="M1027" s="203"/>
      <c r="N1027" s="203"/>
      <c r="O1027" s="203"/>
      <c r="P1027" s="205"/>
      <c r="Q1027" s="204"/>
    </row>
    <row r="1028" spans="1:17" ht="30" customHeight="1">
      <c r="A1028" s="204"/>
      <c r="B1028" s="352"/>
      <c r="C1028" s="202"/>
      <c r="D1028" s="202"/>
      <c r="E1028" s="202"/>
      <c r="F1028" s="304"/>
      <c r="G1028" s="211"/>
      <c r="H1028" s="211"/>
      <c r="I1028" s="203"/>
      <c r="J1028" s="203"/>
      <c r="K1028" s="203"/>
      <c r="L1028" s="203"/>
      <c r="M1028" s="203"/>
      <c r="N1028" s="203"/>
      <c r="O1028" s="203"/>
      <c r="P1028" s="205"/>
      <c r="Q1028" s="204"/>
    </row>
    <row r="1029" spans="1:17" ht="30" customHeight="1">
      <c r="A1029" s="204"/>
      <c r="B1029" s="352"/>
      <c r="C1029" s="202"/>
      <c r="D1029" s="202"/>
      <c r="E1029" s="202"/>
      <c r="F1029" s="304"/>
      <c r="G1029" s="211"/>
      <c r="H1029" s="211"/>
      <c r="I1029" s="203"/>
      <c r="J1029" s="203"/>
      <c r="K1029" s="203"/>
      <c r="L1029" s="203"/>
      <c r="M1029" s="203"/>
      <c r="N1029" s="203"/>
      <c r="O1029" s="203"/>
      <c r="P1029" s="205"/>
      <c r="Q1029" s="204"/>
    </row>
    <row r="1030" spans="1:17" ht="30" customHeight="1">
      <c r="A1030" s="204"/>
      <c r="B1030" s="352"/>
      <c r="C1030" s="202"/>
      <c r="D1030" s="202"/>
      <c r="E1030" s="202"/>
      <c r="F1030" s="304"/>
      <c r="G1030" s="211"/>
      <c r="H1030" s="211"/>
      <c r="I1030" s="203"/>
      <c r="J1030" s="203"/>
      <c r="K1030" s="203"/>
      <c r="L1030" s="203"/>
      <c r="M1030" s="203"/>
      <c r="N1030" s="203"/>
      <c r="O1030" s="203"/>
      <c r="P1030" s="205"/>
      <c r="Q1030" s="204"/>
    </row>
    <row r="1031" spans="1:17" ht="30" customHeight="1">
      <c r="A1031" s="204"/>
      <c r="B1031" s="352"/>
      <c r="C1031" s="202"/>
      <c r="D1031" s="202"/>
      <c r="E1031" s="202"/>
      <c r="F1031" s="304"/>
      <c r="G1031" s="211"/>
      <c r="H1031" s="211"/>
      <c r="I1031" s="203"/>
      <c r="J1031" s="203"/>
      <c r="K1031" s="203"/>
      <c r="L1031" s="203"/>
      <c r="M1031" s="203"/>
      <c r="N1031" s="203"/>
      <c r="O1031" s="203"/>
      <c r="P1031" s="205"/>
      <c r="Q1031" s="204"/>
    </row>
    <row r="1032" spans="1:17" ht="30" customHeight="1">
      <c r="A1032" s="204"/>
      <c r="B1032" s="352"/>
      <c r="C1032" s="202"/>
      <c r="D1032" s="202"/>
      <c r="E1032" s="202"/>
      <c r="F1032" s="304"/>
      <c r="G1032" s="211"/>
      <c r="H1032" s="211"/>
      <c r="I1032" s="203"/>
      <c r="J1032" s="203"/>
      <c r="K1032" s="203"/>
      <c r="L1032" s="203"/>
      <c r="M1032" s="203"/>
      <c r="N1032" s="203"/>
      <c r="O1032" s="203"/>
      <c r="P1032" s="205"/>
      <c r="Q1032" s="204"/>
    </row>
    <row r="1033" spans="1:17" ht="30" customHeight="1">
      <c r="A1033" s="204"/>
      <c r="B1033" s="352"/>
      <c r="C1033" s="202"/>
      <c r="D1033" s="202"/>
      <c r="E1033" s="202"/>
      <c r="F1033" s="304"/>
      <c r="G1033" s="211"/>
      <c r="H1033" s="211"/>
      <c r="I1033" s="203"/>
      <c r="J1033" s="203"/>
      <c r="K1033" s="203"/>
      <c r="L1033" s="203"/>
      <c r="M1033" s="203"/>
      <c r="N1033" s="203"/>
      <c r="O1033" s="203"/>
      <c r="P1033" s="205"/>
      <c r="Q1033" s="204"/>
    </row>
    <row r="1034" spans="1:17" ht="30" customHeight="1">
      <c r="A1034" s="204"/>
      <c r="B1034" s="352"/>
      <c r="C1034" s="202"/>
      <c r="D1034" s="202"/>
      <c r="E1034" s="202"/>
      <c r="F1034" s="304"/>
      <c r="G1034" s="211"/>
      <c r="H1034" s="211"/>
      <c r="I1034" s="203"/>
      <c r="J1034" s="203"/>
      <c r="K1034" s="203"/>
      <c r="L1034" s="203"/>
      <c r="M1034" s="203"/>
      <c r="N1034" s="203"/>
      <c r="O1034" s="203"/>
      <c r="P1034" s="205"/>
      <c r="Q1034" s="204"/>
    </row>
    <row r="1035" spans="1:17" ht="30" customHeight="1">
      <c r="A1035" s="204"/>
      <c r="B1035" s="352"/>
      <c r="C1035" s="202"/>
      <c r="D1035" s="202"/>
      <c r="E1035" s="202"/>
      <c r="F1035" s="304"/>
      <c r="G1035" s="211"/>
      <c r="H1035" s="211"/>
      <c r="I1035" s="203"/>
      <c r="J1035" s="203"/>
      <c r="K1035" s="203"/>
      <c r="L1035" s="203"/>
      <c r="M1035" s="203"/>
      <c r="N1035" s="203"/>
      <c r="O1035" s="203"/>
      <c r="P1035" s="205"/>
      <c r="Q1035" s="204"/>
    </row>
    <row r="1036" spans="1:17" ht="30" customHeight="1">
      <c r="A1036" s="204"/>
      <c r="B1036" s="352"/>
      <c r="C1036" s="202"/>
      <c r="D1036" s="202"/>
      <c r="E1036" s="202"/>
      <c r="F1036" s="304"/>
      <c r="G1036" s="211"/>
      <c r="H1036" s="211"/>
      <c r="I1036" s="203"/>
      <c r="J1036" s="203"/>
      <c r="K1036" s="203"/>
      <c r="L1036" s="203"/>
      <c r="M1036" s="203"/>
      <c r="N1036" s="203"/>
      <c r="O1036" s="203"/>
      <c r="P1036" s="205"/>
      <c r="Q1036" s="204"/>
    </row>
    <row r="1037" spans="1:17" ht="30" customHeight="1">
      <c r="A1037" s="204"/>
      <c r="B1037" s="352"/>
      <c r="C1037" s="202"/>
      <c r="D1037" s="202"/>
      <c r="E1037" s="202"/>
      <c r="F1037" s="304"/>
      <c r="G1037" s="211"/>
      <c r="H1037" s="211"/>
      <c r="I1037" s="203"/>
      <c r="J1037" s="203"/>
      <c r="K1037" s="203"/>
      <c r="L1037" s="203"/>
      <c r="M1037" s="203"/>
      <c r="N1037" s="203"/>
      <c r="O1037" s="203"/>
      <c r="P1037" s="205"/>
      <c r="Q1037" s="204"/>
    </row>
    <row r="1038" spans="1:17" ht="30" customHeight="1">
      <c r="A1038" s="204"/>
      <c r="B1038" s="352"/>
      <c r="C1038" s="202"/>
      <c r="D1038" s="202"/>
      <c r="E1038" s="202"/>
      <c r="F1038" s="304"/>
      <c r="G1038" s="211"/>
      <c r="H1038" s="211"/>
      <c r="I1038" s="203"/>
      <c r="J1038" s="203"/>
      <c r="K1038" s="203"/>
      <c r="L1038" s="203"/>
      <c r="M1038" s="203"/>
      <c r="N1038" s="203"/>
      <c r="O1038" s="203"/>
      <c r="P1038" s="205"/>
      <c r="Q1038" s="204"/>
    </row>
    <row r="1039" spans="1:17">
      <c r="A1039" s="204"/>
      <c r="B1039" s="352"/>
      <c r="C1039" s="202"/>
      <c r="D1039" s="202"/>
      <c r="E1039" s="202"/>
      <c r="F1039" s="304"/>
      <c r="G1039" s="211"/>
      <c r="H1039" s="211"/>
      <c r="I1039" s="203"/>
      <c r="J1039" s="203"/>
      <c r="K1039" s="203"/>
      <c r="L1039" s="203"/>
      <c r="M1039" s="203"/>
      <c r="N1039" s="203"/>
      <c r="O1039" s="203"/>
      <c r="P1039" s="205"/>
      <c r="Q1039" s="204"/>
    </row>
    <row r="1040" spans="1:17">
      <c r="A1040" s="204"/>
      <c r="B1040" s="352"/>
      <c r="C1040" s="202"/>
      <c r="D1040" s="202"/>
      <c r="E1040" s="202"/>
      <c r="F1040" s="304"/>
      <c r="G1040" s="211"/>
      <c r="H1040" s="211"/>
      <c r="I1040" s="203"/>
      <c r="J1040" s="203"/>
      <c r="K1040" s="203"/>
      <c r="L1040" s="203"/>
      <c r="M1040" s="203"/>
      <c r="N1040" s="203"/>
      <c r="O1040" s="203"/>
      <c r="P1040" s="205"/>
      <c r="Q1040" s="204"/>
    </row>
    <row r="1041" spans="1:17">
      <c r="A1041" s="204"/>
      <c r="B1041" s="352"/>
      <c r="C1041" s="202"/>
      <c r="D1041" s="202"/>
      <c r="E1041" s="202"/>
      <c r="F1041" s="304"/>
      <c r="G1041" s="211"/>
      <c r="H1041" s="211"/>
      <c r="I1041" s="203"/>
      <c r="J1041" s="203"/>
      <c r="K1041" s="203"/>
      <c r="L1041" s="203"/>
      <c r="M1041" s="203"/>
      <c r="N1041" s="203"/>
      <c r="O1041" s="203"/>
      <c r="P1041" s="205"/>
      <c r="Q1041" s="204"/>
    </row>
    <row r="1042" spans="1:17">
      <c r="A1042" s="204"/>
      <c r="B1042" s="352"/>
      <c r="C1042" s="202"/>
      <c r="D1042" s="202"/>
      <c r="E1042" s="202"/>
      <c r="F1042" s="304"/>
      <c r="G1042" s="211"/>
      <c r="H1042" s="211"/>
      <c r="I1042" s="203"/>
      <c r="J1042" s="203"/>
      <c r="K1042" s="203"/>
      <c r="L1042" s="203"/>
      <c r="M1042" s="203"/>
      <c r="N1042" s="203"/>
      <c r="O1042" s="203"/>
      <c r="P1042" s="205"/>
      <c r="Q1042" s="204"/>
    </row>
    <row r="1043" spans="1:17">
      <c r="A1043" s="204"/>
      <c r="B1043" s="352"/>
      <c r="C1043" s="202"/>
      <c r="D1043" s="202"/>
      <c r="E1043" s="202"/>
      <c r="F1043" s="304"/>
      <c r="G1043" s="211"/>
      <c r="H1043" s="211"/>
      <c r="I1043" s="203"/>
      <c r="J1043" s="203"/>
      <c r="K1043" s="203"/>
      <c r="L1043" s="203"/>
      <c r="M1043" s="203"/>
      <c r="N1043" s="203"/>
      <c r="O1043" s="203"/>
      <c r="P1043" s="205"/>
      <c r="Q1043" s="204"/>
    </row>
    <row r="1044" spans="1:17">
      <c r="A1044" s="204"/>
      <c r="B1044" s="352"/>
      <c r="C1044" s="202"/>
      <c r="D1044" s="202"/>
      <c r="E1044" s="202"/>
      <c r="F1044" s="304"/>
      <c r="G1044" s="211"/>
      <c r="H1044" s="211"/>
      <c r="I1044" s="203"/>
      <c r="J1044" s="203"/>
      <c r="K1044" s="203"/>
      <c r="L1044" s="203"/>
      <c r="M1044" s="203"/>
      <c r="N1044" s="203"/>
      <c r="O1044" s="203"/>
      <c r="P1044" s="205"/>
      <c r="Q1044" s="204"/>
    </row>
    <row r="1045" spans="1:17">
      <c r="A1045" s="204"/>
      <c r="B1045" s="352"/>
      <c r="C1045" s="202"/>
      <c r="D1045" s="202"/>
      <c r="E1045" s="202"/>
      <c r="F1045" s="304"/>
      <c r="G1045" s="211"/>
      <c r="H1045" s="211"/>
      <c r="I1045" s="203"/>
      <c r="J1045" s="203"/>
      <c r="K1045" s="203"/>
      <c r="L1045" s="203"/>
      <c r="M1045" s="203"/>
      <c r="N1045" s="203"/>
      <c r="O1045" s="203"/>
      <c r="P1045" s="205"/>
      <c r="Q1045" s="204"/>
    </row>
    <row r="1046" spans="1:17">
      <c r="A1046" s="204"/>
      <c r="B1046" s="352"/>
      <c r="C1046" s="202"/>
      <c r="D1046" s="202"/>
      <c r="E1046" s="202"/>
      <c r="F1046" s="304"/>
      <c r="G1046" s="211"/>
      <c r="H1046" s="211"/>
      <c r="I1046" s="203"/>
      <c r="J1046" s="203"/>
      <c r="K1046" s="203"/>
      <c r="L1046" s="203"/>
      <c r="M1046" s="203"/>
      <c r="N1046" s="203"/>
      <c r="O1046" s="203"/>
      <c r="P1046" s="205"/>
      <c r="Q1046" s="204"/>
    </row>
    <row r="1047" spans="1:17">
      <c r="A1047" s="204"/>
      <c r="B1047" s="352"/>
      <c r="C1047" s="202"/>
      <c r="D1047" s="202"/>
      <c r="E1047" s="202"/>
      <c r="F1047" s="304"/>
      <c r="G1047" s="211"/>
      <c r="H1047" s="211"/>
      <c r="I1047" s="203"/>
      <c r="J1047" s="203"/>
      <c r="K1047" s="203"/>
      <c r="L1047" s="203"/>
      <c r="M1047" s="203"/>
      <c r="N1047" s="203"/>
      <c r="O1047" s="203"/>
      <c r="P1047" s="205"/>
      <c r="Q1047" s="204"/>
    </row>
    <row r="1048" spans="1:17">
      <c r="A1048" s="204"/>
      <c r="B1048" s="352"/>
      <c r="C1048" s="202"/>
      <c r="D1048" s="202"/>
      <c r="E1048" s="202"/>
      <c r="F1048" s="304"/>
      <c r="G1048" s="211"/>
      <c r="H1048" s="211"/>
      <c r="I1048" s="203"/>
      <c r="J1048" s="203"/>
      <c r="K1048" s="203"/>
      <c r="L1048" s="203"/>
      <c r="M1048" s="203"/>
      <c r="N1048" s="203"/>
      <c r="O1048" s="203"/>
      <c r="P1048" s="205"/>
      <c r="Q1048" s="204"/>
    </row>
    <row r="1049" spans="1:17">
      <c r="A1049" s="204"/>
      <c r="B1049" s="352"/>
      <c r="C1049" s="202"/>
      <c r="D1049" s="202"/>
      <c r="E1049" s="202"/>
      <c r="F1049" s="304"/>
      <c r="G1049" s="211"/>
      <c r="H1049" s="211"/>
      <c r="I1049" s="203"/>
      <c r="J1049" s="203"/>
      <c r="K1049" s="203"/>
      <c r="L1049" s="203"/>
      <c r="M1049" s="203"/>
      <c r="N1049" s="203"/>
      <c r="O1049" s="203"/>
      <c r="P1049" s="205"/>
      <c r="Q1049" s="204"/>
    </row>
    <row r="1050" spans="1:17">
      <c r="A1050" s="204"/>
      <c r="B1050" s="352"/>
      <c r="C1050" s="202"/>
      <c r="D1050" s="202"/>
      <c r="E1050" s="202"/>
      <c r="F1050" s="304"/>
      <c r="G1050" s="211"/>
      <c r="H1050" s="211"/>
      <c r="I1050" s="203"/>
      <c r="J1050" s="203"/>
      <c r="K1050" s="203"/>
      <c r="L1050" s="203"/>
      <c r="M1050" s="203"/>
      <c r="N1050" s="203"/>
      <c r="O1050" s="203"/>
      <c r="P1050" s="205"/>
      <c r="Q1050" s="204"/>
    </row>
    <row r="1051" spans="1:17">
      <c r="A1051" s="204"/>
      <c r="B1051" s="352"/>
      <c r="C1051" s="202"/>
      <c r="D1051" s="202"/>
      <c r="E1051" s="202"/>
      <c r="F1051" s="304"/>
      <c r="G1051" s="211"/>
      <c r="H1051" s="211"/>
      <c r="I1051" s="203"/>
      <c r="J1051" s="203"/>
      <c r="K1051" s="203"/>
      <c r="L1051" s="203"/>
      <c r="M1051" s="203"/>
      <c r="N1051" s="203"/>
      <c r="O1051" s="203"/>
      <c r="P1051" s="205"/>
      <c r="Q1051" s="204"/>
    </row>
    <row r="1052" spans="1:17">
      <c r="A1052" s="204"/>
      <c r="B1052" s="352"/>
      <c r="C1052" s="202"/>
      <c r="D1052" s="202"/>
      <c r="E1052" s="202"/>
      <c r="F1052" s="304"/>
      <c r="G1052" s="211"/>
      <c r="H1052" s="211"/>
      <c r="I1052" s="203"/>
      <c r="J1052" s="203"/>
      <c r="K1052" s="203"/>
      <c r="L1052" s="203"/>
      <c r="M1052" s="203"/>
      <c r="N1052" s="203"/>
      <c r="O1052" s="203"/>
      <c r="P1052" s="205"/>
      <c r="Q1052" s="204"/>
    </row>
    <row r="1053" spans="1:17">
      <c r="A1053" s="204"/>
      <c r="B1053" s="352"/>
      <c r="C1053" s="202"/>
      <c r="D1053" s="202"/>
      <c r="E1053" s="202"/>
      <c r="F1053" s="304"/>
      <c r="G1053" s="211"/>
      <c r="H1053" s="211"/>
      <c r="I1053" s="203"/>
      <c r="J1053" s="203"/>
      <c r="K1053" s="203"/>
      <c r="L1053" s="203"/>
      <c r="M1053" s="203"/>
      <c r="N1053" s="203"/>
      <c r="O1053" s="203"/>
      <c r="P1053" s="205"/>
      <c r="Q1053" s="204"/>
    </row>
    <row r="1054" spans="1:17">
      <c r="A1054" s="204"/>
      <c r="B1054" s="352"/>
      <c r="C1054" s="202"/>
      <c r="D1054" s="202"/>
      <c r="E1054" s="202"/>
      <c r="F1054" s="304"/>
      <c r="G1054" s="211"/>
      <c r="H1054" s="211"/>
      <c r="I1054" s="203"/>
      <c r="J1054" s="203"/>
      <c r="K1054" s="203"/>
      <c r="L1054" s="203"/>
      <c r="M1054" s="203"/>
      <c r="N1054" s="203"/>
      <c r="O1054" s="203"/>
      <c r="P1054" s="205"/>
      <c r="Q1054" s="204"/>
    </row>
    <row r="1055" spans="1:17">
      <c r="A1055" s="204"/>
      <c r="B1055" s="352"/>
      <c r="C1055" s="202"/>
      <c r="D1055" s="202"/>
      <c r="E1055" s="202"/>
      <c r="F1055" s="304"/>
      <c r="G1055" s="211"/>
      <c r="H1055" s="211"/>
      <c r="I1055" s="203"/>
      <c r="J1055" s="203"/>
      <c r="K1055" s="203"/>
      <c r="L1055" s="203"/>
      <c r="M1055" s="203"/>
      <c r="N1055" s="203"/>
      <c r="O1055" s="203"/>
      <c r="P1055" s="205"/>
      <c r="Q1055" s="204"/>
    </row>
    <row r="1056" spans="1:17">
      <c r="A1056" s="204"/>
      <c r="B1056" s="352"/>
      <c r="C1056" s="202"/>
      <c r="D1056" s="202"/>
      <c r="E1056" s="202"/>
      <c r="F1056" s="304"/>
      <c r="G1056" s="211"/>
      <c r="H1056" s="211"/>
      <c r="I1056" s="203"/>
      <c r="J1056" s="203"/>
      <c r="K1056" s="203"/>
      <c r="L1056" s="203"/>
      <c r="M1056" s="203"/>
      <c r="N1056" s="203"/>
      <c r="O1056" s="203"/>
      <c r="P1056" s="205"/>
      <c r="Q1056" s="204"/>
    </row>
    <row r="1057" spans="1:17">
      <c r="A1057" s="204"/>
      <c r="B1057" s="352"/>
      <c r="C1057" s="202"/>
      <c r="D1057" s="202"/>
      <c r="E1057" s="202"/>
      <c r="F1057" s="304"/>
      <c r="G1057" s="211"/>
      <c r="H1057" s="211"/>
      <c r="I1057" s="203"/>
      <c r="J1057" s="203"/>
      <c r="K1057" s="203"/>
      <c r="L1057" s="203"/>
      <c r="M1057" s="203"/>
      <c r="N1057" s="203"/>
      <c r="O1057" s="203"/>
      <c r="P1057" s="205"/>
      <c r="Q1057" s="204"/>
    </row>
    <row r="1058" spans="1:17">
      <c r="A1058" s="204"/>
      <c r="B1058" s="352"/>
      <c r="C1058" s="202"/>
      <c r="D1058" s="202"/>
      <c r="E1058" s="202"/>
      <c r="F1058" s="304"/>
      <c r="G1058" s="211"/>
      <c r="H1058" s="211"/>
      <c r="I1058" s="203"/>
      <c r="J1058" s="203"/>
      <c r="K1058" s="203"/>
      <c r="L1058" s="203"/>
      <c r="M1058" s="203"/>
      <c r="N1058" s="203"/>
      <c r="O1058" s="203"/>
      <c r="P1058" s="205"/>
      <c r="Q1058" s="204"/>
    </row>
    <row r="1059" spans="1:17">
      <c r="A1059" s="204"/>
      <c r="B1059" s="352"/>
      <c r="C1059" s="202"/>
      <c r="D1059" s="202"/>
      <c r="E1059" s="202"/>
      <c r="F1059" s="304"/>
      <c r="G1059" s="211"/>
      <c r="H1059" s="211"/>
      <c r="I1059" s="203"/>
      <c r="J1059" s="203"/>
      <c r="K1059" s="203"/>
      <c r="L1059" s="203"/>
      <c r="M1059" s="203"/>
      <c r="N1059" s="203"/>
      <c r="O1059" s="203"/>
      <c r="P1059" s="205"/>
      <c r="Q1059" s="204"/>
    </row>
    <row r="1060" spans="1:17">
      <c r="A1060" s="204"/>
      <c r="B1060" s="352"/>
      <c r="C1060" s="202"/>
      <c r="D1060" s="202"/>
      <c r="E1060" s="202"/>
      <c r="F1060" s="304"/>
      <c r="G1060" s="211"/>
      <c r="H1060" s="211"/>
      <c r="I1060" s="203"/>
      <c r="J1060" s="203"/>
      <c r="K1060" s="203"/>
      <c r="L1060" s="203"/>
      <c r="M1060" s="203"/>
      <c r="N1060" s="203"/>
      <c r="O1060" s="203"/>
      <c r="P1060" s="205"/>
      <c r="Q1060" s="204"/>
    </row>
    <row r="1061" spans="1:17">
      <c r="A1061" s="204"/>
      <c r="B1061" s="352"/>
      <c r="C1061" s="202"/>
      <c r="D1061" s="202"/>
      <c r="E1061" s="202"/>
      <c r="F1061" s="304"/>
      <c r="G1061" s="211"/>
      <c r="H1061" s="211"/>
      <c r="I1061" s="203"/>
      <c r="J1061" s="203"/>
      <c r="K1061" s="203"/>
      <c r="L1061" s="203"/>
      <c r="M1061" s="203"/>
      <c r="N1061" s="203"/>
      <c r="O1061" s="203"/>
      <c r="P1061" s="205"/>
      <c r="Q1061" s="204"/>
    </row>
    <row r="1062" spans="1:17">
      <c r="A1062" s="204"/>
      <c r="B1062" s="352"/>
      <c r="C1062" s="202"/>
      <c r="D1062" s="202"/>
      <c r="E1062" s="202"/>
      <c r="F1062" s="304"/>
      <c r="G1062" s="211"/>
      <c r="H1062" s="211"/>
      <c r="I1062" s="203"/>
      <c r="J1062" s="203"/>
      <c r="K1062" s="203"/>
      <c r="L1062" s="203"/>
      <c r="M1062" s="203"/>
      <c r="N1062" s="203"/>
      <c r="O1062" s="203"/>
      <c r="P1062" s="205"/>
      <c r="Q1062" s="204"/>
    </row>
    <row r="1063" spans="1:17">
      <c r="A1063" s="204"/>
      <c r="B1063" s="352"/>
      <c r="C1063" s="202"/>
      <c r="D1063" s="202"/>
      <c r="E1063" s="202"/>
      <c r="F1063" s="304"/>
      <c r="G1063" s="211"/>
      <c r="H1063" s="211"/>
      <c r="I1063" s="203"/>
      <c r="J1063" s="203"/>
      <c r="K1063" s="203"/>
      <c r="L1063" s="203"/>
      <c r="M1063" s="203"/>
      <c r="N1063" s="203"/>
      <c r="O1063" s="203"/>
      <c r="P1063" s="205"/>
      <c r="Q1063" s="204"/>
    </row>
    <row r="1064" spans="1:17">
      <c r="A1064" s="204"/>
      <c r="B1064" s="352"/>
      <c r="C1064" s="202"/>
      <c r="D1064" s="202"/>
      <c r="E1064" s="202"/>
      <c r="F1064" s="304"/>
      <c r="G1064" s="211"/>
      <c r="H1064" s="211"/>
      <c r="I1064" s="203"/>
      <c r="J1064" s="203"/>
      <c r="K1064" s="203"/>
      <c r="L1064" s="203"/>
      <c r="M1064" s="203"/>
      <c r="N1064" s="203"/>
      <c r="O1064" s="203"/>
      <c r="P1064" s="205"/>
      <c r="Q1064" s="204"/>
    </row>
    <row r="1065" spans="1:17">
      <c r="A1065" s="204"/>
      <c r="B1065" s="352"/>
      <c r="C1065" s="202"/>
      <c r="D1065" s="202"/>
      <c r="E1065" s="202"/>
      <c r="F1065" s="304"/>
      <c r="G1065" s="211"/>
      <c r="H1065" s="211"/>
      <c r="I1065" s="203"/>
      <c r="J1065" s="203"/>
      <c r="K1065" s="203"/>
      <c r="L1065" s="203"/>
      <c r="M1065" s="203"/>
      <c r="N1065" s="203"/>
      <c r="O1065" s="203"/>
      <c r="P1065" s="205"/>
      <c r="Q1065" s="204"/>
    </row>
    <row r="1066" spans="1:17">
      <c r="A1066" s="204"/>
      <c r="B1066" s="352"/>
      <c r="C1066" s="202"/>
      <c r="D1066" s="202"/>
      <c r="E1066" s="202"/>
      <c r="F1066" s="304"/>
      <c r="G1066" s="211"/>
      <c r="H1066" s="211"/>
      <c r="I1066" s="203"/>
      <c r="J1066" s="203"/>
      <c r="K1066" s="203"/>
      <c r="L1066" s="203"/>
      <c r="M1066" s="203"/>
      <c r="N1066" s="203"/>
      <c r="O1066" s="203"/>
      <c r="P1066" s="205"/>
      <c r="Q1066" s="204"/>
    </row>
    <row r="1067" spans="1:17">
      <c r="A1067" s="204"/>
      <c r="B1067" s="352"/>
      <c r="C1067" s="202"/>
      <c r="D1067" s="202"/>
      <c r="E1067" s="202"/>
      <c r="F1067" s="304"/>
      <c r="G1067" s="211"/>
      <c r="H1067" s="211"/>
      <c r="I1067" s="203"/>
      <c r="J1067" s="203"/>
      <c r="K1067" s="203"/>
      <c r="L1067" s="203"/>
      <c r="M1067" s="203"/>
      <c r="N1067" s="203"/>
      <c r="O1067" s="203"/>
      <c r="P1067" s="205"/>
      <c r="Q1067" s="204"/>
    </row>
    <row r="1068" spans="1:17">
      <c r="A1068" s="204"/>
      <c r="B1068" s="352"/>
      <c r="C1068" s="202"/>
      <c r="D1068" s="202"/>
      <c r="E1068" s="202"/>
      <c r="F1068" s="304"/>
      <c r="G1068" s="211"/>
      <c r="H1068" s="211"/>
      <c r="I1068" s="203"/>
      <c r="J1068" s="203"/>
      <c r="K1068" s="203"/>
      <c r="L1068" s="203"/>
      <c r="M1068" s="203"/>
      <c r="N1068" s="203"/>
      <c r="O1068" s="203"/>
      <c r="P1068" s="205"/>
      <c r="Q1068" s="204"/>
    </row>
    <row r="1069" spans="1:17">
      <c r="A1069" s="204"/>
      <c r="B1069" s="352"/>
      <c r="C1069" s="202"/>
      <c r="D1069" s="202"/>
      <c r="E1069" s="202"/>
      <c r="F1069" s="304"/>
      <c r="G1069" s="211"/>
      <c r="H1069" s="211"/>
      <c r="I1069" s="203"/>
      <c r="J1069" s="203"/>
      <c r="K1069" s="203"/>
      <c r="L1069" s="203"/>
      <c r="M1069" s="203"/>
      <c r="N1069" s="203"/>
      <c r="O1069" s="203"/>
      <c r="P1069" s="205"/>
      <c r="Q1069" s="204"/>
    </row>
    <row r="1070" spans="1:17">
      <c r="A1070" s="204"/>
      <c r="B1070" s="352"/>
      <c r="C1070" s="202"/>
      <c r="D1070" s="202"/>
      <c r="E1070" s="202"/>
      <c r="F1070" s="304"/>
      <c r="G1070" s="211"/>
      <c r="H1070" s="211"/>
      <c r="I1070" s="203"/>
      <c r="J1070" s="203"/>
      <c r="K1070" s="203"/>
      <c r="L1070" s="203"/>
      <c r="M1070" s="203"/>
      <c r="N1070" s="203"/>
      <c r="O1070" s="203"/>
      <c r="P1070" s="205"/>
      <c r="Q1070" s="204"/>
    </row>
    <row r="1071" spans="1:17">
      <c r="A1071" s="204"/>
      <c r="B1071" s="352"/>
      <c r="C1071" s="202"/>
      <c r="D1071" s="202"/>
      <c r="E1071" s="202"/>
      <c r="F1071" s="304"/>
      <c r="G1071" s="211"/>
      <c r="H1071" s="211"/>
      <c r="I1071" s="203"/>
      <c r="J1071" s="203"/>
      <c r="K1071" s="203"/>
      <c r="L1071" s="203"/>
      <c r="M1071" s="203"/>
      <c r="N1071" s="203"/>
      <c r="O1071" s="203"/>
      <c r="P1071" s="205"/>
      <c r="Q1071" s="204"/>
    </row>
    <row r="1072" spans="1:17">
      <c r="A1072" s="204"/>
      <c r="B1072" s="352"/>
      <c r="C1072" s="202"/>
      <c r="D1072" s="202"/>
      <c r="E1072" s="202"/>
      <c r="F1072" s="304"/>
      <c r="G1072" s="211"/>
      <c r="H1072" s="211"/>
      <c r="I1072" s="203"/>
      <c r="J1072" s="203"/>
      <c r="K1072" s="203"/>
      <c r="L1072" s="203"/>
      <c r="M1072" s="203"/>
      <c r="N1072" s="203"/>
      <c r="O1072" s="203"/>
      <c r="P1072" s="205"/>
      <c r="Q1072" s="204"/>
    </row>
    <row r="1073" spans="1:17">
      <c r="A1073" s="204"/>
      <c r="B1073" s="352"/>
      <c r="C1073" s="202"/>
      <c r="D1073" s="202"/>
      <c r="E1073" s="202"/>
      <c r="F1073" s="304"/>
      <c r="G1073" s="211"/>
      <c r="H1073" s="211"/>
      <c r="I1073" s="203"/>
      <c r="J1073" s="203"/>
      <c r="K1073" s="203"/>
      <c r="L1073" s="203"/>
      <c r="M1073" s="203"/>
      <c r="N1073" s="203"/>
      <c r="O1073" s="203"/>
      <c r="P1073" s="205"/>
      <c r="Q1073" s="204"/>
    </row>
    <row r="1074" spans="1:17">
      <c r="A1074" s="204"/>
      <c r="B1074" s="352"/>
      <c r="C1074" s="202"/>
      <c r="D1074" s="202"/>
      <c r="E1074" s="202"/>
      <c r="F1074" s="304"/>
      <c r="G1074" s="211"/>
      <c r="H1074" s="211"/>
      <c r="I1074" s="203"/>
      <c r="J1074" s="203"/>
      <c r="K1074" s="203"/>
      <c r="L1074" s="203"/>
      <c r="M1074" s="203"/>
      <c r="N1074" s="203"/>
      <c r="O1074" s="203"/>
      <c r="P1074" s="205"/>
      <c r="Q1074" s="204"/>
    </row>
    <row r="1075" spans="1:17">
      <c r="A1075" s="204"/>
      <c r="B1075" s="352"/>
      <c r="C1075" s="202"/>
      <c r="D1075" s="202"/>
      <c r="E1075" s="202"/>
      <c r="F1075" s="304"/>
      <c r="G1075" s="211"/>
      <c r="H1075" s="211"/>
      <c r="I1075" s="203"/>
      <c r="J1075" s="203"/>
      <c r="K1075" s="203"/>
      <c r="L1075" s="203"/>
      <c r="M1075" s="203"/>
      <c r="N1075" s="203"/>
      <c r="O1075" s="203"/>
      <c r="P1075" s="205"/>
      <c r="Q1075" s="204"/>
    </row>
    <row r="1076" spans="1:17">
      <c r="A1076" s="204"/>
      <c r="B1076" s="352"/>
      <c r="C1076" s="202"/>
      <c r="D1076" s="202"/>
      <c r="E1076" s="202"/>
      <c r="F1076" s="304"/>
      <c r="G1076" s="211"/>
      <c r="H1076" s="211"/>
      <c r="I1076" s="203"/>
      <c r="J1076" s="203"/>
      <c r="K1076" s="203"/>
      <c r="L1076" s="203"/>
      <c r="M1076" s="203"/>
      <c r="N1076" s="203"/>
      <c r="O1076" s="203"/>
      <c r="P1076" s="205"/>
      <c r="Q1076" s="204"/>
    </row>
    <row r="1077" spans="1:17">
      <c r="A1077" s="204"/>
      <c r="B1077" s="352"/>
      <c r="C1077" s="202"/>
      <c r="D1077" s="202"/>
      <c r="E1077" s="202"/>
      <c r="F1077" s="304"/>
      <c r="G1077" s="211"/>
      <c r="H1077" s="211"/>
      <c r="I1077" s="203"/>
      <c r="J1077" s="203"/>
      <c r="K1077" s="203"/>
      <c r="L1077" s="203"/>
      <c r="M1077" s="203"/>
      <c r="N1077" s="203"/>
      <c r="O1077" s="203"/>
      <c r="P1077" s="205"/>
      <c r="Q1077" s="204"/>
    </row>
    <row r="1078" spans="1:17">
      <c r="A1078" s="204"/>
      <c r="B1078" s="352"/>
      <c r="C1078" s="202"/>
      <c r="D1078" s="202"/>
      <c r="E1078" s="202"/>
      <c r="F1078" s="304"/>
      <c r="G1078" s="211"/>
      <c r="H1078" s="211"/>
      <c r="I1078" s="203"/>
      <c r="J1078" s="203"/>
      <c r="K1078" s="203"/>
      <c r="L1078" s="203"/>
      <c r="M1078" s="203"/>
      <c r="N1078" s="203"/>
      <c r="O1078" s="203"/>
      <c r="P1078" s="205"/>
      <c r="Q1078" s="204"/>
    </row>
    <row r="1079" spans="1:17">
      <c r="A1079" s="204"/>
      <c r="B1079" s="352"/>
      <c r="C1079" s="202"/>
      <c r="D1079" s="202"/>
      <c r="E1079" s="202"/>
      <c r="F1079" s="304"/>
      <c r="G1079" s="211"/>
      <c r="H1079" s="211"/>
      <c r="I1079" s="203"/>
      <c r="J1079" s="203"/>
      <c r="K1079" s="203"/>
      <c r="L1079" s="203"/>
      <c r="M1079" s="203"/>
      <c r="N1079" s="203"/>
      <c r="O1079" s="203"/>
      <c r="P1079" s="205"/>
      <c r="Q1079" s="204"/>
    </row>
    <row r="1080" spans="1:17">
      <c r="A1080" s="204"/>
      <c r="B1080" s="352"/>
      <c r="C1080" s="202"/>
      <c r="D1080" s="202"/>
      <c r="E1080" s="202"/>
      <c r="F1080" s="304"/>
      <c r="G1080" s="211"/>
      <c r="H1080" s="211"/>
      <c r="I1080" s="203"/>
      <c r="J1080" s="203"/>
      <c r="K1080" s="203"/>
      <c r="L1080" s="203"/>
      <c r="M1080" s="203"/>
      <c r="N1080" s="203"/>
      <c r="O1080" s="203"/>
      <c r="P1080" s="205"/>
      <c r="Q1080" s="204"/>
    </row>
    <row r="1081" spans="1:17">
      <c r="A1081" s="204"/>
      <c r="B1081" s="352"/>
      <c r="C1081" s="202"/>
      <c r="D1081" s="202"/>
      <c r="E1081" s="202"/>
      <c r="F1081" s="304"/>
      <c r="G1081" s="211"/>
      <c r="H1081" s="211"/>
      <c r="I1081" s="203"/>
      <c r="J1081" s="203"/>
      <c r="K1081" s="203"/>
      <c r="L1081" s="203"/>
      <c r="M1081" s="203"/>
      <c r="N1081" s="203"/>
      <c r="O1081" s="203"/>
      <c r="P1081" s="205"/>
      <c r="Q1081" s="204"/>
    </row>
    <row r="1082" spans="1:17">
      <c r="A1082" s="204"/>
      <c r="B1082" s="352"/>
      <c r="C1082" s="202"/>
      <c r="D1082" s="202"/>
      <c r="E1082" s="202"/>
      <c r="F1082" s="304"/>
      <c r="G1082" s="211"/>
      <c r="H1082" s="211"/>
      <c r="I1082" s="203"/>
      <c r="J1082" s="203"/>
      <c r="K1082" s="203"/>
      <c r="L1082" s="203"/>
      <c r="M1082" s="203"/>
      <c r="N1082" s="203"/>
      <c r="O1082" s="203"/>
      <c r="P1082" s="205"/>
      <c r="Q1082" s="204"/>
    </row>
    <row r="1083" spans="1:17">
      <c r="A1083" s="204"/>
      <c r="B1083" s="352"/>
      <c r="C1083" s="202"/>
      <c r="D1083" s="202"/>
      <c r="E1083" s="202"/>
      <c r="F1083" s="304"/>
      <c r="G1083" s="211"/>
      <c r="H1083" s="211"/>
      <c r="I1083" s="203"/>
      <c r="J1083" s="203"/>
      <c r="K1083" s="203"/>
      <c r="L1083" s="203"/>
      <c r="M1083" s="203"/>
      <c r="N1083" s="203"/>
      <c r="O1083" s="203"/>
      <c r="P1083" s="205"/>
      <c r="Q1083" s="204"/>
    </row>
    <row r="1084" spans="1:17">
      <c r="A1084" s="204"/>
      <c r="B1084" s="352"/>
      <c r="C1084" s="202"/>
      <c r="D1084" s="202"/>
      <c r="E1084" s="202"/>
      <c r="F1084" s="304"/>
      <c r="G1084" s="211"/>
      <c r="H1084" s="211"/>
      <c r="I1084" s="203"/>
      <c r="J1084" s="203"/>
      <c r="K1084" s="203"/>
      <c r="L1084" s="203"/>
      <c r="M1084" s="203"/>
      <c r="N1084" s="203"/>
      <c r="O1084" s="203"/>
      <c r="P1084" s="205"/>
      <c r="Q1084" s="204"/>
    </row>
    <row r="1085" spans="1:17">
      <c r="A1085" s="204"/>
      <c r="B1085" s="352"/>
      <c r="C1085" s="202"/>
      <c r="D1085" s="202"/>
      <c r="E1085" s="202"/>
      <c r="F1085" s="304"/>
      <c r="G1085" s="211"/>
      <c r="H1085" s="211"/>
      <c r="I1085" s="203"/>
      <c r="J1085" s="203"/>
      <c r="K1085" s="203"/>
      <c r="L1085" s="203"/>
      <c r="M1085" s="203"/>
      <c r="N1085" s="203"/>
      <c r="O1085" s="203"/>
      <c r="P1085" s="205"/>
      <c r="Q1085" s="204"/>
    </row>
    <row r="1086" spans="1:17">
      <c r="A1086" s="204"/>
      <c r="B1086" s="352"/>
      <c r="C1086" s="202"/>
      <c r="D1086" s="202"/>
      <c r="E1086" s="202"/>
      <c r="F1086" s="304"/>
      <c r="G1086" s="211"/>
      <c r="H1086" s="211"/>
      <c r="I1086" s="203"/>
      <c r="J1086" s="203"/>
      <c r="K1086" s="203"/>
      <c r="L1086" s="203"/>
      <c r="M1086" s="203"/>
      <c r="N1086" s="203"/>
      <c r="O1086" s="203"/>
      <c r="P1086" s="205"/>
      <c r="Q1086" s="204"/>
    </row>
    <row r="1087" spans="1:17">
      <c r="A1087" s="204"/>
      <c r="B1087" s="352"/>
      <c r="C1087" s="202"/>
      <c r="D1087" s="202"/>
      <c r="E1087" s="202"/>
      <c r="F1087" s="304"/>
      <c r="G1087" s="211"/>
      <c r="H1087" s="211"/>
      <c r="I1087" s="203"/>
      <c r="J1087" s="203"/>
      <c r="K1087" s="203"/>
      <c r="L1087" s="203"/>
      <c r="M1087" s="203"/>
      <c r="N1087" s="203"/>
      <c r="O1087" s="203"/>
      <c r="P1087" s="205"/>
      <c r="Q1087" s="204"/>
    </row>
    <row r="1088" spans="1:17">
      <c r="A1088" s="204"/>
      <c r="B1088" s="352"/>
      <c r="C1088" s="202"/>
      <c r="D1088" s="202"/>
      <c r="E1088" s="202"/>
      <c r="F1088" s="304"/>
      <c r="G1088" s="211"/>
      <c r="H1088" s="211"/>
      <c r="I1088" s="203"/>
      <c r="J1088" s="203"/>
      <c r="K1088" s="203"/>
      <c r="L1088" s="203"/>
      <c r="M1088" s="203"/>
      <c r="N1088" s="203"/>
      <c r="O1088" s="203"/>
      <c r="P1088" s="205"/>
      <c r="Q1088" s="204"/>
    </row>
    <row r="1089" spans="1:17">
      <c r="A1089" s="204"/>
      <c r="B1089" s="352"/>
      <c r="C1089" s="202"/>
      <c r="D1089" s="202"/>
      <c r="E1089" s="202"/>
      <c r="F1089" s="304"/>
      <c r="G1089" s="211"/>
      <c r="H1089" s="211"/>
      <c r="I1089" s="203"/>
      <c r="J1089" s="203"/>
      <c r="K1089" s="203"/>
      <c r="L1089" s="203"/>
      <c r="M1089" s="203"/>
      <c r="N1089" s="203"/>
      <c r="O1089" s="203"/>
      <c r="P1089" s="205"/>
      <c r="Q1089" s="204"/>
    </row>
    <row r="1090" spans="1:17">
      <c r="A1090" s="204"/>
      <c r="B1090" s="352"/>
      <c r="C1090" s="202"/>
      <c r="D1090" s="202"/>
      <c r="E1090" s="202"/>
      <c r="F1090" s="304"/>
      <c r="G1090" s="211"/>
      <c r="H1090" s="211"/>
      <c r="I1090" s="203"/>
      <c r="J1090" s="203"/>
      <c r="K1090" s="203"/>
      <c r="L1090" s="203"/>
      <c r="M1090" s="203"/>
      <c r="N1090" s="203"/>
      <c r="O1090" s="203"/>
      <c r="P1090" s="205"/>
      <c r="Q1090" s="204"/>
    </row>
    <row r="1091" spans="1:17">
      <c r="A1091" s="204"/>
      <c r="B1091" s="352"/>
      <c r="C1091" s="202"/>
      <c r="D1091" s="202"/>
      <c r="E1091" s="202"/>
      <c r="F1091" s="304"/>
      <c r="G1091" s="211"/>
      <c r="H1091" s="211"/>
      <c r="I1091" s="203"/>
      <c r="J1091" s="203"/>
      <c r="K1091" s="203"/>
      <c r="L1091" s="203"/>
      <c r="M1091" s="203"/>
      <c r="N1091" s="203"/>
      <c r="O1091" s="203"/>
      <c r="P1091" s="205"/>
      <c r="Q1091" s="204"/>
    </row>
    <row r="1092" spans="1:17">
      <c r="A1092" s="204"/>
      <c r="B1092" s="352"/>
      <c r="C1092" s="202"/>
      <c r="D1092" s="202"/>
      <c r="E1092" s="202"/>
      <c r="F1092" s="304"/>
      <c r="G1092" s="211"/>
      <c r="H1092" s="211"/>
      <c r="I1092" s="203"/>
      <c r="J1092" s="203"/>
      <c r="K1092" s="203"/>
      <c r="L1092" s="203"/>
      <c r="M1092" s="203"/>
      <c r="N1092" s="203"/>
      <c r="O1092" s="203"/>
      <c r="P1092" s="205"/>
      <c r="Q1092" s="204"/>
    </row>
    <row r="1093" spans="1:17">
      <c r="A1093" s="204"/>
      <c r="B1093" s="352"/>
      <c r="C1093" s="202"/>
      <c r="D1093" s="202"/>
      <c r="E1093" s="202"/>
      <c r="F1093" s="304"/>
      <c r="G1093" s="211"/>
      <c r="H1093" s="211"/>
      <c r="I1093" s="203"/>
      <c r="J1093" s="203"/>
      <c r="K1093" s="203"/>
      <c r="L1093" s="203"/>
      <c r="M1093" s="203"/>
      <c r="N1093" s="203"/>
      <c r="O1093" s="203"/>
      <c r="P1093" s="205"/>
      <c r="Q1093" s="204"/>
    </row>
    <row r="1094" spans="1:17">
      <c r="A1094" s="204"/>
      <c r="B1094" s="352"/>
      <c r="C1094" s="202"/>
      <c r="D1094" s="202"/>
      <c r="E1094" s="202"/>
      <c r="F1094" s="304"/>
      <c r="G1094" s="211"/>
      <c r="H1094" s="211"/>
      <c r="I1094" s="203"/>
      <c r="J1094" s="203"/>
      <c r="K1094" s="203"/>
      <c r="L1094" s="203"/>
      <c r="M1094" s="203"/>
      <c r="N1094" s="203"/>
      <c r="O1094" s="203"/>
      <c r="P1094" s="205"/>
      <c r="Q1094" s="204"/>
    </row>
    <row r="1095" spans="1:17">
      <c r="A1095" s="204"/>
      <c r="B1095" s="352"/>
      <c r="C1095" s="202"/>
      <c r="D1095" s="202"/>
      <c r="E1095" s="202"/>
      <c r="F1095" s="304"/>
      <c r="G1095" s="211"/>
      <c r="H1095" s="211"/>
      <c r="I1095" s="203"/>
      <c r="J1095" s="203"/>
      <c r="K1095" s="203"/>
      <c r="L1095" s="203"/>
      <c r="M1095" s="203"/>
      <c r="N1095" s="203"/>
      <c r="O1095" s="203"/>
      <c r="P1095" s="205"/>
      <c r="Q1095" s="204"/>
    </row>
    <row r="1096" spans="1:17">
      <c r="A1096" s="204"/>
      <c r="B1096" s="352"/>
      <c r="C1096" s="202"/>
      <c r="D1096" s="202"/>
      <c r="E1096" s="202"/>
      <c r="F1096" s="304"/>
      <c r="G1096" s="211"/>
      <c r="H1096" s="211"/>
      <c r="I1096" s="203"/>
      <c r="J1096" s="203"/>
      <c r="K1096" s="203"/>
      <c r="L1096" s="203"/>
      <c r="M1096" s="203"/>
      <c r="N1096" s="203"/>
      <c r="O1096" s="203"/>
      <c r="P1096" s="205"/>
      <c r="Q1096" s="204"/>
    </row>
    <row r="1097" spans="1:17">
      <c r="A1097" s="204"/>
      <c r="B1097" s="352"/>
      <c r="C1097" s="202"/>
      <c r="D1097" s="202"/>
      <c r="E1097" s="202"/>
      <c r="F1097" s="304"/>
      <c r="G1097" s="211"/>
      <c r="H1097" s="211"/>
      <c r="I1097" s="203"/>
      <c r="J1097" s="203"/>
      <c r="K1097" s="203"/>
      <c r="L1097" s="203"/>
      <c r="M1097" s="203"/>
      <c r="N1097" s="203"/>
      <c r="O1097" s="203"/>
      <c r="P1097" s="205"/>
      <c r="Q1097" s="204"/>
    </row>
    <row r="1098" spans="1:17">
      <c r="A1098" s="204"/>
      <c r="B1098" s="352"/>
      <c r="C1098" s="202"/>
      <c r="D1098" s="202"/>
      <c r="E1098" s="202"/>
      <c r="F1098" s="304"/>
      <c r="G1098" s="211"/>
      <c r="H1098" s="211"/>
      <c r="I1098" s="203"/>
      <c r="J1098" s="203"/>
      <c r="K1098" s="203"/>
      <c r="L1098" s="203"/>
      <c r="M1098" s="203"/>
      <c r="N1098" s="203"/>
      <c r="O1098" s="203"/>
      <c r="P1098" s="205"/>
      <c r="Q1098" s="204"/>
    </row>
    <row r="1099" spans="1:17">
      <c r="A1099" s="204"/>
      <c r="B1099" s="352"/>
      <c r="C1099" s="202"/>
      <c r="D1099" s="202"/>
      <c r="E1099" s="202"/>
      <c r="F1099" s="304"/>
      <c r="G1099" s="211"/>
      <c r="H1099" s="211"/>
      <c r="I1099" s="203"/>
      <c r="J1099" s="203"/>
      <c r="K1099" s="203"/>
      <c r="L1099" s="203"/>
      <c r="M1099" s="203"/>
      <c r="N1099" s="203"/>
      <c r="O1099" s="203"/>
      <c r="P1099" s="205"/>
      <c r="Q1099" s="204"/>
    </row>
    <row r="1100" spans="1:17">
      <c r="A1100" s="204"/>
      <c r="B1100" s="352"/>
      <c r="C1100" s="202"/>
      <c r="D1100" s="202"/>
      <c r="E1100" s="202"/>
      <c r="F1100" s="304"/>
      <c r="G1100" s="211"/>
      <c r="H1100" s="211"/>
      <c r="I1100" s="203"/>
      <c r="J1100" s="203"/>
      <c r="K1100" s="203"/>
      <c r="L1100" s="203"/>
      <c r="M1100" s="203"/>
      <c r="N1100" s="203"/>
      <c r="O1100" s="203"/>
      <c r="P1100" s="205"/>
      <c r="Q1100" s="204"/>
    </row>
    <row r="1101" spans="1:17">
      <c r="A1101" s="204"/>
      <c r="B1101" s="352"/>
      <c r="C1101" s="202"/>
      <c r="D1101" s="202"/>
      <c r="E1101" s="202"/>
      <c r="F1101" s="304"/>
      <c r="G1101" s="211"/>
      <c r="H1101" s="211"/>
      <c r="I1101" s="203"/>
      <c r="J1101" s="203"/>
      <c r="K1101" s="203"/>
      <c r="L1101" s="203"/>
      <c r="M1101" s="203"/>
      <c r="N1101" s="203"/>
      <c r="O1101" s="203"/>
      <c r="P1101" s="205"/>
      <c r="Q1101" s="204"/>
    </row>
    <row r="1102" spans="1:17">
      <c r="A1102" s="204"/>
      <c r="B1102" s="352"/>
      <c r="C1102" s="202"/>
      <c r="D1102" s="202"/>
      <c r="E1102" s="202"/>
      <c r="F1102" s="304"/>
      <c r="G1102" s="211"/>
      <c r="H1102" s="211"/>
      <c r="I1102" s="203"/>
      <c r="J1102" s="203"/>
      <c r="K1102" s="203"/>
      <c r="L1102" s="203"/>
      <c r="M1102" s="203"/>
      <c r="N1102" s="203"/>
      <c r="O1102" s="203"/>
      <c r="P1102" s="205"/>
      <c r="Q1102" s="204"/>
    </row>
    <row r="1103" spans="1:17">
      <c r="A1103" s="204"/>
      <c r="B1103" s="352"/>
      <c r="C1103" s="202"/>
      <c r="D1103" s="202"/>
      <c r="E1103" s="202"/>
      <c r="F1103" s="304"/>
      <c r="G1103" s="211"/>
      <c r="H1103" s="211"/>
      <c r="I1103" s="203"/>
      <c r="J1103" s="203"/>
      <c r="K1103" s="203"/>
      <c r="L1103" s="203"/>
      <c r="M1103" s="203"/>
      <c r="N1103" s="203"/>
      <c r="O1103" s="203"/>
      <c r="P1103" s="205"/>
      <c r="Q1103" s="204"/>
    </row>
    <row r="1104" spans="1:17">
      <c r="A1104" s="204"/>
      <c r="B1104" s="352"/>
      <c r="C1104" s="202"/>
      <c r="D1104" s="202"/>
      <c r="E1104" s="202"/>
      <c r="F1104" s="304"/>
      <c r="G1104" s="211"/>
      <c r="H1104" s="211"/>
      <c r="I1104" s="203"/>
      <c r="J1104" s="203"/>
      <c r="K1104" s="203"/>
      <c r="L1104" s="203"/>
      <c r="M1104" s="203"/>
      <c r="N1104" s="203"/>
      <c r="O1104" s="203"/>
      <c r="P1104" s="205"/>
      <c r="Q1104" s="204"/>
    </row>
    <row r="1105" spans="1:17">
      <c r="A1105" s="204"/>
      <c r="B1105" s="352"/>
      <c r="C1105" s="202"/>
      <c r="D1105" s="202"/>
      <c r="E1105" s="202"/>
      <c r="F1105" s="304"/>
      <c r="G1105" s="211"/>
      <c r="H1105" s="211"/>
      <c r="I1105" s="203"/>
      <c r="J1105" s="203"/>
      <c r="K1105" s="203"/>
      <c r="L1105" s="203"/>
      <c r="M1105" s="203"/>
      <c r="N1105" s="203"/>
      <c r="O1105" s="203"/>
      <c r="P1105" s="205"/>
      <c r="Q1105" s="204"/>
    </row>
    <row r="1106" spans="1:17">
      <c r="A1106" s="204"/>
      <c r="B1106" s="352"/>
      <c r="C1106" s="202"/>
      <c r="D1106" s="202"/>
      <c r="E1106" s="202"/>
      <c r="F1106" s="304"/>
      <c r="G1106" s="211"/>
      <c r="H1106" s="211"/>
      <c r="I1106" s="203"/>
      <c r="J1106" s="203"/>
      <c r="K1106" s="203"/>
      <c r="L1106" s="203"/>
      <c r="M1106" s="203"/>
      <c r="N1106" s="203"/>
      <c r="O1106" s="203"/>
      <c r="P1106" s="205"/>
      <c r="Q1106" s="204"/>
    </row>
    <row r="1107" spans="1:17">
      <c r="A1107" s="204"/>
      <c r="B1107" s="352"/>
      <c r="C1107" s="202"/>
      <c r="D1107" s="202"/>
      <c r="E1107" s="202"/>
      <c r="F1107" s="304"/>
      <c r="G1107" s="211"/>
      <c r="H1107" s="211"/>
      <c r="I1107" s="203"/>
      <c r="J1107" s="203"/>
      <c r="K1107" s="203"/>
      <c r="L1107" s="203"/>
      <c r="M1107" s="203"/>
      <c r="N1107" s="203"/>
      <c r="O1107" s="203"/>
      <c r="P1107" s="205"/>
      <c r="Q1107" s="204"/>
    </row>
    <row r="1108" spans="1:17">
      <c r="A1108" s="204"/>
      <c r="B1108" s="352"/>
      <c r="C1108" s="202"/>
      <c r="D1108" s="202"/>
      <c r="E1108" s="202"/>
      <c r="F1108" s="304"/>
      <c r="G1108" s="211"/>
      <c r="H1108" s="211"/>
      <c r="I1108" s="203"/>
      <c r="J1108" s="203"/>
      <c r="K1108" s="203"/>
      <c r="L1108" s="203"/>
      <c r="M1108" s="203"/>
      <c r="N1108" s="203"/>
      <c r="O1108" s="203"/>
      <c r="P1108" s="205"/>
      <c r="Q1108" s="204"/>
    </row>
    <row r="1109" spans="1:17">
      <c r="A1109" s="204"/>
      <c r="B1109" s="352"/>
      <c r="C1109" s="202"/>
      <c r="D1109" s="202"/>
      <c r="E1109" s="202"/>
      <c r="F1109" s="304"/>
      <c r="G1109" s="211"/>
      <c r="H1109" s="211"/>
      <c r="I1109" s="203"/>
      <c r="J1109" s="203"/>
      <c r="K1109" s="203"/>
      <c r="L1109" s="203"/>
      <c r="M1109" s="203"/>
      <c r="N1109" s="203"/>
      <c r="O1109" s="203"/>
      <c r="P1109" s="205"/>
      <c r="Q1109" s="204"/>
    </row>
    <row r="1110" spans="1:17">
      <c r="A1110" s="204"/>
      <c r="B1110" s="352"/>
      <c r="C1110" s="202"/>
      <c r="D1110" s="202"/>
      <c r="E1110" s="202"/>
      <c r="F1110" s="304"/>
      <c r="G1110" s="211"/>
      <c r="H1110" s="211"/>
      <c r="I1110" s="203"/>
      <c r="J1110" s="203"/>
      <c r="K1110" s="203"/>
      <c r="L1110" s="203"/>
      <c r="M1110" s="203"/>
      <c r="N1110" s="203"/>
      <c r="O1110" s="203"/>
      <c r="P1110" s="205"/>
      <c r="Q1110" s="204"/>
    </row>
    <row r="1111" spans="1:17">
      <c r="A1111" s="204"/>
      <c r="B1111" s="352"/>
      <c r="C1111" s="202"/>
      <c r="D1111" s="202"/>
      <c r="E1111" s="202"/>
      <c r="F1111" s="304"/>
      <c r="G1111" s="211"/>
      <c r="H1111" s="211"/>
      <c r="I1111" s="203"/>
      <c r="J1111" s="203"/>
      <c r="K1111" s="203"/>
      <c r="L1111" s="203"/>
      <c r="M1111" s="203"/>
      <c r="N1111" s="203"/>
      <c r="O1111" s="203"/>
      <c r="P1111" s="205"/>
      <c r="Q1111" s="204"/>
    </row>
    <row r="1112" spans="1:17">
      <c r="A1112" s="204"/>
      <c r="B1112" s="352"/>
      <c r="C1112" s="202"/>
      <c r="D1112" s="202"/>
      <c r="E1112" s="202"/>
      <c r="F1112" s="304"/>
      <c r="G1112" s="211"/>
      <c r="H1112" s="211"/>
      <c r="I1112" s="203"/>
      <c r="J1112" s="203"/>
      <c r="K1112" s="203"/>
      <c r="L1112" s="203"/>
      <c r="M1112" s="203"/>
      <c r="N1112" s="203"/>
      <c r="O1112" s="203"/>
      <c r="P1112" s="205"/>
      <c r="Q1112" s="204"/>
    </row>
    <row r="1113" spans="1:17">
      <c r="A1113" s="204"/>
      <c r="B1113" s="352"/>
      <c r="C1113" s="202"/>
      <c r="D1113" s="202"/>
      <c r="E1113" s="202"/>
      <c r="F1113" s="304"/>
      <c r="G1113" s="211"/>
      <c r="H1113" s="211"/>
      <c r="I1113" s="203"/>
      <c r="J1113" s="203"/>
      <c r="K1113" s="203"/>
      <c r="L1113" s="203"/>
      <c r="M1113" s="203"/>
      <c r="N1113" s="203"/>
      <c r="O1113" s="203"/>
      <c r="P1113" s="205"/>
      <c r="Q1113" s="204"/>
    </row>
    <row r="1114" spans="1:17">
      <c r="A1114" s="204"/>
      <c r="B1114" s="352"/>
      <c r="C1114" s="202"/>
      <c r="D1114" s="202"/>
      <c r="E1114" s="202"/>
      <c r="F1114" s="304"/>
      <c r="G1114" s="211"/>
      <c r="H1114" s="211"/>
      <c r="I1114" s="203"/>
      <c r="J1114" s="203"/>
      <c r="K1114" s="203"/>
      <c r="L1114" s="203"/>
      <c r="M1114" s="203"/>
      <c r="N1114" s="203"/>
      <c r="O1114" s="203"/>
      <c r="P1114" s="205"/>
      <c r="Q1114" s="204"/>
    </row>
    <row r="1115" spans="1:17">
      <c r="A1115" s="204"/>
      <c r="B1115" s="352"/>
      <c r="C1115" s="202"/>
      <c r="D1115" s="202"/>
      <c r="E1115" s="202"/>
      <c r="F1115" s="304"/>
      <c r="G1115" s="211"/>
      <c r="H1115" s="211"/>
      <c r="I1115" s="203"/>
      <c r="J1115" s="203"/>
      <c r="K1115" s="203"/>
      <c r="L1115" s="203"/>
      <c r="M1115" s="203"/>
      <c r="N1115" s="203"/>
      <c r="O1115" s="203"/>
      <c r="P1115" s="205"/>
      <c r="Q1115" s="204"/>
    </row>
    <row r="1116" spans="1:17">
      <c r="A1116" s="204"/>
      <c r="B1116" s="352"/>
      <c r="C1116" s="202"/>
      <c r="D1116" s="202"/>
      <c r="E1116" s="202"/>
      <c r="F1116" s="304"/>
      <c r="G1116" s="211"/>
      <c r="H1116" s="211"/>
      <c r="I1116" s="203"/>
      <c r="J1116" s="203"/>
      <c r="K1116" s="203"/>
      <c r="L1116" s="203"/>
      <c r="M1116" s="203"/>
      <c r="N1116" s="203"/>
      <c r="O1116" s="203"/>
      <c r="P1116" s="205"/>
      <c r="Q1116" s="204"/>
    </row>
    <row r="1117" spans="1:17">
      <c r="A1117" s="204"/>
      <c r="B1117" s="352"/>
      <c r="C1117" s="202"/>
      <c r="D1117" s="202"/>
      <c r="E1117" s="202"/>
      <c r="F1117" s="304"/>
      <c r="G1117" s="211"/>
      <c r="H1117" s="211"/>
      <c r="I1117" s="203"/>
      <c r="J1117" s="203"/>
      <c r="K1117" s="203"/>
      <c r="L1117" s="203"/>
      <c r="M1117" s="203"/>
      <c r="N1117" s="203"/>
      <c r="O1117" s="203"/>
      <c r="P1117" s="205"/>
      <c r="Q1117" s="204"/>
    </row>
    <row r="1118" spans="1:17">
      <c r="A1118" s="204"/>
      <c r="B1118" s="352"/>
      <c r="C1118" s="202"/>
      <c r="D1118" s="202"/>
      <c r="E1118" s="202"/>
      <c r="F1118" s="304"/>
      <c r="G1118" s="211"/>
      <c r="H1118" s="211"/>
      <c r="I1118" s="203"/>
      <c r="J1118" s="203"/>
      <c r="K1118" s="203"/>
      <c r="L1118" s="203"/>
      <c r="M1118" s="203"/>
      <c r="N1118" s="203"/>
      <c r="O1118" s="203"/>
      <c r="P1118" s="205"/>
      <c r="Q1118" s="204"/>
    </row>
    <row r="1119" spans="1:17">
      <c r="A1119" s="204"/>
      <c r="B1119" s="352"/>
      <c r="C1119" s="202"/>
      <c r="D1119" s="202"/>
      <c r="E1119" s="202"/>
      <c r="F1119" s="304"/>
      <c r="G1119" s="211"/>
      <c r="H1119" s="211"/>
      <c r="I1119" s="203"/>
      <c r="J1119" s="203"/>
      <c r="K1119" s="203"/>
      <c r="L1119" s="203"/>
      <c r="M1119" s="203"/>
      <c r="N1119" s="203"/>
      <c r="O1119" s="203"/>
      <c r="P1119" s="205"/>
      <c r="Q1119" s="204"/>
    </row>
    <row r="1120" spans="1:17">
      <c r="A1120" s="204"/>
      <c r="B1120" s="352"/>
      <c r="C1120" s="202"/>
      <c r="D1120" s="202"/>
      <c r="E1120" s="202"/>
      <c r="F1120" s="304"/>
      <c r="G1120" s="211"/>
      <c r="H1120" s="211"/>
      <c r="I1120" s="203"/>
      <c r="J1120" s="203"/>
      <c r="K1120" s="203"/>
      <c r="L1120" s="203"/>
      <c r="M1120" s="203"/>
      <c r="N1120" s="203"/>
      <c r="O1120" s="203"/>
      <c r="P1120" s="205"/>
      <c r="Q1120" s="204"/>
    </row>
    <row r="1121" spans="1:17">
      <c r="A1121" s="204"/>
      <c r="B1121" s="352"/>
      <c r="C1121" s="202"/>
      <c r="D1121" s="202"/>
      <c r="E1121" s="202"/>
      <c r="F1121" s="304"/>
      <c r="G1121" s="211"/>
      <c r="H1121" s="211"/>
      <c r="I1121" s="203"/>
      <c r="J1121" s="203"/>
      <c r="K1121" s="203"/>
      <c r="L1121" s="203"/>
      <c r="M1121" s="203"/>
      <c r="N1121" s="203"/>
      <c r="O1121" s="203"/>
      <c r="P1121" s="205"/>
      <c r="Q1121" s="204"/>
    </row>
    <row r="1122" spans="1:17">
      <c r="A1122" s="204"/>
      <c r="B1122" s="352"/>
      <c r="C1122" s="202"/>
      <c r="D1122" s="202"/>
      <c r="E1122" s="202"/>
      <c r="F1122" s="304"/>
      <c r="G1122" s="211"/>
      <c r="H1122" s="211"/>
      <c r="I1122" s="203"/>
      <c r="J1122" s="203"/>
      <c r="K1122" s="203"/>
      <c r="L1122" s="203"/>
      <c r="M1122" s="203"/>
      <c r="N1122" s="203"/>
      <c r="O1122" s="203"/>
      <c r="P1122" s="205"/>
      <c r="Q1122" s="204"/>
    </row>
    <row r="1123" spans="1:17">
      <c r="A1123" s="204"/>
      <c r="B1123" s="352"/>
      <c r="C1123" s="202"/>
      <c r="D1123" s="202"/>
      <c r="E1123" s="202"/>
      <c r="F1123" s="304"/>
      <c r="G1123" s="211"/>
      <c r="H1123" s="211"/>
      <c r="I1123" s="203"/>
      <c r="J1123" s="203"/>
      <c r="K1123" s="203"/>
      <c r="L1123" s="203"/>
      <c r="M1123" s="203"/>
      <c r="N1123" s="203"/>
      <c r="O1123" s="203"/>
      <c r="P1123" s="205"/>
      <c r="Q1123" s="204"/>
    </row>
    <row r="1124" spans="1:17">
      <c r="A1124" s="204"/>
      <c r="B1124" s="352"/>
      <c r="C1124" s="202"/>
      <c r="D1124" s="202"/>
      <c r="E1124" s="202"/>
      <c r="F1124" s="304"/>
      <c r="G1124" s="211"/>
      <c r="H1124" s="211"/>
      <c r="I1124" s="203"/>
      <c r="J1124" s="203"/>
      <c r="K1124" s="203"/>
      <c r="L1124" s="203"/>
      <c r="M1124" s="203"/>
      <c r="N1124" s="203"/>
      <c r="O1124" s="203"/>
      <c r="P1124" s="205"/>
      <c r="Q1124" s="204"/>
    </row>
    <row r="1125" spans="1:17">
      <c r="A1125" s="204"/>
      <c r="B1125" s="352"/>
      <c r="C1125" s="202"/>
      <c r="D1125" s="202"/>
      <c r="E1125" s="202"/>
      <c r="F1125" s="304"/>
      <c r="G1125" s="211"/>
      <c r="H1125" s="211"/>
      <c r="I1125" s="203"/>
      <c r="J1125" s="203"/>
      <c r="K1125" s="203"/>
      <c r="L1125" s="203"/>
      <c r="M1125" s="203"/>
      <c r="N1125" s="203"/>
      <c r="O1125" s="203"/>
      <c r="P1125" s="205"/>
      <c r="Q1125" s="204"/>
    </row>
    <row r="1126" spans="1:17">
      <c r="A1126" s="204"/>
      <c r="B1126" s="352"/>
      <c r="C1126" s="202"/>
      <c r="D1126" s="202"/>
      <c r="E1126" s="202"/>
      <c r="F1126" s="304"/>
      <c r="G1126" s="211"/>
      <c r="H1126" s="211"/>
      <c r="I1126" s="203"/>
      <c r="J1126" s="203"/>
      <c r="K1126" s="203"/>
      <c r="L1126" s="203"/>
      <c r="M1126" s="203"/>
      <c r="N1126" s="203"/>
      <c r="O1126" s="203"/>
      <c r="P1126" s="205"/>
      <c r="Q1126" s="204"/>
    </row>
    <row r="1127" spans="1:17">
      <c r="A1127" s="204"/>
      <c r="B1127" s="352"/>
      <c r="C1127" s="202"/>
      <c r="D1127" s="202"/>
      <c r="E1127" s="202"/>
      <c r="F1127" s="304"/>
      <c r="G1127" s="211"/>
      <c r="H1127" s="211"/>
      <c r="I1127" s="203"/>
      <c r="J1127" s="203"/>
      <c r="K1127" s="203"/>
      <c r="L1127" s="203"/>
      <c r="M1127" s="203"/>
      <c r="N1127" s="203"/>
      <c r="O1127" s="203"/>
      <c r="P1127" s="205"/>
      <c r="Q1127" s="204"/>
    </row>
    <row r="1128" spans="1:17">
      <c r="A1128" s="204"/>
      <c r="B1128" s="352"/>
      <c r="C1128" s="202"/>
      <c r="D1128" s="202"/>
      <c r="E1128" s="202"/>
      <c r="F1128" s="304"/>
      <c r="G1128" s="211"/>
      <c r="H1128" s="211"/>
      <c r="I1128" s="203"/>
      <c r="J1128" s="203"/>
      <c r="K1128" s="203"/>
      <c r="L1128" s="203"/>
      <c r="M1128" s="203"/>
      <c r="N1128" s="203"/>
      <c r="O1128" s="203"/>
      <c r="P1128" s="205"/>
      <c r="Q1128" s="204"/>
    </row>
    <row r="1129" spans="1:17">
      <c r="A1129" s="204"/>
      <c r="B1129" s="352"/>
      <c r="C1129" s="202"/>
      <c r="D1129" s="202"/>
      <c r="E1129" s="202"/>
      <c r="F1129" s="304"/>
      <c r="G1129" s="211"/>
      <c r="H1129" s="211"/>
      <c r="I1129" s="203"/>
      <c r="J1129" s="203"/>
      <c r="K1129" s="203"/>
      <c r="L1129" s="203"/>
      <c r="M1129" s="203"/>
      <c r="N1129" s="203"/>
      <c r="O1129" s="203"/>
      <c r="P1129" s="205"/>
      <c r="Q1129" s="204"/>
    </row>
    <row r="1130" spans="1:17">
      <c r="A1130" s="204"/>
      <c r="B1130" s="352"/>
      <c r="C1130" s="202"/>
      <c r="D1130" s="202"/>
      <c r="E1130" s="202"/>
      <c r="F1130" s="304"/>
      <c r="G1130" s="211"/>
      <c r="H1130" s="211"/>
      <c r="I1130" s="203"/>
      <c r="J1130" s="203"/>
      <c r="K1130" s="203"/>
      <c r="L1130" s="203"/>
      <c r="M1130" s="203"/>
      <c r="N1130" s="203"/>
      <c r="O1130" s="203"/>
      <c r="P1130" s="205"/>
      <c r="Q1130" s="204"/>
    </row>
    <row r="1131" spans="1:17">
      <c r="A1131" s="204"/>
      <c r="B1131" s="352"/>
      <c r="C1131" s="202"/>
      <c r="D1131" s="202"/>
      <c r="E1131" s="202"/>
      <c r="F1131" s="304"/>
      <c r="G1131" s="211"/>
      <c r="H1131" s="211"/>
      <c r="I1131" s="203"/>
      <c r="J1131" s="203"/>
      <c r="K1131" s="203"/>
      <c r="L1131" s="203"/>
      <c r="M1131" s="203"/>
      <c r="N1131" s="203"/>
      <c r="O1131" s="203"/>
      <c r="P1131" s="205"/>
      <c r="Q1131" s="204"/>
    </row>
    <row r="1132" spans="1:17">
      <c r="A1132" s="204"/>
      <c r="B1132" s="352"/>
      <c r="C1132" s="202"/>
      <c r="D1132" s="202"/>
      <c r="E1132" s="202"/>
      <c r="F1132" s="304"/>
      <c r="G1132" s="211"/>
      <c r="H1132" s="211"/>
      <c r="I1132" s="203"/>
      <c r="J1132" s="203"/>
      <c r="K1132" s="203"/>
      <c r="L1132" s="203"/>
      <c r="M1132" s="203"/>
      <c r="N1132" s="203"/>
      <c r="O1132" s="203"/>
      <c r="P1132" s="205"/>
      <c r="Q1132" s="204"/>
    </row>
    <row r="1133" spans="1:17">
      <c r="A1133" s="204"/>
      <c r="B1133" s="352"/>
      <c r="C1133" s="202"/>
      <c r="D1133" s="202"/>
      <c r="E1133" s="202"/>
      <c r="F1133" s="304"/>
      <c r="G1133" s="211"/>
      <c r="H1133" s="211"/>
      <c r="I1133" s="203"/>
      <c r="J1133" s="203"/>
      <c r="K1133" s="203"/>
      <c r="L1133" s="203"/>
      <c r="M1133" s="203"/>
      <c r="N1133" s="203"/>
      <c r="O1133" s="203"/>
      <c r="P1133" s="205"/>
      <c r="Q1133" s="204"/>
    </row>
    <row r="1134" spans="1:17">
      <c r="A1134" s="204"/>
      <c r="B1134" s="352"/>
      <c r="C1134" s="202"/>
      <c r="D1134" s="202"/>
      <c r="E1134" s="202"/>
      <c r="F1134" s="304"/>
      <c r="G1134" s="211"/>
      <c r="H1134" s="211"/>
      <c r="I1134" s="203"/>
      <c r="J1134" s="203"/>
      <c r="K1134" s="203"/>
      <c r="L1134" s="203"/>
      <c r="M1134" s="203"/>
      <c r="N1134" s="203"/>
      <c r="O1134" s="203"/>
      <c r="P1134" s="205"/>
      <c r="Q1134" s="204"/>
    </row>
    <row r="1135" spans="1:17">
      <c r="A1135" s="204"/>
      <c r="B1135" s="352"/>
      <c r="C1135" s="202"/>
      <c r="D1135" s="202"/>
      <c r="E1135" s="202"/>
      <c r="F1135" s="304"/>
      <c r="G1135" s="211"/>
      <c r="H1135" s="211"/>
      <c r="I1135" s="203"/>
      <c r="J1135" s="203"/>
      <c r="K1135" s="203"/>
      <c r="L1135" s="203"/>
      <c r="M1135" s="203"/>
      <c r="N1135" s="203"/>
      <c r="O1135" s="203"/>
      <c r="P1135" s="205"/>
      <c r="Q1135" s="204"/>
    </row>
    <row r="1136" spans="1:17">
      <c r="A1136" s="204"/>
      <c r="B1136" s="352"/>
      <c r="C1136" s="202"/>
      <c r="D1136" s="202"/>
      <c r="E1136" s="202"/>
      <c r="F1136" s="304"/>
      <c r="G1136" s="211"/>
      <c r="H1136" s="211"/>
      <c r="I1136" s="203"/>
      <c r="J1136" s="203"/>
      <c r="K1136" s="203"/>
      <c r="L1136" s="203"/>
      <c r="M1136" s="203"/>
      <c r="N1136" s="203"/>
      <c r="O1136" s="203"/>
      <c r="P1136" s="205"/>
      <c r="Q1136" s="204"/>
    </row>
    <row r="1137" spans="1:17">
      <c r="A1137" s="204"/>
      <c r="B1137" s="352"/>
      <c r="C1137" s="202"/>
      <c r="D1137" s="202"/>
      <c r="E1137" s="202"/>
      <c r="F1137" s="304"/>
      <c r="G1137" s="211"/>
      <c r="H1137" s="211"/>
      <c r="I1137" s="203"/>
      <c r="J1137" s="203"/>
      <c r="K1137" s="203"/>
      <c r="L1137" s="203"/>
      <c r="M1137" s="203"/>
      <c r="N1137" s="203"/>
      <c r="O1137" s="203"/>
      <c r="P1137" s="205"/>
      <c r="Q1137" s="204"/>
    </row>
    <row r="1138" spans="1:17">
      <c r="A1138" s="204"/>
      <c r="B1138" s="352"/>
      <c r="C1138" s="202"/>
      <c r="D1138" s="202"/>
      <c r="E1138" s="202"/>
      <c r="F1138" s="304"/>
      <c r="G1138" s="211"/>
      <c r="H1138" s="211"/>
      <c r="I1138" s="203"/>
      <c r="J1138" s="203"/>
      <c r="K1138" s="203"/>
      <c r="L1138" s="203"/>
      <c r="M1138" s="203"/>
      <c r="N1138" s="203"/>
      <c r="O1138" s="203"/>
      <c r="P1138" s="205"/>
      <c r="Q1138" s="204"/>
    </row>
    <row r="1139" spans="1:17">
      <c r="A1139" s="204"/>
      <c r="B1139" s="352"/>
      <c r="C1139" s="202"/>
      <c r="D1139" s="202"/>
      <c r="E1139" s="202"/>
      <c r="F1139" s="304"/>
      <c r="G1139" s="211"/>
      <c r="H1139" s="211"/>
      <c r="I1139" s="203"/>
      <c r="J1139" s="203"/>
      <c r="K1139" s="203"/>
      <c r="L1139" s="203"/>
      <c r="M1139" s="203"/>
      <c r="N1139" s="203"/>
      <c r="O1139" s="203"/>
      <c r="P1139" s="205"/>
      <c r="Q1139" s="204"/>
    </row>
    <row r="1140" spans="1:17">
      <c r="A1140" s="204"/>
      <c r="B1140" s="352"/>
      <c r="C1140" s="202"/>
      <c r="D1140" s="202"/>
      <c r="E1140" s="202"/>
      <c r="F1140" s="304"/>
      <c r="G1140" s="211"/>
      <c r="H1140" s="211"/>
      <c r="I1140" s="203"/>
      <c r="J1140" s="203"/>
      <c r="K1140" s="203"/>
      <c r="L1140" s="203"/>
      <c r="M1140" s="203"/>
      <c r="N1140" s="203"/>
      <c r="O1140" s="203"/>
      <c r="P1140" s="205"/>
      <c r="Q1140" s="204"/>
    </row>
    <row r="1141" spans="1:17">
      <c r="A1141" s="204"/>
      <c r="B1141" s="352"/>
      <c r="C1141" s="202"/>
      <c r="D1141" s="202"/>
      <c r="E1141" s="202"/>
      <c r="F1141" s="304"/>
      <c r="G1141" s="211"/>
      <c r="H1141" s="211"/>
      <c r="I1141" s="203"/>
      <c r="J1141" s="203"/>
      <c r="K1141" s="203"/>
      <c r="L1141" s="203"/>
      <c r="M1141" s="203"/>
      <c r="N1141" s="203"/>
      <c r="O1141" s="203"/>
      <c r="P1141" s="205"/>
      <c r="Q1141" s="204"/>
    </row>
    <row r="1142" spans="1:17">
      <c r="A1142" s="204"/>
      <c r="B1142" s="352"/>
      <c r="C1142" s="202"/>
      <c r="D1142" s="202"/>
      <c r="E1142" s="202"/>
      <c r="F1142" s="304"/>
      <c r="G1142" s="211"/>
      <c r="H1142" s="211"/>
      <c r="I1142" s="203"/>
      <c r="J1142" s="203"/>
      <c r="K1142" s="203"/>
      <c r="L1142" s="203"/>
      <c r="M1142" s="203"/>
      <c r="N1142" s="203"/>
      <c r="O1142" s="203"/>
      <c r="P1142" s="205"/>
      <c r="Q1142" s="204"/>
    </row>
    <row r="1143" spans="1:17">
      <c r="A1143" s="204"/>
      <c r="B1143" s="352"/>
      <c r="C1143" s="202"/>
      <c r="D1143" s="202"/>
      <c r="E1143" s="202"/>
      <c r="F1143" s="304"/>
      <c r="G1143" s="211"/>
      <c r="H1143" s="211"/>
      <c r="I1143" s="203"/>
      <c r="J1143" s="203"/>
      <c r="K1143" s="203"/>
      <c r="L1143" s="203"/>
      <c r="M1143" s="203"/>
      <c r="N1143" s="203"/>
      <c r="O1143" s="203"/>
      <c r="P1143" s="205"/>
      <c r="Q1143" s="204"/>
    </row>
    <row r="1144" spans="1:17">
      <c r="A1144" s="204"/>
      <c r="B1144" s="352"/>
      <c r="C1144" s="202"/>
      <c r="D1144" s="202"/>
      <c r="E1144" s="202"/>
      <c r="F1144" s="304"/>
      <c r="G1144" s="211"/>
      <c r="H1144" s="211"/>
      <c r="I1144" s="203"/>
      <c r="J1144" s="203"/>
      <c r="K1144" s="203"/>
      <c r="L1144" s="203"/>
      <c r="M1144" s="203"/>
      <c r="N1144" s="203"/>
      <c r="O1144" s="203"/>
      <c r="P1144" s="205"/>
      <c r="Q1144" s="204"/>
    </row>
    <row r="1145" spans="1:17">
      <c r="A1145" s="204"/>
      <c r="B1145" s="352"/>
      <c r="C1145" s="202"/>
      <c r="D1145" s="202"/>
      <c r="E1145" s="202"/>
      <c r="F1145" s="304"/>
      <c r="G1145" s="211"/>
      <c r="H1145" s="211"/>
      <c r="I1145" s="203"/>
      <c r="J1145" s="203"/>
      <c r="K1145" s="203"/>
      <c r="L1145" s="203"/>
      <c r="M1145" s="203"/>
      <c r="N1145" s="203"/>
      <c r="O1145" s="203"/>
      <c r="P1145" s="205"/>
      <c r="Q1145" s="204"/>
    </row>
    <row r="1146" spans="1:17">
      <c r="A1146" s="204"/>
      <c r="B1146" s="352"/>
      <c r="C1146" s="202"/>
      <c r="D1146" s="202"/>
      <c r="E1146" s="202"/>
      <c r="F1146" s="304"/>
      <c r="G1146" s="211"/>
      <c r="H1146" s="211"/>
      <c r="I1146" s="203"/>
      <c r="J1146" s="203"/>
      <c r="K1146" s="203"/>
      <c r="L1146" s="203"/>
      <c r="M1146" s="203"/>
      <c r="N1146" s="203"/>
      <c r="O1146" s="203"/>
      <c r="P1146" s="205"/>
      <c r="Q1146" s="204"/>
    </row>
    <row r="1147" spans="1:17">
      <c r="A1147" s="204"/>
      <c r="B1147" s="352"/>
      <c r="C1147" s="202"/>
      <c r="D1147" s="202"/>
      <c r="E1147" s="202"/>
      <c r="F1147" s="304"/>
      <c r="G1147" s="211"/>
      <c r="H1147" s="211"/>
      <c r="I1147" s="203"/>
      <c r="J1147" s="203"/>
      <c r="K1147" s="203"/>
      <c r="L1147" s="203"/>
      <c r="M1147" s="203"/>
      <c r="N1147" s="203"/>
      <c r="O1147" s="203"/>
      <c r="P1147" s="205"/>
      <c r="Q1147" s="204"/>
    </row>
    <row r="1148" spans="1:17">
      <c r="A1148" s="204"/>
      <c r="B1148" s="352"/>
      <c r="C1148" s="202"/>
      <c r="D1148" s="202"/>
      <c r="E1148" s="202"/>
      <c r="F1148" s="304"/>
      <c r="G1148" s="211"/>
      <c r="H1148" s="211"/>
      <c r="I1148" s="203"/>
      <c r="J1148" s="203"/>
      <c r="K1148" s="203"/>
      <c r="L1148" s="203"/>
      <c r="M1148" s="203"/>
      <c r="N1148" s="203"/>
      <c r="O1148" s="203"/>
      <c r="P1148" s="205"/>
      <c r="Q1148" s="204"/>
    </row>
    <row r="1149" spans="1:17">
      <c r="A1149" s="204"/>
      <c r="B1149" s="352"/>
      <c r="C1149" s="202"/>
      <c r="D1149" s="202"/>
      <c r="E1149" s="202"/>
      <c r="F1149" s="304"/>
      <c r="G1149" s="211"/>
      <c r="H1149" s="211"/>
      <c r="I1149" s="203"/>
      <c r="J1149" s="203"/>
      <c r="K1149" s="203"/>
      <c r="L1149" s="203"/>
      <c r="M1149" s="203"/>
      <c r="N1149" s="203"/>
      <c r="O1149" s="203"/>
      <c r="P1149" s="205"/>
      <c r="Q1149" s="204"/>
    </row>
    <row r="1150" spans="1:17">
      <c r="A1150" s="204"/>
      <c r="B1150" s="352"/>
      <c r="C1150" s="202"/>
      <c r="D1150" s="202"/>
      <c r="E1150" s="202"/>
      <c r="F1150" s="304"/>
      <c r="G1150" s="211"/>
      <c r="H1150" s="211"/>
      <c r="I1150" s="203"/>
      <c r="J1150" s="203"/>
      <c r="K1150" s="203"/>
      <c r="L1150" s="203"/>
      <c r="M1150" s="203"/>
      <c r="N1150" s="203"/>
      <c r="O1150" s="203"/>
      <c r="P1150" s="205"/>
      <c r="Q1150" s="204"/>
    </row>
    <row r="1151" spans="1:17">
      <c r="A1151" s="204"/>
      <c r="B1151" s="352"/>
      <c r="C1151" s="202"/>
      <c r="D1151" s="202"/>
      <c r="E1151" s="202"/>
      <c r="F1151" s="304"/>
      <c r="G1151" s="211"/>
      <c r="H1151" s="211"/>
      <c r="I1151" s="203"/>
      <c r="J1151" s="203"/>
      <c r="K1151" s="203"/>
      <c r="L1151" s="203"/>
      <c r="M1151" s="203"/>
      <c r="N1151" s="203"/>
      <c r="O1151" s="203"/>
      <c r="P1151" s="205"/>
      <c r="Q1151" s="204"/>
    </row>
    <row r="1152" spans="1:17">
      <c r="A1152" s="204"/>
      <c r="B1152" s="352"/>
      <c r="C1152" s="202"/>
      <c r="D1152" s="202"/>
      <c r="E1152" s="202"/>
      <c r="F1152" s="304"/>
      <c r="G1152" s="211"/>
      <c r="H1152" s="211"/>
      <c r="I1152" s="203"/>
      <c r="J1152" s="203"/>
      <c r="K1152" s="203"/>
      <c r="L1152" s="203"/>
      <c r="M1152" s="203"/>
      <c r="N1152" s="203"/>
      <c r="O1152" s="203"/>
      <c r="P1152" s="205"/>
      <c r="Q1152" s="204"/>
    </row>
    <row r="1153" spans="1:17">
      <c r="A1153" s="204"/>
      <c r="B1153" s="352"/>
      <c r="C1153" s="202"/>
      <c r="D1153" s="202"/>
      <c r="E1153" s="202"/>
      <c r="F1153" s="304"/>
      <c r="G1153" s="211"/>
      <c r="H1153" s="211"/>
      <c r="I1153" s="203"/>
      <c r="J1153" s="203"/>
      <c r="K1153" s="203"/>
      <c r="L1153" s="203"/>
      <c r="M1153" s="203"/>
      <c r="N1153" s="203"/>
      <c r="O1153" s="203"/>
      <c r="P1153" s="205"/>
      <c r="Q1153" s="204"/>
    </row>
    <row r="1154" spans="1:17">
      <c r="A1154" s="204"/>
      <c r="B1154" s="352"/>
      <c r="C1154" s="202"/>
      <c r="D1154" s="202"/>
      <c r="E1154" s="202"/>
      <c r="F1154" s="304"/>
      <c r="G1154" s="211"/>
      <c r="H1154" s="211"/>
      <c r="I1154" s="203"/>
      <c r="J1154" s="203"/>
      <c r="K1154" s="203"/>
      <c r="L1154" s="203"/>
      <c r="M1154" s="203"/>
      <c r="N1154" s="203"/>
      <c r="O1154" s="203"/>
      <c r="P1154" s="205"/>
      <c r="Q1154" s="204"/>
    </row>
    <row r="1155" spans="1:17">
      <c r="A1155" s="204"/>
      <c r="B1155" s="352"/>
      <c r="C1155" s="202"/>
      <c r="D1155" s="202"/>
      <c r="E1155" s="202"/>
      <c r="F1155" s="304"/>
      <c r="G1155" s="211"/>
      <c r="H1155" s="211"/>
      <c r="I1155" s="203"/>
      <c r="J1155" s="203"/>
      <c r="K1155" s="203"/>
      <c r="L1155" s="203"/>
      <c r="M1155" s="203"/>
      <c r="N1155" s="203"/>
      <c r="O1155" s="203"/>
      <c r="P1155" s="205"/>
      <c r="Q1155" s="204"/>
    </row>
    <row r="1156" spans="1:17">
      <c r="A1156" s="204"/>
      <c r="B1156" s="352"/>
      <c r="C1156" s="202"/>
      <c r="D1156" s="202"/>
      <c r="E1156" s="202"/>
      <c r="F1156" s="304"/>
      <c r="G1156" s="211"/>
      <c r="H1156" s="211"/>
      <c r="I1156" s="203"/>
      <c r="J1156" s="203"/>
      <c r="K1156" s="203"/>
      <c r="L1156" s="203"/>
      <c r="M1156" s="203"/>
      <c r="N1156" s="203"/>
      <c r="O1156" s="203"/>
      <c r="P1156" s="205"/>
      <c r="Q1156" s="204"/>
    </row>
    <row r="1157" spans="1:17">
      <c r="A1157" s="204"/>
      <c r="B1157" s="352"/>
      <c r="C1157" s="202"/>
      <c r="D1157" s="202"/>
      <c r="E1157" s="202"/>
      <c r="F1157" s="304"/>
      <c r="G1157" s="211"/>
      <c r="H1157" s="211"/>
      <c r="I1157" s="203"/>
      <c r="J1157" s="203"/>
      <c r="K1157" s="203"/>
      <c r="L1157" s="203"/>
      <c r="M1157" s="203"/>
      <c r="N1157" s="203"/>
      <c r="O1157" s="203"/>
      <c r="P1157" s="205"/>
      <c r="Q1157" s="204"/>
    </row>
    <row r="1158" spans="1:17">
      <c r="A1158" s="204"/>
      <c r="B1158" s="352"/>
      <c r="C1158" s="202"/>
      <c r="D1158" s="202"/>
      <c r="E1158" s="202"/>
      <c r="F1158" s="304"/>
      <c r="G1158" s="211"/>
      <c r="H1158" s="211"/>
      <c r="I1158" s="203"/>
      <c r="J1158" s="203"/>
      <c r="K1158" s="203"/>
      <c r="L1158" s="203"/>
      <c r="M1158" s="203"/>
      <c r="N1158" s="203"/>
      <c r="O1158" s="203"/>
      <c r="P1158" s="205"/>
      <c r="Q1158" s="204"/>
    </row>
    <row r="1159" spans="1:17">
      <c r="A1159" s="204"/>
      <c r="B1159" s="352"/>
      <c r="C1159" s="202"/>
      <c r="D1159" s="202"/>
      <c r="E1159" s="202"/>
      <c r="F1159" s="304"/>
      <c r="G1159" s="211"/>
      <c r="H1159" s="211"/>
      <c r="I1159" s="203"/>
      <c r="J1159" s="203"/>
      <c r="K1159" s="203"/>
      <c r="L1159" s="203"/>
      <c r="M1159" s="203"/>
      <c r="N1159" s="203"/>
      <c r="O1159" s="203"/>
      <c r="P1159" s="205"/>
      <c r="Q1159" s="204"/>
    </row>
    <row r="1160" spans="1:17">
      <c r="A1160" s="204"/>
      <c r="B1160" s="352"/>
      <c r="C1160" s="202"/>
      <c r="D1160" s="202"/>
      <c r="E1160" s="202"/>
      <c r="F1160" s="304"/>
      <c r="G1160" s="211"/>
      <c r="H1160" s="211"/>
      <c r="I1160" s="203"/>
      <c r="J1160" s="203"/>
      <c r="K1160" s="203"/>
      <c r="L1160" s="203"/>
      <c r="M1160" s="203"/>
      <c r="N1160" s="203"/>
      <c r="O1160" s="203"/>
      <c r="P1160" s="205"/>
      <c r="Q1160" s="204"/>
    </row>
    <row r="1161" spans="1:17">
      <c r="A1161" s="204"/>
      <c r="B1161" s="352"/>
      <c r="C1161" s="202"/>
      <c r="D1161" s="202"/>
      <c r="E1161" s="202"/>
      <c r="F1161" s="304"/>
      <c r="G1161" s="211"/>
      <c r="H1161" s="211"/>
      <c r="I1161" s="203"/>
      <c r="J1161" s="203"/>
      <c r="K1161" s="203"/>
      <c r="L1161" s="203"/>
      <c r="M1161" s="203"/>
      <c r="N1161" s="203"/>
      <c r="O1161" s="203"/>
      <c r="P1161" s="205"/>
      <c r="Q1161" s="204"/>
    </row>
    <row r="1162" spans="1:17">
      <c r="A1162" s="204"/>
      <c r="B1162" s="352"/>
      <c r="C1162" s="202"/>
      <c r="D1162" s="202"/>
      <c r="E1162" s="202"/>
      <c r="F1162" s="304"/>
      <c r="G1162" s="211"/>
      <c r="H1162" s="211"/>
      <c r="I1162" s="203"/>
      <c r="J1162" s="203"/>
      <c r="K1162" s="203"/>
      <c r="L1162" s="203"/>
      <c r="M1162" s="203"/>
      <c r="N1162" s="203"/>
      <c r="O1162" s="203"/>
      <c r="P1162" s="205"/>
      <c r="Q1162" s="204"/>
    </row>
    <row r="1163" spans="1:17">
      <c r="A1163" s="204"/>
      <c r="B1163" s="352"/>
      <c r="C1163" s="202"/>
      <c r="D1163" s="202"/>
      <c r="E1163" s="202"/>
      <c r="F1163" s="304"/>
      <c r="G1163" s="211"/>
      <c r="H1163" s="211"/>
      <c r="I1163" s="203"/>
      <c r="J1163" s="203"/>
      <c r="K1163" s="203"/>
      <c r="L1163" s="203"/>
      <c r="M1163" s="203"/>
      <c r="N1163" s="203"/>
      <c r="O1163" s="203"/>
      <c r="P1163" s="205"/>
      <c r="Q1163" s="204"/>
    </row>
    <row r="1164" spans="1:17">
      <c r="A1164" s="204"/>
      <c r="B1164" s="352"/>
      <c r="C1164" s="202"/>
      <c r="D1164" s="202"/>
      <c r="E1164" s="202"/>
      <c r="F1164" s="304"/>
      <c r="G1164" s="211"/>
      <c r="H1164" s="211"/>
      <c r="I1164" s="203"/>
      <c r="J1164" s="203"/>
      <c r="K1164" s="203"/>
      <c r="L1164" s="203"/>
      <c r="M1164" s="203"/>
      <c r="N1164" s="203"/>
      <c r="O1164" s="203"/>
      <c r="P1164" s="205"/>
      <c r="Q1164" s="204"/>
    </row>
    <row r="1165" spans="1:17">
      <c r="A1165" s="204"/>
      <c r="B1165" s="352"/>
      <c r="C1165" s="202"/>
      <c r="D1165" s="202"/>
      <c r="E1165" s="202"/>
      <c r="F1165" s="304"/>
      <c r="G1165" s="211"/>
      <c r="H1165" s="211"/>
      <c r="I1165" s="203"/>
      <c r="J1165" s="203"/>
      <c r="K1165" s="203"/>
      <c r="L1165" s="203"/>
      <c r="M1165" s="203"/>
      <c r="N1165" s="203"/>
      <c r="O1165" s="203"/>
      <c r="P1165" s="205"/>
      <c r="Q1165" s="204"/>
    </row>
    <row r="1166" spans="1:17">
      <c r="A1166" s="204"/>
      <c r="B1166" s="352"/>
      <c r="C1166" s="202"/>
      <c r="D1166" s="202"/>
      <c r="E1166" s="202"/>
      <c r="F1166" s="304"/>
      <c r="G1166" s="211"/>
      <c r="H1166" s="211"/>
      <c r="I1166" s="203"/>
      <c r="J1166" s="203"/>
      <c r="K1166" s="203"/>
      <c r="L1166" s="203"/>
      <c r="M1166" s="203"/>
      <c r="N1166" s="203"/>
      <c r="O1166" s="203"/>
      <c r="P1166" s="205"/>
      <c r="Q1166" s="204"/>
    </row>
    <row r="1167" spans="1:17">
      <c r="A1167" s="204"/>
      <c r="B1167" s="352"/>
      <c r="C1167" s="202"/>
      <c r="D1167" s="202"/>
      <c r="E1167" s="202"/>
      <c r="F1167" s="304"/>
      <c r="G1167" s="211"/>
      <c r="H1167" s="211"/>
      <c r="I1167" s="203"/>
      <c r="J1167" s="203"/>
      <c r="K1167" s="203"/>
      <c r="L1167" s="203"/>
      <c r="M1167" s="203"/>
      <c r="N1167" s="203"/>
      <c r="O1167" s="203"/>
      <c r="P1167" s="205"/>
      <c r="Q1167" s="204"/>
    </row>
    <row r="1168" spans="1:17">
      <c r="A1168" s="204"/>
      <c r="B1168" s="352"/>
      <c r="C1168" s="202"/>
      <c r="D1168" s="202"/>
      <c r="E1168" s="202"/>
      <c r="F1168" s="304"/>
      <c r="G1168" s="211"/>
      <c r="H1168" s="211"/>
      <c r="I1168" s="203"/>
      <c r="J1168" s="203"/>
      <c r="K1168" s="203"/>
      <c r="L1168" s="203"/>
      <c r="M1168" s="203"/>
      <c r="N1168" s="203"/>
      <c r="O1168" s="203"/>
      <c r="P1168" s="205"/>
      <c r="Q1168" s="204"/>
    </row>
    <row r="1169" spans="1:17">
      <c r="A1169" s="204"/>
      <c r="B1169" s="352"/>
      <c r="C1169" s="202"/>
      <c r="D1169" s="202"/>
      <c r="E1169" s="202"/>
      <c r="F1169" s="304"/>
      <c r="G1169" s="211"/>
      <c r="H1169" s="211"/>
      <c r="I1169" s="203"/>
      <c r="J1169" s="203"/>
      <c r="K1169" s="203"/>
      <c r="L1169" s="203"/>
      <c r="M1169" s="203"/>
      <c r="N1169" s="203"/>
      <c r="O1169" s="203"/>
      <c r="P1169" s="205"/>
      <c r="Q1169" s="204"/>
    </row>
    <row r="1170" spans="1:17">
      <c r="A1170" s="204"/>
      <c r="B1170" s="352"/>
      <c r="C1170" s="202"/>
      <c r="D1170" s="202"/>
      <c r="E1170" s="202"/>
      <c r="F1170" s="304"/>
      <c r="G1170" s="211"/>
      <c r="H1170" s="211"/>
      <c r="I1170" s="203"/>
      <c r="J1170" s="203"/>
      <c r="K1170" s="203"/>
      <c r="L1170" s="203"/>
      <c r="M1170" s="203"/>
      <c r="N1170" s="203"/>
      <c r="O1170" s="203"/>
      <c r="P1170" s="205"/>
      <c r="Q1170" s="204"/>
    </row>
    <row r="1171" spans="1:17">
      <c r="A1171" s="204"/>
      <c r="B1171" s="352"/>
      <c r="C1171" s="202"/>
      <c r="D1171" s="202"/>
      <c r="E1171" s="202"/>
      <c r="F1171" s="304"/>
      <c r="G1171" s="211"/>
      <c r="H1171" s="211"/>
      <c r="I1171" s="203"/>
      <c r="J1171" s="203"/>
      <c r="K1171" s="203"/>
      <c r="L1171" s="203"/>
      <c r="M1171" s="203"/>
      <c r="N1171" s="203"/>
      <c r="O1171" s="203"/>
      <c r="P1171" s="205"/>
      <c r="Q1171" s="204"/>
    </row>
    <row r="1172" spans="1:17">
      <c r="A1172" s="204"/>
      <c r="B1172" s="352"/>
      <c r="C1172" s="202"/>
      <c r="D1172" s="202"/>
      <c r="E1172" s="202"/>
      <c r="F1172" s="304"/>
      <c r="G1172" s="211"/>
      <c r="H1172" s="211"/>
      <c r="I1172" s="203"/>
      <c r="J1172" s="203"/>
      <c r="K1172" s="203"/>
      <c r="L1172" s="203"/>
      <c r="M1172" s="203"/>
      <c r="N1172" s="203"/>
      <c r="O1172" s="203"/>
      <c r="P1172" s="205"/>
      <c r="Q1172" s="204"/>
    </row>
    <row r="1173" spans="1:17">
      <c r="A1173" s="204"/>
      <c r="B1173" s="352"/>
      <c r="C1173" s="202"/>
      <c r="D1173" s="202"/>
      <c r="E1173" s="202"/>
      <c r="F1173" s="304"/>
      <c r="G1173" s="211"/>
      <c r="H1173" s="211"/>
      <c r="I1173" s="203"/>
      <c r="J1173" s="203"/>
      <c r="K1173" s="203"/>
      <c r="L1173" s="203"/>
      <c r="M1173" s="203"/>
      <c r="N1173" s="203"/>
      <c r="O1173" s="203"/>
      <c r="P1173" s="205"/>
      <c r="Q1173" s="204"/>
    </row>
    <row r="1174" spans="1:17">
      <c r="A1174" s="204"/>
      <c r="B1174" s="352"/>
      <c r="C1174" s="202"/>
      <c r="D1174" s="202"/>
      <c r="E1174" s="202"/>
      <c r="F1174" s="304"/>
      <c r="G1174" s="211"/>
      <c r="H1174" s="211"/>
      <c r="I1174" s="203"/>
      <c r="J1174" s="203"/>
      <c r="K1174" s="203"/>
      <c r="L1174" s="203"/>
      <c r="M1174" s="203"/>
      <c r="N1174" s="203"/>
      <c r="O1174" s="203"/>
      <c r="P1174" s="205"/>
      <c r="Q1174" s="204"/>
    </row>
    <row r="1175" spans="1:17">
      <c r="A1175" s="204"/>
      <c r="B1175" s="352"/>
      <c r="C1175" s="202"/>
      <c r="D1175" s="202"/>
      <c r="E1175" s="202"/>
      <c r="F1175" s="304"/>
      <c r="G1175" s="211"/>
      <c r="H1175" s="211"/>
      <c r="I1175" s="203"/>
      <c r="J1175" s="203"/>
      <c r="K1175" s="203"/>
      <c r="L1175" s="203"/>
      <c r="M1175" s="203"/>
      <c r="N1175" s="203"/>
      <c r="O1175" s="203"/>
      <c r="P1175" s="205"/>
      <c r="Q1175" s="204"/>
    </row>
    <row r="1176" spans="1:17">
      <c r="A1176" s="204"/>
      <c r="B1176" s="352"/>
      <c r="C1176" s="202"/>
      <c r="D1176" s="202"/>
      <c r="E1176" s="202"/>
      <c r="F1176" s="304"/>
      <c r="G1176" s="211"/>
      <c r="H1176" s="211"/>
      <c r="I1176" s="203"/>
      <c r="J1176" s="203"/>
      <c r="K1176" s="203"/>
      <c r="L1176" s="203"/>
      <c r="M1176" s="203"/>
      <c r="N1176" s="203"/>
      <c r="O1176" s="203"/>
      <c r="P1176" s="205"/>
      <c r="Q1176" s="204"/>
    </row>
    <row r="1177" spans="1:17">
      <c r="A1177" s="204"/>
      <c r="B1177" s="352"/>
      <c r="C1177" s="202"/>
      <c r="D1177" s="202"/>
      <c r="E1177" s="202"/>
      <c r="F1177" s="304"/>
      <c r="G1177" s="211"/>
      <c r="H1177" s="211"/>
      <c r="I1177" s="203"/>
      <c r="J1177" s="203"/>
      <c r="K1177" s="203"/>
      <c r="L1177" s="203"/>
      <c r="M1177" s="203"/>
      <c r="N1177" s="203"/>
      <c r="O1177" s="203"/>
      <c r="P1177" s="205"/>
      <c r="Q1177" s="204"/>
    </row>
    <row r="1178" spans="1:17">
      <c r="A1178" s="204"/>
      <c r="B1178" s="352"/>
      <c r="C1178" s="202"/>
      <c r="D1178" s="202"/>
      <c r="E1178" s="202"/>
      <c r="F1178" s="304"/>
      <c r="G1178" s="211"/>
      <c r="H1178" s="211"/>
      <c r="I1178" s="203"/>
      <c r="J1178" s="203"/>
      <c r="K1178" s="203"/>
      <c r="L1178" s="203"/>
      <c r="M1178" s="203"/>
      <c r="N1178" s="203"/>
      <c r="O1178" s="203"/>
      <c r="P1178" s="205"/>
      <c r="Q1178" s="204"/>
    </row>
    <row r="1179" spans="1:17">
      <c r="A1179" s="204"/>
      <c r="B1179" s="352"/>
      <c r="C1179" s="202"/>
      <c r="D1179" s="202"/>
      <c r="E1179" s="202"/>
      <c r="F1179" s="304"/>
      <c r="G1179" s="211"/>
      <c r="H1179" s="211"/>
      <c r="I1179" s="203"/>
      <c r="J1179" s="203"/>
      <c r="K1179" s="203"/>
      <c r="L1179" s="203"/>
      <c r="M1179" s="203"/>
      <c r="N1179" s="203"/>
      <c r="O1179" s="203"/>
      <c r="P1179" s="205"/>
      <c r="Q1179" s="204"/>
    </row>
    <row r="1180" spans="1:17">
      <c r="A1180" s="204"/>
      <c r="B1180" s="352"/>
      <c r="C1180" s="202"/>
      <c r="D1180" s="202"/>
      <c r="E1180" s="202"/>
      <c r="F1180" s="304"/>
      <c r="G1180" s="211"/>
      <c r="H1180" s="211"/>
      <c r="I1180" s="203"/>
      <c r="J1180" s="203"/>
      <c r="K1180" s="203"/>
      <c r="L1180" s="203"/>
      <c r="M1180" s="203"/>
      <c r="N1180" s="203"/>
      <c r="O1180" s="203"/>
      <c r="P1180" s="205"/>
      <c r="Q1180" s="204"/>
    </row>
    <row r="1181" spans="1:17">
      <c r="A1181" s="204"/>
      <c r="B1181" s="352"/>
      <c r="C1181" s="202"/>
      <c r="D1181" s="202"/>
      <c r="E1181" s="202"/>
      <c r="F1181" s="304"/>
      <c r="G1181" s="211"/>
      <c r="H1181" s="211"/>
      <c r="I1181" s="203"/>
      <c r="J1181" s="203"/>
      <c r="K1181" s="203"/>
      <c r="L1181" s="203"/>
      <c r="M1181" s="203"/>
      <c r="N1181" s="203"/>
      <c r="O1181" s="203"/>
      <c r="P1181" s="205"/>
      <c r="Q1181" s="204"/>
    </row>
    <row r="1182" spans="1:17">
      <c r="A1182" s="204"/>
      <c r="B1182" s="352"/>
      <c r="C1182" s="202"/>
      <c r="D1182" s="202"/>
      <c r="E1182" s="202"/>
      <c r="F1182" s="304"/>
      <c r="G1182" s="211"/>
      <c r="H1182" s="211"/>
      <c r="I1182" s="203"/>
      <c r="J1182" s="203"/>
      <c r="K1182" s="203"/>
      <c r="L1182" s="203"/>
      <c r="M1182" s="203"/>
      <c r="N1182" s="203"/>
      <c r="O1182" s="203"/>
      <c r="P1182" s="205"/>
      <c r="Q1182" s="204"/>
    </row>
    <row r="1183" spans="1:17">
      <c r="A1183" s="204"/>
      <c r="B1183" s="352"/>
      <c r="C1183" s="202"/>
      <c r="D1183" s="202"/>
      <c r="E1183" s="202"/>
      <c r="F1183" s="304"/>
      <c r="G1183" s="211"/>
      <c r="H1183" s="211"/>
      <c r="I1183" s="203"/>
      <c r="J1183" s="203"/>
      <c r="K1183" s="203"/>
      <c r="L1183" s="203"/>
      <c r="M1183" s="203"/>
      <c r="N1183" s="203"/>
      <c r="O1183" s="203"/>
      <c r="P1183" s="205"/>
      <c r="Q1183" s="204"/>
    </row>
    <row r="1184" spans="1:17">
      <c r="A1184" s="204"/>
      <c r="B1184" s="352"/>
      <c r="C1184" s="202"/>
      <c r="D1184" s="202"/>
      <c r="E1184" s="202"/>
      <c r="F1184" s="304"/>
      <c r="G1184" s="211"/>
      <c r="H1184" s="211"/>
      <c r="I1184" s="203"/>
      <c r="J1184" s="203"/>
      <c r="K1184" s="203"/>
      <c r="L1184" s="203"/>
      <c r="M1184" s="203"/>
      <c r="N1184" s="203"/>
      <c r="O1184" s="203"/>
      <c r="P1184" s="205"/>
      <c r="Q1184" s="204"/>
    </row>
    <row r="1185" spans="1:17">
      <c r="A1185" s="204"/>
      <c r="B1185" s="352"/>
      <c r="C1185" s="202"/>
      <c r="D1185" s="202"/>
      <c r="E1185" s="202"/>
      <c r="F1185" s="304"/>
      <c r="G1185" s="211"/>
      <c r="H1185" s="211"/>
      <c r="I1185" s="203"/>
      <c r="J1185" s="203"/>
      <c r="K1185" s="203"/>
      <c r="L1185" s="203"/>
      <c r="M1185" s="203"/>
      <c r="N1185" s="203"/>
      <c r="O1185" s="203"/>
      <c r="P1185" s="205"/>
      <c r="Q1185" s="204"/>
    </row>
    <row r="1186" spans="1:17">
      <c r="A1186" s="204"/>
      <c r="B1186" s="352"/>
      <c r="C1186" s="202"/>
      <c r="D1186" s="202"/>
      <c r="E1186" s="202"/>
      <c r="F1186" s="304"/>
      <c r="G1186" s="211"/>
      <c r="H1186" s="211"/>
      <c r="I1186" s="203"/>
      <c r="J1186" s="203"/>
      <c r="K1186" s="203"/>
      <c r="L1186" s="203"/>
      <c r="M1186" s="203"/>
      <c r="N1186" s="203"/>
      <c r="O1186" s="203"/>
      <c r="P1186" s="205"/>
      <c r="Q1186" s="204"/>
    </row>
    <row r="1187" spans="1:17">
      <c r="A1187" s="204"/>
      <c r="B1187" s="352"/>
      <c r="C1187" s="202"/>
      <c r="D1187" s="202"/>
      <c r="E1187" s="202"/>
      <c r="F1187" s="304"/>
      <c r="G1187" s="211"/>
      <c r="H1187" s="211"/>
      <c r="I1187" s="203"/>
      <c r="J1187" s="203"/>
      <c r="K1187" s="203"/>
      <c r="L1187" s="203"/>
      <c r="M1187" s="203"/>
      <c r="N1187" s="203"/>
      <c r="O1187" s="203"/>
      <c r="P1187" s="205"/>
      <c r="Q1187" s="204"/>
    </row>
    <row r="1188" spans="1:17">
      <c r="A1188" s="204"/>
      <c r="B1188" s="352"/>
      <c r="C1188" s="202"/>
      <c r="D1188" s="202"/>
      <c r="E1188" s="202"/>
      <c r="F1188" s="304"/>
      <c r="G1188" s="211"/>
      <c r="H1188" s="211"/>
      <c r="I1188" s="203"/>
      <c r="J1188" s="203"/>
      <c r="K1188" s="203"/>
      <c r="L1188" s="203"/>
      <c r="M1188" s="203"/>
      <c r="N1188" s="203"/>
      <c r="O1188" s="203"/>
      <c r="P1188" s="205"/>
      <c r="Q1188" s="204"/>
    </row>
    <row r="1189" spans="1:17">
      <c r="A1189" s="204"/>
      <c r="B1189" s="352"/>
      <c r="C1189" s="202"/>
      <c r="D1189" s="202"/>
      <c r="E1189" s="202"/>
      <c r="F1189" s="304"/>
      <c r="G1189" s="211"/>
      <c r="H1189" s="211"/>
      <c r="I1189" s="203"/>
      <c r="J1189" s="203"/>
      <c r="K1189" s="203"/>
      <c r="L1189" s="203"/>
      <c r="M1189" s="203"/>
      <c r="N1189" s="203"/>
      <c r="O1189" s="203"/>
      <c r="P1189" s="205"/>
      <c r="Q1189" s="204"/>
    </row>
    <row r="1190" spans="1:17">
      <c r="A1190" s="204"/>
      <c r="B1190" s="352"/>
      <c r="C1190" s="202"/>
      <c r="D1190" s="202"/>
      <c r="E1190" s="202"/>
      <c r="F1190" s="304"/>
      <c r="G1190" s="211"/>
      <c r="H1190" s="211"/>
      <c r="I1190" s="203"/>
      <c r="J1190" s="203"/>
      <c r="K1190" s="203"/>
      <c r="L1190" s="203"/>
      <c r="M1190" s="203"/>
      <c r="N1190" s="203"/>
      <c r="O1190" s="203"/>
      <c r="P1190" s="205"/>
      <c r="Q1190" s="204"/>
    </row>
    <row r="1191" spans="1:17">
      <c r="A1191" s="204"/>
      <c r="B1191" s="352"/>
      <c r="C1191" s="202"/>
      <c r="D1191" s="202"/>
      <c r="E1191" s="202"/>
      <c r="F1191" s="304"/>
      <c r="G1191" s="211"/>
      <c r="H1191" s="211"/>
      <c r="I1191" s="203"/>
      <c r="J1191" s="203"/>
      <c r="K1191" s="203"/>
      <c r="L1191" s="203"/>
      <c r="M1191" s="203"/>
      <c r="N1191" s="203"/>
      <c r="O1191" s="203"/>
      <c r="P1191" s="205"/>
      <c r="Q1191" s="204"/>
    </row>
    <row r="1192" spans="1:17">
      <c r="A1192" s="204"/>
      <c r="B1192" s="352"/>
      <c r="C1192" s="202"/>
      <c r="D1192" s="202"/>
      <c r="E1192" s="202"/>
      <c r="F1192" s="304"/>
      <c r="G1192" s="211"/>
      <c r="H1192" s="211"/>
      <c r="I1192" s="203"/>
      <c r="J1192" s="203"/>
      <c r="K1192" s="203"/>
      <c r="L1192" s="203"/>
      <c r="M1192" s="203"/>
      <c r="N1192" s="203"/>
      <c r="O1192" s="203"/>
      <c r="P1192" s="205"/>
      <c r="Q1192" s="204"/>
    </row>
    <row r="1193" spans="1:17">
      <c r="A1193" s="204"/>
      <c r="B1193" s="352"/>
      <c r="C1193" s="202"/>
      <c r="D1193" s="202"/>
      <c r="E1193" s="202"/>
      <c r="F1193" s="304"/>
      <c r="G1193" s="211"/>
      <c r="H1193" s="211"/>
      <c r="I1193" s="203"/>
      <c r="J1193" s="203"/>
      <c r="K1193" s="203"/>
      <c r="L1193" s="203"/>
      <c r="M1193" s="203"/>
      <c r="N1193" s="203"/>
      <c r="O1193" s="203"/>
      <c r="P1193" s="205"/>
      <c r="Q1193" s="204"/>
    </row>
    <row r="1194" spans="1:17">
      <c r="A1194" s="204"/>
      <c r="B1194" s="352"/>
      <c r="C1194" s="202"/>
      <c r="D1194" s="202"/>
      <c r="E1194" s="202"/>
      <c r="F1194" s="304"/>
      <c r="G1194" s="211"/>
      <c r="H1194" s="211"/>
      <c r="I1194" s="203"/>
      <c r="J1194" s="203"/>
      <c r="K1194" s="203"/>
      <c r="L1194" s="203"/>
      <c r="M1194" s="203"/>
      <c r="N1194" s="203"/>
      <c r="O1194" s="203"/>
      <c r="P1194" s="205"/>
      <c r="Q1194" s="204"/>
    </row>
    <row r="1195" spans="1:17">
      <c r="A1195" s="204"/>
      <c r="B1195" s="352"/>
      <c r="C1195" s="202"/>
      <c r="D1195" s="202"/>
      <c r="E1195" s="202"/>
      <c r="F1195" s="304"/>
      <c r="G1195" s="211"/>
      <c r="H1195" s="211"/>
      <c r="I1195" s="203"/>
      <c r="J1195" s="203"/>
      <c r="K1195" s="203"/>
      <c r="L1195" s="203"/>
      <c r="M1195" s="203"/>
      <c r="N1195" s="203"/>
      <c r="O1195" s="203"/>
      <c r="P1195" s="205"/>
      <c r="Q1195" s="204"/>
    </row>
    <row r="1196" spans="1:17">
      <c r="A1196" s="204"/>
      <c r="B1196" s="352"/>
      <c r="C1196" s="202"/>
      <c r="D1196" s="202"/>
      <c r="E1196" s="202"/>
      <c r="F1196" s="304"/>
      <c r="G1196" s="211"/>
      <c r="H1196" s="211"/>
      <c r="I1196" s="203"/>
      <c r="J1196" s="203"/>
      <c r="K1196" s="203"/>
      <c r="L1196" s="203"/>
      <c r="M1196" s="203"/>
      <c r="N1196" s="203"/>
      <c r="O1196" s="203"/>
      <c r="P1196" s="205"/>
      <c r="Q1196" s="204"/>
    </row>
    <row r="1197" spans="1:17">
      <c r="A1197" s="204"/>
      <c r="B1197" s="352"/>
      <c r="C1197" s="202"/>
      <c r="D1197" s="202"/>
      <c r="E1197" s="202"/>
      <c r="F1197" s="304"/>
      <c r="G1197" s="211"/>
      <c r="H1197" s="211"/>
      <c r="I1197" s="203"/>
      <c r="J1197" s="203"/>
      <c r="K1197" s="203"/>
      <c r="L1197" s="203"/>
      <c r="M1197" s="203"/>
      <c r="N1197" s="203"/>
      <c r="O1197" s="203"/>
      <c r="P1197" s="205"/>
      <c r="Q1197" s="204"/>
    </row>
    <row r="1198" spans="1:17">
      <c r="A1198" s="204"/>
      <c r="B1198" s="352"/>
      <c r="C1198" s="202"/>
      <c r="D1198" s="202"/>
      <c r="E1198" s="202"/>
      <c r="F1198" s="304"/>
      <c r="G1198" s="211"/>
      <c r="H1198" s="211"/>
      <c r="I1198" s="203"/>
      <c r="J1198" s="203"/>
      <c r="K1198" s="203"/>
      <c r="L1198" s="203"/>
      <c r="M1198" s="203"/>
      <c r="N1198" s="203"/>
      <c r="O1198" s="203"/>
      <c r="P1198" s="205"/>
      <c r="Q1198" s="204"/>
    </row>
    <row r="1199" spans="1:17">
      <c r="A1199" s="204"/>
      <c r="B1199" s="352"/>
      <c r="C1199" s="202"/>
      <c r="D1199" s="202"/>
      <c r="E1199" s="202"/>
      <c r="F1199" s="304"/>
      <c r="G1199" s="211"/>
      <c r="H1199" s="211"/>
      <c r="I1199" s="203"/>
      <c r="J1199" s="203"/>
      <c r="K1199" s="203"/>
      <c r="L1199" s="203"/>
      <c r="M1199" s="203"/>
      <c r="N1199" s="203"/>
      <c r="O1199" s="203"/>
      <c r="P1199" s="205"/>
      <c r="Q1199" s="204"/>
    </row>
    <row r="1200" spans="1:17">
      <c r="A1200" s="204"/>
      <c r="B1200" s="352"/>
      <c r="C1200" s="202"/>
      <c r="D1200" s="202"/>
      <c r="E1200" s="202"/>
      <c r="F1200" s="304"/>
      <c r="G1200" s="211"/>
      <c r="H1200" s="211"/>
      <c r="I1200" s="203"/>
      <c r="J1200" s="203"/>
      <c r="K1200" s="203"/>
      <c r="L1200" s="203"/>
      <c r="M1200" s="203"/>
      <c r="N1200" s="203"/>
      <c r="O1200" s="203"/>
      <c r="P1200" s="205"/>
      <c r="Q1200" s="204"/>
    </row>
    <row r="1201" spans="1:17">
      <c r="A1201" s="204"/>
      <c r="B1201" s="352"/>
      <c r="C1201" s="202"/>
      <c r="D1201" s="202"/>
      <c r="E1201" s="202"/>
      <c r="F1201" s="304"/>
      <c r="G1201" s="211"/>
      <c r="H1201" s="211"/>
      <c r="I1201" s="203"/>
      <c r="J1201" s="203"/>
      <c r="K1201" s="203"/>
      <c r="L1201" s="203"/>
      <c r="M1201" s="203"/>
      <c r="N1201" s="203"/>
      <c r="O1201" s="203"/>
      <c r="P1201" s="205"/>
      <c r="Q1201" s="204"/>
    </row>
    <row r="1202" spans="1:17">
      <c r="A1202" s="204"/>
      <c r="B1202" s="352"/>
      <c r="C1202" s="202"/>
      <c r="D1202" s="202"/>
      <c r="E1202" s="202"/>
      <c r="F1202" s="304"/>
      <c r="G1202" s="211"/>
      <c r="H1202" s="211"/>
      <c r="I1202" s="203"/>
      <c r="J1202" s="203"/>
      <c r="K1202" s="203"/>
      <c r="L1202" s="203"/>
      <c r="M1202" s="203"/>
      <c r="N1202" s="203"/>
      <c r="O1202" s="203"/>
      <c r="P1202" s="205"/>
      <c r="Q1202" s="204"/>
    </row>
    <row r="1203" spans="1:17">
      <c r="A1203" s="204"/>
      <c r="B1203" s="352"/>
      <c r="C1203" s="202"/>
      <c r="D1203" s="202"/>
      <c r="E1203" s="202"/>
      <c r="F1203" s="304"/>
      <c r="G1203" s="211"/>
      <c r="H1203" s="211"/>
      <c r="I1203" s="203"/>
      <c r="J1203" s="203"/>
      <c r="K1203" s="203"/>
      <c r="L1203" s="203"/>
      <c r="M1203" s="203"/>
      <c r="N1203" s="203"/>
      <c r="O1203" s="203"/>
      <c r="P1203" s="205"/>
      <c r="Q1203" s="204"/>
    </row>
    <row r="1204" spans="1:17">
      <c r="A1204" s="204"/>
      <c r="B1204" s="352"/>
      <c r="C1204" s="202"/>
      <c r="D1204" s="202"/>
      <c r="E1204" s="202"/>
      <c r="F1204" s="304"/>
      <c r="G1204" s="211"/>
      <c r="H1204" s="211"/>
      <c r="I1204" s="203"/>
      <c r="J1204" s="203"/>
      <c r="K1204" s="203"/>
      <c r="L1204" s="203"/>
      <c r="M1204" s="203"/>
      <c r="N1204" s="203"/>
      <c r="O1204" s="203"/>
      <c r="P1204" s="205"/>
      <c r="Q1204" s="204"/>
    </row>
    <row r="1205" spans="1:17">
      <c r="A1205" s="204"/>
      <c r="B1205" s="352"/>
      <c r="C1205" s="202"/>
      <c r="D1205" s="202"/>
      <c r="E1205" s="202"/>
      <c r="F1205" s="304"/>
      <c r="G1205" s="211"/>
      <c r="H1205" s="211"/>
      <c r="I1205" s="203"/>
      <c r="J1205" s="203"/>
      <c r="K1205" s="203"/>
      <c r="L1205" s="203"/>
      <c r="M1205" s="203"/>
      <c r="N1205" s="203"/>
      <c r="O1205" s="203"/>
      <c r="P1205" s="205"/>
      <c r="Q1205" s="204"/>
    </row>
    <row r="1206" spans="1:17">
      <c r="A1206" s="204"/>
      <c r="B1206" s="352"/>
      <c r="C1206" s="202"/>
      <c r="D1206" s="202"/>
      <c r="E1206" s="202"/>
      <c r="F1206" s="304"/>
      <c r="G1206" s="211"/>
      <c r="H1206" s="211"/>
      <c r="I1206" s="203"/>
      <c r="J1206" s="203"/>
      <c r="K1206" s="203"/>
      <c r="L1206" s="203"/>
      <c r="M1206" s="203"/>
      <c r="N1206" s="203"/>
      <c r="O1206" s="203"/>
      <c r="P1206" s="205"/>
      <c r="Q1206" s="204"/>
    </row>
    <row r="1207" spans="1:17">
      <c r="A1207" s="204"/>
      <c r="B1207" s="352"/>
      <c r="C1207" s="202"/>
      <c r="D1207" s="202"/>
      <c r="E1207" s="202"/>
      <c r="F1207" s="304"/>
      <c r="G1207" s="211"/>
      <c r="H1207" s="211"/>
      <c r="I1207" s="203"/>
      <c r="J1207" s="203"/>
      <c r="K1207" s="203"/>
      <c r="L1207" s="203"/>
      <c r="M1207" s="203"/>
      <c r="N1207" s="203"/>
      <c r="O1207" s="203"/>
      <c r="P1207" s="205"/>
      <c r="Q1207" s="204"/>
    </row>
    <row r="1208" spans="1:17">
      <c r="A1208" s="204"/>
      <c r="B1208" s="352"/>
      <c r="C1208" s="202"/>
      <c r="D1208" s="202"/>
      <c r="E1208" s="202"/>
      <c r="F1208" s="304"/>
      <c r="G1208" s="211"/>
      <c r="H1208" s="211"/>
      <c r="I1208" s="203"/>
      <c r="J1208" s="203"/>
      <c r="K1208" s="203"/>
      <c r="L1208" s="203"/>
      <c r="M1208" s="203"/>
      <c r="N1208" s="203"/>
      <c r="O1208" s="203"/>
      <c r="P1208" s="205"/>
      <c r="Q1208" s="204"/>
    </row>
    <row r="1209" spans="1:17">
      <c r="A1209" s="204"/>
      <c r="B1209" s="352"/>
      <c r="C1209" s="202"/>
      <c r="D1209" s="202"/>
      <c r="E1209" s="202"/>
      <c r="F1209" s="304"/>
      <c r="G1209" s="211"/>
      <c r="H1209" s="211"/>
      <c r="I1209" s="203"/>
      <c r="J1209" s="203"/>
      <c r="K1209" s="203"/>
      <c r="L1209" s="203"/>
      <c r="M1209" s="203"/>
      <c r="N1209" s="203"/>
      <c r="O1209" s="203"/>
      <c r="P1209" s="205"/>
      <c r="Q1209" s="204"/>
    </row>
    <row r="1210" spans="1:17">
      <c r="A1210" s="204"/>
      <c r="B1210" s="352"/>
      <c r="C1210" s="202"/>
      <c r="D1210" s="202"/>
      <c r="E1210" s="202"/>
      <c r="F1210" s="304"/>
      <c r="G1210" s="211"/>
      <c r="H1210" s="211"/>
      <c r="I1210" s="203"/>
      <c r="J1210" s="203"/>
      <c r="K1210" s="203"/>
      <c r="L1210" s="203"/>
      <c r="M1210" s="203"/>
      <c r="N1210" s="203"/>
      <c r="O1210" s="203"/>
      <c r="P1210" s="205"/>
      <c r="Q1210" s="204"/>
    </row>
    <row r="1211" spans="1:17">
      <c r="A1211" s="204"/>
      <c r="B1211" s="352"/>
      <c r="C1211" s="202"/>
      <c r="D1211" s="202"/>
      <c r="E1211" s="202"/>
      <c r="F1211" s="304"/>
      <c r="G1211" s="211"/>
      <c r="H1211" s="211"/>
      <c r="I1211" s="203"/>
      <c r="J1211" s="203"/>
      <c r="K1211" s="203"/>
      <c r="L1211" s="203"/>
      <c r="M1211" s="203"/>
      <c r="N1211" s="203"/>
      <c r="O1211" s="203"/>
      <c r="P1211" s="205"/>
      <c r="Q1211" s="204"/>
    </row>
    <row r="1212" spans="1:17">
      <c r="A1212" s="204"/>
      <c r="B1212" s="352"/>
      <c r="C1212" s="202"/>
      <c r="D1212" s="202"/>
      <c r="E1212" s="202"/>
      <c r="F1212" s="304"/>
      <c r="G1212" s="211"/>
      <c r="H1212" s="211"/>
      <c r="I1212" s="203"/>
      <c r="J1212" s="203"/>
      <c r="K1212" s="203"/>
      <c r="L1212" s="203"/>
      <c r="M1212" s="203"/>
      <c r="N1212" s="203"/>
      <c r="O1212" s="203"/>
      <c r="P1212" s="205"/>
      <c r="Q1212" s="204"/>
    </row>
    <row r="1213" spans="1:17">
      <c r="A1213" s="204"/>
      <c r="B1213" s="352"/>
      <c r="C1213" s="202"/>
      <c r="D1213" s="202"/>
      <c r="E1213" s="202"/>
      <c r="F1213" s="304"/>
      <c r="G1213" s="211"/>
      <c r="H1213" s="211"/>
      <c r="I1213" s="203"/>
      <c r="J1213" s="203"/>
      <c r="K1213" s="203"/>
      <c r="L1213" s="203"/>
      <c r="M1213" s="203"/>
      <c r="N1213" s="203"/>
      <c r="O1213" s="203"/>
      <c r="P1213" s="205"/>
      <c r="Q1213" s="204"/>
    </row>
    <row r="1214" spans="1:17">
      <c r="A1214" s="204"/>
      <c r="B1214" s="352"/>
      <c r="C1214" s="202"/>
      <c r="D1214" s="202"/>
      <c r="E1214" s="202"/>
      <c r="F1214" s="304"/>
      <c r="G1214" s="211"/>
      <c r="H1214" s="211"/>
      <c r="I1214" s="203"/>
      <c r="J1214" s="203"/>
      <c r="K1214" s="203"/>
      <c r="L1214" s="203"/>
      <c r="M1214" s="203"/>
      <c r="N1214" s="203"/>
      <c r="O1214" s="203"/>
      <c r="P1214" s="205"/>
      <c r="Q1214" s="204"/>
    </row>
    <row r="1215" spans="1:17">
      <c r="A1215" s="204"/>
      <c r="B1215" s="352"/>
      <c r="C1215" s="202"/>
      <c r="D1215" s="202"/>
      <c r="E1215" s="202"/>
      <c r="F1215" s="304"/>
      <c r="G1215" s="211"/>
      <c r="H1215" s="211"/>
      <c r="I1215" s="203"/>
      <c r="J1215" s="203"/>
      <c r="K1215" s="203"/>
      <c r="L1215" s="203"/>
      <c r="M1215" s="203"/>
      <c r="N1215" s="203"/>
      <c r="O1215" s="203"/>
      <c r="P1215" s="205"/>
      <c r="Q1215" s="204"/>
    </row>
    <row r="1216" spans="1:17">
      <c r="A1216" s="204"/>
      <c r="B1216" s="352"/>
      <c r="C1216" s="202"/>
      <c r="D1216" s="202"/>
      <c r="E1216" s="202"/>
      <c r="F1216" s="304"/>
      <c r="G1216" s="211"/>
      <c r="H1216" s="211"/>
      <c r="I1216" s="203"/>
      <c r="J1216" s="203"/>
      <c r="K1216" s="203"/>
      <c r="L1216" s="203"/>
      <c r="M1216" s="203"/>
      <c r="N1216" s="203"/>
      <c r="O1216" s="203"/>
      <c r="P1216" s="205"/>
      <c r="Q1216" s="204"/>
    </row>
    <row r="1217" spans="1:17">
      <c r="A1217" s="204"/>
      <c r="B1217" s="352"/>
      <c r="C1217" s="202"/>
      <c r="D1217" s="202"/>
      <c r="E1217" s="202"/>
      <c r="F1217" s="304"/>
      <c r="G1217" s="211"/>
      <c r="H1217" s="211"/>
      <c r="I1217" s="203"/>
      <c r="J1217" s="203"/>
      <c r="K1217" s="203"/>
      <c r="L1217" s="203"/>
      <c r="M1217" s="203"/>
      <c r="N1217" s="203"/>
      <c r="O1217" s="203"/>
      <c r="P1217" s="205"/>
      <c r="Q1217" s="204"/>
    </row>
    <row r="1218" spans="1:17">
      <c r="A1218" s="204"/>
      <c r="B1218" s="352"/>
      <c r="C1218" s="202"/>
      <c r="D1218" s="202"/>
      <c r="E1218" s="202"/>
      <c r="F1218" s="304"/>
      <c r="G1218" s="211"/>
      <c r="H1218" s="211"/>
      <c r="I1218" s="203"/>
      <c r="J1218" s="203"/>
      <c r="K1218" s="203"/>
      <c r="L1218" s="203"/>
      <c r="M1218" s="203"/>
      <c r="N1218" s="203"/>
      <c r="O1218" s="203"/>
      <c r="P1218" s="205"/>
      <c r="Q1218" s="204"/>
    </row>
    <row r="1219" spans="1:17">
      <c r="A1219" s="204"/>
      <c r="B1219" s="352"/>
      <c r="C1219" s="202"/>
      <c r="D1219" s="202"/>
      <c r="E1219" s="202"/>
      <c r="F1219" s="304"/>
      <c r="G1219" s="211"/>
      <c r="H1219" s="211"/>
      <c r="I1219" s="203"/>
      <c r="J1219" s="203"/>
      <c r="K1219" s="203"/>
      <c r="L1219" s="203"/>
      <c r="M1219" s="203"/>
      <c r="N1219" s="203"/>
      <c r="O1219" s="203"/>
      <c r="P1219" s="205"/>
      <c r="Q1219" s="204"/>
    </row>
    <row r="1220" spans="1:17">
      <c r="A1220" s="204"/>
      <c r="B1220" s="352"/>
      <c r="C1220" s="202"/>
      <c r="D1220" s="202"/>
      <c r="E1220" s="202"/>
      <c r="F1220" s="304"/>
      <c r="G1220" s="211"/>
      <c r="H1220" s="211"/>
      <c r="I1220" s="203"/>
      <c r="J1220" s="203"/>
      <c r="K1220" s="203"/>
      <c r="L1220" s="203"/>
      <c r="M1220" s="203"/>
      <c r="N1220" s="203"/>
      <c r="O1220" s="203"/>
      <c r="P1220" s="205"/>
      <c r="Q1220" s="204"/>
    </row>
    <row r="1221" spans="1:17">
      <c r="A1221" s="204"/>
      <c r="B1221" s="352"/>
      <c r="C1221" s="202"/>
      <c r="D1221" s="202"/>
      <c r="E1221" s="202"/>
      <c r="F1221" s="304"/>
      <c r="G1221" s="211"/>
      <c r="H1221" s="211"/>
      <c r="I1221" s="203"/>
      <c r="J1221" s="203"/>
      <c r="K1221" s="203"/>
      <c r="L1221" s="203"/>
      <c r="M1221" s="203"/>
      <c r="N1221" s="203"/>
      <c r="O1221" s="203"/>
      <c r="P1221" s="205"/>
      <c r="Q1221" s="204"/>
    </row>
    <row r="1222" spans="1:17">
      <c r="A1222" s="204"/>
      <c r="B1222" s="352"/>
      <c r="C1222" s="202"/>
      <c r="D1222" s="202"/>
      <c r="E1222" s="202"/>
      <c r="F1222" s="304"/>
      <c r="G1222" s="211"/>
      <c r="H1222" s="211"/>
      <c r="I1222" s="203"/>
      <c r="J1222" s="203"/>
      <c r="K1222" s="203"/>
      <c r="L1222" s="203"/>
      <c r="M1222" s="203"/>
      <c r="N1222" s="203"/>
      <c r="O1222" s="203"/>
      <c r="P1222" s="205"/>
      <c r="Q1222" s="204"/>
    </row>
    <row r="1223" spans="1:17">
      <c r="A1223" s="204"/>
      <c r="B1223" s="352"/>
      <c r="C1223" s="202"/>
      <c r="D1223" s="202"/>
      <c r="E1223" s="202"/>
      <c r="F1223" s="304"/>
      <c r="G1223" s="211"/>
      <c r="H1223" s="211"/>
      <c r="I1223" s="203"/>
      <c r="J1223" s="203"/>
      <c r="K1223" s="203"/>
      <c r="L1223" s="203"/>
      <c r="M1223" s="203"/>
      <c r="N1223" s="203"/>
      <c r="O1223" s="203"/>
      <c r="P1223" s="205"/>
      <c r="Q1223" s="204"/>
    </row>
    <row r="1224" spans="1:17">
      <c r="A1224" s="204"/>
      <c r="B1224" s="352"/>
      <c r="C1224" s="202"/>
      <c r="D1224" s="202"/>
      <c r="E1224" s="202"/>
      <c r="F1224" s="304"/>
      <c r="G1224" s="211"/>
      <c r="H1224" s="211"/>
      <c r="I1224" s="203"/>
      <c r="J1224" s="203"/>
      <c r="K1224" s="203"/>
      <c r="L1224" s="203"/>
      <c r="M1224" s="203"/>
      <c r="N1224" s="203"/>
      <c r="O1224" s="203"/>
      <c r="P1224" s="205"/>
      <c r="Q1224" s="204"/>
    </row>
    <row r="1225" spans="1:17">
      <c r="A1225" s="204"/>
      <c r="B1225" s="352"/>
      <c r="C1225" s="202"/>
      <c r="D1225" s="202"/>
      <c r="E1225" s="202"/>
      <c r="F1225" s="304"/>
      <c r="G1225" s="211"/>
      <c r="H1225" s="211"/>
      <c r="I1225" s="203"/>
      <c r="J1225" s="203"/>
      <c r="K1225" s="203"/>
      <c r="L1225" s="203"/>
      <c r="M1225" s="203"/>
      <c r="N1225" s="203"/>
      <c r="O1225" s="203"/>
      <c r="P1225" s="205"/>
      <c r="Q1225" s="204"/>
    </row>
    <row r="1226" spans="1:17">
      <c r="A1226" s="204"/>
      <c r="B1226" s="352"/>
      <c r="C1226" s="202"/>
      <c r="D1226" s="202"/>
      <c r="E1226" s="202"/>
      <c r="F1226" s="304"/>
      <c r="G1226" s="211"/>
      <c r="H1226" s="211"/>
      <c r="I1226" s="203"/>
      <c r="J1226" s="203"/>
      <c r="K1226" s="203"/>
      <c r="L1226" s="203"/>
      <c r="M1226" s="203"/>
      <c r="N1226" s="203"/>
      <c r="O1226" s="203"/>
      <c r="P1226" s="205"/>
      <c r="Q1226" s="204"/>
    </row>
    <row r="1227" spans="1:17">
      <c r="A1227" s="204"/>
      <c r="B1227" s="352"/>
      <c r="C1227" s="202"/>
      <c r="D1227" s="202"/>
      <c r="E1227" s="202"/>
      <c r="F1227" s="304"/>
      <c r="G1227" s="211"/>
      <c r="H1227" s="211"/>
      <c r="I1227" s="203"/>
      <c r="J1227" s="203"/>
      <c r="K1227" s="203"/>
      <c r="L1227" s="203"/>
      <c r="M1227" s="203"/>
      <c r="N1227" s="203"/>
      <c r="O1227" s="203"/>
      <c r="P1227" s="205"/>
      <c r="Q1227" s="204"/>
    </row>
    <row r="1228" spans="1:17">
      <c r="A1228" s="204"/>
      <c r="B1228" s="352"/>
      <c r="C1228" s="202"/>
      <c r="D1228" s="202"/>
      <c r="E1228" s="202"/>
      <c r="F1228" s="304"/>
      <c r="G1228" s="211"/>
      <c r="H1228" s="211"/>
      <c r="I1228" s="203"/>
      <c r="J1228" s="203"/>
      <c r="K1228" s="203"/>
      <c r="L1228" s="203"/>
      <c r="M1228" s="203"/>
      <c r="N1228" s="203"/>
      <c r="O1228" s="203"/>
      <c r="P1228" s="205"/>
      <c r="Q1228" s="204"/>
    </row>
    <row r="1229" spans="1:17">
      <c r="A1229" s="204"/>
      <c r="B1229" s="352"/>
      <c r="C1229" s="202"/>
      <c r="D1229" s="202"/>
      <c r="E1229" s="202"/>
      <c r="F1229" s="304"/>
      <c r="G1229" s="211"/>
      <c r="H1229" s="211"/>
      <c r="I1229" s="203"/>
      <c r="J1229" s="203"/>
      <c r="K1229" s="203"/>
      <c r="L1229" s="203"/>
      <c r="M1229" s="203"/>
      <c r="N1229" s="203"/>
      <c r="O1229" s="203"/>
      <c r="P1229" s="205"/>
      <c r="Q1229" s="204"/>
    </row>
    <row r="1230" spans="1:17">
      <c r="A1230" s="204"/>
      <c r="B1230" s="352"/>
      <c r="C1230" s="202"/>
      <c r="D1230" s="202"/>
      <c r="E1230" s="202"/>
      <c r="F1230" s="304"/>
      <c r="G1230" s="211"/>
      <c r="H1230" s="211"/>
      <c r="I1230" s="203"/>
      <c r="J1230" s="203"/>
      <c r="K1230" s="203"/>
      <c r="L1230" s="203"/>
      <c r="M1230" s="203"/>
      <c r="N1230" s="203"/>
      <c r="O1230" s="203"/>
      <c r="P1230" s="205"/>
      <c r="Q1230" s="204"/>
    </row>
    <row r="1231" spans="1:17">
      <c r="A1231" s="204"/>
      <c r="B1231" s="352"/>
      <c r="C1231" s="202"/>
      <c r="D1231" s="202"/>
      <c r="E1231" s="202"/>
      <c r="F1231" s="304"/>
      <c r="G1231" s="211"/>
      <c r="H1231" s="211"/>
      <c r="I1231" s="203"/>
      <c r="J1231" s="203"/>
      <c r="K1231" s="203"/>
      <c r="L1231" s="203"/>
      <c r="M1231" s="203"/>
      <c r="N1231" s="203"/>
      <c r="O1231" s="203"/>
      <c r="P1231" s="205"/>
      <c r="Q1231" s="204"/>
    </row>
    <row r="1232" spans="1:17">
      <c r="A1232" s="204"/>
      <c r="B1232" s="352"/>
      <c r="C1232" s="202"/>
      <c r="D1232" s="202"/>
      <c r="E1232" s="202"/>
      <c r="F1232" s="304"/>
      <c r="G1232" s="211"/>
      <c r="H1232" s="211"/>
      <c r="I1232" s="203"/>
      <c r="J1232" s="203"/>
      <c r="K1232" s="203"/>
      <c r="L1232" s="203"/>
      <c r="M1232" s="203"/>
      <c r="N1232" s="203"/>
      <c r="O1232" s="203"/>
      <c r="P1232" s="205"/>
      <c r="Q1232" s="204"/>
    </row>
    <row r="1233" spans="1:17">
      <c r="A1233" s="204"/>
      <c r="B1233" s="352"/>
      <c r="C1233" s="202"/>
      <c r="D1233" s="202"/>
      <c r="E1233" s="202"/>
      <c r="F1233" s="304"/>
      <c r="G1233" s="211"/>
      <c r="H1233" s="211"/>
      <c r="I1233" s="203"/>
      <c r="J1233" s="203"/>
      <c r="K1233" s="203"/>
      <c r="L1233" s="203"/>
      <c r="M1233" s="203"/>
      <c r="N1233" s="203"/>
      <c r="O1233" s="203"/>
      <c r="P1233" s="205"/>
      <c r="Q1233" s="204"/>
    </row>
    <row r="1234" spans="1:17">
      <c r="A1234" s="204"/>
      <c r="B1234" s="352"/>
      <c r="C1234" s="202"/>
      <c r="D1234" s="202"/>
      <c r="E1234" s="202"/>
      <c r="F1234" s="304"/>
      <c r="G1234" s="211"/>
      <c r="H1234" s="211"/>
      <c r="I1234" s="203"/>
      <c r="J1234" s="203"/>
      <c r="K1234" s="203"/>
      <c r="L1234" s="203"/>
      <c r="M1234" s="203"/>
      <c r="N1234" s="203"/>
      <c r="O1234" s="203"/>
      <c r="P1234" s="205"/>
      <c r="Q1234" s="204"/>
    </row>
    <row r="1235" spans="1:17">
      <c r="A1235" s="204"/>
      <c r="B1235" s="352"/>
      <c r="C1235" s="202"/>
      <c r="D1235" s="202"/>
      <c r="E1235" s="202"/>
      <c r="F1235" s="304"/>
      <c r="G1235" s="211"/>
      <c r="H1235" s="211"/>
      <c r="I1235" s="203"/>
      <c r="J1235" s="203"/>
      <c r="K1235" s="203"/>
      <c r="L1235" s="203"/>
      <c r="M1235" s="203"/>
      <c r="N1235" s="203"/>
      <c r="O1235" s="203"/>
      <c r="P1235" s="205"/>
      <c r="Q1235" s="204"/>
    </row>
    <row r="1236" spans="1:17">
      <c r="A1236" s="204"/>
      <c r="B1236" s="352"/>
      <c r="C1236" s="202"/>
      <c r="D1236" s="202"/>
      <c r="E1236" s="202"/>
      <c r="F1236" s="304"/>
      <c r="G1236" s="211"/>
      <c r="H1236" s="211"/>
      <c r="I1236" s="203"/>
      <c r="J1236" s="203"/>
      <c r="K1236" s="203"/>
      <c r="L1236" s="203"/>
      <c r="M1236" s="203"/>
      <c r="N1236" s="203"/>
      <c r="O1236" s="203"/>
      <c r="P1236" s="205"/>
      <c r="Q1236" s="204"/>
    </row>
    <row r="1237" spans="1:17">
      <c r="A1237" s="204"/>
      <c r="B1237" s="352"/>
      <c r="C1237" s="202"/>
      <c r="D1237" s="202"/>
      <c r="E1237" s="202"/>
      <c r="F1237" s="304"/>
      <c r="G1237" s="211"/>
      <c r="H1237" s="211"/>
      <c r="I1237" s="203"/>
      <c r="J1237" s="203"/>
      <c r="K1237" s="203"/>
      <c r="L1237" s="203"/>
      <c r="M1237" s="203"/>
      <c r="N1237" s="203"/>
      <c r="O1237" s="203"/>
      <c r="P1237" s="205"/>
      <c r="Q1237" s="204"/>
    </row>
    <row r="1238" spans="1:17">
      <c r="A1238" s="204"/>
      <c r="B1238" s="352"/>
      <c r="C1238" s="202"/>
      <c r="D1238" s="202"/>
      <c r="E1238" s="202"/>
      <c r="F1238" s="304"/>
      <c r="G1238" s="211"/>
      <c r="H1238" s="211"/>
      <c r="I1238" s="203"/>
      <c r="J1238" s="203"/>
      <c r="K1238" s="203"/>
      <c r="L1238" s="203"/>
      <c r="M1238" s="203"/>
      <c r="N1238" s="203"/>
      <c r="O1238" s="203"/>
      <c r="P1238" s="205"/>
      <c r="Q1238" s="204"/>
    </row>
    <row r="1239" spans="1:17">
      <c r="A1239" s="204"/>
      <c r="B1239" s="352"/>
      <c r="C1239" s="202"/>
      <c r="D1239" s="202"/>
      <c r="E1239" s="202"/>
      <c r="F1239" s="304"/>
      <c r="G1239" s="211"/>
      <c r="H1239" s="211"/>
      <c r="I1239" s="203"/>
      <c r="J1239" s="203"/>
      <c r="K1239" s="203"/>
      <c r="L1239" s="203"/>
      <c r="M1239" s="203"/>
      <c r="N1239" s="203"/>
      <c r="O1239" s="203"/>
      <c r="P1239" s="205"/>
      <c r="Q1239" s="204"/>
    </row>
    <row r="1240" spans="1:17">
      <c r="A1240" s="204"/>
      <c r="B1240" s="352"/>
      <c r="C1240" s="202"/>
      <c r="D1240" s="202"/>
      <c r="E1240" s="202"/>
      <c r="F1240" s="304"/>
      <c r="G1240" s="211"/>
      <c r="H1240" s="211"/>
      <c r="I1240" s="203"/>
      <c r="J1240" s="203"/>
      <c r="K1240" s="203"/>
      <c r="L1240" s="203"/>
      <c r="M1240" s="203"/>
      <c r="N1240" s="203"/>
      <c r="O1240" s="203"/>
      <c r="P1240" s="205"/>
      <c r="Q1240" s="204"/>
    </row>
    <row r="1241" spans="1:17">
      <c r="A1241" s="204"/>
      <c r="B1241" s="352"/>
      <c r="C1241" s="202"/>
      <c r="D1241" s="202"/>
      <c r="E1241" s="202"/>
      <c r="F1241" s="304"/>
      <c r="G1241" s="211"/>
      <c r="H1241" s="211"/>
      <c r="I1241" s="203"/>
      <c r="J1241" s="203"/>
      <c r="K1241" s="203"/>
      <c r="L1241" s="203"/>
      <c r="M1241" s="203"/>
      <c r="N1241" s="203"/>
      <c r="O1241" s="203"/>
      <c r="P1241" s="205"/>
      <c r="Q1241" s="204"/>
    </row>
    <row r="1242" spans="1:17">
      <c r="A1242" s="204"/>
      <c r="B1242" s="352"/>
      <c r="C1242" s="202"/>
      <c r="D1242" s="202"/>
      <c r="E1242" s="202"/>
      <c r="F1242" s="304"/>
      <c r="G1242" s="211"/>
      <c r="H1242" s="211"/>
      <c r="I1242" s="203"/>
      <c r="J1242" s="203"/>
      <c r="K1242" s="203"/>
      <c r="L1242" s="203"/>
      <c r="M1242" s="203"/>
      <c r="N1242" s="203"/>
      <c r="O1242" s="203"/>
      <c r="P1242" s="205"/>
      <c r="Q1242" s="204"/>
    </row>
    <row r="1243" spans="1:17">
      <c r="A1243" s="204"/>
      <c r="B1243" s="352"/>
      <c r="C1243" s="202"/>
      <c r="D1243" s="202"/>
      <c r="E1243" s="202"/>
      <c r="F1243" s="304"/>
      <c r="G1243" s="211"/>
      <c r="H1243" s="211"/>
      <c r="I1243" s="203"/>
      <c r="J1243" s="203"/>
      <c r="K1243" s="203"/>
      <c r="L1243" s="203"/>
      <c r="M1243" s="203"/>
      <c r="N1243" s="203"/>
      <c r="O1243" s="203"/>
      <c r="P1243" s="205"/>
      <c r="Q1243" s="204"/>
    </row>
    <row r="1244" spans="1:17">
      <c r="A1244" s="204"/>
      <c r="B1244" s="352"/>
      <c r="C1244" s="202"/>
      <c r="D1244" s="202"/>
      <c r="E1244" s="202"/>
      <c r="F1244" s="304"/>
      <c r="G1244" s="211"/>
      <c r="H1244" s="211"/>
      <c r="I1244" s="203"/>
      <c r="J1244" s="203"/>
      <c r="K1244" s="203"/>
      <c r="L1244" s="203"/>
      <c r="M1244" s="203"/>
      <c r="N1244" s="203"/>
      <c r="O1244" s="203"/>
      <c r="P1244" s="205"/>
      <c r="Q1244" s="204"/>
    </row>
    <row r="1245" spans="1:17">
      <c r="A1245" s="204"/>
      <c r="B1245" s="352"/>
      <c r="C1245" s="202"/>
      <c r="D1245" s="202"/>
      <c r="E1245" s="202"/>
      <c r="F1245" s="304"/>
      <c r="G1245" s="211"/>
      <c r="H1245" s="211"/>
      <c r="I1245" s="203"/>
      <c r="J1245" s="203"/>
      <c r="K1245" s="203"/>
      <c r="L1245" s="203"/>
      <c r="M1245" s="203"/>
      <c r="N1245" s="203"/>
      <c r="O1245" s="203"/>
      <c r="P1245" s="205"/>
      <c r="Q1245" s="204"/>
    </row>
    <row r="1246" spans="1:17">
      <c r="A1246" s="204"/>
      <c r="B1246" s="352"/>
      <c r="C1246" s="202"/>
      <c r="D1246" s="202"/>
      <c r="E1246" s="202"/>
      <c r="F1246" s="304"/>
      <c r="G1246" s="211"/>
      <c r="H1246" s="211"/>
      <c r="I1246" s="203"/>
      <c r="J1246" s="203"/>
      <c r="K1246" s="203"/>
      <c r="L1246" s="203"/>
      <c r="M1246" s="203"/>
      <c r="N1246" s="203"/>
      <c r="O1246" s="203"/>
      <c r="P1246" s="205"/>
      <c r="Q1246" s="204"/>
    </row>
    <row r="1247" spans="1:17">
      <c r="A1247" s="204"/>
      <c r="B1247" s="352"/>
      <c r="C1247" s="202"/>
      <c r="D1247" s="202"/>
      <c r="E1247" s="202"/>
      <c r="F1247" s="304"/>
      <c r="G1247" s="211"/>
      <c r="H1247" s="211"/>
      <c r="I1247" s="203"/>
      <c r="J1247" s="203"/>
      <c r="K1247" s="203"/>
      <c r="L1247" s="203"/>
      <c r="M1247" s="203"/>
      <c r="N1247" s="203"/>
      <c r="O1247" s="203"/>
      <c r="P1247" s="205"/>
      <c r="Q1247" s="204"/>
    </row>
    <row r="1248" spans="1:17">
      <c r="A1248" s="204"/>
      <c r="B1248" s="352"/>
      <c r="C1248" s="202"/>
      <c r="D1248" s="202"/>
      <c r="E1248" s="202"/>
      <c r="F1248" s="304"/>
      <c r="G1248" s="211"/>
      <c r="H1248" s="211"/>
      <c r="I1248" s="203"/>
      <c r="J1248" s="203"/>
      <c r="K1248" s="203"/>
      <c r="L1248" s="203"/>
      <c r="M1248" s="203"/>
      <c r="N1248" s="203"/>
      <c r="O1248" s="203"/>
      <c r="P1248" s="205"/>
      <c r="Q1248" s="204"/>
    </row>
    <row r="1249" spans="1:17">
      <c r="A1249" s="204"/>
      <c r="B1249" s="352"/>
      <c r="C1249" s="202"/>
      <c r="D1249" s="202"/>
      <c r="E1249" s="202"/>
      <c r="F1249" s="304"/>
      <c r="G1249" s="211"/>
      <c r="H1249" s="211"/>
      <c r="I1249" s="203"/>
      <c r="J1249" s="203"/>
      <c r="K1249" s="203"/>
      <c r="L1249" s="203"/>
      <c r="M1249" s="203"/>
      <c r="N1249" s="203"/>
      <c r="O1249" s="203"/>
      <c r="P1249" s="205"/>
      <c r="Q1249" s="204"/>
    </row>
    <row r="1250" spans="1:17">
      <c r="A1250" s="204"/>
      <c r="B1250" s="352"/>
      <c r="C1250" s="202"/>
      <c r="D1250" s="202"/>
      <c r="E1250" s="202"/>
      <c r="F1250" s="304"/>
      <c r="G1250" s="211"/>
      <c r="H1250" s="211"/>
      <c r="I1250" s="203"/>
      <c r="J1250" s="203"/>
      <c r="K1250" s="203"/>
      <c r="L1250" s="203"/>
      <c r="M1250" s="203"/>
      <c r="N1250" s="203"/>
      <c r="O1250" s="203"/>
      <c r="P1250" s="205"/>
      <c r="Q1250" s="204"/>
    </row>
    <row r="1251" spans="1:17">
      <c r="A1251" s="204"/>
      <c r="B1251" s="352"/>
      <c r="C1251" s="202"/>
      <c r="D1251" s="202"/>
      <c r="E1251" s="202"/>
      <c r="F1251" s="304"/>
      <c r="G1251" s="211"/>
      <c r="H1251" s="211"/>
      <c r="I1251" s="203"/>
      <c r="J1251" s="203"/>
      <c r="K1251" s="203"/>
      <c r="L1251" s="203"/>
      <c r="M1251" s="203"/>
      <c r="N1251" s="203"/>
      <c r="O1251" s="203"/>
      <c r="P1251" s="205"/>
      <c r="Q1251" s="204"/>
    </row>
    <row r="1252" spans="1:17">
      <c r="A1252" s="204"/>
      <c r="B1252" s="352"/>
      <c r="C1252" s="202"/>
      <c r="D1252" s="202"/>
      <c r="E1252" s="202"/>
      <c r="F1252" s="304"/>
      <c r="G1252" s="211"/>
      <c r="H1252" s="211"/>
      <c r="I1252" s="203"/>
      <c r="J1252" s="203"/>
      <c r="K1252" s="203"/>
      <c r="L1252" s="203"/>
      <c r="M1252" s="203"/>
      <c r="N1252" s="203"/>
      <c r="O1252" s="203"/>
      <c r="P1252" s="205"/>
      <c r="Q1252" s="204"/>
    </row>
    <row r="1253" spans="1:17">
      <c r="A1253" s="204"/>
      <c r="B1253" s="352"/>
      <c r="C1253" s="202"/>
      <c r="D1253" s="202"/>
      <c r="E1253" s="202"/>
      <c r="F1253" s="304"/>
      <c r="G1253" s="211"/>
      <c r="H1253" s="211"/>
      <c r="I1253" s="203"/>
      <c r="J1253" s="203"/>
      <c r="K1253" s="203"/>
      <c r="L1253" s="203"/>
      <c r="M1253" s="203"/>
      <c r="N1253" s="203"/>
      <c r="O1253" s="203"/>
      <c r="P1253" s="205"/>
      <c r="Q1253" s="204"/>
    </row>
    <row r="1254" spans="1:17">
      <c r="A1254" s="204"/>
      <c r="B1254" s="352"/>
      <c r="C1254" s="202"/>
      <c r="D1254" s="202"/>
      <c r="E1254" s="202"/>
      <c r="F1254" s="304"/>
      <c r="G1254" s="211"/>
      <c r="H1254" s="211"/>
      <c r="I1254" s="203"/>
      <c r="J1254" s="203"/>
      <c r="K1254" s="203"/>
      <c r="L1254" s="203"/>
      <c r="M1254" s="203"/>
      <c r="N1254" s="203"/>
      <c r="O1254" s="203"/>
      <c r="P1254" s="205"/>
      <c r="Q1254" s="204"/>
    </row>
    <row r="1255" spans="1:17">
      <c r="A1255" s="204"/>
      <c r="B1255" s="352"/>
      <c r="C1255" s="202"/>
      <c r="D1255" s="202"/>
      <c r="E1255" s="202"/>
      <c r="F1255" s="304"/>
      <c r="G1255" s="211"/>
      <c r="H1255" s="211"/>
      <c r="I1255" s="203"/>
      <c r="J1255" s="203"/>
      <c r="K1255" s="203"/>
      <c r="L1255" s="203"/>
      <c r="M1255" s="203"/>
      <c r="N1255" s="203"/>
      <c r="O1255" s="203"/>
      <c r="P1255" s="205"/>
      <c r="Q1255" s="204"/>
    </row>
    <row r="1256" spans="1:17">
      <c r="A1256" s="204"/>
      <c r="B1256" s="352"/>
      <c r="C1256" s="202"/>
      <c r="D1256" s="202"/>
      <c r="E1256" s="202"/>
      <c r="F1256" s="304"/>
      <c r="G1256" s="211"/>
      <c r="H1256" s="211"/>
      <c r="I1256" s="203"/>
      <c r="J1256" s="203"/>
      <c r="K1256" s="203"/>
      <c r="L1256" s="203"/>
      <c r="M1256" s="203"/>
      <c r="N1256" s="203"/>
      <c r="O1256" s="203"/>
      <c r="P1256" s="205"/>
      <c r="Q1256" s="204"/>
    </row>
    <row r="1257" spans="1:17">
      <c r="A1257" s="204"/>
      <c r="B1257" s="352"/>
      <c r="C1257" s="202"/>
      <c r="D1257" s="202"/>
      <c r="E1257" s="202"/>
      <c r="F1257" s="304"/>
      <c r="G1257" s="211"/>
      <c r="H1257" s="211"/>
      <c r="I1257" s="203"/>
      <c r="J1257" s="203"/>
      <c r="K1257" s="203"/>
      <c r="L1257" s="203"/>
      <c r="M1257" s="203"/>
      <c r="N1257" s="203"/>
      <c r="O1257" s="203"/>
      <c r="P1257" s="205"/>
      <c r="Q1257" s="204"/>
    </row>
    <row r="1258" spans="1:17">
      <c r="A1258" s="204"/>
      <c r="B1258" s="352"/>
      <c r="C1258" s="202"/>
      <c r="D1258" s="202"/>
      <c r="E1258" s="202"/>
      <c r="F1258" s="304"/>
      <c r="G1258" s="211"/>
      <c r="H1258" s="211"/>
      <c r="I1258" s="203"/>
      <c r="J1258" s="203"/>
      <c r="K1258" s="203"/>
      <c r="L1258" s="203"/>
      <c r="M1258" s="203"/>
      <c r="N1258" s="203"/>
      <c r="O1258" s="203"/>
      <c r="P1258" s="205"/>
      <c r="Q1258" s="204"/>
    </row>
    <row r="1259" spans="1:17">
      <c r="A1259" s="204"/>
      <c r="B1259" s="352"/>
      <c r="C1259" s="202"/>
      <c r="D1259" s="202"/>
      <c r="E1259" s="202"/>
      <c r="F1259" s="304"/>
      <c r="G1259" s="211"/>
      <c r="H1259" s="211"/>
      <c r="I1259" s="203"/>
      <c r="J1259" s="203"/>
      <c r="K1259" s="203"/>
      <c r="L1259" s="203"/>
      <c r="M1259" s="203"/>
      <c r="N1259" s="203"/>
      <c r="O1259" s="203"/>
      <c r="P1259" s="205"/>
      <c r="Q1259" s="204"/>
    </row>
    <row r="1260" spans="1:17">
      <c r="A1260" s="204"/>
      <c r="B1260" s="352"/>
      <c r="C1260" s="202"/>
      <c r="D1260" s="202"/>
      <c r="E1260" s="202"/>
      <c r="F1260" s="304"/>
      <c r="G1260" s="211"/>
      <c r="H1260" s="211"/>
      <c r="I1260" s="203"/>
      <c r="J1260" s="203"/>
      <c r="K1260" s="203"/>
      <c r="L1260" s="203"/>
      <c r="M1260" s="203"/>
      <c r="N1260" s="203"/>
      <c r="O1260" s="203"/>
      <c r="P1260" s="205"/>
      <c r="Q1260" s="204"/>
    </row>
    <row r="1261" spans="1:17">
      <c r="A1261" s="204"/>
      <c r="B1261" s="352"/>
      <c r="C1261" s="202"/>
      <c r="D1261" s="202"/>
      <c r="E1261" s="202"/>
      <c r="F1261" s="304"/>
      <c r="G1261" s="211"/>
      <c r="H1261" s="211"/>
      <c r="I1261" s="203"/>
      <c r="J1261" s="203"/>
      <c r="K1261" s="203"/>
      <c r="L1261" s="203"/>
      <c r="M1261" s="203"/>
      <c r="N1261" s="203"/>
      <c r="O1261" s="203"/>
      <c r="P1261" s="205"/>
      <c r="Q1261" s="204"/>
    </row>
    <row r="1262" spans="1:17">
      <c r="A1262" s="204"/>
      <c r="B1262" s="352"/>
      <c r="C1262" s="202"/>
      <c r="D1262" s="202"/>
      <c r="E1262" s="202"/>
      <c r="F1262" s="304"/>
      <c r="G1262" s="211"/>
      <c r="H1262" s="211"/>
      <c r="I1262" s="203"/>
      <c r="J1262" s="203"/>
      <c r="K1262" s="203"/>
      <c r="L1262" s="203"/>
      <c r="M1262" s="203"/>
      <c r="N1262" s="203"/>
      <c r="O1262" s="203"/>
      <c r="P1262" s="205"/>
      <c r="Q1262" s="204"/>
    </row>
    <row r="1263" spans="1:17">
      <c r="A1263" s="204"/>
      <c r="B1263" s="352"/>
      <c r="C1263" s="202"/>
      <c r="D1263" s="202"/>
      <c r="E1263" s="202"/>
      <c r="F1263" s="304"/>
      <c r="G1263" s="211"/>
      <c r="H1263" s="211"/>
      <c r="I1263" s="203"/>
      <c r="J1263" s="203"/>
      <c r="K1263" s="203"/>
      <c r="L1263" s="203"/>
      <c r="M1263" s="203"/>
      <c r="N1263" s="203"/>
      <c r="O1263" s="203"/>
      <c r="P1263" s="205"/>
      <c r="Q1263" s="204"/>
    </row>
    <row r="1264" spans="1:17">
      <c r="A1264" s="204"/>
      <c r="B1264" s="352"/>
      <c r="C1264" s="202"/>
      <c r="D1264" s="202"/>
      <c r="E1264" s="202"/>
      <c r="F1264" s="304"/>
      <c r="G1264" s="211"/>
      <c r="H1264" s="211"/>
      <c r="I1264" s="203"/>
      <c r="J1264" s="203"/>
      <c r="K1264" s="203"/>
      <c r="L1264" s="203"/>
      <c r="M1264" s="203"/>
      <c r="N1264" s="203"/>
      <c r="O1264" s="203"/>
      <c r="P1264" s="205"/>
      <c r="Q1264" s="204"/>
    </row>
    <row r="1265" spans="1:17">
      <c r="A1265" s="204"/>
      <c r="B1265" s="352"/>
      <c r="C1265" s="202"/>
      <c r="D1265" s="202"/>
      <c r="E1265" s="202"/>
      <c r="F1265" s="304"/>
      <c r="G1265" s="211"/>
      <c r="H1265" s="211"/>
      <c r="I1265" s="203"/>
      <c r="J1265" s="203"/>
      <c r="K1265" s="203"/>
      <c r="L1265" s="203"/>
      <c r="M1265" s="203"/>
      <c r="N1265" s="203"/>
      <c r="O1265" s="203"/>
      <c r="P1265" s="205"/>
      <c r="Q1265" s="204"/>
    </row>
    <row r="1266" spans="1:17">
      <c r="A1266" s="204"/>
      <c r="B1266" s="352"/>
      <c r="C1266" s="202"/>
      <c r="D1266" s="202"/>
      <c r="E1266" s="202"/>
      <c r="F1266" s="304"/>
      <c r="G1266" s="211"/>
      <c r="H1266" s="211"/>
      <c r="I1266" s="203"/>
      <c r="J1266" s="203"/>
      <c r="K1266" s="203"/>
      <c r="L1266" s="203"/>
      <c r="M1266" s="203"/>
      <c r="N1266" s="203"/>
      <c r="O1266" s="203"/>
      <c r="P1266" s="205"/>
      <c r="Q1266" s="204"/>
    </row>
    <row r="1267" spans="1:17">
      <c r="A1267" s="204"/>
      <c r="B1267" s="352"/>
      <c r="C1267" s="202"/>
      <c r="D1267" s="202"/>
      <c r="E1267" s="202"/>
      <c r="F1267" s="304"/>
      <c r="G1267" s="211"/>
      <c r="H1267" s="211"/>
      <c r="I1267" s="203"/>
      <c r="J1267" s="203"/>
      <c r="K1267" s="203"/>
      <c r="L1267" s="203"/>
      <c r="M1267" s="203"/>
      <c r="N1267" s="203"/>
      <c r="O1267" s="203"/>
      <c r="P1267" s="205"/>
      <c r="Q1267" s="204"/>
    </row>
    <row r="1268" spans="1:17">
      <c r="A1268" s="204"/>
      <c r="B1268" s="352"/>
      <c r="C1268" s="202"/>
      <c r="D1268" s="202"/>
      <c r="E1268" s="202"/>
      <c r="F1268" s="304"/>
      <c r="G1268" s="211"/>
      <c r="H1268" s="211"/>
      <c r="I1268" s="203"/>
      <c r="J1268" s="203"/>
      <c r="K1268" s="203"/>
      <c r="L1268" s="203"/>
      <c r="M1268" s="203"/>
      <c r="N1268" s="203"/>
      <c r="O1268" s="203"/>
      <c r="P1268" s="205"/>
      <c r="Q1268" s="204"/>
    </row>
    <row r="1269" spans="1:17">
      <c r="A1269" s="204"/>
      <c r="B1269" s="352"/>
      <c r="C1269" s="202"/>
      <c r="D1269" s="202"/>
      <c r="E1269" s="202"/>
      <c r="F1269" s="304"/>
      <c r="G1269" s="211"/>
      <c r="H1269" s="211"/>
      <c r="I1269" s="203"/>
      <c r="J1269" s="203"/>
      <c r="K1269" s="203"/>
      <c r="L1269" s="203"/>
      <c r="M1269" s="203"/>
      <c r="N1269" s="203"/>
      <c r="O1269" s="203"/>
      <c r="P1269" s="205"/>
      <c r="Q1269" s="204"/>
    </row>
    <row r="1270" spans="1:17">
      <c r="A1270" s="204"/>
      <c r="B1270" s="352"/>
      <c r="C1270" s="202"/>
      <c r="D1270" s="202"/>
      <c r="E1270" s="202"/>
      <c r="F1270" s="304"/>
      <c r="G1270" s="211"/>
      <c r="H1270" s="211"/>
      <c r="I1270" s="203"/>
      <c r="J1270" s="203"/>
      <c r="K1270" s="203"/>
      <c r="L1270" s="203"/>
      <c r="M1270" s="203"/>
      <c r="N1270" s="203"/>
      <c r="O1270" s="203"/>
      <c r="P1270" s="205"/>
      <c r="Q1270" s="204"/>
    </row>
    <row r="1271" spans="1:17">
      <c r="A1271" s="204"/>
      <c r="B1271" s="352"/>
      <c r="C1271" s="202"/>
      <c r="D1271" s="202"/>
      <c r="E1271" s="202"/>
      <c r="F1271" s="304"/>
      <c r="G1271" s="211"/>
      <c r="H1271" s="211"/>
      <c r="I1271" s="203"/>
      <c r="J1271" s="203"/>
      <c r="K1271" s="203"/>
      <c r="L1271" s="203"/>
      <c r="M1271" s="203"/>
      <c r="N1271" s="203"/>
      <c r="O1271" s="203"/>
      <c r="P1271" s="205"/>
      <c r="Q1271" s="204"/>
    </row>
    <row r="1272" spans="1:17">
      <c r="A1272" s="204"/>
      <c r="B1272" s="352"/>
      <c r="C1272" s="202"/>
      <c r="D1272" s="202"/>
      <c r="E1272" s="202"/>
      <c r="F1272" s="304"/>
      <c r="G1272" s="211"/>
      <c r="H1272" s="211"/>
      <c r="I1272" s="203"/>
      <c r="J1272" s="203"/>
      <c r="K1272" s="203"/>
      <c r="L1272" s="203"/>
      <c r="M1272" s="203"/>
      <c r="N1272" s="203"/>
      <c r="O1272" s="203"/>
      <c r="P1272" s="205"/>
      <c r="Q1272" s="204"/>
    </row>
    <row r="1273" spans="1:17">
      <c r="A1273" s="204"/>
      <c r="B1273" s="352"/>
      <c r="C1273" s="202"/>
      <c r="D1273" s="202"/>
      <c r="E1273" s="202"/>
      <c r="F1273" s="304"/>
      <c r="G1273" s="211"/>
      <c r="H1273" s="211"/>
      <c r="I1273" s="203"/>
      <c r="J1273" s="203"/>
      <c r="K1273" s="203"/>
      <c r="L1273" s="203"/>
      <c r="M1273" s="203"/>
      <c r="N1273" s="203"/>
      <c r="O1273" s="203"/>
      <c r="P1273" s="205"/>
      <c r="Q1273" s="204"/>
    </row>
    <row r="1274" spans="1:17">
      <c r="A1274" s="204"/>
      <c r="B1274" s="352"/>
      <c r="C1274" s="202"/>
      <c r="D1274" s="202"/>
      <c r="E1274" s="202"/>
      <c r="F1274" s="304"/>
      <c r="G1274" s="211"/>
      <c r="H1274" s="211"/>
      <c r="I1274" s="203"/>
      <c r="J1274" s="203"/>
      <c r="K1274" s="203"/>
      <c r="L1274" s="203"/>
      <c r="M1274" s="203"/>
      <c r="N1274" s="203"/>
      <c r="O1274" s="203"/>
      <c r="P1274" s="205"/>
      <c r="Q1274" s="204"/>
    </row>
    <row r="1275" spans="1:17">
      <c r="A1275" s="204"/>
      <c r="B1275" s="352"/>
      <c r="C1275" s="202"/>
      <c r="D1275" s="202"/>
      <c r="E1275" s="202"/>
      <c r="F1275" s="304"/>
      <c r="G1275" s="211"/>
      <c r="H1275" s="211"/>
      <c r="I1275" s="203"/>
      <c r="J1275" s="203"/>
      <c r="K1275" s="203"/>
      <c r="L1275" s="203"/>
      <c r="M1275" s="203"/>
      <c r="N1275" s="203"/>
      <c r="O1275" s="203"/>
      <c r="P1275" s="205"/>
      <c r="Q1275" s="204"/>
    </row>
    <row r="1276" spans="1:17">
      <c r="A1276" s="204"/>
      <c r="B1276" s="352"/>
      <c r="C1276" s="202"/>
      <c r="D1276" s="202"/>
      <c r="E1276" s="202"/>
      <c r="F1276" s="304"/>
      <c r="G1276" s="211"/>
      <c r="H1276" s="211"/>
      <c r="I1276" s="203"/>
      <c r="J1276" s="203"/>
      <c r="K1276" s="203"/>
      <c r="L1276" s="203"/>
      <c r="M1276" s="203"/>
      <c r="N1276" s="203"/>
      <c r="O1276" s="203"/>
      <c r="P1276" s="205"/>
      <c r="Q1276" s="204"/>
    </row>
    <row r="1277" spans="1:17">
      <c r="A1277" s="204"/>
      <c r="B1277" s="352"/>
      <c r="C1277" s="202"/>
      <c r="D1277" s="202"/>
      <c r="E1277" s="202"/>
      <c r="F1277" s="304"/>
      <c r="G1277" s="211"/>
      <c r="H1277" s="211"/>
      <c r="I1277" s="203"/>
      <c r="J1277" s="203"/>
      <c r="K1277" s="203"/>
      <c r="L1277" s="203"/>
      <c r="M1277" s="203"/>
      <c r="N1277" s="203"/>
      <c r="O1277" s="203"/>
      <c r="P1277" s="205"/>
      <c r="Q1277" s="204"/>
    </row>
    <row r="1278" spans="1:17">
      <c r="A1278" s="204"/>
      <c r="B1278" s="352"/>
      <c r="C1278" s="202"/>
      <c r="D1278" s="202"/>
      <c r="E1278" s="202"/>
      <c r="F1278" s="304"/>
      <c r="G1278" s="211"/>
      <c r="H1278" s="211"/>
      <c r="I1278" s="203"/>
      <c r="J1278" s="203"/>
      <c r="K1278" s="203"/>
      <c r="L1278" s="203"/>
      <c r="M1278" s="203"/>
      <c r="N1278" s="203"/>
      <c r="O1278" s="203"/>
      <c r="P1278" s="205"/>
      <c r="Q1278" s="204"/>
    </row>
    <row r="1279" spans="1:17">
      <c r="A1279" s="204"/>
      <c r="B1279" s="352"/>
      <c r="C1279" s="202"/>
      <c r="D1279" s="202"/>
      <c r="E1279" s="202"/>
      <c r="F1279" s="304"/>
      <c r="G1279" s="211"/>
      <c r="H1279" s="211"/>
      <c r="I1279" s="203"/>
      <c r="J1279" s="203"/>
      <c r="K1279" s="203"/>
      <c r="L1279" s="203"/>
      <c r="M1279" s="203"/>
      <c r="N1279" s="203"/>
      <c r="O1279" s="203"/>
      <c r="P1279" s="205"/>
      <c r="Q1279" s="204"/>
    </row>
    <row r="1280" spans="1:17">
      <c r="A1280" s="204"/>
      <c r="B1280" s="352"/>
      <c r="C1280" s="202"/>
      <c r="D1280" s="202"/>
      <c r="E1280" s="202"/>
      <c r="F1280" s="304"/>
      <c r="G1280" s="211"/>
      <c r="H1280" s="211"/>
      <c r="I1280" s="203"/>
      <c r="J1280" s="203"/>
      <c r="K1280" s="203"/>
      <c r="L1280" s="203"/>
      <c r="M1280" s="203"/>
      <c r="N1280" s="203"/>
      <c r="O1280" s="203"/>
      <c r="P1280" s="205"/>
      <c r="Q1280" s="204"/>
    </row>
    <row r="1281" spans="1:17">
      <c r="A1281" s="204"/>
      <c r="B1281" s="352"/>
      <c r="C1281" s="202"/>
      <c r="D1281" s="202"/>
      <c r="E1281" s="202"/>
      <c r="F1281" s="304"/>
      <c r="G1281" s="211"/>
      <c r="H1281" s="211"/>
      <c r="I1281" s="203"/>
      <c r="J1281" s="203"/>
      <c r="K1281" s="203"/>
      <c r="L1281" s="203"/>
      <c r="M1281" s="203"/>
      <c r="N1281" s="203"/>
      <c r="O1281" s="203"/>
      <c r="P1281" s="205"/>
      <c r="Q1281" s="204"/>
    </row>
    <row r="1282" spans="1:17">
      <c r="A1282" s="204"/>
      <c r="B1282" s="352"/>
      <c r="C1282" s="202"/>
      <c r="D1282" s="202"/>
      <c r="E1282" s="202"/>
      <c r="F1282" s="304"/>
      <c r="G1282" s="211"/>
      <c r="H1282" s="211"/>
      <c r="I1282" s="203"/>
      <c r="J1282" s="203"/>
      <c r="K1282" s="203"/>
      <c r="L1282" s="203"/>
      <c r="M1282" s="203"/>
      <c r="N1282" s="203"/>
      <c r="O1282" s="203"/>
      <c r="P1282" s="205"/>
      <c r="Q1282" s="204"/>
    </row>
    <row r="1283" spans="1:17">
      <c r="A1283" s="204"/>
      <c r="B1283" s="352"/>
      <c r="C1283" s="202"/>
      <c r="D1283" s="202"/>
      <c r="E1283" s="202"/>
      <c r="F1283" s="304"/>
      <c r="G1283" s="211"/>
      <c r="H1283" s="211"/>
      <c r="I1283" s="203"/>
      <c r="J1283" s="203"/>
      <c r="K1283" s="203"/>
      <c r="L1283" s="203"/>
      <c r="M1283" s="203"/>
      <c r="N1283" s="203"/>
      <c r="O1283" s="203"/>
      <c r="P1283" s="205"/>
      <c r="Q1283" s="204"/>
    </row>
    <row r="1284" spans="1:17">
      <c r="A1284" s="204"/>
      <c r="B1284" s="352"/>
      <c r="C1284" s="202"/>
      <c r="D1284" s="202"/>
      <c r="E1284" s="202"/>
      <c r="F1284" s="304"/>
      <c r="G1284" s="211"/>
      <c r="H1284" s="211"/>
      <c r="I1284" s="203"/>
      <c r="J1284" s="203"/>
      <c r="K1284" s="203"/>
      <c r="L1284" s="203"/>
      <c r="M1284" s="203"/>
      <c r="N1284" s="203"/>
      <c r="O1284" s="203"/>
      <c r="P1284" s="205"/>
      <c r="Q1284" s="204"/>
    </row>
    <row r="1285" spans="1:17">
      <c r="A1285" s="204"/>
      <c r="B1285" s="352"/>
      <c r="C1285" s="202"/>
      <c r="D1285" s="202"/>
      <c r="E1285" s="202"/>
      <c r="F1285" s="304"/>
      <c r="G1285" s="211"/>
      <c r="H1285" s="211"/>
      <c r="I1285" s="203"/>
      <c r="J1285" s="203"/>
      <c r="K1285" s="203"/>
      <c r="L1285" s="203"/>
      <c r="M1285" s="203"/>
      <c r="N1285" s="203"/>
      <c r="O1285" s="203"/>
      <c r="P1285" s="205"/>
      <c r="Q1285" s="204"/>
    </row>
    <row r="1286" spans="1:17">
      <c r="A1286" s="204"/>
      <c r="B1286" s="352"/>
      <c r="C1286" s="202"/>
      <c r="D1286" s="202"/>
      <c r="E1286" s="202"/>
      <c r="F1286" s="304"/>
      <c r="G1286" s="211"/>
      <c r="H1286" s="211"/>
      <c r="I1286" s="203"/>
      <c r="J1286" s="203"/>
      <c r="K1286" s="203"/>
      <c r="L1286" s="203"/>
      <c r="M1286" s="203"/>
      <c r="N1286" s="203"/>
      <c r="O1286" s="203"/>
      <c r="P1286" s="205"/>
      <c r="Q1286" s="204"/>
    </row>
    <row r="1287" spans="1:17">
      <c r="A1287" s="204"/>
      <c r="B1287" s="352"/>
      <c r="C1287" s="202"/>
      <c r="D1287" s="202"/>
      <c r="E1287" s="202"/>
      <c r="F1287" s="304"/>
      <c r="G1287" s="211"/>
      <c r="H1287" s="211"/>
      <c r="I1287" s="203"/>
      <c r="J1287" s="203"/>
      <c r="K1287" s="203"/>
      <c r="L1287" s="203"/>
      <c r="M1287" s="203"/>
      <c r="N1287" s="203"/>
      <c r="O1287" s="203"/>
      <c r="P1287" s="205"/>
      <c r="Q1287" s="204"/>
    </row>
    <row r="1288" spans="1:17">
      <c r="A1288" s="204"/>
      <c r="B1288" s="352"/>
      <c r="C1288" s="202"/>
      <c r="D1288" s="202"/>
      <c r="E1288" s="202"/>
      <c r="F1288" s="304"/>
      <c r="G1288" s="211"/>
      <c r="H1288" s="211"/>
      <c r="I1288" s="203"/>
      <c r="J1288" s="203"/>
      <c r="K1288" s="203"/>
      <c r="L1288" s="203"/>
      <c r="M1288" s="203"/>
      <c r="N1288" s="203"/>
      <c r="O1288" s="203"/>
      <c r="P1288" s="205"/>
      <c r="Q1288" s="204"/>
    </row>
    <row r="1289" spans="1:17">
      <c r="A1289" s="204"/>
      <c r="B1289" s="352"/>
      <c r="C1289" s="202"/>
      <c r="D1289" s="202"/>
      <c r="E1289" s="202"/>
      <c r="F1289" s="304"/>
      <c r="G1289" s="211"/>
      <c r="H1289" s="211"/>
      <c r="I1289" s="203"/>
      <c r="J1289" s="203"/>
      <c r="K1289" s="203"/>
      <c r="L1289" s="203"/>
      <c r="M1289" s="203"/>
      <c r="N1289" s="203"/>
      <c r="O1289" s="203"/>
      <c r="P1289" s="205"/>
      <c r="Q1289" s="204"/>
    </row>
    <row r="1290" spans="1:17">
      <c r="A1290" s="204"/>
      <c r="B1290" s="352"/>
      <c r="C1290" s="202"/>
      <c r="D1290" s="202"/>
      <c r="E1290" s="202"/>
      <c r="F1290" s="304"/>
      <c r="G1290" s="211"/>
      <c r="H1290" s="211"/>
      <c r="I1290" s="203"/>
      <c r="J1290" s="203"/>
      <c r="K1290" s="203"/>
      <c r="L1290" s="203"/>
      <c r="M1290" s="203"/>
      <c r="N1290" s="203"/>
      <c r="O1290" s="203"/>
      <c r="P1290" s="205"/>
      <c r="Q1290" s="204"/>
    </row>
    <row r="1291" spans="1:17">
      <c r="A1291" s="204"/>
      <c r="B1291" s="352"/>
      <c r="C1291" s="202"/>
      <c r="D1291" s="202"/>
      <c r="E1291" s="202"/>
      <c r="F1291" s="304"/>
      <c r="G1291" s="211"/>
      <c r="H1291" s="211"/>
      <c r="I1291" s="203"/>
      <c r="J1291" s="203"/>
      <c r="K1291" s="203"/>
      <c r="L1291" s="203"/>
      <c r="M1291" s="203"/>
      <c r="N1291" s="203"/>
      <c r="O1291" s="203"/>
      <c r="P1291" s="205"/>
      <c r="Q1291" s="204"/>
    </row>
    <row r="1292" spans="1:17">
      <c r="A1292" s="204"/>
      <c r="B1292" s="352"/>
      <c r="C1292" s="202"/>
      <c r="D1292" s="202"/>
      <c r="E1292" s="202"/>
      <c r="F1292" s="304"/>
      <c r="G1292" s="211"/>
      <c r="H1292" s="211"/>
      <c r="I1292" s="203"/>
      <c r="J1292" s="203"/>
      <c r="K1292" s="203"/>
      <c r="L1292" s="203"/>
      <c r="M1292" s="203"/>
      <c r="N1292" s="203"/>
      <c r="O1292" s="203"/>
      <c r="P1292" s="205"/>
      <c r="Q1292" s="204"/>
    </row>
    <row r="1293" spans="1:17">
      <c r="A1293" s="204"/>
      <c r="B1293" s="352"/>
      <c r="C1293" s="202"/>
      <c r="D1293" s="202"/>
      <c r="E1293" s="202"/>
      <c r="F1293" s="304"/>
      <c r="G1293" s="211"/>
      <c r="H1293" s="211"/>
      <c r="I1293" s="203"/>
      <c r="J1293" s="203"/>
      <c r="K1293" s="203"/>
      <c r="L1293" s="203"/>
      <c r="M1293" s="203"/>
      <c r="N1293" s="203"/>
      <c r="O1293" s="203"/>
      <c r="P1293" s="205"/>
      <c r="Q1293" s="204"/>
    </row>
    <row r="1294" spans="1:17">
      <c r="A1294" s="204"/>
      <c r="B1294" s="352"/>
      <c r="C1294" s="202"/>
      <c r="D1294" s="202"/>
      <c r="E1294" s="202"/>
      <c r="F1294" s="304"/>
      <c r="G1294" s="211"/>
      <c r="H1294" s="211"/>
      <c r="I1294" s="203"/>
      <c r="J1294" s="203"/>
      <c r="K1294" s="203"/>
      <c r="L1294" s="203"/>
      <c r="M1294" s="203"/>
      <c r="N1294" s="203"/>
      <c r="O1294" s="203"/>
      <c r="P1294" s="205"/>
      <c r="Q1294" s="204"/>
    </row>
    <row r="1295" spans="1:17">
      <c r="A1295" s="204"/>
      <c r="B1295" s="352"/>
      <c r="C1295" s="202"/>
      <c r="D1295" s="202"/>
      <c r="E1295" s="202"/>
      <c r="F1295" s="304"/>
      <c r="G1295" s="211"/>
      <c r="H1295" s="211"/>
      <c r="I1295" s="203"/>
      <c r="J1295" s="203"/>
      <c r="K1295" s="203"/>
      <c r="L1295" s="203"/>
      <c r="M1295" s="203"/>
      <c r="N1295" s="203"/>
      <c r="O1295" s="203"/>
      <c r="P1295" s="205"/>
      <c r="Q1295" s="204"/>
    </row>
    <row r="1296" spans="1:17">
      <c r="A1296" s="204"/>
      <c r="B1296" s="352"/>
      <c r="C1296" s="202"/>
      <c r="D1296" s="202"/>
      <c r="E1296" s="202"/>
      <c r="F1296" s="304"/>
      <c r="G1296" s="211"/>
      <c r="H1296" s="211"/>
      <c r="I1296" s="203"/>
      <c r="J1296" s="203"/>
      <c r="K1296" s="203"/>
      <c r="L1296" s="203"/>
      <c r="M1296" s="203"/>
      <c r="N1296" s="203"/>
      <c r="O1296" s="203"/>
      <c r="P1296" s="205"/>
      <c r="Q1296" s="204"/>
    </row>
    <row r="1297" spans="1:17">
      <c r="A1297" s="204"/>
      <c r="B1297" s="352"/>
      <c r="C1297" s="202"/>
      <c r="D1297" s="202"/>
      <c r="E1297" s="202"/>
      <c r="F1297" s="304"/>
      <c r="G1297" s="211"/>
      <c r="H1297" s="211"/>
      <c r="I1297" s="203"/>
      <c r="J1297" s="203"/>
      <c r="K1297" s="203"/>
      <c r="L1297" s="203"/>
      <c r="M1297" s="203"/>
      <c r="N1297" s="203"/>
      <c r="O1297" s="203"/>
      <c r="P1297" s="205"/>
      <c r="Q1297" s="204"/>
    </row>
    <row r="1298" spans="1:17">
      <c r="A1298" s="204"/>
      <c r="B1298" s="352"/>
      <c r="C1298" s="202"/>
      <c r="D1298" s="202"/>
      <c r="E1298" s="202"/>
      <c r="F1298" s="304"/>
      <c r="G1298" s="211"/>
      <c r="H1298" s="211"/>
      <c r="I1298" s="203"/>
      <c r="J1298" s="203"/>
      <c r="K1298" s="203"/>
      <c r="L1298" s="203"/>
      <c r="M1298" s="203"/>
      <c r="N1298" s="203"/>
      <c r="O1298" s="203"/>
      <c r="P1298" s="205"/>
      <c r="Q1298" s="204"/>
    </row>
    <row r="1299" spans="1:17">
      <c r="A1299" s="204"/>
      <c r="B1299" s="352"/>
      <c r="C1299" s="202"/>
      <c r="D1299" s="202"/>
      <c r="E1299" s="202"/>
      <c r="F1299" s="304"/>
      <c r="G1299" s="211"/>
      <c r="H1299" s="211"/>
      <c r="I1299" s="203"/>
      <c r="J1299" s="203"/>
      <c r="K1299" s="203"/>
      <c r="L1299" s="203"/>
      <c r="M1299" s="203"/>
      <c r="N1299" s="203"/>
      <c r="O1299" s="203"/>
      <c r="P1299" s="205"/>
      <c r="Q1299" s="204"/>
    </row>
    <row r="1300" spans="1:17">
      <c r="A1300" s="204"/>
      <c r="B1300" s="352"/>
      <c r="C1300" s="202"/>
      <c r="D1300" s="202"/>
      <c r="E1300" s="202"/>
      <c r="F1300" s="304"/>
      <c r="G1300" s="211"/>
      <c r="H1300" s="211"/>
      <c r="I1300" s="203"/>
      <c r="J1300" s="203"/>
      <c r="K1300" s="203"/>
      <c r="L1300" s="203"/>
      <c r="M1300" s="203"/>
      <c r="N1300" s="203"/>
      <c r="O1300" s="203"/>
      <c r="P1300" s="205"/>
      <c r="Q1300" s="204"/>
    </row>
    <row r="1301" spans="1:17">
      <c r="A1301" s="204"/>
      <c r="B1301" s="352"/>
      <c r="C1301" s="202"/>
      <c r="D1301" s="202"/>
      <c r="E1301" s="202"/>
      <c r="F1301" s="304"/>
      <c r="G1301" s="211"/>
      <c r="H1301" s="211"/>
      <c r="I1301" s="203"/>
      <c r="J1301" s="203"/>
      <c r="K1301" s="203"/>
      <c r="L1301" s="203"/>
      <c r="M1301" s="203"/>
      <c r="N1301" s="203"/>
      <c r="O1301" s="203"/>
      <c r="P1301" s="205"/>
      <c r="Q1301" s="204"/>
    </row>
    <row r="1302" spans="1:17">
      <c r="A1302" s="204"/>
      <c r="B1302" s="352"/>
      <c r="C1302" s="202"/>
      <c r="D1302" s="202"/>
      <c r="E1302" s="202"/>
      <c r="F1302" s="304"/>
      <c r="G1302" s="211"/>
      <c r="H1302" s="211"/>
      <c r="I1302" s="203"/>
      <c r="J1302" s="203"/>
      <c r="K1302" s="203"/>
      <c r="L1302" s="203"/>
      <c r="M1302" s="203"/>
      <c r="N1302" s="203"/>
      <c r="O1302" s="203"/>
      <c r="P1302" s="205"/>
      <c r="Q1302" s="204"/>
    </row>
    <row r="1303" spans="1:17">
      <c r="A1303" s="204"/>
      <c r="B1303" s="352"/>
      <c r="C1303" s="202"/>
      <c r="D1303" s="202"/>
      <c r="E1303" s="202"/>
      <c r="F1303" s="304"/>
      <c r="G1303" s="211"/>
      <c r="H1303" s="211"/>
      <c r="I1303" s="203"/>
      <c r="J1303" s="203"/>
      <c r="K1303" s="203"/>
      <c r="L1303" s="203"/>
      <c r="M1303" s="203"/>
      <c r="N1303" s="203"/>
      <c r="O1303" s="203"/>
      <c r="P1303" s="205"/>
      <c r="Q1303" s="204"/>
    </row>
    <row r="1304" spans="1:17">
      <c r="A1304" s="204"/>
      <c r="B1304" s="352"/>
      <c r="C1304" s="202"/>
      <c r="D1304" s="202"/>
      <c r="E1304" s="202"/>
      <c r="F1304" s="304"/>
      <c r="G1304" s="211"/>
      <c r="H1304" s="211"/>
      <c r="I1304" s="203"/>
      <c r="J1304" s="203"/>
      <c r="K1304" s="203"/>
      <c r="L1304" s="203"/>
      <c r="M1304" s="203"/>
      <c r="N1304" s="203"/>
      <c r="O1304" s="203"/>
      <c r="P1304" s="205"/>
      <c r="Q1304" s="204"/>
    </row>
    <row r="1305" spans="1:17">
      <c r="A1305" s="204"/>
      <c r="B1305" s="352"/>
      <c r="C1305" s="202"/>
      <c r="D1305" s="202"/>
      <c r="E1305" s="202"/>
      <c r="F1305" s="304"/>
      <c r="G1305" s="211"/>
      <c r="H1305" s="211"/>
      <c r="I1305" s="203"/>
      <c r="J1305" s="203"/>
      <c r="K1305" s="203"/>
      <c r="L1305" s="203"/>
      <c r="M1305" s="203"/>
      <c r="N1305" s="203"/>
      <c r="O1305" s="203"/>
      <c r="P1305" s="205"/>
      <c r="Q1305" s="204"/>
    </row>
    <row r="1306" spans="1:17">
      <c r="A1306" s="204"/>
      <c r="B1306" s="352"/>
      <c r="C1306" s="202"/>
      <c r="D1306" s="202"/>
      <c r="E1306" s="202"/>
      <c r="F1306" s="304"/>
      <c r="G1306" s="211"/>
      <c r="H1306" s="211"/>
      <c r="I1306" s="203"/>
      <c r="J1306" s="203"/>
      <c r="K1306" s="203"/>
      <c r="L1306" s="203"/>
      <c r="M1306" s="203"/>
      <c r="N1306" s="203"/>
      <c r="O1306" s="203"/>
      <c r="P1306" s="205"/>
      <c r="Q1306" s="204"/>
    </row>
    <row r="1307" spans="1:17">
      <c r="A1307" s="204"/>
      <c r="B1307" s="352"/>
      <c r="C1307" s="202"/>
      <c r="D1307" s="202"/>
      <c r="E1307" s="202"/>
      <c r="F1307" s="304"/>
      <c r="G1307" s="211"/>
      <c r="H1307" s="211"/>
      <c r="I1307" s="203"/>
      <c r="J1307" s="203"/>
      <c r="K1307" s="203"/>
      <c r="L1307" s="203"/>
      <c r="M1307" s="203"/>
      <c r="N1307" s="203"/>
      <c r="O1307" s="203"/>
      <c r="P1307" s="205"/>
      <c r="Q1307" s="204"/>
    </row>
    <row r="1308" spans="1:17">
      <c r="A1308" s="204"/>
      <c r="B1308" s="352"/>
      <c r="C1308" s="202"/>
      <c r="D1308" s="202"/>
      <c r="E1308" s="202"/>
      <c r="F1308" s="304"/>
      <c r="G1308" s="211"/>
      <c r="H1308" s="211"/>
      <c r="I1308" s="203"/>
      <c r="J1308" s="203"/>
      <c r="K1308" s="203"/>
      <c r="L1308" s="203"/>
      <c r="M1308" s="203"/>
      <c r="N1308" s="203"/>
      <c r="O1308" s="203"/>
      <c r="P1308" s="205"/>
      <c r="Q1308" s="204"/>
    </row>
    <row r="1309" spans="1:17">
      <c r="A1309" s="204"/>
      <c r="B1309" s="352"/>
      <c r="C1309" s="202"/>
      <c r="D1309" s="202"/>
      <c r="E1309" s="202"/>
      <c r="F1309" s="304"/>
      <c r="G1309" s="211"/>
      <c r="H1309" s="211"/>
      <c r="I1309" s="203"/>
      <c r="J1309" s="203"/>
      <c r="K1309" s="203"/>
      <c r="L1309" s="203"/>
      <c r="M1309" s="203"/>
      <c r="N1309" s="203"/>
      <c r="O1309" s="203"/>
      <c r="P1309" s="205"/>
      <c r="Q1309" s="204"/>
    </row>
    <row r="1310" spans="1:17">
      <c r="A1310" s="204"/>
      <c r="B1310" s="352"/>
      <c r="C1310" s="202"/>
      <c r="D1310" s="202"/>
      <c r="E1310" s="202"/>
      <c r="F1310" s="304"/>
      <c r="G1310" s="211"/>
      <c r="H1310" s="211"/>
      <c r="I1310" s="203"/>
      <c r="J1310" s="203"/>
      <c r="K1310" s="203"/>
      <c r="L1310" s="203"/>
      <c r="M1310" s="203"/>
      <c r="N1310" s="203"/>
      <c r="O1310" s="203"/>
      <c r="P1310" s="205"/>
      <c r="Q1310" s="204"/>
    </row>
    <row r="1311" spans="1:17">
      <c r="A1311" s="204"/>
      <c r="B1311" s="352"/>
      <c r="C1311" s="202"/>
      <c r="D1311" s="202"/>
      <c r="E1311" s="202"/>
      <c r="F1311" s="304"/>
      <c r="G1311" s="211"/>
      <c r="H1311" s="211"/>
      <c r="I1311" s="203"/>
      <c r="J1311" s="203"/>
      <c r="K1311" s="203"/>
      <c r="L1311" s="203"/>
      <c r="M1311" s="203"/>
      <c r="N1311" s="203"/>
      <c r="O1311" s="203"/>
      <c r="P1311" s="205"/>
      <c r="Q1311" s="204"/>
    </row>
    <row r="1312" spans="1:17">
      <c r="A1312" s="204"/>
      <c r="B1312" s="352"/>
      <c r="C1312" s="202"/>
      <c r="D1312" s="202"/>
      <c r="E1312" s="202"/>
      <c r="F1312" s="304"/>
      <c r="G1312" s="211"/>
      <c r="H1312" s="211"/>
      <c r="I1312" s="203"/>
      <c r="J1312" s="203"/>
      <c r="K1312" s="203"/>
      <c r="L1312" s="203"/>
      <c r="M1312" s="203"/>
      <c r="N1312" s="203"/>
      <c r="O1312" s="203"/>
      <c r="P1312" s="205"/>
      <c r="Q1312" s="204"/>
    </row>
    <row r="1313" spans="1:17">
      <c r="A1313" s="204"/>
      <c r="B1313" s="352"/>
      <c r="C1313" s="202"/>
      <c r="D1313" s="202"/>
      <c r="E1313" s="202"/>
      <c r="F1313" s="304"/>
      <c r="G1313" s="211"/>
      <c r="H1313" s="211"/>
      <c r="I1313" s="203"/>
      <c r="J1313" s="203"/>
      <c r="K1313" s="203"/>
      <c r="L1313" s="203"/>
      <c r="M1313" s="203"/>
      <c r="N1313" s="203"/>
      <c r="O1313" s="203"/>
      <c r="P1313" s="205"/>
      <c r="Q1313" s="204"/>
    </row>
    <row r="1314" spans="1:17">
      <c r="A1314" s="204"/>
      <c r="B1314" s="352"/>
      <c r="C1314" s="202"/>
      <c r="D1314" s="202"/>
      <c r="E1314" s="202"/>
      <c r="F1314" s="304"/>
      <c r="G1314" s="211"/>
      <c r="H1314" s="211"/>
      <c r="I1314" s="203"/>
      <c r="J1314" s="203"/>
      <c r="K1314" s="203"/>
      <c r="L1314" s="203"/>
      <c r="M1314" s="203"/>
      <c r="N1314" s="203"/>
      <c r="O1314" s="203"/>
      <c r="P1314" s="205"/>
      <c r="Q1314" s="204"/>
    </row>
    <row r="1315" spans="1:17">
      <c r="A1315" s="204"/>
      <c r="B1315" s="352"/>
      <c r="C1315" s="202"/>
      <c r="D1315" s="202"/>
      <c r="E1315" s="202"/>
      <c r="F1315" s="304"/>
      <c r="G1315" s="211"/>
      <c r="H1315" s="211"/>
      <c r="I1315" s="203"/>
      <c r="J1315" s="203"/>
      <c r="K1315" s="203"/>
      <c r="L1315" s="203"/>
      <c r="M1315" s="203"/>
      <c r="N1315" s="203"/>
      <c r="O1315" s="203"/>
      <c r="P1315" s="205"/>
      <c r="Q1315" s="204"/>
    </row>
  </sheetData>
  <mergeCells count="11">
    <mergeCell ref="Q4:Q5"/>
    <mergeCell ref="L4:M4"/>
    <mergeCell ref="B4:B5"/>
    <mergeCell ref="A4:A5"/>
    <mergeCell ref="F4:F5"/>
    <mergeCell ref="C4:C5"/>
    <mergeCell ref="L17:P17"/>
    <mergeCell ref="A812:E812"/>
    <mergeCell ref="G4:I4"/>
    <mergeCell ref="E4:E5"/>
    <mergeCell ref="J4:K4"/>
  </mergeCells>
  <phoneticPr fontId="12" type="noConversion"/>
  <printOptions horizontalCentered="1"/>
  <pageMargins left="0.19685039370078741" right="0.19685039370078741" top="1.3779527559055118" bottom="0.59055118110236227" header="0.78740157480314965" footer="0.19685039370078741"/>
  <pageSetup paperSize="9" scale="61" fitToHeight="100" orientation="portrait" horizontalDpi="4294967292" r:id="rId1"/>
  <headerFooter alignWithMargins="0"/>
  <rowBreaks count="3" manualBreakCount="3">
    <brk id="47" max="16" man="1"/>
    <brk id="67" max="16" man="1"/>
    <brk id="156" max="16" man="1"/>
  </rowBreaks>
  <ignoredErrors>
    <ignoredError sqref="C58 C47 C28 C18 C12 C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636"/>
  <sheetViews>
    <sheetView showGridLines="0" showZeros="0" view="pageBreakPreview" zoomScale="130" zoomScaleNormal="100" zoomScaleSheetLayoutView="130" workbookViewId="0">
      <selection activeCell="E9" sqref="E9"/>
    </sheetView>
  </sheetViews>
  <sheetFormatPr defaultRowHeight="11.25"/>
  <cols>
    <col min="1" max="1" width="4.33203125" style="241" customWidth="1"/>
    <col min="2" max="3" width="6.33203125" style="311" customWidth="1"/>
    <col min="4" max="4" width="3.77734375" style="241" customWidth="1"/>
    <col min="5" max="5" width="7.77734375" style="312" customWidth="1"/>
    <col min="6" max="6" width="7.77734375" style="313" customWidth="1"/>
    <col min="7" max="7" width="8.33203125" style="314" customWidth="1"/>
    <col min="8" max="8" width="17.44140625" style="241" customWidth="1"/>
    <col min="9" max="9" width="6.77734375" style="241" customWidth="1"/>
    <col min="10" max="10" width="20.77734375" style="315" customWidth="1"/>
    <col min="11" max="11" width="9.77734375" style="317" customWidth="1"/>
    <col min="12" max="17" width="9.77734375" style="241" customWidth="1"/>
    <col min="18" max="18" width="10.77734375" style="241" customWidth="1"/>
    <col min="19" max="16384" width="8.88671875" style="241"/>
  </cols>
  <sheetData>
    <row r="1" spans="1:18" ht="30" customHeight="1">
      <c r="A1" s="318" t="s">
        <v>64</v>
      </c>
      <c r="B1" s="319"/>
      <c r="C1" s="319"/>
      <c r="D1" s="249"/>
      <c r="E1" s="320"/>
      <c r="F1" s="321"/>
      <c r="G1" s="249"/>
      <c r="H1" s="249"/>
      <c r="I1" s="249"/>
      <c r="J1" s="238"/>
      <c r="K1" s="239"/>
      <c r="L1" s="240"/>
      <c r="M1" s="240"/>
      <c r="N1" s="240"/>
      <c r="O1" s="240"/>
      <c r="P1" s="240"/>
      <c r="Q1" s="240"/>
      <c r="R1" s="240"/>
    </row>
    <row r="2" spans="1:18" ht="19.899999999999999" customHeight="1">
      <c r="A2" s="240"/>
      <c r="B2" s="243"/>
      <c r="C2" s="243"/>
      <c r="D2" s="240"/>
      <c r="E2" s="244"/>
      <c r="F2" s="245"/>
      <c r="G2" s="246"/>
      <c r="H2" s="247"/>
      <c r="I2" s="249"/>
      <c r="J2" s="246"/>
      <c r="K2" s="239"/>
      <c r="L2" s="240"/>
      <c r="M2" s="240"/>
      <c r="N2" s="240"/>
      <c r="O2" s="240"/>
      <c r="P2" s="240"/>
      <c r="Q2" s="240"/>
      <c r="R2" s="240"/>
    </row>
    <row r="3" spans="1:18" ht="10.15" customHeight="1">
      <c r="A3" s="253"/>
      <c r="B3" s="252"/>
      <c r="C3" s="252"/>
      <c r="D3" s="253"/>
      <c r="E3" s="254"/>
      <c r="F3" s="255"/>
      <c r="G3" s="256"/>
      <c r="H3" s="253"/>
      <c r="I3" s="253"/>
      <c r="J3" s="258"/>
      <c r="K3" s="239"/>
      <c r="L3" s="240"/>
      <c r="M3" s="240"/>
      <c r="N3" s="240"/>
      <c r="O3" s="240"/>
      <c r="P3" s="240"/>
      <c r="Q3" s="240"/>
      <c r="R3" s="240"/>
    </row>
    <row r="4" spans="1:18" ht="30" customHeight="1">
      <c r="A4" s="107" t="s">
        <v>45</v>
      </c>
      <c r="B4" s="367" t="s">
        <v>46</v>
      </c>
      <c r="C4" s="368"/>
      <c r="D4" s="369" t="s">
        <v>47</v>
      </c>
      <c r="E4" s="206" t="s">
        <v>48</v>
      </c>
      <c r="F4" s="323" t="s">
        <v>49</v>
      </c>
      <c r="G4" s="367" t="s">
        <v>296</v>
      </c>
      <c r="H4" s="368"/>
      <c r="I4" s="371" t="s">
        <v>37</v>
      </c>
      <c r="J4" s="363" t="s">
        <v>37</v>
      </c>
      <c r="K4" s="365" t="s">
        <v>76</v>
      </c>
      <c r="L4" s="240"/>
      <c r="M4" s="259"/>
      <c r="N4" s="259"/>
      <c r="O4" s="259"/>
      <c r="P4" s="259"/>
      <c r="Q4" s="259"/>
      <c r="R4" s="259"/>
    </row>
    <row r="5" spans="1:18" ht="30" customHeight="1">
      <c r="A5" s="62" t="s">
        <v>53</v>
      </c>
      <c r="B5" s="65" t="s">
        <v>301</v>
      </c>
      <c r="C5" s="65" t="s">
        <v>302</v>
      </c>
      <c r="D5" s="370"/>
      <c r="E5" s="208" t="s">
        <v>65</v>
      </c>
      <c r="F5" s="65" t="s">
        <v>293</v>
      </c>
      <c r="G5" s="65" t="s">
        <v>55</v>
      </c>
      <c r="H5" s="64" t="s">
        <v>56</v>
      </c>
      <c r="I5" s="372"/>
      <c r="J5" s="364"/>
      <c r="K5" s="366"/>
      <c r="L5" s="259"/>
      <c r="M5" s="260"/>
      <c r="N5" s="260"/>
      <c r="O5" s="260"/>
      <c r="P5" s="260"/>
      <c r="Q5" s="260"/>
      <c r="R5" s="240"/>
    </row>
    <row r="6" spans="1:18" ht="30" customHeight="1">
      <c r="A6" s="204">
        <v>1</v>
      </c>
      <c r="B6" s="202" t="s">
        <v>304</v>
      </c>
      <c r="C6" s="202"/>
      <c r="D6" s="202" t="s">
        <v>135</v>
      </c>
      <c r="E6" s="304">
        <v>724</v>
      </c>
      <c r="F6" s="211">
        <v>724</v>
      </c>
      <c r="G6" s="203" t="s">
        <v>994</v>
      </c>
      <c r="H6" s="203" t="s">
        <v>995</v>
      </c>
      <c r="I6" s="280"/>
      <c r="J6" s="264" t="str">
        <f>CONCATENATE(D6,G6)</f>
        <v>임공</v>
      </c>
      <c r="K6" s="265">
        <v>12100</v>
      </c>
      <c r="L6" s="266"/>
      <c r="M6" s="266"/>
      <c r="N6" s="266"/>
      <c r="O6" s="266"/>
      <c r="P6" s="266"/>
      <c r="Q6" s="266"/>
      <c r="R6" s="266"/>
    </row>
    <row r="7" spans="1:18" ht="30" customHeight="1">
      <c r="A7" s="204">
        <v>2</v>
      </c>
      <c r="B7" s="202" t="s">
        <v>790</v>
      </c>
      <c r="C7" s="202"/>
      <c r="D7" s="202" t="s">
        <v>135</v>
      </c>
      <c r="E7" s="304">
        <v>1558</v>
      </c>
      <c r="F7" s="211">
        <v>1558</v>
      </c>
      <c r="G7" s="203" t="s">
        <v>994</v>
      </c>
      <c r="H7" s="203" t="s">
        <v>995</v>
      </c>
      <c r="I7" s="280"/>
      <c r="J7" s="264" t="str">
        <f t="shared" ref="J7:J70" si="0">CONCATENATE(D7,G7)</f>
        <v>임공</v>
      </c>
      <c r="K7" s="265">
        <v>7560</v>
      </c>
      <c r="L7" s="266" t="s">
        <v>156</v>
      </c>
      <c r="M7" s="266"/>
      <c r="N7" s="266"/>
      <c r="O7" s="266"/>
      <c r="P7" s="266"/>
      <c r="Q7" s="266"/>
      <c r="R7" s="266"/>
    </row>
    <row r="8" spans="1:18" ht="30" customHeight="1">
      <c r="A8" s="204">
        <v>3</v>
      </c>
      <c r="B8" s="202" t="s">
        <v>306</v>
      </c>
      <c r="C8" s="202"/>
      <c r="D8" s="202" t="s">
        <v>135</v>
      </c>
      <c r="E8" s="304">
        <v>658</v>
      </c>
      <c r="F8" s="211">
        <v>340</v>
      </c>
      <c r="G8" s="203" t="s">
        <v>0</v>
      </c>
      <c r="H8" s="203" t="s">
        <v>7</v>
      </c>
      <c r="I8" s="280"/>
      <c r="J8" s="264" t="str">
        <f t="shared" si="0"/>
        <v>임공</v>
      </c>
      <c r="K8" s="265">
        <v>7560</v>
      </c>
      <c r="L8" s="266"/>
      <c r="M8" s="266"/>
      <c r="N8" s="266"/>
      <c r="O8" s="266"/>
      <c r="P8" s="266"/>
      <c r="Q8" s="266"/>
      <c r="R8" s="266"/>
    </row>
    <row r="9" spans="1:18" ht="30" customHeight="1">
      <c r="A9" s="204">
        <v>4</v>
      </c>
      <c r="B9" s="202" t="s">
        <v>729</v>
      </c>
      <c r="C9" s="202"/>
      <c r="D9" s="202" t="s">
        <v>85</v>
      </c>
      <c r="E9" s="304">
        <v>254</v>
      </c>
      <c r="F9" s="211">
        <v>254</v>
      </c>
      <c r="G9" s="203" t="s">
        <v>994</v>
      </c>
      <c r="H9" s="203" t="s">
        <v>995</v>
      </c>
      <c r="I9" s="280"/>
      <c r="J9" s="264" t="str">
        <f t="shared" si="0"/>
        <v>전공</v>
      </c>
      <c r="K9" s="265">
        <v>13200</v>
      </c>
      <c r="L9" s="266"/>
      <c r="M9" s="266"/>
      <c r="N9" s="266"/>
      <c r="O9" s="266"/>
      <c r="P9" s="266"/>
      <c r="Q9" s="266"/>
      <c r="R9" s="266"/>
    </row>
    <row r="10" spans="1:18" ht="30" customHeight="1">
      <c r="A10" s="204">
        <v>5</v>
      </c>
      <c r="B10" s="202">
        <v>857</v>
      </c>
      <c r="C10" s="202"/>
      <c r="D10" s="202" t="s">
        <v>87</v>
      </c>
      <c r="E10" s="304">
        <v>7643</v>
      </c>
      <c r="F10" s="211">
        <v>151</v>
      </c>
      <c r="G10" s="203" t="s">
        <v>98</v>
      </c>
      <c r="H10" s="203" t="s">
        <v>101</v>
      </c>
      <c r="I10" s="280"/>
      <c r="J10" s="264" t="str">
        <f t="shared" si="0"/>
        <v>구국</v>
      </c>
      <c r="K10" s="265"/>
      <c r="L10" s="266"/>
      <c r="M10" s="266"/>
      <c r="N10" s="266"/>
      <c r="O10" s="266"/>
      <c r="P10" s="266"/>
      <c r="Q10" s="266"/>
      <c r="R10" s="266"/>
    </row>
    <row r="11" spans="1:18" ht="30" customHeight="1">
      <c r="A11" s="204">
        <v>6</v>
      </c>
      <c r="B11" s="202" t="s">
        <v>791</v>
      </c>
      <c r="C11" s="202"/>
      <c r="D11" s="202" t="s">
        <v>89</v>
      </c>
      <c r="E11" s="304">
        <v>183</v>
      </c>
      <c r="F11" s="211">
        <v>183</v>
      </c>
      <c r="G11" s="203" t="s">
        <v>994</v>
      </c>
      <c r="H11" s="203" t="s">
        <v>995</v>
      </c>
      <c r="I11" s="280"/>
      <c r="J11" s="264" t="str">
        <f t="shared" si="0"/>
        <v>답공</v>
      </c>
      <c r="K11" s="267">
        <v>12400</v>
      </c>
      <c r="L11" s="266"/>
      <c r="M11" s="266"/>
      <c r="N11" s="266"/>
      <c r="O11" s="266"/>
      <c r="P11" s="266"/>
      <c r="Q11" s="266"/>
      <c r="R11" s="268"/>
    </row>
    <row r="12" spans="1:18" ht="30" customHeight="1">
      <c r="A12" s="204">
        <v>7</v>
      </c>
      <c r="B12" s="202" t="s">
        <v>310</v>
      </c>
      <c r="C12" s="202"/>
      <c r="D12" s="202" t="s">
        <v>258</v>
      </c>
      <c r="E12" s="304">
        <v>469</v>
      </c>
      <c r="F12" s="211">
        <v>469</v>
      </c>
      <c r="G12" s="203" t="s">
        <v>994</v>
      </c>
      <c r="H12" s="203" t="s">
        <v>995</v>
      </c>
      <c r="I12" s="280"/>
      <c r="J12" s="264" t="str">
        <f t="shared" si="0"/>
        <v>잡공</v>
      </c>
      <c r="K12" s="267">
        <v>46900</v>
      </c>
      <c r="L12" s="266"/>
      <c r="M12" s="266"/>
      <c r="N12" s="266"/>
      <c r="O12" s="266"/>
      <c r="P12" s="266"/>
      <c r="Q12" s="266"/>
      <c r="R12" s="268"/>
    </row>
    <row r="13" spans="1:18" ht="30" customHeight="1">
      <c r="A13" s="204">
        <v>8</v>
      </c>
      <c r="B13" s="202" t="s">
        <v>311</v>
      </c>
      <c r="C13" s="202"/>
      <c r="D13" s="202" t="s">
        <v>312</v>
      </c>
      <c r="E13" s="304">
        <v>436</v>
      </c>
      <c r="F13" s="211">
        <v>436</v>
      </c>
      <c r="G13" s="203" t="s">
        <v>994</v>
      </c>
      <c r="H13" s="203" t="s">
        <v>995</v>
      </c>
      <c r="I13" s="280"/>
      <c r="J13" s="264" t="str">
        <f t="shared" si="0"/>
        <v>창공</v>
      </c>
      <c r="K13" s="267">
        <v>46900</v>
      </c>
      <c r="L13" s="266"/>
      <c r="M13" s="266"/>
      <c r="N13" s="266"/>
      <c r="O13" s="266"/>
      <c r="P13" s="266"/>
      <c r="Q13" s="266"/>
      <c r="R13" s="268"/>
    </row>
    <row r="14" spans="1:18" ht="30" customHeight="1">
      <c r="A14" s="204">
        <v>9</v>
      </c>
      <c r="B14" s="202" t="s">
        <v>313</v>
      </c>
      <c r="C14" s="202"/>
      <c r="D14" s="202" t="s">
        <v>85</v>
      </c>
      <c r="E14" s="304">
        <v>264</v>
      </c>
      <c r="F14" s="211">
        <v>264</v>
      </c>
      <c r="G14" s="203" t="s">
        <v>994</v>
      </c>
      <c r="H14" s="203" t="s">
        <v>995</v>
      </c>
      <c r="I14" s="280"/>
      <c r="J14" s="264" t="str">
        <f t="shared" si="0"/>
        <v>전공</v>
      </c>
      <c r="K14" s="267">
        <v>14300</v>
      </c>
      <c r="L14" s="266"/>
      <c r="M14" s="266"/>
      <c r="N14" s="266"/>
      <c r="O14" s="266"/>
      <c r="P14" s="266"/>
      <c r="Q14" s="266"/>
      <c r="R14" s="268"/>
    </row>
    <row r="15" spans="1:18" ht="30" customHeight="1">
      <c r="A15" s="204">
        <v>10</v>
      </c>
      <c r="B15" s="202" t="s">
        <v>725</v>
      </c>
      <c r="C15" s="202"/>
      <c r="D15" s="202" t="s">
        <v>135</v>
      </c>
      <c r="E15" s="304">
        <v>190</v>
      </c>
      <c r="F15" s="211">
        <v>190</v>
      </c>
      <c r="G15" s="203" t="s">
        <v>0</v>
      </c>
      <c r="H15" s="203" t="s">
        <v>7</v>
      </c>
      <c r="I15" s="280"/>
      <c r="J15" s="264" t="str">
        <f t="shared" si="0"/>
        <v>임공</v>
      </c>
      <c r="K15" s="267">
        <v>13200</v>
      </c>
      <c r="L15" s="266"/>
      <c r="M15" s="266"/>
      <c r="N15" s="266"/>
      <c r="O15" s="266"/>
      <c r="P15" s="266"/>
      <c r="Q15" s="266"/>
      <c r="R15" s="268"/>
    </row>
    <row r="16" spans="1:18" ht="30" customHeight="1">
      <c r="A16" s="204">
        <v>11</v>
      </c>
      <c r="B16" s="202" t="s">
        <v>723</v>
      </c>
      <c r="C16" s="202"/>
      <c r="D16" s="202" t="s">
        <v>90</v>
      </c>
      <c r="E16" s="304">
        <v>144</v>
      </c>
      <c r="F16" s="211">
        <v>144</v>
      </c>
      <c r="G16" s="203" t="s">
        <v>994</v>
      </c>
      <c r="H16" s="203" t="s">
        <v>995</v>
      </c>
      <c r="I16" s="280"/>
      <c r="J16" s="264" t="str">
        <f t="shared" si="0"/>
        <v>대공</v>
      </c>
      <c r="K16" s="267">
        <v>17200</v>
      </c>
      <c r="L16" s="266"/>
      <c r="M16" s="266"/>
      <c r="N16" s="266"/>
      <c r="O16" s="266"/>
      <c r="P16" s="266"/>
      <c r="Q16" s="266"/>
      <c r="R16" s="268"/>
    </row>
    <row r="17" spans="1:18" ht="30" customHeight="1">
      <c r="A17" s="204">
        <v>12</v>
      </c>
      <c r="B17" s="202" t="s">
        <v>792</v>
      </c>
      <c r="C17" s="202"/>
      <c r="D17" s="202" t="s">
        <v>90</v>
      </c>
      <c r="E17" s="304">
        <v>95</v>
      </c>
      <c r="F17" s="211">
        <v>95</v>
      </c>
      <c r="G17" s="203" t="s">
        <v>98</v>
      </c>
      <c r="H17" s="203" t="s">
        <v>101</v>
      </c>
      <c r="I17" s="280"/>
      <c r="J17" s="264" t="str">
        <f t="shared" si="0"/>
        <v>대국</v>
      </c>
      <c r="K17" s="267">
        <v>3460</v>
      </c>
      <c r="L17" s="266"/>
      <c r="M17" s="266"/>
      <c r="N17" s="266"/>
      <c r="O17" s="266"/>
      <c r="P17" s="266"/>
      <c r="Q17" s="266"/>
      <c r="R17" s="268"/>
    </row>
    <row r="18" spans="1:18" ht="30" customHeight="1">
      <c r="A18" s="204">
        <v>13</v>
      </c>
      <c r="B18" s="202" t="s">
        <v>314</v>
      </c>
      <c r="C18" s="202"/>
      <c r="D18" s="202" t="s">
        <v>135</v>
      </c>
      <c r="E18" s="304">
        <v>17</v>
      </c>
      <c r="F18" s="211">
        <v>17</v>
      </c>
      <c r="G18" s="203" t="s">
        <v>994</v>
      </c>
      <c r="H18" s="203" t="s">
        <v>1116</v>
      </c>
      <c r="I18" s="280"/>
      <c r="J18" s="264" t="str">
        <f t="shared" si="0"/>
        <v>임공</v>
      </c>
      <c r="K18" s="267">
        <v>3460</v>
      </c>
      <c r="L18" s="266"/>
      <c r="M18" s="266"/>
      <c r="N18" s="266"/>
      <c r="O18" s="266"/>
      <c r="P18" s="266"/>
      <c r="Q18" s="266"/>
      <c r="R18" s="268"/>
    </row>
    <row r="19" spans="1:18" ht="30" customHeight="1">
      <c r="A19" s="204">
        <v>14</v>
      </c>
      <c r="B19" s="202" t="s">
        <v>315</v>
      </c>
      <c r="C19" s="202"/>
      <c r="D19" s="202" t="s">
        <v>316</v>
      </c>
      <c r="E19" s="304"/>
      <c r="F19" s="211">
        <v>72</v>
      </c>
      <c r="G19" s="203" t="s">
        <v>1183</v>
      </c>
      <c r="H19" s="203"/>
      <c r="I19" s="280"/>
      <c r="J19" s="264" t="str">
        <f t="shared" si="0"/>
        <v>가국</v>
      </c>
      <c r="K19" s="267"/>
      <c r="L19" s="266"/>
      <c r="M19" s="266"/>
      <c r="N19" s="266"/>
      <c r="O19" s="266"/>
      <c r="P19" s="266"/>
      <c r="Q19" s="266"/>
      <c r="R19" s="268"/>
    </row>
    <row r="20" spans="1:18" ht="30" customHeight="1">
      <c r="A20" s="204">
        <v>15</v>
      </c>
      <c r="B20" s="202" t="s">
        <v>317</v>
      </c>
      <c r="C20" s="202"/>
      <c r="D20" s="202" t="s">
        <v>135</v>
      </c>
      <c r="E20" s="304">
        <v>307</v>
      </c>
      <c r="F20" s="211">
        <v>307</v>
      </c>
      <c r="G20" s="203" t="s">
        <v>0</v>
      </c>
      <c r="H20" s="203" t="s">
        <v>7</v>
      </c>
      <c r="I20" s="280"/>
      <c r="J20" s="264" t="str">
        <f t="shared" si="0"/>
        <v>임공</v>
      </c>
      <c r="K20" s="267">
        <v>3460</v>
      </c>
      <c r="L20" s="266"/>
      <c r="M20" s="266"/>
      <c r="N20" s="266"/>
      <c r="O20" s="266"/>
      <c r="P20" s="266"/>
      <c r="Q20" s="266"/>
      <c r="R20" s="268"/>
    </row>
    <row r="21" spans="1:18" ht="30" customHeight="1">
      <c r="A21" s="204">
        <v>16</v>
      </c>
      <c r="B21" s="202" t="s">
        <v>793</v>
      </c>
      <c r="C21" s="202"/>
      <c r="D21" s="202" t="s">
        <v>135</v>
      </c>
      <c r="E21" s="304">
        <v>14</v>
      </c>
      <c r="F21" s="211">
        <v>14</v>
      </c>
      <c r="G21" s="203" t="s">
        <v>0</v>
      </c>
      <c r="H21" s="203" t="s">
        <v>7</v>
      </c>
      <c r="I21" s="280"/>
      <c r="J21" s="264" t="str">
        <f t="shared" si="0"/>
        <v>임공</v>
      </c>
      <c r="K21" s="267">
        <v>3460</v>
      </c>
      <c r="L21" s="266"/>
      <c r="M21" s="266"/>
      <c r="N21" s="266"/>
      <c r="O21" s="266"/>
      <c r="P21" s="266"/>
      <c r="Q21" s="266"/>
      <c r="R21" s="268"/>
    </row>
    <row r="22" spans="1:18" ht="30" customHeight="1">
      <c r="A22" s="204">
        <v>17</v>
      </c>
      <c r="B22" s="202" t="s">
        <v>724</v>
      </c>
      <c r="C22" s="202"/>
      <c r="D22" s="202" t="s">
        <v>135</v>
      </c>
      <c r="E22" s="304">
        <v>1342</v>
      </c>
      <c r="F22" s="211">
        <v>1342</v>
      </c>
      <c r="G22" s="203" t="s">
        <v>994</v>
      </c>
      <c r="H22" s="203" t="s">
        <v>995</v>
      </c>
      <c r="I22" s="280"/>
      <c r="J22" s="264" t="str">
        <f t="shared" si="0"/>
        <v>임공</v>
      </c>
      <c r="K22" s="267">
        <v>13600</v>
      </c>
      <c r="L22" s="266"/>
      <c r="M22" s="266"/>
      <c r="N22" s="266"/>
      <c r="O22" s="266"/>
      <c r="P22" s="266"/>
      <c r="Q22" s="266"/>
      <c r="R22" s="268"/>
    </row>
    <row r="23" spans="1:18" ht="30" customHeight="1">
      <c r="A23" s="204">
        <v>18</v>
      </c>
      <c r="B23" s="202" t="s">
        <v>318</v>
      </c>
      <c r="C23" s="202"/>
      <c r="D23" s="202" t="s">
        <v>135</v>
      </c>
      <c r="E23" s="304">
        <v>1359</v>
      </c>
      <c r="F23" s="211">
        <v>1359</v>
      </c>
      <c r="G23" s="203" t="s">
        <v>0</v>
      </c>
      <c r="H23" s="203" t="s">
        <v>99</v>
      </c>
      <c r="I23" s="280"/>
      <c r="J23" s="264" t="str">
        <f t="shared" si="0"/>
        <v>임공</v>
      </c>
      <c r="K23" s="267">
        <v>3460</v>
      </c>
      <c r="L23" s="266"/>
      <c r="M23" s="266"/>
      <c r="N23" s="266"/>
      <c r="O23" s="266"/>
      <c r="P23" s="266"/>
      <c r="Q23" s="266"/>
      <c r="R23" s="268"/>
    </row>
    <row r="24" spans="1:18" ht="30" customHeight="1">
      <c r="A24" s="204">
        <v>19</v>
      </c>
      <c r="B24" s="202" t="s">
        <v>319</v>
      </c>
      <c r="C24" s="202"/>
      <c r="D24" s="202" t="s">
        <v>135</v>
      </c>
      <c r="E24" s="304">
        <v>2047</v>
      </c>
      <c r="F24" s="211">
        <v>2047</v>
      </c>
      <c r="G24" s="203" t="s">
        <v>994</v>
      </c>
      <c r="H24" s="203" t="s">
        <v>995</v>
      </c>
      <c r="I24" s="280"/>
      <c r="J24" s="264" t="str">
        <f t="shared" si="0"/>
        <v>임공</v>
      </c>
      <c r="K24" s="267">
        <v>13200</v>
      </c>
      <c r="L24" s="266"/>
      <c r="M24" s="266"/>
      <c r="N24" s="266"/>
      <c r="O24" s="266"/>
      <c r="P24" s="266"/>
      <c r="Q24" s="266"/>
      <c r="R24" s="268"/>
    </row>
    <row r="25" spans="1:18" ht="30" customHeight="1">
      <c r="A25" s="204">
        <v>20</v>
      </c>
      <c r="B25" s="202" t="s">
        <v>320</v>
      </c>
      <c r="C25" s="202"/>
      <c r="D25" s="202" t="s">
        <v>85</v>
      </c>
      <c r="E25" s="304">
        <v>34</v>
      </c>
      <c r="F25" s="211">
        <v>34</v>
      </c>
      <c r="G25" s="203" t="s">
        <v>994</v>
      </c>
      <c r="H25" s="203" t="s">
        <v>995</v>
      </c>
      <c r="I25" s="280"/>
      <c r="J25" s="264" t="str">
        <f t="shared" si="0"/>
        <v>전공</v>
      </c>
      <c r="K25" s="267">
        <v>10700</v>
      </c>
      <c r="L25" s="266"/>
      <c r="M25" s="266"/>
      <c r="N25" s="266"/>
      <c r="O25" s="266"/>
      <c r="P25" s="266"/>
      <c r="Q25" s="266"/>
      <c r="R25" s="268"/>
    </row>
    <row r="26" spans="1:18" ht="30" customHeight="1">
      <c r="A26" s="204">
        <v>21</v>
      </c>
      <c r="B26" s="202" t="s">
        <v>728</v>
      </c>
      <c r="C26" s="202"/>
      <c r="D26" s="202" t="s">
        <v>135</v>
      </c>
      <c r="E26" s="304">
        <v>297</v>
      </c>
      <c r="F26" s="211">
        <v>297</v>
      </c>
      <c r="G26" s="203" t="s">
        <v>994</v>
      </c>
      <c r="H26" s="203" t="s">
        <v>995</v>
      </c>
      <c r="I26" s="280"/>
      <c r="J26" s="264" t="str">
        <f t="shared" si="0"/>
        <v>임공</v>
      </c>
      <c r="K26" s="267">
        <v>7800</v>
      </c>
      <c r="L26" s="266"/>
      <c r="M26" s="266"/>
      <c r="N26" s="266"/>
      <c r="O26" s="266"/>
      <c r="P26" s="266"/>
      <c r="Q26" s="266"/>
      <c r="R26" s="268"/>
    </row>
    <row r="27" spans="1:18" ht="30" customHeight="1">
      <c r="A27" s="204">
        <v>22</v>
      </c>
      <c r="B27" s="202" t="s">
        <v>730</v>
      </c>
      <c r="C27" s="202"/>
      <c r="D27" s="202" t="s">
        <v>85</v>
      </c>
      <c r="E27" s="304">
        <v>8</v>
      </c>
      <c r="F27" s="211">
        <v>8</v>
      </c>
      <c r="G27" s="203" t="s">
        <v>321</v>
      </c>
      <c r="H27" s="203" t="s">
        <v>322</v>
      </c>
      <c r="I27" s="280"/>
      <c r="J27" s="264" t="str">
        <f t="shared" si="0"/>
        <v>전이희철</v>
      </c>
      <c r="K27" s="267">
        <v>13200</v>
      </c>
      <c r="L27" s="266"/>
      <c r="M27" s="266"/>
      <c r="N27" s="266"/>
      <c r="O27" s="266"/>
      <c r="P27" s="266"/>
      <c r="Q27" s="266"/>
      <c r="R27" s="268"/>
    </row>
    <row r="28" spans="1:18" ht="30" customHeight="1">
      <c r="A28" s="204">
        <v>23</v>
      </c>
      <c r="B28" s="202" t="s">
        <v>323</v>
      </c>
      <c r="C28" s="202"/>
      <c r="D28" s="202" t="s">
        <v>85</v>
      </c>
      <c r="E28" s="304">
        <v>105</v>
      </c>
      <c r="F28" s="211">
        <v>105</v>
      </c>
      <c r="G28" s="203" t="s">
        <v>994</v>
      </c>
      <c r="H28" s="203" t="s">
        <v>995</v>
      </c>
      <c r="I28" s="280"/>
      <c r="J28" s="264" t="str">
        <f t="shared" si="0"/>
        <v>전공</v>
      </c>
      <c r="K28" s="267">
        <v>13200</v>
      </c>
      <c r="L28" s="266"/>
      <c r="M28" s="266"/>
      <c r="N28" s="266"/>
      <c r="O28" s="266"/>
      <c r="P28" s="266"/>
      <c r="Q28" s="266"/>
      <c r="R28" s="268"/>
    </row>
    <row r="29" spans="1:18" ht="30" customHeight="1">
      <c r="A29" s="204">
        <v>24</v>
      </c>
      <c r="B29" s="202" t="s">
        <v>794</v>
      </c>
      <c r="C29" s="202"/>
      <c r="D29" s="202" t="s">
        <v>85</v>
      </c>
      <c r="E29" s="304">
        <v>385</v>
      </c>
      <c r="F29" s="211">
        <v>385</v>
      </c>
      <c r="G29" s="203" t="s">
        <v>994</v>
      </c>
      <c r="H29" s="203" t="s">
        <v>995</v>
      </c>
      <c r="I29" s="280"/>
      <c r="J29" s="264" t="str">
        <f t="shared" si="0"/>
        <v>전공</v>
      </c>
      <c r="K29" s="267">
        <v>13200</v>
      </c>
      <c r="L29" s="266"/>
      <c r="M29" s="266"/>
      <c r="N29" s="266"/>
      <c r="O29" s="266"/>
      <c r="P29" s="266"/>
      <c r="Q29" s="266"/>
      <c r="R29" s="268"/>
    </row>
    <row r="30" spans="1:18" ht="30" customHeight="1">
      <c r="A30" s="204">
        <v>25</v>
      </c>
      <c r="B30" s="202" t="s">
        <v>324</v>
      </c>
      <c r="C30" s="202"/>
      <c r="D30" s="202" t="s">
        <v>258</v>
      </c>
      <c r="E30" s="304">
        <v>7</v>
      </c>
      <c r="F30" s="211">
        <v>7</v>
      </c>
      <c r="G30" s="203" t="s">
        <v>994</v>
      </c>
      <c r="H30" s="203" t="s">
        <v>995</v>
      </c>
      <c r="I30" s="280"/>
      <c r="J30" s="264" t="str">
        <f t="shared" si="0"/>
        <v>잡공</v>
      </c>
      <c r="K30" s="267">
        <v>19900</v>
      </c>
      <c r="L30" s="266"/>
      <c r="M30" s="266"/>
      <c r="N30" s="266"/>
      <c r="O30" s="266"/>
      <c r="P30" s="266"/>
      <c r="Q30" s="266"/>
      <c r="R30" s="268"/>
    </row>
    <row r="31" spans="1:18" ht="30" customHeight="1">
      <c r="A31" s="204">
        <v>26</v>
      </c>
      <c r="B31" s="202" t="s">
        <v>796</v>
      </c>
      <c r="C31" s="202"/>
      <c r="D31" s="202" t="s">
        <v>258</v>
      </c>
      <c r="E31" s="304">
        <v>7</v>
      </c>
      <c r="F31" s="211">
        <v>7</v>
      </c>
      <c r="G31" s="203" t="s">
        <v>994</v>
      </c>
      <c r="H31" s="203" t="s">
        <v>995</v>
      </c>
      <c r="I31" s="280"/>
      <c r="J31" s="264" t="str">
        <f t="shared" si="0"/>
        <v>잡공</v>
      </c>
      <c r="K31" s="267">
        <v>19900</v>
      </c>
      <c r="L31" s="266"/>
      <c r="M31" s="266"/>
      <c r="N31" s="266"/>
      <c r="O31" s="266"/>
      <c r="P31" s="266"/>
      <c r="Q31" s="266"/>
      <c r="R31" s="268"/>
    </row>
    <row r="32" spans="1:18" ht="30" customHeight="1">
      <c r="A32" s="204">
        <v>27</v>
      </c>
      <c r="B32" s="202" t="s">
        <v>797</v>
      </c>
      <c r="C32" s="202"/>
      <c r="D32" s="202" t="s">
        <v>85</v>
      </c>
      <c r="E32" s="304">
        <v>1220</v>
      </c>
      <c r="F32" s="211">
        <v>1220</v>
      </c>
      <c r="G32" s="203" t="s">
        <v>994</v>
      </c>
      <c r="H32" s="203" t="s">
        <v>995</v>
      </c>
      <c r="I32" s="280"/>
      <c r="J32" s="264" t="str">
        <f t="shared" si="0"/>
        <v>전공</v>
      </c>
      <c r="K32" s="267">
        <v>13000</v>
      </c>
      <c r="L32" s="266"/>
      <c r="M32" s="266"/>
      <c r="N32" s="266"/>
      <c r="O32" s="266"/>
      <c r="P32" s="266"/>
      <c r="Q32" s="266"/>
      <c r="R32" s="268"/>
    </row>
    <row r="33" spans="1:18" ht="30" customHeight="1">
      <c r="A33" s="204">
        <v>28</v>
      </c>
      <c r="B33" s="202">
        <v>855</v>
      </c>
      <c r="C33" s="202"/>
      <c r="D33" s="202" t="s">
        <v>84</v>
      </c>
      <c r="E33" s="304">
        <v>3832</v>
      </c>
      <c r="F33" s="211">
        <v>84</v>
      </c>
      <c r="G33" s="203" t="s">
        <v>98</v>
      </c>
      <c r="H33" s="203" t="s">
        <v>102</v>
      </c>
      <c r="I33" s="280"/>
      <c r="J33" s="264" t="str">
        <f t="shared" si="0"/>
        <v>도국</v>
      </c>
      <c r="K33" s="267"/>
      <c r="L33" s="266"/>
      <c r="M33" s="266"/>
      <c r="N33" s="266"/>
      <c r="O33" s="266"/>
      <c r="P33" s="266"/>
      <c r="Q33" s="266"/>
      <c r="R33" s="268"/>
    </row>
    <row r="34" spans="1:18" ht="30" customHeight="1">
      <c r="A34" s="204">
        <v>29</v>
      </c>
      <c r="B34" s="202" t="s">
        <v>327</v>
      </c>
      <c r="C34" s="202"/>
      <c r="D34" s="202" t="s">
        <v>85</v>
      </c>
      <c r="E34" s="304">
        <v>51</v>
      </c>
      <c r="F34" s="211">
        <v>51</v>
      </c>
      <c r="G34" s="203" t="s">
        <v>994</v>
      </c>
      <c r="H34" s="203" t="s">
        <v>995</v>
      </c>
      <c r="I34" s="280"/>
      <c r="J34" s="264" t="str">
        <f t="shared" si="0"/>
        <v>전공</v>
      </c>
      <c r="K34" s="267">
        <v>11400</v>
      </c>
      <c r="L34" s="266"/>
      <c r="M34" s="266"/>
      <c r="N34" s="266"/>
      <c r="O34" s="266"/>
      <c r="P34" s="266"/>
      <c r="Q34" s="266"/>
      <c r="R34" s="268"/>
    </row>
    <row r="35" spans="1:18" ht="30" customHeight="1">
      <c r="A35" s="204">
        <v>30</v>
      </c>
      <c r="B35" s="202" t="s">
        <v>734</v>
      </c>
      <c r="C35" s="202"/>
      <c r="D35" s="202" t="s">
        <v>85</v>
      </c>
      <c r="E35" s="304">
        <v>235</v>
      </c>
      <c r="F35" s="211">
        <v>235</v>
      </c>
      <c r="G35" s="203" t="s">
        <v>994</v>
      </c>
      <c r="H35" s="203" t="s">
        <v>995</v>
      </c>
      <c r="I35" s="280"/>
      <c r="J35" s="264" t="str">
        <f t="shared" si="0"/>
        <v>전공</v>
      </c>
      <c r="K35" s="267">
        <v>11300</v>
      </c>
      <c r="L35" s="266"/>
      <c r="M35" s="266"/>
      <c r="N35" s="266"/>
      <c r="O35" s="266"/>
      <c r="P35" s="266"/>
      <c r="Q35" s="266"/>
      <c r="R35" s="268"/>
    </row>
    <row r="36" spans="1:18" ht="30" customHeight="1">
      <c r="A36" s="204">
        <v>31</v>
      </c>
      <c r="B36" s="202" t="s">
        <v>328</v>
      </c>
      <c r="C36" s="202"/>
      <c r="D36" s="202" t="s">
        <v>90</v>
      </c>
      <c r="E36" s="304">
        <v>304</v>
      </c>
      <c r="F36" s="211">
        <v>304</v>
      </c>
      <c r="G36" s="203" t="s">
        <v>0</v>
      </c>
      <c r="H36" s="203" t="s">
        <v>7</v>
      </c>
      <c r="I36" s="280"/>
      <c r="J36" s="264" t="str">
        <f t="shared" si="0"/>
        <v>대공</v>
      </c>
      <c r="K36" s="267">
        <v>15300</v>
      </c>
      <c r="L36" s="266"/>
      <c r="M36" s="266"/>
      <c r="N36" s="266"/>
      <c r="O36" s="266"/>
      <c r="P36" s="266"/>
      <c r="Q36" s="266"/>
      <c r="R36" s="268"/>
    </row>
    <row r="37" spans="1:18" ht="30" customHeight="1">
      <c r="A37" s="204">
        <v>32</v>
      </c>
      <c r="B37" s="202" t="s">
        <v>329</v>
      </c>
      <c r="C37" s="202"/>
      <c r="D37" s="202" t="s">
        <v>85</v>
      </c>
      <c r="E37" s="304">
        <v>120</v>
      </c>
      <c r="F37" s="211">
        <v>120</v>
      </c>
      <c r="G37" s="203" t="s">
        <v>0</v>
      </c>
      <c r="H37" s="203" t="s">
        <v>7</v>
      </c>
      <c r="I37" s="280"/>
      <c r="J37" s="264" t="str">
        <f t="shared" si="0"/>
        <v>전공</v>
      </c>
      <c r="K37" s="267">
        <v>15300</v>
      </c>
      <c r="L37" s="266"/>
      <c r="M37" s="266"/>
      <c r="N37" s="266"/>
      <c r="O37" s="266"/>
      <c r="P37" s="266"/>
      <c r="Q37" s="266"/>
      <c r="R37" s="268"/>
    </row>
    <row r="38" spans="1:18" ht="30" customHeight="1">
      <c r="A38" s="204">
        <v>33</v>
      </c>
      <c r="B38" s="202" t="s">
        <v>330</v>
      </c>
      <c r="C38" s="202"/>
      <c r="D38" s="202" t="s">
        <v>85</v>
      </c>
      <c r="E38" s="304">
        <v>394</v>
      </c>
      <c r="F38" s="211">
        <v>394</v>
      </c>
      <c r="G38" s="203" t="s">
        <v>0</v>
      </c>
      <c r="H38" s="203" t="s">
        <v>7</v>
      </c>
      <c r="I38" s="280"/>
      <c r="J38" s="264" t="str">
        <f t="shared" si="0"/>
        <v>전공</v>
      </c>
      <c r="K38" s="267">
        <v>10500</v>
      </c>
      <c r="L38" s="266"/>
      <c r="M38" s="266"/>
      <c r="N38" s="266"/>
      <c r="O38" s="266"/>
      <c r="P38" s="266"/>
      <c r="Q38" s="266"/>
      <c r="R38" s="268"/>
    </row>
    <row r="39" spans="1:18" ht="30" customHeight="1">
      <c r="A39" s="204">
        <v>34</v>
      </c>
      <c r="B39" s="202" t="s">
        <v>331</v>
      </c>
      <c r="C39" s="202"/>
      <c r="D39" s="202" t="s">
        <v>85</v>
      </c>
      <c r="E39" s="304">
        <v>217</v>
      </c>
      <c r="F39" s="211">
        <v>217</v>
      </c>
      <c r="G39" s="203" t="s">
        <v>0</v>
      </c>
      <c r="H39" s="203" t="s">
        <v>7</v>
      </c>
      <c r="I39" s="280"/>
      <c r="J39" s="264" t="str">
        <f t="shared" si="0"/>
        <v>전공</v>
      </c>
      <c r="K39" s="267">
        <v>12400</v>
      </c>
      <c r="L39" s="266"/>
      <c r="M39" s="266"/>
      <c r="N39" s="266"/>
      <c r="O39" s="266"/>
      <c r="P39" s="266"/>
      <c r="Q39" s="266"/>
      <c r="R39" s="268"/>
    </row>
    <row r="40" spans="1:18" ht="30" customHeight="1">
      <c r="A40" s="204">
        <v>35</v>
      </c>
      <c r="B40" s="202" t="s">
        <v>332</v>
      </c>
      <c r="C40" s="202"/>
      <c r="D40" s="202" t="s">
        <v>85</v>
      </c>
      <c r="E40" s="304">
        <v>234</v>
      </c>
      <c r="F40" s="211">
        <v>234</v>
      </c>
      <c r="G40" s="203" t="s">
        <v>0</v>
      </c>
      <c r="H40" s="203" t="s">
        <v>7</v>
      </c>
      <c r="I40" s="280"/>
      <c r="J40" s="264" t="str">
        <f t="shared" si="0"/>
        <v>전공</v>
      </c>
      <c r="K40" s="267">
        <v>12400</v>
      </c>
      <c r="L40" s="266"/>
      <c r="M40" s="266"/>
      <c r="N40" s="266"/>
      <c r="O40" s="266"/>
      <c r="P40" s="266"/>
      <c r="Q40" s="266"/>
      <c r="R40" s="268"/>
    </row>
    <row r="41" spans="1:18" ht="30" customHeight="1">
      <c r="A41" s="204">
        <v>36</v>
      </c>
      <c r="B41" s="202" t="s">
        <v>798</v>
      </c>
      <c r="C41" s="202"/>
      <c r="D41" s="202" t="s">
        <v>87</v>
      </c>
      <c r="E41" s="304">
        <v>49.5</v>
      </c>
      <c r="F41" s="211">
        <v>49.5</v>
      </c>
      <c r="G41" s="203" t="s">
        <v>98</v>
      </c>
      <c r="H41" s="203" t="s">
        <v>101</v>
      </c>
      <c r="I41" s="280"/>
      <c r="J41" s="264" t="str">
        <f t="shared" si="0"/>
        <v>구국</v>
      </c>
      <c r="K41" s="267"/>
      <c r="L41" s="266"/>
      <c r="M41" s="266"/>
      <c r="N41" s="266"/>
      <c r="O41" s="266"/>
      <c r="P41" s="266"/>
      <c r="Q41" s="266"/>
      <c r="R41" s="268"/>
    </row>
    <row r="42" spans="1:18" ht="30" customHeight="1">
      <c r="A42" s="204">
        <v>37</v>
      </c>
      <c r="B42" s="202" t="s">
        <v>799</v>
      </c>
      <c r="C42" s="202"/>
      <c r="D42" s="202" t="s">
        <v>89</v>
      </c>
      <c r="E42" s="304">
        <v>862.8</v>
      </c>
      <c r="F42" s="211">
        <v>862.8</v>
      </c>
      <c r="G42" s="203" t="s">
        <v>994</v>
      </c>
      <c r="H42" s="203" t="s">
        <v>995</v>
      </c>
      <c r="I42" s="280"/>
      <c r="J42" s="264" t="str">
        <f t="shared" si="0"/>
        <v>답공</v>
      </c>
      <c r="K42" s="267">
        <v>10900</v>
      </c>
      <c r="L42" s="266"/>
      <c r="M42" s="266"/>
      <c r="N42" s="266"/>
      <c r="O42" s="266"/>
      <c r="P42" s="266"/>
      <c r="Q42" s="266"/>
      <c r="R42" s="268"/>
    </row>
    <row r="43" spans="1:18" ht="30" customHeight="1">
      <c r="A43" s="204">
        <v>38</v>
      </c>
      <c r="B43" s="202" t="s">
        <v>334</v>
      </c>
      <c r="C43" s="202"/>
      <c r="D43" s="202" t="s">
        <v>84</v>
      </c>
      <c r="E43" s="304">
        <v>83.7</v>
      </c>
      <c r="F43" s="211">
        <v>83.7</v>
      </c>
      <c r="G43" s="203" t="s">
        <v>98</v>
      </c>
      <c r="H43" s="203" t="s">
        <v>102</v>
      </c>
      <c r="I43" s="280"/>
      <c r="J43" s="264" t="str">
        <f t="shared" si="0"/>
        <v>도국</v>
      </c>
      <c r="K43" s="267"/>
      <c r="L43" s="266"/>
      <c r="M43" s="266"/>
      <c r="N43" s="266"/>
      <c r="O43" s="266"/>
      <c r="P43" s="266"/>
      <c r="Q43" s="266"/>
      <c r="R43" s="268"/>
    </row>
    <row r="44" spans="1:18" ht="30" customHeight="1">
      <c r="A44" s="204">
        <v>39</v>
      </c>
      <c r="B44" s="202" t="s">
        <v>335</v>
      </c>
      <c r="C44" s="202"/>
      <c r="D44" s="202" t="s">
        <v>87</v>
      </c>
      <c r="E44" s="304">
        <v>57.7</v>
      </c>
      <c r="F44" s="211">
        <v>57.7</v>
      </c>
      <c r="G44" s="203" t="s">
        <v>98</v>
      </c>
      <c r="H44" s="203" t="s">
        <v>101</v>
      </c>
      <c r="I44" s="280"/>
      <c r="J44" s="264" t="str">
        <f t="shared" si="0"/>
        <v>구국</v>
      </c>
      <c r="K44" s="267"/>
      <c r="L44" s="266"/>
      <c r="M44" s="266"/>
      <c r="N44" s="266"/>
      <c r="O44" s="266"/>
      <c r="P44" s="266"/>
      <c r="Q44" s="266"/>
      <c r="R44" s="268"/>
    </row>
    <row r="45" spans="1:18" ht="30" customHeight="1">
      <c r="A45" s="204">
        <v>40</v>
      </c>
      <c r="B45" s="202" t="s">
        <v>732</v>
      </c>
      <c r="C45" s="202"/>
      <c r="D45" s="202" t="s">
        <v>85</v>
      </c>
      <c r="E45" s="304">
        <v>24</v>
      </c>
      <c r="F45" s="211">
        <v>24</v>
      </c>
      <c r="G45" s="203" t="s">
        <v>994</v>
      </c>
      <c r="H45" s="203" t="s">
        <v>995</v>
      </c>
      <c r="I45" s="280"/>
      <c r="J45" s="264" t="str">
        <f t="shared" si="0"/>
        <v>전공</v>
      </c>
      <c r="K45" s="267">
        <v>14300</v>
      </c>
      <c r="L45" s="266"/>
      <c r="M45" s="266"/>
      <c r="N45" s="266"/>
      <c r="O45" s="266"/>
      <c r="P45" s="266"/>
      <c r="Q45" s="266"/>
      <c r="R45" s="268"/>
    </row>
    <row r="46" spans="1:18" ht="30" customHeight="1">
      <c r="A46" s="204">
        <v>41</v>
      </c>
      <c r="B46" s="202" t="s">
        <v>731</v>
      </c>
      <c r="C46" s="202"/>
      <c r="D46" s="202" t="s">
        <v>85</v>
      </c>
      <c r="E46" s="304">
        <v>176</v>
      </c>
      <c r="F46" s="211">
        <v>176</v>
      </c>
      <c r="G46" s="203" t="s">
        <v>336</v>
      </c>
      <c r="H46" s="203" t="s">
        <v>800</v>
      </c>
      <c r="I46" s="280"/>
      <c r="J46" s="264" t="str">
        <f t="shared" si="0"/>
        <v>전유희곤
 외5인</v>
      </c>
      <c r="K46" s="267">
        <v>16900</v>
      </c>
      <c r="L46" s="266"/>
      <c r="M46" s="266"/>
      <c r="N46" s="266"/>
      <c r="O46" s="266"/>
      <c r="P46" s="266"/>
      <c r="Q46" s="266"/>
      <c r="R46" s="268"/>
    </row>
    <row r="47" spans="1:18" ht="30" customHeight="1">
      <c r="A47" s="204">
        <v>42</v>
      </c>
      <c r="B47" s="202" t="s">
        <v>337</v>
      </c>
      <c r="C47" s="202"/>
      <c r="D47" s="202" t="s">
        <v>85</v>
      </c>
      <c r="E47" s="304">
        <v>32</v>
      </c>
      <c r="F47" s="211">
        <v>32</v>
      </c>
      <c r="G47" s="203" t="s">
        <v>994</v>
      </c>
      <c r="H47" s="203" t="s">
        <v>995</v>
      </c>
      <c r="I47" s="280"/>
      <c r="J47" s="264" t="str">
        <f t="shared" si="0"/>
        <v>전공</v>
      </c>
      <c r="K47" s="267">
        <v>14800</v>
      </c>
      <c r="L47" s="266"/>
      <c r="M47" s="266"/>
      <c r="N47" s="266"/>
      <c r="O47" s="266"/>
      <c r="P47" s="266"/>
      <c r="Q47" s="266"/>
      <c r="R47" s="268"/>
    </row>
    <row r="48" spans="1:18" ht="30" customHeight="1">
      <c r="A48" s="204">
        <v>43</v>
      </c>
      <c r="B48" s="202" t="s">
        <v>735</v>
      </c>
      <c r="C48" s="202"/>
      <c r="D48" s="202" t="s">
        <v>90</v>
      </c>
      <c r="E48" s="304">
        <v>47</v>
      </c>
      <c r="F48" s="211">
        <v>47</v>
      </c>
      <c r="G48" s="203" t="s">
        <v>994</v>
      </c>
      <c r="H48" s="203" t="s">
        <v>995</v>
      </c>
      <c r="I48" s="280"/>
      <c r="J48" s="264" t="str">
        <f t="shared" si="0"/>
        <v>대공</v>
      </c>
      <c r="K48" s="267">
        <v>19900</v>
      </c>
      <c r="L48" s="266"/>
      <c r="M48" s="266"/>
      <c r="N48" s="266"/>
      <c r="O48" s="266"/>
      <c r="P48" s="266"/>
      <c r="Q48" s="266"/>
      <c r="R48" s="268"/>
    </row>
    <row r="49" spans="1:18" ht="30" customHeight="1">
      <c r="A49" s="204">
        <v>44</v>
      </c>
      <c r="B49" s="202" t="s">
        <v>338</v>
      </c>
      <c r="C49" s="202"/>
      <c r="D49" s="202" t="s">
        <v>85</v>
      </c>
      <c r="E49" s="304">
        <v>54</v>
      </c>
      <c r="F49" s="211">
        <v>54</v>
      </c>
      <c r="G49" s="203" t="s">
        <v>994</v>
      </c>
      <c r="H49" s="203" t="s">
        <v>995</v>
      </c>
      <c r="I49" s="280"/>
      <c r="J49" s="264" t="str">
        <f t="shared" si="0"/>
        <v>전공</v>
      </c>
      <c r="K49" s="267">
        <v>14800</v>
      </c>
      <c r="L49" s="266"/>
      <c r="M49" s="266"/>
      <c r="N49" s="266"/>
      <c r="O49" s="266"/>
      <c r="P49" s="266"/>
      <c r="Q49" s="266"/>
      <c r="R49" s="268"/>
    </row>
    <row r="50" spans="1:18" ht="30" customHeight="1">
      <c r="A50" s="204">
        <v>45</v>
      </c>
      <c r="B50" s="202" t="s">
        <v>339</v>
      </c>
      <c r="C50" s="202"/>
      <c r="D50" s="202" t="s">
        <v>90</v>
      </c>
      <c r="E50" s="304">
        <v>3</v>
      </c>
      <c r="F50" s="211">
        <v>3</v>
      </c>
      <c r="G50" s="203" t="s">
        <v>994</v>
      </c>
      <c r="H50" s="203" t="s">
        <v>995</v>
      </c>
      <c r="I50" s="280"/>
      <c r="J50" s="264" t="str">
        <f t="shared" si="0"/>
        <v>대공</v>
      </c>
      <c r="K50" s="267">
        <v>19900</v>
      </c>
      <c r="L50" s="266"/>
      <c r="M50" s="266"/>
      <c r="N50" s="266"/>
      <c r="O50" s="266"/>
      <c r="P50" s="266"/>
      <c r="Q50" s="266"/>
      <c r="R50" s="268"/>
    </row>
    <row r="51" spans="1:18" ht="30" customHeight="1">
      <c r="A51" s="204">
        <v>46</v>
      </c>
      <c r="B51" s="202" t="s">
        <v>340</v>
      </c>
      <c r="C51" s="202"/>
      <c r="D51" s="202" t="s">
        <v>85</v>
      </c>
      <c r="E51" s="304">
        <v>90</v>
      </c>
      <c r="F51" s="211">
        <v>90</v>
      </c>
      <c r="G51" s="203" t="s">
        <v>994</v>
      </c>
      <c r="H51" s="203" t="s">
        <v>995</v>
      </c>
      <c r="I51" s="280"/>
      <c r="J51" s="264" t="str">
        <f t="shared" si="0"/>
        <v>전공</v>
      </c>
      <c r="K51" s="267">
        <v>14800</v>
      </c>
      <c r="L51" s="266"/>
      <c r="M51" s="266"/>
      <c r="N51" s="266"/>
      <c r="O51" s="266"/>
      <c r="P51" s="266"/>
      <c r="Q51" s="266"/>
      <c r="R51" s="268"/>
    </row>
    <row r="52" spans="1:18" ht="30" customHeight="1">
      <c r="A52" s="204">
        <v>47</v>
      </c>
      <c r="B52" s="202" t="s">
        <v>341</v>
      </c>
      <c r="C52" s="202"/>
      <c r="D52" s="202" t="s">
        <v>89</v>
      </c>
      <c r="E52" s="304">
        <v>201</v>
      </c>
      <c r="F52" s="211">
        <v>16</v>
      </c>
      <c r="G52" s="203" t="s">
        <v>0</v>
      </c>
      <c r="H52" s="203" t="s">
        <v>7</v>
      </c>
      <c r="I52" s="280"/>
      <c r="J52" s="264" t="str">
        <f t="shared" si="0"/>
        <v>답공</v>
      </c>
      <c r="K52" s="267">
        <v>10400</v>
      </c>
      <c r="L52" s="266"/>
      <c r="M52" s="266"/>
      <c r="N52" s="266"/>
      <c r="O52" s="266"/>
      <c r="P52" s="266"/>
      <c r="Q52" s="266"/>
      <c r="R52" s="268"/>
    </row>
    <row r="53" spans="1:18" ht="30" customHeight="1">
      <c r="A53" s="204">
        <v>48</v>
      </c>
      <c r="B53" s="202" t="s">
        <v>342</v>
      </c>
      <c r="C53" s="202"/>
      <c r="D53" s="202" t="s">
        <v>87</v>
      </c>
      <c r="E53" s="304">
        <v>36.4</v>
      </c>
      <c r="F53" s="211">
        <v>36.4</v>
      </c>
      <c r="G53" s="203" t="s">
        <v>98</v>
      </c>
      <c r="H53" s="203" t="s">
        <v>101</v>
      </c>
      <c r="I53" s="280"/>
      <c r="J53" s="264" t="str">
        <f t="shared" si="0"/>
        <v>구국</v>
      </c>
      <c r="K53" s="267"/>
      <c r="L53" s="266"/>
      <c r="M53" s="266"/>
      <c r="N53" s="266"/>
      <c r="O53" s="266"/>
      <c r="P53" s="266"/>
      <c r="Q53" s="266"/>
      <c r="R53" s="268"/>
    </row>
    <row r="54" spans="1:18" ht="30" customHeight="1">
      <c r="A54" s="204">
        <v>49</v>
      </c>
      <c r="B54" s="202" t="s">
        <v>343</v>
      </c>
      <c r="C54" s="202"/>
      <c r="D54" s="202" t="s">
        <v>84</v>
      </c>
      <c r="E54" s="304">
        <v>76</v>
      </c>
      <c r="F54" s="211">
        <v>45</v>
      </c>
      <c r="G54" s="203" t="s">
        <v>344</v>
      </c>
      <c r="H54" s="203" t="s">
        <v>801</v>
      </c>
      <c r="I54" s="280"/>
      <c r="J54" s="264" t="str">
        <f t="shared" si="0"/>
        <v>도박춘삼</v>
      </c>
      <c r="K54" s="267"/>
      <c r="L54" s="266"/>
      <c r="M54" s="266"/>
      <c r="N54" s="266"/>
      <c r="O54" s="266"/>
      <c r="P54" s="266"/>
      <c r="Q54" s="266"/>
      <c r="R54" s="268"/>
    </row>
    <row r="55" spans="1:18" ht="30" customHeight="1">
      <c r="A55" s="204">
        <v>50</v>
      </c>
      <c r="B55" s="202" t="s">
        <v>345</v>
      </c>
      <c r="C55" s="202"/>
      <c r="D55" s="202" t="s">
        <v>87</v>
      </c>
      <c r="E55" s="304">
        <v>120.2</v>
      </c>
      <c r="F55" s="211">
        <v>120.2</v>
      </c>
      <c r="G55" s="203" t="s">
        <v>98</v>
      </c>
      <c r="H55" s="203" t="s">
        <v>101</v>
      </c>
      <c r="I55" s="280"/>
      <c r="J55" s="264" t="str">
        <f t="shared" si="0"/>
        <v>구국</v>
      </c>
      <c r="K55" s="267"/>
      <c r="L55" s="266"/>
      <c r="M55" s="266"/>
      <c r="N55" s="266"/>
      <c r="O55" s="266"/>
      <c r="P55" s="266"/>
      <c r="Q55" s="266"/>
      <c r="R55" s="268"/>
    </row>
    <row r="56" spans="1:18" ht="30" customHeight="1">
      <c r="A56" s="204">
        <v>51</v>
      </c>
      <c r="B56" s="202" t="s">
        <v>727</v>
      </c>
      <c r="C56" s="202"/>
      <c r="D56" s="202" t="s">
        <v>89</v>
      </c>
      <c r="E56" s="304">
        <v>2109.9</v>
      </c>
      <c r="F56" s="211">
        <v>2109.9</v>
      </c>
      <c r="G56" s="203" t="s">
        <v>346</v>
      </c>
      <c r="H56" s="203" t="s">
        <v>802</v>
      </c>
      <c r="I56" s="280"/>
      <c r="J56" s="264" t="str">
        <f t="shared" si="0"/>
        <v>답지제흠 
외3인</v>
      </c>
      <c r="K56" s="267">
        <v>11300</v>
      </c>
      <c r="L56" s="266"/>
      <c r="M56" s="266"/>
      <c r="N56" s="266"/>
      <c r="O56" s="266"/>
      <c r="P56" s="266"/>
      <c r="Q56" s="266"/>
      <c r="R56" s="268"/>
    </row>
    <row r="57" spans="1:18" ht="30" customHeight="1">
      <c r="A57" s="204">
        <v>52</v>
      </c>
      <c r="B57" s="202" t="s">
        <v>347</v>
      </c>
      <c r="C57" s="202"/>
      <c r="D57" s="202" t="s">
        <v>89</v>
      </c>
      <c r="E57" s="304">
        <v>1704.2</v>
      </c>
      <c r="F57" s="211">
        <v>1704.2</v>
      </c>
      <c r="G57" s="203" t="s">
        <v>0</v>
      </c>
      <c r="H57" s="203" t="s">
        <v>7</v>
      </c>
      <c r="I57" s="280"/>
      <c r="J57" s="264" t="str">
        <f t="shared" si="0"/>
        <v>답공</v>
      </c>
      <c r="K57" s="267">
        <v>10900</v>
      </c>
      <c r="L57" s="266"/>
      <c r="M57" s="266"/>
      <c r="N57" s="266"/>
      <c r="O57" s="266"/>
      <c r="P57" s="266"/>
      <c r="Q57" s="266"/>
      <c r="R57" s="268"/>
    </row>
    <row r="58" spans="1:18" ht="30" customHeight="1">
      <c r="A58" s="204">
        <v>53</v>
      </c>
      <c r="B58" s="202" t="s">
        <v>348</v>
      </c>
      <c r="C58" s="202"/>
      <c r="D58" s="202" t="s">
        <v>89</v>
      </c>
      <c r="E58" s="304">
        <v>1475</v>
      </c>
      <c r="F58" s="211">
        <v>1475</v>
      </c>
      <c r="G58" s="203" t="s">
        <v>0</v>
      </c>
      <c r="H58" s="203" t="s">
        <v>7</v>
      </c>
      <c r="I58" s="280"/>
      <c r="J58" s="264" t="str">
        <f t="shared" si="0"/>
        <v>답공</v>
      </c>
      <c r="K58" s="267">
        <v>9800</v>
      </c>
      <c r="L58" s="266"/>
      <c r="M58" s="266"/>
      <c r="N58" s="266"/>
      <c r="O58" s="266"/>
      <c r="P58" s="266"/>
      <c r="Q58" s="266"/>
      <c r="R58" s="268"/>
    </row>
    <row r="59" spans="1:18" ht="30" customHeight="1">
      <c r="A59" s="204">
        <v>54</v>
      </c>
      <c r="B59" s="202" t="s">
        <v>349</v>
      </c>
      <c r="C59" s="202"/>
      <c r="D59" s="202" t="s">
        <v>89</v>
      </c>
      <c r="E59" s="304">
        <v>1524.2</v>
      </c>
      <c r="F59" s="211">
        <v>1524.2</v>
      </c>
      <c r="G59" s="203" t="s">
        <v>994</v>
      </c>
      <c r="H59" s="203" t="s">
        <v>995</v>
      </c>
      <c r="I59" s="280"/>
      <c r="J59" s="264" t="str">
        <f t="shared" si="0"/>
        <v>답공</v>
      </c>
      <c r="K59" s="267">
        <v>9800</v>
      </c>
      <c r="L59" s="266"/>
      <c r="M59" s="266"/>
      <c r="N59" s="266"/>
      <c r="O59" s="266"/>
      <c r="P59" s="266"/>
      <c r="Q59" s="266"/>
      <c r="R59" s="268"/>
    </row>
    <row r="60" spans="1:18" ht="30" customHeight="1">
      <c r="A60" s="204">
        <v>55</v>
      </c>
      <c r="B60" s="202" t="s">
        <v>350</v>
      </c>
      <c r="C60" s="202"/>
      <c r="D60" s="202" t="s">
        <v>89</v>
      </c>
      <c r="E60" s="304">
        <v>532.6</v>
      </c>
      <c r="F60" s="211">
        <v>532.6</v>
      </c>
      <c r="G60" s="203" t="s">
        <v>994</v>
      </c>
      <c r="H60" s="203" t="s">
        <v>995</v>
      </c>
      <c r="I60" s="280"/>
      <c r="J60" s="264" t="str">
        <f t="shared" si="0"/>
        <v>답공</v>
      </c>
      <c r="K60" s="267">
        <v>9800</v>
      </c>
      <c r="L60" s="266"/>
      <c r="M60" s="266"/>
      <c r="N60" s="266"/>
      <c r="O60" s="266"/>
      <c r="P60" s="266"/>
      <c r="Q60" s="266"/>
      <c r="R60" s="268"/>
    </row>
    <row r="61" spans="1:18" ht="30" customHeight="1">
      <c r="A61" s="204">
        <v>56</v>
      </c>
      <c r="B61" s="202" t="s">
        <v>351</v>
      </c>
      <c r="C61" s="202"/>
      <c r="D61" s="202" t="s">
        <v>89</v>
      </c>
      <c r="E61" s="304">
        <v>59.8</v>
      </c>
      <c r="F61" s="211">
        <v>59.8</v>
      </c>
      <c r="G61" s="203" t="s">
        <v>994</v>
      </c>
      <c r="H61" s="203" t="s">
        <v>995</v>
      </c>
      <c r="I61" s="280"/>
      <c r="J61" s="264" t="str">
        <f t="shared" si="0"/>
        <v>답공</v>
      </c>
      <c r="K61" s="267">
        <v>9650</v>
      </c>
      <c r="L61" s="266"/>
      <c r="M61" s="266"/>
      <c r="N61" s="266"/>
      <c r="O61" s="266"/>
      <c r="P61" s="266"/>
      <c r="Q61" s="266"/>
      <c r="R61" s="268"/>
    </row>
    <row r="62" spans="1:18" ht="30" customHeight="1">
      <c r="A62" s="204">
        <v>57</v>
      </c>
      <c r="B62" s="202" t="s">
        <v>804</v>
      </c>
      <c r="C62" s="202"/>
      <c r="D62" s="202" t="s">
        <v>87</v>
      </c>
      <c r="E62" s="304">
        <v>591.9</v>
      </c>
      <c r="F62" s="211">
        <v>591.9</v>
      </c>
      <c r="G62" s="203" t="s">
        <v>98</v>
      </c>
      <c r="H62" s="203" t="s">
        <v>101</v>
      </c>
      <c r="I62" s="280"/>
      <c r="J62" s="264" t="str">
        <f t="shared" si="0"/>
        <v>구국</v>
      </c>
      <c r="K62" s="267"/>
      <c r="L62" s="266"/>
      <c r="M62" s="266"/>
      <c r="N62" s="266"/>
      <c r="O62" s="266"/>
      <c r="P62" s="266"/>
      <c r="Q62" s="266"/>
      <c r="R62" s="268"/>
    </row>
    <row r="63" spans="1:18" ht="30" customHeight="1">
      <c r="A63" s="204">
        <v>58</v>
      </c>
      <c r="B63" s="202" t="s">
        <v>805</v>
      </c>
      <c r="C63" s="202"/>
      <c r="D63" s="202" t="s">
        <v>87</v>
      </c>
      <c r="E63" s="304">
        <v>43</v>
      </c>
      <c r="F63" s="211">
        <v>43</v>
      </c>
      <c r="G63" s="203" t="s">
        <v>98</v>
      </c>
      <c r="H63" s="203" t="s">
        <v>101</v>
      </c>
      <c r="I63" s="280"/>
      <c r="J63" s="264" t="str">
        <f t="shared" si="0"/>
        <v>구국</v>
      </c>
      <c r="K63" s="267"/>
      <c r="L63" s="266"/>
      <c r="M63" s="266"/>
      <c r="N63" s="266"/>
      <c r="O63" s="266"/>
      <c r="P63" s="266"/>
      <c r="Q63" s="266"/>
      <c r="R63" s="268"/>
    </row>
    <row r="64" spans="1:18" ht="30" customHeight="1">
      <c r="A64" s="204">
        <v>59</v>
      </c>
      <c r="B64" s="202" t="s">
        <v>806</v>
      </c>
      <c r="C64" s="202"/>
      <c r="D64" s="202" t="s">
        <v>85</v>
      </c>
      <c r="E64" s="304">
        <v>584</v>
      </c>
      <c r="F64" s="211">
        <v>584</v>
      </c>
      <c r="G64" s="203" t="s">
        <v>994</v>
      </c>
      <c r="H64" s="203" t="s">
        <v>995</v>
      </c>
      <c r="I64" s="280"/>
      <c r="J64" s="264" t="str">
        <f t="shared" si="0"/>
        <v>전공</v>
      </c>
      <c r="K64" s="267">
        <v>11800</v>
      </c>
      <c r="L64" s="266"/>
      <c r="M64" s="266"/>
      <c r="N64" s="266"/>
      <c r="O64" s="266"/>
      <c r="P64" s="266"/>
      <c r="Q64" s="266"/>
      <c r="R64" s="268"/>
    </row>
    <row r="65" spans="1:18" ht="30" customHeight="1">
      <c r="A65" s="204">
        <v>60</v>
      </c>
      <c r="B65" s="202" t="s">
        <v>353</v>
      </c>
      <c r="C65" s="202"/>
      <c r="D65" s="202" t="s">
        <v>85</v>
      </c>
      <c r="E65" s="304">
        <v>3</v>
      </c>
      <c r="F65" s="211">
        <v>3</v>
      </c>
      <c r="G65" s="203" t="s">
        <v>352</v>
      </c>
      <c r="H65" s="203" t="s">
        <v>807</v>
      </c>
      <c r="I65" s="280"/>
      <c r="J65" s="264" t="str">
        <f t="shared" si="0"/>
        <v>전이광우</v>
      </c>
      <c r="K65" s="267">
        <v>11800</v>
      </c>
      <c r="L65" s="266"/>
      <c r="M65" s="266"/>
      <c r="N65" s="266"/>
      <c r="O65" s="266"/>
      <c r="P65" s="266"/>
      <c r="Q65" s="266"/>
      <c r="R65" s="268"/>
    </row>
    <row r="66" spans="1:18" ht="30" customHeight="1">
      <c r="A66" s="204">
        <v>61</v>
      </c>
      <c r="B66" s="202" t="s">
        <v>354</v>
      </c>
      <c r="C66" s="202"/>
      <c r="D66" s="202" t="s">
        <v>89</v>
      </c>
      <c r="E66" s="304">
        <v>1034</v>
      </c>
      <c r="F66" s="211">
        <v>1034</v>
      </c>
      <c r="G66" s="203" t="s">
        <v>994</v>
      </c>
      <c r="H66" s="203" t="s">
        <v>995</v>
      </c>
      <c r="I66" s="280"/>
      <c r="J66" s="264" t="str">
        <f t="shared" si="0"/>
        <v>답공</v>
      </c>
      <c r="K66" s="267">
        <v>8840</v>
      </c>
      <c r="L66" s="266"/>
      <c r="M66" s="266"/>
      <c r="N66" s="266"/>
      <c r="O66" s="266"/>
      <c r="P66" s="266"/>
      <c r="Q66" s="266"/>
      <c r="R66" s="268"/>
    </row>
    <row r="67" spans="1:18" ht="30" customHeight="1">
      <c r="A67" s="204">
        <v>62</v>
      </c>
      <c r="B67" s="202" t="s">
        <v>808</v>
      </c>
      <c r="C67" s="202"/>
      <c r="D67" s="202" t="s">
        <v>89</v>
      </c>
      <c r="E67" s="304">
        <v>1240.5999999999999</v>
      </c>
      <c r="F67" s="211">
        <v>1240.5999999999999</v>
      </c>
      <c r="G67" s="203" t="s">
        <v>994</v>
      </c>
      <c r="H67" s="203" t="s">
        <v>995</v>
      </c>
      <c r="I67" s="280"/>
      <c r="J67" s="264" t="str">
        <f t="shared" si="0"/>
        <v>답공</v>
      </c>
      <c r="K67" s="267">
        <v>9310</v>
      </c>
      <c r="L67" s="266"/>
      <c r="M67" s="266"/>
      <c r="N67" s="266"/>
      <c r="O67" s="266"/>
      <c r="P67" s="266"/>
      <c r="Q67" s="266"/>
      <c r="R67" s="268"/>
    </row>
    <row r="68" spans="1:18" ht="30" customHeight="1">
      <c r="A68" s="204">
        <v>63</v>
      </c>
      <c r="B68" s="202" t="s">
        <v>355</v>
      </c>
      <c r="C68" s="202"/>
      <c r="D68" s="202" t="s">
        <v>89</v>
      </c>
      <c r="E68" s="304">
        <v>939.9</v>
      </c>
      <c r="F68" s="211">
        <v>939.9</v>
      </c>
      <c r="G68" s="203" t="s">
        <v>994</v>
      </c>
      <c r="H68" s="203" t="s">
        <v>995</v>
      </c>
      <c r="I68" s="280"/>
      <c r="J68" s="264" t="str">
        <f t="shared" si="0"/>
        <v>답공</v>
      </c>
      <c r="K68" s="267">
        <v>9310</v>
      </c>
      <c r="L68" s="266"/>
      <c r="M68" s="266"/>
      <c r="N68" s="266"/>
      <c r="O68" s="266"/>
      <c r="P68" s="266"/>
      <c r="Q68" s="266"/>
      <c r="R68" s="268"/>
    </row>
    <row r="69" spans="1:18" ht="30" customHeight="1">
      <c r="A69" s="204">
        <v>64</v>
      </c>
      <c r="B69" s="202" t="s">
        <v>356</v>
      </c>
      <c r="C69" s="202"/>
      <c r="D69" s="202" t="s">
        <v>89</v>
      </c>
      <c r="E69" s="304">
        <v>1357</v>
      </c>
      <c r="F69" s="211">
        <v>1357</v>
      </c>
      <c r="G69" s="203" t="s">
        <v>994</v>
      </c>
      <c r="H69" s="203" t="s">
        <v>995</v>
      </c>
      <c r="I69" s="280"/>
      <c r="J69" s="264" t="str">
        <f t="shared" si="0"/>
        <v>답공</v>
      </c>
      <c r="K69" s="267">
        <v>8650</v>
      </c>
      <c r="L69" s="266"/>
      <c r="M69" s="266"/>
      <c r="N69" s="266"/>
      <c r="O69" s="266"/>
      <c r="P69" s="266"/>
      <c r="Q69" s="266"/>
      <c r="R69" s="268"/>
    </row>
    <row r="70" spans="1:18" ht="30" customHeight="1">
      <c r="A70" s="204">
        <v>65</v>
      </c>
      <c r="B70" s="202" t="s">
        <v>357</v>
      </c>
      <c r="C70" s="202"/>
      <c r="D70" s="202" t="s">
        <v>89</v>
      </c>
      <c r="E70" s="304">
        <v>37</v>
      </c>
      <c r="F70" s="211">
        <v>37</v>
      </c>
      <c r="G70" s="203" t="s">
        <v>994</v>
      </c>
      <c r="H70" s="203" t="s">
        <v>995</v>
      </c>
      <c r="I70" s="280"/>
      <c r="J70" s="264" t="str">
        <f t="shared" si="0"/>
        <v>답공</v>
      </c>
      <c r="K70" s="267">
        <v>9110</v>
      </c>
      <c r="L70" s="266"/>
      <c r="M70" s="266"/>
      <c r="N70" s="266"/>
      <c r="O70" s="266"/>
      <c r="P70" s="266"/>
      <c r="Q70" s="266"/>
      <c r="R70" s="268"/>
    </row>
    <row r="71" spans="1:18" ht="30" customHeight="1">
      <c r="A71" s="204">
        <v>66</v>
      </c>
      <c r="B71" s="202" t="s">
        <v>809</v>
      </c>
      <c r="C71" s="202"/>
      <c r="D71" s="202" t="s">
        <v>87</v>
      </c>
      <c r="E71" s="304">
        <v>171.2</v>
      </c>
      <c r="F71" s="211">
        <v>171.2</v>
      </c>
      <c r="G71" s="203" t="s">
        <v>98</v>
      </c>
      <c r="H71" s="203" t="s">
        <v>101</v>
      </c>
      <c r="I71" s="280"/>
      <c r="J71" s="264" t="str">
        <f t="shared" ref="J71:J134" si="1">CONCATENATE(D71,G71)</f>
        <v>구국</v>
      </c>
      <c r="K71" s="267"/>
      <c r="L71" s="266"/>
      <c r="M71" s="266"/>
      <c r="N71" s="266"/>
      <c r="O71" s="266"/>
      <c r="P71" s="266"/>
      <c r="Q71" s="266"/>
      <c r="R71" s="268"/>
    </row>
    <row r="72" spans="1:18" ht="30" customHeight="1">
      <c r="A72" s="204">
        <v>67</v>
      </c>
      <c r="B72" s="202" t="s">
        <v>810</v>
      </c>
      <c r="C72" s="202"/>
      <c r="D72" s="202" t="s">
        <v>85</v>
      </c>
      <c r="E72" s="304">
        <v>44</v>
      </c>
      <c r="F72" s="211">
        <v>44</v>
      </c>
      <c r="G72" s="203" t="s">
        <v>994</v>
      </c>
      <c r="H72" s="203" t="s">
        <v>995</v>
      </c>
      <c r="I72" s="280"/>
      <c r="J72" s="264" t="str">
        <f t="shared" si="1"/>
        <v>전공</v>
      </c>
      <c r="K72" s="267">
        <v>11100</v>
      </c>
      <c r="L72" s="266"/>
      <c r="M72" s="266"/>
      <c r="N72" s="266"/>
      <c r="O72" s="266"/>
      <c r="P72" s="266"/>
      <c r="Q72" s="266"/>
      <c r="R72" s="268"/>
    </row>
    <row r="73" spans="1:18" ht="30" customHeight="1">
      <c r="A73" s="204">
        <v>68</v>
      </c>
      <c r="B73" s="202" t="s">
        <v>358</v>
      </c>
      <c r="C73" s="202"/>
      <c r="D73" s="202" t="s">
        <v>87</v>
      </c>
      <c r="E73" s="304">
        <v>356</v>
      </c>
      <c r="F73" s="211">
        <v>356</v>
      </c>
      <c r="G73" s="203" t="s">
        <v>98</v>
      </c>
      <c r="H73" s="203" t="s">
        <v>101</v>
      </c>
      <c r="I73" s="280"/>
      <c r="J73" s="264" t="str">
        <f t="shared" si="1"/>
        <v>구국</v>
      </c>
      <c r="K73" s="267"/>
      <c r="L73" s="266"/>
      <c r="M73" s="266"/>
      <c r="N73" s="266"/>
      <c r="O73" s="266"/>
      <c r="P73" s="266"/>
      <c r="Q73" s="266"/>
      <c r="R73" s="268"/>
    </row>
    <row r="74" spans="1:18" ht="30" customHeight="1">
      <c r="A74" s="204">
        <v>69</v>
      </c>
      <c r="B74" s="202" t="s">
        <v>359</v>
      </c>
      <c r="C74" s="202"/>
      <c r="D74" s="202" t="s">
        <v>89</v>
      </c>
      <c r="E74" s="304">
        <v>691</v>
      </c>
      <c r="F74" s="211">
        <v>691</v>
      </c>
      <c r="G74" s="203" t="s">
        <v>994</v>
      </c>
      <c r="H74" s="203" t="s">
        <v>995</v>
      </c>
      <c r="I74" s="280"/>
      <c r="J74" s="264" t="str">
        <f t="shared" si="1"/>
        <v>답공</v>
      </c>
      <c r="K74" s="267">
        <v>9060</v>
      </c>
      <c r="L74" s="266"/>
      <c r="M74" s="266"/>
      <c r="N74" s="266"/>
      <c r="O74" s="266"/>
      <c r="P74" s="266"/>
      <c r="Q74" s="266"/>
      <c r="R74" s="268"/>
    </row>
    <row r="75" spans="1:18" ht="30" customHeight="1">
      <c r="A75" s="204">
        <v>70</v>
      </c>
      <c r="B75" s="202" t="s">
        <v>360</v>
      </c>
      <c r="C75" s="202"/>
      <c r="D75" s="202" t="s">
        <v>85</v>
      </c>
      <c r="E75" s="304">
        <v>173</v>
      </c>
      <c r="F75" s="211">
        <v>173</v>
      </c>
      <c r="G75" s="203" t="s">
        <v>994</v>
      </c>
      <c r="H75" s="203" t="s">
        <v>995</v>
      </c>
      <c r="I75" s="280"/>
      <c r="J75" s="264" t="str">
        <f t="shared" si="1"/>
        <v>전공</v>
      </c>
      <c r="K75" s="267">
        <v>11100</v>
      </c>
      <c r="L75" s="266"/>
      <c r="M75" s="266"/>
      <c r="N75" s="266"/>
      <c r="O75" s="266"/>
      <c r="P75" s="266"/>
      <c r="Q75" s="266"/>
      <c r="R75" s="268"/>
    </row>
    <row r="76" spans="1:18" ht="30" customHeight="1">
      <c r="A76" s="204">
        <v>71</v>
      </c>
      <c r="B76" s="202" t="s">
        <v>811</v>
      </c>
      <c r="C76" s="202"/>
      <c r="D76" s="202" t="s">
        <v>85</v>
      </c>
      <c r="E76" s="304">
        <v>197</v>
      </c>
      <c r="F76" s="211">
        <v>197</v>
      </c>
      <c r="G76" s="203" t="s">
        <v>994</v>
      </c>
      <c r="H76" s="203" t="s">
        <v>995</v>
      </c>
      <c r="I76" s="280"/>
      <c r="J76" s="264" t="str">
        <f t="shared" si="1"/>
        <v>전공</v>
      </c>
      <c r="K76" s="267">
        <v>11100</v>
      </c>
      <c r="L76" s="266"/>
      <c r="M76" s="266"/>
      <c r="N76" s="266"/>
      <c r="O76" s="266"/>
      <c r="P76" s="266"/>
      <c r="Q76" s="266"/>
      <c r="R76" s="268"/>
    </row>
    <row r="77" spans="1:18" ht="30" customHeight="1">
      <c r="A77" s="204">
        <v>72</v>
      </c>
      <c r="B77" s="202" t="s">
        <v>726</v>
      </c>
      <c r="C77" s="202"/>
      <c r="D77" s="202" t="s">
        <v>90</v>
      </c>
      <c r="E77" s="304">
        <v>39</v>
      </c>
      <c r="F77" s="211">
        <v>39</v>
      </c>
      <c r="G77" s="203" t="s">
        <v>994</v>
      </c>
      <c r="H77" s="203" t="s">
        <v>995</v>
      </c>
      <c r="I77" s="280"/>
      <c r="J77" s="264" t="str">
        <f t="shared" si="1"/>
        <v>대공</v>
      </c>
      <c r="K77" s="267">
        <v>12400</v>
      </c>
      <c r="L77" s="266"/>
      <c r="M77" s="266"/>
      <c r="N77" s="266"/>
      <c r="O77" s="266"/>
      <c r="P77" s="266"/>
      <c r="Q77" s="266"/>
      <c r="R77" s="268"/>
    </row>
    <row r="78" spans="1:18" ht="30" customHeight="1">
      <c r="A78" s="204">
        <v>73</v>
      </c>
      <c r="B78" s="202" t="s">
        <v>361</v>
      </c>
      <c r="C78" s="202"/>
      <c r="D78" s="202" t="s">
        <v>90</v>
      </c>
      <c r="E78" s="304">
        <v>22</v>
      </c>
      <c r="F78" s="211">
        <v>22</v>
      </c>
      <c r="G78" s="203" t="s">
        <v>994</v>
      </c>
      <c r="H78" s="203" t="s">
        <v>995</v>
      </c>
      <c r="I78" s="280"/>
      <c r="J78" s="264" t="str">
        <f t="shared" si="1"/>
        <v>대공</v>
      </c>
      <c r="K78" s="267">
        <v>12400</v>
      </c>
      <c r="L78" s="266"/>
      <c r="M78" s="266"/>
      <c r="N78" s="266"/>
      <c r="O78" s="266"/>
      <c r="P78" s="266"/>
      <c r="Q78" s="266"/>
      <c r="R78" s="268"/>
    </row>
    <row r="79" spans="1:18" ht="30" customHeight="1">
      <c r="A79" s="204">
        <v>74</v>
      </c>
      <c r="B79" s="202" t="s">
        <v>812</v>
      </c>
      <c r="C79" s="202"/>
      <c r="D79" s="202" t="s">
        <v>84</v>
      </c>
      <c r="E79" s="304">
        <v>1567</v>
      </c>
      <c r="F79" s="211">
        <v>120</v>
      </c>
      <c r="G79" s="203" t="s">
        <v>98</v>
      </c>
      <c r="H79" s="203" t="s">
        <v>102</v>
      </c>
      <c r="I79" s="280"/>
      <c r="J79" s="264" t="str">
        <f t="shared" si="1"/>
        <v>도국</v>
      </c>
      <c r="K79" s="267"/>
      <c r="L79" s="266"/>
      <c r="M79" s="266"/>
      <c r="N79" s="266"/>
      <c r="O79" s="266"/>
      <c r="P79" s="266"/>
      <c r="Q79" s="266"/>
      <c r="R79" s="268"/>
    </row>
    <row r="80" spans="1:18" ht="30" customHeight="1">
      <c r="A80" s="204">
        <v>75</v>
      </c>
      <c r="B80" s="202" t="s">
        <v>362</v>
      </c>
      <c r="C80" s="202"/>
      <c r="D80" s="202" t="s">
        <v>85</v>
      </c>
      <c r="E80" s="304">
        <v>1184</v>
      </c>
      <c r="F80" s="211">
        <v>1184</v>
      </c>
      <c r="G80" s="203" t="s">
        <v>994</v>
      </c>
      <c r="H80" s="203" t="s">
        <v>995</v>
      </c>
      <c r="I80" s="280"/>
      <c r="J80" s="264" t="str">
        <f t="shared" si="1"/>
        <v>전공</v>
      </c>
      <c r="K80" s="267">
        <v>10700</v>
      </c>
      <c r="L80" s="266"/>
      <c r="M80" s="266"/>
      <c r="N80" s="266"/>
      <c r="O80" s="266"/>
      <c r="P80" s="266"/>
      <c r="Q80" s="266"/>
      <c r="R80" s="268"/>
    </row>
    <row r="81" spans="1:18" ht="30" customHeight="1">
      <c r="A81" s="204">
        <v>76</v>
      </c>
      <c r="B81" s="202" t="s">
        <v>363</v>
      </c>
      <c r="C81" s="202"/>
      <c r="D81" s="202" t="s">
        <v>90</v>
      </c>
      <c r="E81" s="304">
        <v>10</v>
      </c>
      <c r="F81" s="211">
        <v>10</v>
      </c>
      <c r="G81" s="203" t="s">
        <v>994</v>
      </c>
      <c r="H81" s="203" t="s">
        <v>995</v>
      </c>
      <c r="I81" s="280"/>
      <c r="J81" s="264" t="str">
        <f t="shared" si="1"/>
        <v>대공</v>
      </c>
      <c r="K81" s="267">
        <v>12400</v>
      </c>
      <c r="L81" s="266"/>
      <c r="M81" s="266"/>
      <c r="N81" s="266"/>
      <c r="O81" s="266"/>
      <c r="P81" s="266"/>
      <c r="Q81" s="266"/>
      <c r="R81" s="268"/>
    </row>
    <row r="82" spans="1:18" ht="30" customHeight="1">
      <c r="A82" s="204">
        <v>77</v>
      </c>
      <c r="B82" s="202" t="s">
        <v>813</v>
      </c>
      <c r="C82" s="202"/>
      <c r="D82" s="202" t="s">
        <v>85</v>
      </c>
      <c r="E82" s="304">
        <v>489</v>
      </c>
      <c r="F82" s="211">
        <v>489</v>
      </c>
      <c r="G82" s="203" t="s">
        <v>994</v>
      </c>
      <c r="H82" s="203" t="s">
        <v>995</v>
      </c>
      <c r="I82" s="280"/>
      <c r="J82" s="264" t="str">
        <f t="shared" si="1"/>
        <v>전공</v>
      </c>
      <c r="K82" s="267">
        <v>9990</v>
      </c>
      <c r="L82" s="266"/>
      <c r="M82" s="266"/>
      <c r="N82" s="266"/>
      <c r="O82" s="266"/>
      <c r="P82" s="266"/>
      <c r="Q82" s="266"/>
      <c r="R82" s="268"/>
    </row>
    <row r="83" spans="1:18" ht="30" customHeight="1">
      <c r="A83" s="204">
        <v>78</v>
      </c>
      <c r="B83" s="202" t="s">
        <v>364</v>
      </c>
      <c r="C83" s="202"/>
      <c r="D83" s="202" t="s">
        <v>85</v>
      </c>
      <c r="E83" s="304">
        <v>196</v>
      </c>
      <c r="F83" s="211">
        <v>196</v>
      </c>
      <c r="G83" s="203" t="s">
        <v>994</v>
      </c>
      <c r="H83" s="203" t="s">
        <v>995</v>
      </c>
      <c r="I83" s="280"/>
      <c r="J83" s="264" t="str">
        <f t="shared" si="1"/>
        <v>전공</v>
      </c>
      <c r="K83" s="267">
        <v>9990</v>
      </c>
      <c r="L83" s="266"/>
      <c r="M83" s="266"/>
      <c r="N83" s="266"/>
      <c r="O83" s="266"/>
      <c r="P83" s="266"/>
      <c r="Q83" s="266"/>
      <c r="R83" s="268"/>
    </row>
    <row r="84" spans="1:18" ht="30" customHeight="1">
      <c r="A84" s="204">
        <v>79</v>
      </c>
      <c r="B84" s="202" t="s">
        <v>1102</v>
      </c>
      <c r="C84" s="202"/>
      <c r="D84" s="202" t="s">
        <v>85</v>
      </c>
      <c r="E84" s="304">
        <v>1301</v>
      </c>
      <c r="F84" s="211">
        <v>1301</v>
      </c>
      <c r="G84" s="203" t="s">
        <v>994</v>
      </c>
      <c r="H84" s="203" t="s">
        <v>995</v>
      </c>
      <c r="I84" s="280"/>
      <c r="J84" s="264" t="str">
        <f t="shared" si="1"/>
        <v>전공</v>
      </c>
      <c r="K84" s="267">
        <v>9490</v>
      </c>
      <c r="L84" s="266"/>
      <c r="M84" s="266"/>
      <c r="N84" s="266"/>
      <c r="O84" s="266"/>
      <c r="P84" s="266"/>
      <c r="Q84" s="266"/>
      <c r="R84" s="268"/>
    </row>
    <row r="85" spans="1:18" ht="30" customHeight="1">
      <c r="A85" s="204">
        <v>80</v>
      </c>
      <c r="B85" s="202" t="s">
        <v>365</v>
      </c>
      <c r="C85" s="202"/>
      <c r="D85" s="202" t="s">
        <v>85</v>
      </c>
      <c r="E85" s="304">
        <v>974</v>
      </c>
      <c r="F85" s="211">
        <v>974</v>
      </c>
      <c r="G85" s="203" t="s">
        <v>994</v>
      </c>
      <c r="H85" s="203" t="s">
        <v>995</v>
      </c>
      <c r="I85" s="280"/>
      <c r="J85" s="264" t="str">
        <f t="shared" si="1"/>
        <v>전공</v>
      </c>
      <c r="K85" s="267">
        <v>9490</v>
      </c>
      <c r="L85" s="266"/>
      <c r="M85" s="266"/>
      <c r="N85" s="266"/>
      <c r="O85" s="266"/>
      <c r="P85" s="266"/>
      <c r="Q85" s="266"/>
      <c r="R85" s="268"/>
    </row>
    <row r="86" spans="1:18" ht="30" customHeight="1">
      <c r="A86" s="204">
        <v>81</v>
      </c>
      <c r="B86" s="202" t="s">
        <v>733</v>
      </c>
      <c r="C86" s="202"/>
      <c r="D86" s="202" t="s">
        <v>135</v>
      </c>
      <c r="E86" s="304">
        <v>549</v>
      </c>
      <c r="F86" s="211">
        <v>549</v>
      </c>
      <c r="G86" s="203" t="s">
        <v>994</v>
      </c>
      <c r="H86" s="203" t="s">
        <v>995</v>
      </c>
      <c r="I86" s="280"/>
      <c r="J86" s="264" t="str">
        <f t="shared" si="1"/>
        <v>임공</v>
      </c>
      <c r="K86" s="267">
        <v>8920</v>
      </c>
      <c r="L86" s="266"/>
      <c r="M86" s="266"/>
      <c r="N86" s="266"/>
      <c r="O86" s="266"/>
      <c r="P86" s="266"/>
      <c r="Q86" s="266"/>
      <c r="R86" s="268"/>
    </row>
    <row r="87" spans="1:18" ht="30" customHeight="1">
      <c r="A87" s="204">
        <v>82</v>
      </c>
      <c r="B87" s="202" t="s">
        <v>93</v>
      </c>
      <c r="C87" s="202"/>
      <c r="D87" s="202" t="s">
        <v>85</v>
      </c>
      <c r="E87" s="304">
        <v>1180</v>
      </c>
      <c r="F87" s="211">
        <v>1180</v>
      </c>
      <c r="G87" s="203" t="s">
        <v>994</v>
      </c>
      <c r="H87" s="203" t="s">
        <v>995</v>
      </c>
      <c r="I87" s="280"/>
      <c r="J87" s="264" t="str">
        <f t="shared" si="1"/>
        <v>전공</v>
      </c>
      <c r="K87" s="267">
        <v>9210</v>
      </c>
      <c r="L87" s="266"/>
      <c r="M87" s="266"/>
      <c r="N87" s="266"/>
      <c r="O87" s="266"/>
      <c r="P87" s="266"/>
      <c r="Q87" s="266"/>
      <c r="R87" s="268"/>
    </row>
    <row r="88" spans="1:18" ht="30" customHeight="1">
      <c r="A88" s="204">
        <v>83</v>
      </c>
      <c r="B88" s="202" t="s">
        <v>367</v>
      </c>
      <c r="C88" s="202"/>
      <c r="D88" s="202" t="s">
        <v>135</v>
      </c>
      <c r="E88" s="304">
        <v>815</v>
      </c>
      <c r="F88" s="211">
        <v>815</v>
      </c>
      <c r="G88" s="203" t="s">
        <v>994</v>
      </c>
      <c r="H88" s="203" t="s">
        <v>995</v>
      </c>
      <c r="I88" s="280"/>
      <c r="J88" s="264" t="str">
        <f t="shared" si="1"/>
        <v>임공</v>
      </c>
      <c r="K88" s="267">
        <v>7880</v>
      </c>
      <c r="L88" s="266"/>
      <c r="M88" s="266"/>
      <c r="N88" s="266"/>
      <c r="O88" s="266"/>
      <c r="P88" s="266"/>
      <c r="Q88" s="266"/>
      <c r="R88" s="268"/>
    </row>
    <row r="89" spans="1:18" ht="30" customHeight="1">
      <c r="A89" s="204">
        <v>84</v>
      </c>
      <c r="B89" s="202" t="s">
        <v>368</v>
      </c>
      <c r="C89" s="202"/>
      <c r="D89" s="202" t="s">
        <v>89</v>
      </c>
      <c r="E89" s="304">
        <v>89.2</v>
      </c>
      <c r="F89" s="211">
        <v>89.2</v>
      </c>
      <c r="G89" s="203" t="s">
        <v>994</v>
      </c>
      <c r="H89" s="203" t="s">
        <v>995</v>
      </c>
      <c r="I89" s="280"/>
      <c r="J89" s="264" t="str">
        <f t="shared" si="1"/>
        <v>답공</v>
      </c>
      <c r="K89" s="267">
        <v>9000</v>
      </c>
      <c r="L89" s="266"/>
      <c r="M89" s="266"/>
      <c r="N89" s="266"/>
      <c r="O89" s="266"/>
      <c r="P89" s="266"/>
      <c r="Q89" s="266"/>
      <c r="R89" s="268"/>
    </row>
    <row r="90" spans="1:18" ht="30" customHeight="1">
      <c r="A90" s="204">
        <v>85</v>
      </c>
      <c r="B90" s="202" t="s">
        <v>369</v>
      </c>
      <c r="C90" s="202"/>
      <c r="D90" s="202" t="s">
        <v>89</v>
      </c>
      <c r="E90" s="304">
        <v>2297.6999999999998</v>
      </c>
      <c r="F90" s="211">
        <v>2297.6999999999998</v>
      </c>
      <c r="G90" s="203" t="s">
        <v>994</v>
      </c>
      <c r="H90" s="203" t="s">
        <v>995</v>
      </c>
      <c r="I90" s="280"/>
      <c r="J90" s="264" t="str">
        <f t="shared" si="1"/>
        <v>답공</v>
      </c>
      <c r="K90" s="267">
        <v>9000</v>
      </c>
      <c r="L90" s="266"/>
      <c r="M90" s="266"/>
      <c r="N90" s="266"/>
      <c r="O90" s="266"/>
      <c r="P90" s="266"/>
      <c r="Q90" s="266"/>
      <c r="R90" s="268"/>
    </row>
    <row r="91" spans="1:18" ht="30" customHeight="1">
      <c r="A91" s="204">
        <v>86</v>
      </c>
      <c r="B91" s="202" t="s">
        <v>817</v>
      </c>
      <c r="C91" s="202"/>
      <c r="D91" s="202" t="s">
        <v>87</v>
      </c>
      <c r="E91" s="304">
        <v>241</v>
      </c>
      <c r="F91" s="211">
        <v>241</v>
      </c>
      <c r="G91" s="203" t="s">
        <v>98</v>
      </c>
      <c r="H91" s="203" t="s">
        <v>101</v>
      </c>
      <c r="I91" s="280"/>
      <c r="J91" s="264" t="str">
        <f t="shared" si="1"/>
        <v>구국</v>
      </c>
      <c r="K91" s="267"/>
      <c r="L91" s="266"/>
      <c r="M91" s="266"/>
      <c r="N91" s="266"/>
      <c r="O91" s="266"/>
      <c r="P91" s="266"/>
      <c r="Q91" s="266"/>
      <c r="R91" s="268"/>
    </row>
    <row r="92" spans="1:18" ht="30" customHeight="1">
      <c r="A92" s="204">
        <v>87</v>
      </c>
      <c r="B92" s="202" t="s">
        <v>370</v>
      </c>
      <c r="C92" s="202"/>
      <c r="D92" s="202" t="s">
        <v>87</v>
      </c>
      <c r="E92" s="304">
        <v>346.9</v>
      </c>
      <c r="F92" s="211">
        <v>346.9</v>
      </c>
      <c r="G92" s="203" t="s">
        <v>98</v>
      </c>
      <c r="H92" s="203" t="s">
        <v>101</v>
      </c>
      <c r="I92" s="280"/>
      <c r="J92" s="264" t="str">
        <f t="shared" si="1"/>
        <v>구국</v>
      </c>
      <c r="K92" s="267"/>
      <c r="L92" s="266"/>
      <c r="M92" s="266"/>
      <c r="N92" s="266"/>
      <c r="O92" s="266"/>
      <c r="P92" s="266"/>
      <c r="Q92" s="266"/>
      <c r="R92" s="268"/>
    </row>
    <row r="93" spans="1:18" ht="30" customHeight="1">
      <c r="A93" s="204">
        <v>88</v>
      </c>
      <c r="B93" s="202" t="s">
        <v>371</v>
      </c>
      <c r="C93" s="202"/>
      <c r="D93" s="202" t="s">
        <v>135</v>
      </c>
      <c r="E93" s="304">
        <v>2573</v>
      </c>
      <c r="F93" s="211">
        <v>2612</v>
      </c>
      <c r="G93" s="203" t="s">
        <v>0</v>
      </c>
      <c r="H93" s="203" t="s">
        <v>7</v>
      </c>
      <c r="I93" s="280"/>
      <c r="J93" s="264" t="str">
        <f t="shared" si="1"/>
        <v>임공</v>
      </c>
      <c r="K93" s="267"/>
      <c r="L93" s="266"/>
      <c r="M93" s="266"/>
      <c r="N93" s="266"/>
      <c r="O93" s="266"/>
      <c r="P93" s="266"/>
      <c r="Q93" s="266"/>
      <c r="R93" s="268"/>
    </row>
    <row r="94" spans="1:18" ht="30" customHeight="1">
      <c r="A94" s="204">
        <v>89</v>
      </c>
      <c r="B94" s="202" t="s">
        <v>372</v>
      </c>
      <c r="C94" s="202"/>
      <c r="D94" s="202" t="s">
        <v>84</v>
      </c>
      <c r="E94" s="304">
        <v>115</v>
      </c>
      <c r="F94" s="211">
        <v>115</v>
      </c>
      <c r="G94" s="203" t="s">
        <v>0</v>
      </c>
      <c r="H94" s="203" t="s">
        <v>7</v>
      </c>
      <c r="I94" s="280"/>
      <c r="J94" s="264" t="str">
        <f t="shared" si="1"/>
        <v>도공</v>
      </c>
      <c r="K94" s="267"/>
      <c r="L94" s="266"/>
      <c r="M94" s="266"/>
      <c r="N94" s="266"/>
      <c r="O94" s="266"/>
      <c r="P94" s="266"/>
      <c r="Q94" s="266"/>
      <c r="R94" s="268"/>
    </row>
    <row r="95" spans="1:18" ht="30" customHeight="1">
      <c r="A95" s="204">
        <v>90</v>
      </c>
      <c r="B95" s="202" t="s">
        <v>373</v>
      </c>
      <c r="C95" s="202"/>
      <c r="D95" s="202" t="s">
        <v>85</v>
      </c>
      <c r="E95" s="304">
        <v>115</v>
      </c>
      <c r="F95" s="211">
        <v>115</v>
      </c>
      <c r="G95" s="203" t="s">
        <v>0</v>
      </c>
      <c r="H95" s="203" t="s">
        <v>7</v>
      </c>
      <c r="I95" s="280"/>
      <c r="J95" s="264" t="str">
        <f t="shared" si="1"/>
        <v>전공</v>
      </c>
      <c r="K95" s="267"/>
      <c r="L95" s="266"/>
      <c r="M95" s="266"/>
      <c r="N95" s="266"/>
      <c r="O95" s="266"/>
      <c r="P95" s="266"/>
      <c r="Q95" s="266"/>
      <c r="R95" s="268"/>
    </row>
    <row r="96" spans="1:18" ht="30" customHeight="1">
      <c r="A96" s="204">
        <v>91</v>
      </c>
      <c r="B96" s="202" t="s">
        <v>374</v>
      </c>
      <c r="C96" s="202"/>
      <c r="D96" s="202" t="s">
        <v>84</v>
      </c>
      <c r="E96" s="304">
        <v>331</v>
      </c>
      <c r="F96" s="211">
        <v>331</v>
      </c>
      <c r="G96" s="203" t="s">
        <v>0</v>
      </c>
      <c r="H96" s="203" t="s">
        <v>7</v>
      </c>
      <c r="I96" s="280"/>
      <c r="J96" s="264" t="str">
        <f t="shared" si="1"/>
        <v>도공</v>
      </c>
      <c r="K96" s="267"/>
      <c r="L96" s="266"/>
      <c r="M96" s="266"/>
      <c r="N96" s="266"/>
      <c r="O96" s="266"/>
      <c r="P96" s="266"/>
      <c r="Q96" s="266"/>
      <c r="R96" s="268"/>
    </row>
    <row r="97" spans="1:18" ht="30" customHeight="1">
      <c r="A97" s="204">
        <v>92</v>
      </c>
      <c r="B97" s="202" t="s">
        <v>818</v>
      </c>
      <c r="C97" s="202"/>
      <c r="D97" s="202" t="s">
        <v>135</v>
      </c>
      <c r="E97" s="304">
        <v>25</v>
      </c>
      <c r="F97" s="211">
        <v>25</v>
      </c>
      <c r="G97" s="203" t="s">
        <v>0</v>
      </c>
      <c r="H97" s="203" t="s">
        <v>7</v>
      </c>
      <c r="I97" s="280"/>
      <c r="J97" s="264" t="str">
        <f t="shared" si="1"/>
        <v>임공</v>
      </c>
      <c r="K97" s="267"/>
      <c r="L97" s="266"/>
      <c r="M97" s="266"/>
      <c r="N97" s="266"/>
      <c r="O97" s="266"/>
      <c r="P97" s="266"/>
      <c r="Q97" s="266"/>
      <c r="R97" s="268"/>
    </row>
    <row r="98" spans="1:18" ht="30" customHeight="1">
      <c r="A98" s="204">
        <v>93</v>
      </c>
      <c r="B98" s="202" t="s">
        <v>375</v>
      </c>
      <c r="C98" s="202"/>
      <c r="D98" s="202" t="s">
        <v>84</v>
      </c>
      <c r="E98" s="304">
        <v>1004</v>
      </c>
      <c r="F98" s="211">
        <v>1004</v>
      </c>
      <c r="G98" s="203" t="s">
        <v>0</v>
      </c>
      <c r="H98" s="203" t="s">
        <v>7</v>
      </c>
      <c r="I98" s="280"/>
      <c r="J98" s="264" t="str">
        <f t="shared" si="1"/>
        <v>도공</v>
      </c>
      <c r="K98" s="267"/>
      <c r="L98" s="266"/>
      <c r="M98" s="266"/>
      <c r="N98" s="266"/>
      <c r="O98" s="266"/>
      <c r="P98" s="266"/>
      <c r="Q98" s="266"/>
      <c r="R98" s="268"/>
    </row>
    <row r="99" spans="1:18" ht="30" customHeight="1">
      <c r="A99" s="204">
        <v>94</v>
      </c>
      <c r="B99" s="202" t="s">
        <v>376</v>
      </c>
      <c r="C99" s="202"/>
      <c r="D99" s="202" t="s">
        <v>84</v>
      </c>
      <c r="E99" s="304">
        <v>60</v>
      </c>
      <c r="F99" s="211">
        <v>60</v>
      </c>
      <c r="G99" s="203" t="s">
        <v>98</v>
      </c>
      <c r="H99" s="203" t="s">
        <v>102</v>
      </c>
      <c r="I99" s="280"/>
      <c r="J99" s="264" t="str">
        <f t="shared" si="1"/>
        <v>도국</v>
      </c>
      <c r="K99" s="267"/>
      <c r="L99" s="266"/>
      <c r="M99" s="266"/>
      <c r="N99" s="266"/>
      <c r="O99" s="266"/>
      <c r="P99" s="266"/>
      <c r="Q99" s="266"/>
      <c r="R99" s="268"/>
    </row>
    <row r="100" spans="1:18" ht="30" customHeight="1">
      <c r="A100" s="204">
        <v>95</v>
      </c>
      <c r="B100" s="202" t="s">
        <v>377</v>
      </c>
      <c r="C100" s="202"/>
      <c r="D100" s="202" t="s">
        <v>84</v>
      </c>
      <c r="E100" s="304">
        <v>36</v>
      </c>
      <c r="F100" s="211">
        <v>36</v>
      </c>
      <c r="G100" s="203" t="s">
        <v>0</v>
      </c>
      <c r="H100" s="203" t="s">
        <v>7</v>
      </c>
      <c r="I100" s="280"/>
      <c r="J100" s="264" t="str">
        <f t="shared" si="1"/>
        <v>도공</v>
      </c>
      <c r="K100" s="267"/>
      <c r="L100" s="266"/>
      <c r="M100" s="266"/>
      <c r="N100" s="266"/>
      <c r="O100" s="266"/>
      <c r="P100" s="266"/>
      <c r="Q100" s="266"/>
      <c r="R100" s="268"/>
    </row>
    <row r="101" spans="1:18" ht="30" customHeight="1">
      <c r="A101" s="204">
        <v>96</v>
      </c>
      <c r="B101" s="202" t="s">
        <v>378</v>
      </c>
      <c r="C101" s="202"/>
      <c r="D101" s="202" t="s">
        <v>84</v>
      </c>
      <c r="E101" s="304">
        <v>92</v>
      </c>
      <c r="F101" s="211">
        <v>92</v>
      </c>
      <c r="G101" s="203" t="s">
        <v>0</v>
      </c>
      <c r="H101" s="203" t="s">
        <v>7</v>
      </c>
      <c r="I101" s="280"/>
      <c r="J101" s="264" t="str">
        <f t="shared" si="1"/>
        <v>도공</v>
      </c>
      <c r="K101" s="267"/>
      <c r="L101" s="266"/>
      <c r="M101" s="266"/>
      <c r="N101" s="266"/>
      <c r="O101" s="266"/>
      <c r="P101" s="266"/>
      <c r="Q101" s="266"/>
      <c r="R101" s="268"/>
    </row>
    <row r="102" spans="1:18" ht="30" customHeight="1">
      <c r="A102" s="204">
        <v>97</v>
      </c>
      <c r="B102" s="202" t="s">
        <v>379</v>
      </c>
      <c r="C102" s="202"/>
      <c r="D102" s="202" t="s">
        <v>84</v>
      </c>
      <c r="E102" s="304">
        <v>60</v>
      </c>
      <c r="F102" s="211">
        <v>60</v>
      </c>
      <c r="G102" s="203" t="s">
        <v>0</v>
      </c>
      <c r="H102" s="203" t="s">
        <v>99</v>
      </c>
      <c r="I102" s="280"/>
      <c r="J102" s="264" t="str">
        <f t="shared" si="1"/>
        <v>도공</v>
      </c>
      <c r="K102" s="267"/>
      <c r="L102" s="266"/>
      <c r="M102" s="266"/>
      <c r="N102" s="266"/>
      <c r="O102" s="266"/>
      <c r="P102" s="266"/>
      <c r="Q102" s="266"/>
      <c r="R102" s="268"/>
    </row>
    <row r="103" spans="1:18" ht="30" customHeight="1">
      <c r="A103" s="204">
        <v>98</v>
      </c>
      <c r="B103" s="202" t="s">
        <v>381</v>
      </c>
      <c r="C103" s="202"/>
      <c r="D103" s="202" t="s">
        <v>84</v>
      </c>
      <c r="E103" s="304">
        <v>30</v>
      </c>
      <c r="F103" s="211">
        <v>30</v>
      </c>
      <c r="G103" s="203" t="s">
        <v>994</v>
      </c>
      <c r="H103" s="203" t="s">
        <v>995</v>
      </c>
      <c r="I103" s="280"/>
      <c r="J103" s="264" t="str">
        <f t="shared" si="1"/>
        <v>도공</v>
      </c>
      <c r="K103" s="267"/>
      <c r="L103" s="266"/>
      <c r="M103" s="266"/>
      <c r="N103" s="266"/>
      <c r="O103" s="266"/>
      <c r="P103" s="266"/>
      <c r="Q103" s="266"/>
      <c r="R103" s="268"/>
    </row>
    <row r="104" spans="1:18" ht="30" customHeight="1">
      <c r="A104" s="204">
        <v>99</v>
      </c>
      <c r="B104" s="202" t="s">
        <v>185</v>
      </c>
      <c r="C104" s="202"/>
      <c r="D104" s="202" t="s">
        <v>84</v>
      </c>
      <c r="E104" s="304">
        <v>23</v>
      </c>
      <c r="F104" s="211">
        <v>23</v>
      </c>
      <c r="G104" s="203" t="s">
        <v>262</v>
      </c>
      <c r="H104" s="203" t="s">
        <v>263</v>
      </c>
      <c r="I104" s="280"/>
      <c r="J104" s="264" t="str">
        <f t="shared" si="1"/>
        <v>도이희순</v>
      </c>
      <c r="K104" s="267"/>
      <c r="L104" s="266"/>
      <c r="M104" s="266"/>
      <c r="N104" s="266"/>
      <c r="O104" s="266"/>
      <c r="P104" s="266"/>
      <c r="Q104" s="266"/>
      <c r="R104" s="268"/>
    </row>
    <row r="105" spans="1:18" ht="30" customHeight="1">
      <c r="A105" s="204">
        <v>100</v>
      </c>
      <c r="B105" s="202" t="s">
        <v>701</v>
      </c>
      <c r="C105" s="202"/>
      <c r="D105" s="202" t="s">
        <v>84</v>
      </c>
      <c r="E105" s="304">
        <v>36</v>
      </c>
      <c r="F105" s="211">
        <v>36</v>
      </c>
      <c r="G105" s="203" t="s">
        <v>264</v>
      </c>
      <c r="H105" s="203" t="s">
        <v>263</v>
      </c>
      <c r="I105" s="280"/>
      <c r="J105" s="264" t="str">
        <f t="shared" si="1"/>
        <v>도이용구</v>
      </c>
      <c r="K105" s="267"/>
      <c r="L105" s="266"/>
      <c r="M105" s="266"/>
      <c r="N105" s="266"/>
      <c r="O105" s="266"/>
      <c r="P105" s="266"/>
      <c r="Q105" s="266"/>
      <c r="R105" s="268"/>
    </row>
    <row r="106" spans="1:18" ht="30" customHeight="1">
      <c r="A106" s="204">
        <v>101</v>
      </c>
      <c r="B106" s="202" t="s">
        <v>186</v>
      </c>
      <c r="C106" s="202"/>
      <c r="D106" s="202" t="s">
        <v>84</v>
      </c>
      <c r="E106" s="304">
        <v>41</v>
      </c>
      <c r="F106" s="211">
        <v>41</v>
      </c>
      <c r="G106" s="203" t="s">
        <v>0</v>
      </c>
      <c r="H106" s="203" t="s">
        <v>7</v>
      </c>
      <c r="I106" s="280"/>
      <c r="J106" s="264" t="str">
        <f t="shared" si="1"/>
        <v>도공</v>
      </c>
      <c r="K106" s="265"/>
      <c r="L106" s="266"/>
      <c r="M106" s="266"/>
      <c r="N106" s="266"/>
      <c r="O106" s="266"/>
      <c r="P106" s="266"/>
      <c r="Q106" s="266"/>
      <c r="R106" s="266"/>
    </row>
    <row r="107" spans="1:18" ht="30" customHeight="1">
      <c r="A107" s="204">
        <v>102</v>
      </c>
      <c r="B107" s="202" t="s">
        <v>187</v>
      </c>
      <c r="C107" s="202"/>
      <c r="D107" s="202" t="s">
        <v>84</v>
      </c>
      <c r="E107" s="304">
        <v>103</v>
      </c>
      <c r="F107" s="211">
        <v>103</v>
      </c>
      <c r="G107" s="203" t="s">
        <v>994</v>
      </c>
      <c r="H107" s="203" t="s">
        <v>995</v>
      </c>
      <c r="I107" s="280"/>
      <c r="J107" s="264" t="str">
        <f t="shared" si="1"/>
        <v>도공</v>
      </c>
      <c r="K107" s="265"/>
      <c r="L107" s="266"/>
      <c r="M107" s="266"/>
      <c r="N107" s="266"/>
      <c r="O107" s="266"/>
      <c r="P107" s="266"/>
      <c r="Q107" s="266"/>
      <c r="R107" s="266"/>
    </row>
    <row r="108" spans="1:18" ht="30" customHeight="1">
      <c r="A108" s="204">
        <v>103</v>
      </c>
      <c r="B108" s="202" t="s">
        <v>188</v>
      </c>
      <c r="C108" s="202"/>
      <c r="D108" s="202" t="s">
        <v>84</v>
      </c>
      <c r="E108" s="304">
        <v>360</v>
      </c>
      <c r="F108" s="211">
        <v>360</v>
      </c>
      <c r="G108" s="203" t="s">
        <v>265</v>
      </c>
      <c r="H108" s="203" t="s">
        <v>263</v>
      </c>
      <c r="I108" s="280"/>
      <c r="J108" s="264" t="str">
        <f t="shared" si="1"/>
        <v xml:space="preserve">도이용구 </v>
      </c>
      <c r="K108" s="265"/>
      <c r="L108" s="266"/>
      <c r="M108" s="266"/>
      <c r="N108" s="266"/>
      <c r="O108" s="266"/>
      <c r="P108" s="266"/>
      <c r="Q108" s="266"/>
      <c r="R108" s="266"/>
    </row>
    <row r="109" spans="1:18" ht="30" customHeight="1">
      <c r="A109" s="204">
        <v>104</v>
      </c>
      <c r="B109" s="202" t="s">
        <v>189</v>
      </c>
      <c r="C109" s="202"/>
      <c r="D109" s="202" t="s">
        <v>84</v>
      </c>
      <c r="E109" s="304">
        <v>7</v>
      </c>
      <c r="F109" s="211">
        <v>7</v>
      </c>
      <c r="G109" s="203" t="s">
        <v>98</v>
      </c>
      <c r="H109" s="203" t="s">
        <v>102</v>
      </c>
      <c r="I109" s="280"/>
      <c r="J109" s="264" t="str">
        <f t="shared" si="1"/>
        <v>도국</v>
      </c>
      <c r="K109" s="265"/>
      <c r="L109" s="266"/>
      <c r="M109" s="266"/>
      <c r="N109" s="266"/>
      <c r="O109" s="266"/>
      <c r="P109" s="266"/>
      <c r="Q109" s="266"/>
      <c r="R109" s="266"/>
    </row>
    <row r="110" spans="1:18" ht="30" customHeight="1">
      <c r="A110" s="204">
        <v>105</v>
      </c>
      <c r="B110" s="202" t="s">
        <v>190</v>
      </c>
      <c r="C110" s="202"/>
      <c r="D110" s="202" t="s">
        <v>84</v>
      </c>
      <c r="E110" s="304">
        <v>196</v>
      </c>
      <c r="F110" s="211">
        <v>196</v>
      </c>
      <c r="G110" s="203" t="s">
        <v>0</v>
      </c>
      <c r="H110" s="203" t="s">
        <v>7</v>
      </c>
      <c r="I110" s="280"/>
      <c r="J110" s="264" t="str">
        <f t="shared" si="1"/>
        <v>도공</v>
      </c>
      <c r="K110" s="265"/>
      <c r="L110" s="266"/>
      <c r="M110" s="266"/>
      <c r="N110" s="266"/>
      <c r="O110" s="266"/>
      <c r="P110" s="266"/>
      <c r="Q110" s="266"/>
      <c r="R110" s="266"/>
    </row>
    <row r="111" spans="1:18" ht="30" customHeight="1">
      <c r="A111" s="204">
        <v>106</v>
      </c>
      <c r="B111" s="202" t="s">
        <v>191</v>
      </c>
      <c r="C111" s="202"/>
      <c r="D111" s="202" t="s">
        <v>84</v>
      </c>
      <c r="E111" s="304">
        <v>1322</v>
      </c>
      <c r="F111" s="211">
        <v>716</v>
      </c>
      <c r="G111" s="203" t="s">
        <v>98</v>
      </c>
      <c r="H111" s="203" t="s">
        <v>102</v>
      </c>
      <c r="I111" s="280"/>
      <c r="J111" s="264" t="str">
        <f t="shared" si="1"/>
        <v>도국</v>
      </c>
      <c r="K111" s="265"/>
      <c r="L111" s="266"/>
      <c r="M111" s="266"/>
      <c r="N111" s="266"/>
      <c r="O111" s="266"/>
      <c r="P111" s="266"/>
      <c r="Q111" s="266"/>
      <c r="R111" s="266"/>
    </row>
    <row r="112" spans="1:18" ht="30" customHeight="1">
      <c r="A112" s="204">
        <v>107</v>
      </c>
      <c r="B112" s="202" t="s">
        <v>192</v>
      </c>
      <c r="C112" s="202"/>
      <c r="D112" s="202" t="s">
        <v>84</v>
      </c>
      <c r="E112" s="304">
        <v>1094</v>
      </c>
      <c r="F112" s="211">
        <v>876</v>
      </c>
      <c r="G112" s="203" t="s">
        <v>98</v>
      </c>
      <c r="H112" s="203" t="s">
        <v>102</v>
      </c>
      <c r="I112" s="280"/>
      <c r="J112" s="264" t="str">
        <f t="shared" si="1"/>
        <v>도국</v>
      </c>
      <c r="K112" s="265"/>
      <c r="L112" s="266"/>
      <c r="M112" s="266"/>
      <c r="N112" s="266"/>
      <c r="O112" s="266"/>
      <c r="P112" s="266"/>
      <c r="Q112" s="266"/>
      <c r="R112" s="266"/>
    </row>
    <row r="113" spans="1:21" ht="30" customHeight="1">
      <c r="A113" s="204">
        <v>108</v>
      </c>
      <c r="B113" s="202" t="s">
        <v>193</v>
      </c>
      <c r="C113" s="202"/>
      <c r="D113" s="202" t="s">
        <v>84</v>
      </c>
      <c r="E113" s="304">
        <v>258</v>
      </c>
      <c r="F113" s="211">
        <v>258</v>
      </c>
      <c r="G113" s="203" t="s">
        <v>98</v>
      </c>
      <c r="H113" s="203" t="s">
        <v>102</v>
      </c>
      <c r="I113" s="280"/>
      <c r="J113" s="264" t="str">
        <f t="shared" si="1"/>
        <v>도국</v>
      </c>
      <c r="K113" s="265"/>
      <c r="L113" s="266"/>
      <c r="M113" s="266"/>
      <c r="N113" s="266"/>
      <c r="O113" s="266"/>
      <c r="P113" s="266"/>
      <c r="Q113" s="266"/>
      <c r="R113" s="266"/>
    </row>
    <row r="114" spans="1:21" ht="30" customHeight="1">
      <c r="A114" s="204">
        <v>109</v>
      </c>
      <c r="B114" s="202" t="s">
        <v>194</v>
      </c>
      <c r="C114" s="202"/>
      <c r="D114" s="202" t="s">
        <v>84</v>
      </c>
      <c r="E114" s="304">
        <v>43</v>
      </c>
      <c r="F114" s="211">
        <v>5</v>
      </c>
      <c r="G114" s="203" t="s">
        <v>0</v>
      </c>
      <c r="H114" s="203" t="s">
        <v>7</v>
      </c>
      <c r="I114" s="280"/>
      <c r="J114" s="264" t="str">
        <f t="shared" si="1"/>
        <v>도공</v>
      </c>
      <c r="K114" s="265"/>
      <c r="L114" s="266"/>
      <c r="M114" s="266"/>
      <c r="N114" s="266"/>
      <c r="O114" s="266"/>
      <c r="P114" s="266"/>
      <c r="Q114" s="266"/>
      <c r="R114" s="266"/>
    </row>
    <row r="115" spans="1:21" ht="30" customHeight="1">
      <c r="A115" s="204">
        <v>110</v>
      </c>
      <c r="B115" s="202" t="s">
        <v>195</v>
      </c>
      <c r="C115" s="202"/>
      <c r="D115" s="202" t="s">
        <v>84</v>
      </c>
      <c r="E115" s="304">
        <v>440</v>
      </c>
      <c r="F115" s="211">
        <v>288</v>
      </c>
      <c r="G115" s="203" t="s">
        <v>0</v>
      </c>
      <c r="H115" s="203" t="s">
        <v>7</v>
      </c>
      <c r="I115" s="280"/>
      <c r="J115" s="264" t="str">
        <f t="shared" si="1"/>
        <v>도공</v>
      </c>
      <c r="K115" s="265"/>
      <c r="L115" s="266"/>
      <c r="M115" s="266"/>
      <c r="N115" s="266"/>
      <c r="O115" s="266"/>
      <c r="P115" s="266"/>
      <c r="Q115" s="266"/>
      <c r="R115" s="266"/>
    </row>
    <row r="116" spans="1:21" ht="30" customHeight="1">
      <c r="A116" s="204">
        <v>111</v>
      </c>
      <c r="B116" s="202" t="s">
        <v>819</v>
      </c>
      <c r="C116" s="202"/>
      <c r="D116" s="202" t="s">
        <v>84</v>
      </c>
      <c r="E116" s="304">
        <v>562</v>
      </c>
      <c r="F116" s="211">
        <v>503</v>
      </c>
      <c r="G116" s="203" t="s">
        <v>98</v>
      </c>
      <c r="H116" s="203" t="s">
        <v>102</v>
      </c>
      <c r="I116" s="280"/>
      <c r="J116" s="264" t="str">
        <f t="shared" si="1"/>
        <v>도국</v>
      </c>
      <c r="K116" s="265"/>
      <c r="L116" s="266"/>
      <c r="M116" s="266"/>
      <c r="N116" s="266"/>
      <c r="O116" s="266"/>
      <c r="P116" s="266"/>
      <c r="Q116" s="266"/>
      <c r="R116" s="266"/>
    </row>
    <row r="117" spans="1:21" ht="30" customHeight="1">
      <c r="A117" s="204">
        <v>112</v>
      </c>
      <c r="B117" s="202" t="s">
        <v>196</v>
      </c>
      <c r="C117" s="202"/>
      <c r="D117" s="202" t="s">
        <v>84</v>
      </c>
      <c r="E117" s="304">
        <v>35</v>
      </c>
      <c r="F117" s="211">
        <v>19</v>
      </c>
      <c r="G117" s="203" t="s">
        <v>0</v>
      </c>
      <c r="H117" s="203" t="s">
        <v>7</v>
      </c>
      <c r="I117" s="280"/>
      <c r="J117" s="264" t="str">
        <f t="shared" si="1"/>
        <v>도공</v>
      </c>
      <c r="K117" s="265"/>
      <c r="L117" s="266"/>
      <c r="M117" s="266"/>
      <c r="N117" s="266"/>
      <c r="O117" s="266"/>
      <c r="P117" s="266"/>
      <c r="Q117" s="266"/>
      <c r="R117" s="266"/>
    </row>
    <row r="118" spans="1:21" ht="30" customHeight="1">
      <c r="A118" s="204">
        <v>113</v>
      </c>
      <c r="B118" s="202" t="s">
        <v>197</v>
      </c>
      <c r="C118" s="202"/>
      <c r="D118" s="202" t="s">
        <v>84</v>
      </c>
      <c r="E118" s="304">
        <v>93</v>
      </c>
      <c r="F118" s="211">
        <v>93</v>
      </c>
      <c r="G118" s="203" t="s">
        <v>266</v>
      </c>
      <c r="H118" s="203" t="s">
        <v>267</v>
      </c>
      <c r="I118" s="280"/>
      <c r="J118" s="264" t="str">
        <f t="shared" si="1"/>
        <v>도방산갑순</v>
      </c>
      <c r="K118" s="265"/>
      <c r="L118" s="266"/>
      <c r="M118" s="266"/>
      <c r="N118" s="266"/>
      <c r="O118" s="266"/>
      <c r="P118" s="266"/>
      <c r="Q118" s="266"/>
      <c r="R118" s="266"/>
    </row>
    <row r="119" spans="1:21" ht="30" customHeight="1">
      <c r="A119" s="204">
        <v>114</v>
      </c>
      <c r="B119" s="202" t="s">
        <v>820</v>
      </c>
      <c r="C119" s="202"/>
      <c r="D119" s="202" t="s">
        <v>84</v>
      </c>
      <c r="E119" s="304">
        <v>123</v>
      </c>
      <c r="F119" s="211">
        <v>123</v>
      </c>
      <c r="G119" s="203" t="s">
        <v>0</v>
      </c>
      <c r="H119" s="203" t="s">
        <v>7</v>
      </c>
      <c r="I119" s="280"/>
      <c r="J119" s="264" t="str">
        <f t="shared" si="1"/>
        <v>도공</v>
      </c>
      <c r="K119" s="265"/>
      <c r="L119" s="266"/>
      <c r="M119" s="266"/>
      <c r="N119" s="266"/>
      <c r="O119" s="266"/>
      <c r="P119" s="266"/>
      <c r="Q119" s="266"/>
      <c r="R119" s="266"/>
    </row>
    <row r="120" spans="1:21" ht="30" customHeight="1">
      <c r="A120" s="204">
        <v>115</v>
      </c>
      <c r="B120" s="202" t="s">
        <v>702</v>
      </c>
      <c r="C120" s="202"/>
      <c r="D120" s="202" t="s">
        <v>87</v>
      </c>
      <c r="E120" s="304">
        <v>7643</v>
      </c>
      <c r="F120" s="211">
        <v>118</v>
      </c>
      <c r="G120" s="203" t="s">
        <v>98</v>
      </c>
      <c r="H120" s="203" t="s">
        <v>101</v>
      </c>
      <c r="I120" s="280"/>
      <c r="J120" s="264" t="str">
        <f t="shared" si="1"/>
        <v>구국</v>
      </c>
      <c r="K120" s="265"/>
      <c r="L120" s="266"/>
      <c r="M120" s="266"/>
      <c r="N120" s="266"/>
      <c r="O120" s="266"/>
      <c r="P120" s="266"/>
      <c r="Q120" s="266"/>
      <c r="R120" s="266"/>
    </row>
    <row r="121" spans="1:21" ht="30" customHeight="1">
      <c r="A121" s="204">
        <v>116</v>
      </c>
      <c r="B121" s="202" t="s">
        <v>821</v>
      </c>
      <c r="C121" s="202"/>
      <c r="D121" s="202" t="s">
        <v>84</v>
      </c>
      <c r="E121" s="304">
        <v>281</v>
      </c>
      <c r="F121" s="211">
        <v>281</v>
      </c>
      <c r="G121" s="203" t="s">
        <v>98</v>
      </c>
      <c r="H121" s="203" t="s">
        <v>102</v>
      </c>
      <c r="I121" s="280"/>
      <c r="J121" s="264" t="str">
        <f t="shared" si="1"/>
        <v>도국</v>
      </c>
      <c r="K121" s="267"/>
      <c r="L121" s="266"/>
      <c r="M121" s="266"/>
      <c r="N121" s="266"/>
      <c r="O121" s="266"/>
      <c r="P121" s="266"/>
      <c r="Q121" s="266"/>
      <c r="R121" s="268"/>
    </row>
    <row r="122" spans="1:21" ht="30" customHeight="1">
      <c r="A122" s="204">
        <v>117</v>
      </c>
      <c r="B122" s="202" t="s">
        <v>198</v>
      </c>
      <c r="C122" s="202"/>
      <c r="D122" s="202" t="s">
        <v>84</v>
      </c>
      <c r="E122" s="304">
        <v>198</v>
      </c>
      <c r="F122" s="211">
        <v>198</v>
      </c>
      <c r="G122" s="203" t="s">
        <v>268</v>
      </c>
      <c r="H122" s="203" t="s">
        <v>269</v>
      </c>
      <c r="I122" s="280"/>
      <c r="J122" s="264" t="str">
        <f t="shared" si="1"/>
        <v>도이종천</v>
      </c>
      <c r="K122" s="267"/>
      <c r="L122" s="266"/>
      <c r="M122" s="266"/>
      <c r="N122" s="266"/>
      <c r="O122" s="266"/>
      <c r="P122" s="266"/>
      <c r="Q122" s="266"/>
      <c r="R122" s="268"/>
    </row>
    <row r="123" spans="1:21" ht="30" customHeight="1">
      <c r="A123" s="204">
        <v>118</v>
      </c>
      <c r="B123" s="202" t="s">
        <v>822</v>
      </c>
      <c r="C123" s="202"/>
      <c r="D123" s="202" t="s">
        <v>84</v>
      </c>
      <c r="E123" s="304">
        <v>484</v>
      </c>
      <c r="F123" s="211">
        <v>404</v>
      </c>
      <c r="G123" s="203" t="s">
        <v>0</v>
      </c>
      <c r="H123" s="203" t="s">
        <v>7</v>
      </c>
      <c r="I123" s="280"/>
      <c r="J123" s="264" t="str">
        <f t="shared" si="1"/>
        <v>도공</v>
      </c>
      <c r="K123" s="267"/>
      <c r="L123" s="266"/>
      <c r="M123" s="266"/>
      <c r="N123" s="266"/>
      <c r="O123" s="266"/>
      <c r="P123" s="266"/>
      <c r="Q123" s="266"/>
      <c r="R123" s="268"/>
    </row>
    <row r="124" spans="1:21" ht="30" customHeight="1">
      <c r="A124" s="204">
        <v>119</v>
      </c>
      <c r="B124" s="202" t="s">
        <v>199</v>
      </c>
      <c r="C124" s="202"/>
      <c r="D124" s="202" t="s">
        <v>84</v>
      </c>
      <c r="E124" s="304">
        <v>273</v>
      </c>
      <c r="F124" s="211">
        <v>125</v>
      </c>
      <c r="G124" s="203" t="s">
        <v>0</v>
      </c>
      <c r="H124" s="203" t="s">
        <v>7</v>
      </c>
      <c r="I124" s="280"/>
      <c r="J124" s="264" t="str">
        <f t="shared" si="1"/>
        <v>도공</v>
      </c>
      <c r="K124" s="267"/>
      <c r="L124" s="266"/>
      <c r="M124" s="266"/>
      <c r="N124" s="266"/>
      <c r="O124" s="266"/>
      <c r="P124" s="266"/>
      <c r="Q124" s="266"/>
      <c r="R124" s="268"/>
    </row>
    <row r="125" spans="1:21" ht="30" customHeight="1">
      <c r="A125" s="204">
        <v>120</v>
      </c>
      <c r="B125" s="202" t="s">
        <v>200</v>
      </c>
      <c r="C125" s="202"/>
      <c r="D125" s="202" t="s">
        <v>84</v>
      </c>
      <c r="E125" s="304">
        <v>654</v>
      </c>
      <c r="F125" s="211">
        <v>151</v>
      </c>
      <c r="G125" s="203" t="s">
        <v>0</v>
      </c>
      <c r="H125" s="203" t="s">
        <v>7</v>
      </c>
      <c r="I125" s="280"/>
      <c r="J125" s="264" t="str">
        <f t="shared" si="1"/>
        <v>도공</v>
      </c>
      <c r="K125" s="265"/>
      <c r="L125" s="266"/>
      <c r="M125" s="266"/>
      <c r="N125" s="266"/>
      <c r="O125" s="266"/>
      <c r="P125" s="266"/>
      <c r="Q125" s="266"/>
      <c r="R125" s="288"/>
      <c r="S125" s="266"/>
      <c r="T125" s="266"/>
      <c r="U125" s="266"/>
    </row>
    <row r="126" spans="1:21" ht="30" customHeight="1">
      <c r="A126" s="204">
        <v>121</v>
      </c>
      <c r="B126" s="202" t="s">
        <v>201</v>
      </c>
      <c r="C126" s="202"/>
      <c r="D126" s="202" t="s">
        <v>84</v>
      </c>
      <c r="E126" s="304">
        <v>524</v>
      </c>
      <c r="F126" s="211">
        <v>212</v>
      </c>
      <c r="G126" s="203" t="s">
        <v>0</v>
      </c>
      <c r="H126" s="203" t="s">
        <v>7</v>
      </c>
      <c r="I126" s="280"/>
      <c r="J126" s="264" t="str">
        <f t="shared" si="1"/>
        <v>도공</v>
      </c>
      <c r="K126" s="265"/>
      <c r="L126" s="266"/>
      <c r="M126" s="266"/>
      <c r="N126" s="266"/>
      <c r="O126" s="266"/>
      <c r="P126" s="266"/>
      <c r="Q126" s="266"/>
      <c r="R126" s="266"/>
    </row>
    <row r="127" spans="1:21" ht="30" customHeight="1">
      <c r="A127" s="204">
        <v>122</v>
      </c>
      <c r="B127" s="202" t="s">
        <v>823</v>
      </c>
      <c r="C127" s="202"/>
      <c r="D127" s="202" t="s">
        <v>316</v>
      </c>
      <c r="E127" s="304"/>
      <c r="F127" s="211">
        <v>916</v>
      </c>
      <c r="G127" s="203" t="s">
        <v>1183</v>
      </c>
      <c r="H127" s="203"/>
      <c r="I127" s="280"/>
      <c r="J127" s="264" t="str">
        <f t="shared" si="1"/>
        <v>가국</v>
      </c>
      <c r="K127" s="265"/>
      <c r="L127" s="266"/>
      <c r="M127" s="266"/>
      <c r="N127" s="266"/>
      <c r="O127" s="266"/>
      <c r="P127" s="266"/>
      <c r="Q127" s="266"/>
      <c r="R127" s="266"/>
    </row>
    <row r="128" spans="1:21" ht="30" customHeight="1">
      <c r="A128" s="204">
        <v>123</v>
      </c>
      <c r="B128" s="202" t="s">
        <v>202</v>
      </c>
      <c r="C128" s="202"/>
      <c r="D128" s="202" t="s">
        <v>316</v>
      </c>
      <c r="E128" s="304"/>
      <c r="F128" s="211">
        <v>420</v>
      </c>
      <c r="G128" s="203" t="s">
        <v>1183</v>
      </c>
      <c r="H128" s="203"/>
      <c r="I128" s="280"/>
      <c r="J128" s="264" t="str">
        <f t="shared" si="1"/>
        <v>가국</v>
      </c>
      <c r="K128" s="265"/>
      <c r="L128" s="266"/>
      <c r="M128" s="266"/>
      <c r="N128" s="266"/>
      <c r="O128" s="266"/>
      <c r="P128" s="266"/>
      <c r="Q128" s="266"/>
      <c r="R128" s="266"/>
    </row>
    <row r="129" spans="1:18" ht="30" customHeight="1">
      <c r="A129" s="204">
        <v>124</v>
      </c>
      <c r="B129" s="202" t="s">
        <v>824</v>
      </c>
      <c r="C129" s="202"/>
      <c r="D129" s="202" t="s">
        <v>84</v>
      </c>
      <c r="E129" s="304">
        <v>42</v>
      </c>
      <c r="F129" s="211">
        <v>4</v>
      </c>
      <c r="G129" s="203" t="s">
        <v>0</v>
      </c>
      <c r="H129" s="203" t="s">
        <v>7</v>
      </c>
      <c r="I129" s="280"/>
      <c r="J129" s="264" t="str">
        <f t="shared" si="1"/>
        <v>도공</v>
      </c>
      <c r="K129" s="265"/>
      <c r="L129" s="266"/>
      <c r="M129" s="266"/>
      <c r="N129" s="266"/>
      <c r="O129" s="266"/>
      <c r="P129" s="266"/>
      <c r="Q129" s="266"/>
      <c r="R129" s="266"/>
    </row>
    <row r="130" spans="1:18" ht="30" customHeight="1">
      <c r="A130" s="204">
        <v>125</v>
      </c>
      <c r="B130" s="202" t="s">
        <v>203</v>
      </c>
      <c r="C130" s="202"/>
      <c r="D130" s="202" t="s">
        <v>84</v>
      </c>
      <c r="E130" s="304">
        <v>362</v>
      </c>
      <c r="F130" s="211">
        <v>362</v>
      </c>
      <c r="G130" s="203" t="s">
        <v>0</v>
      </c>
      <c r="H130" s="203" t="s">
        <v>7</v>
      </c>
      <c r="I130" s="280"/>
      <c r="J130" s="264" t="str">
        <f t="shared" si="1"/>
        <v>도공</v>
      </c>
      <c r="K130" s="265"/>
      <c r="L130" s="266"/>
      <c r="M130" s="266"/>
      <c r="N130" s="266"/>
      <c r="O130" s="266"/>
      <c r="P130" s="266"/>
      <c r="Q130" s="266"/>
      <c r="R130" s="266"/>
    </row>
    <row r="131" spans="1:18" ht="30" customHeight="1">
      <c r="A131" s="204">
        <v>126</v>
      </c>
      <c r="B131" s="202" t="s">
        <v>204</v>
      </c>
      <c r="C131" s="202"/>
      <c r="D131" s="202" t="s">
        <v>84</v>
      </c>
      <c r="E131" s="304">
        <v>453</v>
      </c>
      <c r="F131" s="211">
        <v>453</v>
      </c>
      <c r="G131" s="203" t="s">
        <v>98</v>
      </c>
      <c r="H131" s="203" t="s">
        <v>102</v>
      </c>
      <c r="I131" s="280"/>
      <c r="J131" s="264" t="str">
        <f t="shared" si="1"/>
        <v>도국</v>
      </c>
      <c r="K131" s="265"/>
      <c r="L131" s="266"/>
      <c r="M131" s="266"/>
      <c r="N131" s="266"/>
      <c r="O131" s="266"/>
      <c r="P131" s="266"/>
      <c r="Q131" s="266"/>
      <c r="R131" s="266"/>
    </row>
    <row r="132" spans="1:18" ht="30" customHeight="1">
      <c r="A132" s="204">
        <v>127</v>
      </c>
      <c r="B132" s="202" t="s">
        <v>205</v>
      </c>
      <c r="C132" s="202"/>
      <c r="D132" s="202" t="s">
        <v>84</v>
      </c>
      <c r="E132" s="304">
        <v>132</v>
      </c>
      <c r="F132" s="211">
        <v>132</v>
      </c>
      <c r="G132" s="203" t="s">
        <v>98</v>
      </c>
      <c r="H132" s="203" t="s">
        <v>102</v>
      </c>
      <c r="I132" s="280"/>
      <c r="J132" s="264" t="str">
        <f t="shared" si="1"/>
        <v>도국</v>
      </c>
      <c r="K132" s="265"/>
      <c r="L132" s="266"/>
      <c r="M132" s="266"/>
      <c r="N132" s="266"/>
      <c r="O132" s="266"/>
      <c r="P132" s="266"/>
      <c r="Q132" s="266"/>
      <c r="R132" s="266"/>
    </row>
    <row r="133" spans="1:18" ht="30" customHeight="1">
      <c r="A133" s="204">
        <v>128</v>
      </c>
      <c r="B133" s="202" t="s">
        <v>206</v>
      </c>
      <c r="C133" s="202"/>
      <c r="D133" s="202" t="s">
        <v>84</v>
      </c>
      <c r="E133" s="304">
        <v>102</v>
      </c>
      <c r="F133" s="211">
        <v>102</v>
      </c>
      <c r="G133" s="203" t="s">
        <v>0</v>
      </c>
      <c r="H133" s="203" t="s">
        <v>99</v>
      </c>
      <c r="I133" s="280"/>
      <c r="J133" s="264" t="str">
        <f t="shared" si="1"/>
        <v>도공</v>
      </c>
      <c r="K133" s="265"/>
      <c r="L133" s="266"/>
      <c r="M133" s="266"/>
      <c r="N133" s="266"/>
      <c r="O133" s="266"/>
      <c r="P133" s="266"/>
      <c r="Q133" s="266"/>
      <c r="R133" s="266"/>
    </row>
    <row r="134" spans="1:18" ht="30" customHeight="1">
      <c r="A134" s="204">
        <v>129</v>
      </c>
      <c r="B134" s="202" t="s">
        <v>207</v>
      </c>
      <c r="C134" s="202"/>
      <c r="D134" s="202" t="s">
        <v>84</v>
      </c>
      <c r="E134" s="304">
        <v>571</v>
      </c>
      <c r="F134" s="211">
        <v>571</v>
      </c>
      <c r="G134" s="203" t="s">
        <v>0</v>
      </c>
      <c r="H134" s="203" t="s">
        <v>7</v>
      </c>
      <c r="I134" s="280"/>
      <c r="J134" s="264" t="str">
        <f t="shared" si="1"/>
        <v>도공</v>
      </c>
      <c r="K134" s="265"/>
      <c r="L134" s="266"/>
      <c r="M134" s="266"/>
      <c r="N134" s="266"/>
      <c r="O134" s="266"/>
      <c r="P134" s="266"/>
      <c r="Q134" s="266"/>
      <c r="R134" s="266"/>
    </row>
    <row r="135" spans="1:18" ht="30" customHeight="1">
      <c r="A135" s="204">
        <v>130</v>
      </c>
      <c r="B135" s="202" t="s">
        <v>825</v>
      </c>
      <c r="C135" s="202"/>
      <c r="D135" s="202" t="s">
        <v>84</v>
      </c>
      <c r="E135" s="304">
        <v>271</v>
      </c>
      <c r="F135" s="211">
        <v>271</v>
      </c>
      <c r="G135" s="203" t="s">
        <v>98</v>
      </c>
      <c r="H135" s="203" t="s">
        <v>102</v>
      </c>
      <c r="I135" s="280"/>
      <c r="J135" s="264" t="str">
        <f t="shared" ref="J135:J155" si="2">CONCATENATE(D135,G135)</f>
        <v>도국</v>
      </c>
      <c r="K135" s="265"/>
      <c r="L135" s="266"/>
      <c r="M135" s="266"/>
      <c r="N135" s="266"/>
      <c r="O135" s="266"/>
      <c r="P135" s="266"/>
      <c r="Q135" s="266"/>
      <c r="R135" s="266"/>
    </row>
    <row r="136" spans="1:18" ht="30" customHeight="1">
      <c r="A136" s="204">
        <v>131</v>
      </c>
      <c r="B136" s="202" t="s">
        <v>826</v>
      </c>
      <c r="C136" s="202"/>
      <c r="D136" s="202" t="s">
        <v>84</v>
      </c>
      <c r="E136" s="304">
        <v>261</v>
      </c>
      <c r="F136" s="211">
        <v>261</v>
      </c>
      <c r="G136" s="203" t="s">
        <v>827</v>
      </c>
      <c r="H136" s="203" t="s">
        <v>270</v>
      </c>
      <c r="I136" s="280"/>
      <c r="J136" s="264" t="str">
        <f t="shared" si="2"/>
        <v>도이호출
 외1인</v>
      </c>
      <c r="K136" s="265"/>
      <c r="L136" s="266"/>
      <c r="M136" s="266"/>
      <c r="N136" s="266"/>
      <c r="O136" s="266"/>
      <c r="P136" s="266"/>
      <c r="Q136" s="266"/>
      <c r="R136" s="266"/>
    </row>
    <row r="137" spans="1:18" ht="30" customHeight="1">
      <c r="A137" s="204">
        <v>132</v>
      </c>
      <c r="B137" s="202" t="s">
        <v>208</v>
      </c>
      <c r="C137" s="202"/>
      <c r="D137" s="202" t="s">
        <v>84</v>
      </c>
      <c r="E137" s="304">
        <v>81</v>
      </c>
      <c r="F137" s="211">
        <v>81</v>
      </c>
      <c r="G137" s="203" t="s">
        <v>0</v>
      </c>
      <c r="H137" s="203" t="s">
        <v>7</v>
      </c>
      <c r="I137" s="280"/>
      <c r="J137" s="264" t="str">
        <f t="shared" si="2"/>
        <v>도공</v>
      </c>
      <c r="K137" s="265"/>
      <c r="L137" s="266"/>
      <c r="M137" s="266"/>
      <c r="N137" s="266"/>
      <c r="O137" s="266"/>
      <c r="P137" s="266"/>
      <c r="Q137" s="266"/>
      <c r="R137" s="266"/>
    </row>
    <row r="138" spans="1:18" ht="30" customHeight="1">
      <c r="A138" s="204">
        <v>133</v>
      </c>
      <c r="B138" s="202" t="s">
        <v>828</v>
      </c>
      <c r="C138" s="202"/>
      <c r="D138" s="202" t="s">
        <v>84</v>
      </c>
      <c r="E138" s="304">
        <v>23</v>
      </c>
      <c r="F138" s="211">
        <v>23</v>
      </c>
      <c r="G138" s="203" t="s">
        <v>0</v>
      </c>
      <c r="H138" s="203" t="s">
        <v>99</v>
      </c>
      <c r="I138" s="280"/>
      <c r="J138" s="264" t="str">
        <f t="shared" si="2"/>
        <v>도공</v>
      </c>
      <c r="K138" s="265"/>
      <c r="L138" s="266"/>
      <c r="M138" s="266"/>
      <c r="N138" s="266"/>
      <c r="O138" s="266"/>
      <c r="P138" s="266"/>
      <c r="Q138" s="266"/>
      <c r="R138" s="266"/>
    </row>
    <row r="139" spans="1:18" ht="30" customHeight="1">
      <c r="A139" s="204">
        <v>134</v>
      </c>
      <c r="B139" s="202" t="s">
        <v>209</v>
      </c>
      <c r="C139" s="202"/>
      <c r="D139" s="202" t="s">
        <v>84</v>
      </c>
      <c r="E139" s="304">
        <v>76</v>
      </c>
      <c r="F139" s="211">
        <v>76</v>
      </c>
      <c r="G139" s="203" t="s">
        <v>0</v>
      </c>
      <c r="H139" s="203" t="s">
        <v>7</v>
      </c>
      <c r="I139" s="280"/>
      <c r="J139" s="264" t="str">
        <f t="shared" si="2"/>
        <v>도공</v>
      </c>
      <c r="K139" s="265"/>
      <c r="L139" s="266"/>
      <c r="M139" s="266"/>
      <c r="N139" s="266"/>
      <c r="O139" s="266"/>
      <c r="P139" s="266"/>
      <c r="Q139" s="266"/>
      <c r="R139" s="266"/>
    </row>
    <row r="140" spans="1:18" ht="30" customHeight="1">
      <c r="A140" s="204">
        <v>135</v>
      </c>
      <c r="B140" s="202" t="s">
        <v>829</v>
      </c>
      <c r="C140" s="202"/>
      <c r="D140" s="202" t="s">
        <v>84</v>
      </c>
      <c r="E140" s="304">
        <v>415</v>
      </c>
      <c r="F140" s="211">
        <v>415</v>
      </c>
      <c r="G140" s="203" t="s">
        <v>0</v>
      </c>
      <c r="H140" s="203" t="s">
        <v>7</v>
      </c>
      <c r="I140" s="280"/>
      <c r="J140" s="264" t="str">
        <f t="shared" si="2"/>
        <v>도공</v>
      </c>
      <c r="K140" s="265"/>
      <c r="L140" s="266"/>
      <c r="M140" s="266"/>
      <c r="N140" s="266"/>
      <c r="O140" s="266"/>
      <c r="P140" s="266"/>
      <c r="Q140" s="266"/>
      <c r="R140" s="266"/>
    </row>
    <row r="141" spans="1:18" ht="30" customHeight="1">
      <c r="A141" s="204">
        <v>136</v>
      </c>
      <c r="B141" s="202" t="s">
        <v>830</v>
      </c>
      <c r="C141" s="202"/>
      <c r="D141" s="202" t="s">
        <v>84</v>
      </c>
      <c r="E141" s="304">
        <v>274</v>
      </c>
      <c r="F141" s="211">
        <v>274</v>
      </c>
      <c r="G141" s="203" t="s">
        <v>264</v>
      </c>
      <c r="H141" s="203" t="s">
        <v>263</v>
      </c>
      <c r="I141" s="280"/>
      <c r="J141" s="264" t="str">
        <f t="shared" si="2"/>
        <v>도이용구</v>
      </c>
      <c r="K141" s="267"/>
      <c r="L141" s="266"/>
      <c r="M141" s="266"/>
      <c r="N141" s="266"/>
      <c r="O141" s="266"/>
      <c r="P141" s="266"/>
      <c r="Q141" s="266"/>
      <c r="R141" s="268"/>
    </row>
    <row r="142" spans="1:18" ht="30" customHeight="1">
      <c r="A142" s="204">
        <v>137</v>
      </c>
      <c r="B142" s="202" t="s">
        <v>210</v>
      </c>
      <c r="C142" s="202"/>
      <c r="D142" s="202" t="s">
        <v>87</v>
      </c>
      <c r="E142" s="304">
        <v>220</v>
      </c>
      <c r="F142" s="211">
        <v>120</v>
      </c>
      <c r="G142" s="203" t="s">
        <v>98</v>
      </c>
      <c r="H142" s="203" t="s">
        <v>101</v>
      </c>
      <c r="I142" s="280"/>
      <c r="J142" s="264" t="str">
        <f t="shared" si="2"/>
        <v>구국</v>
      </c>
      <c r="K142" s="267"/>
      <c r="L142" s="266"/>
      <c r="M142" s="266"/>
      <c r="N142" s="266"/>
      <c r="O142" s="266"/>
      <c r="P142" s="266"/>
      <c r="Q142" s="266"/>
      <c r="R142" s="268"/>
    </row>
    <row r="143" spans="1:18" ht="30" customHeight="1">
      <c r="A143" s="204">
        <v>138</v>
      </c>
      <c r="B143" s="202" t="s">
        <v>211</v>
      </c>
      <c r="C143" s="202"/>
      <c r="D143" s="202" t="s">
        <v>84</v>
      </c>
      <c r="E143" s="304">
        <v>430</v>
      </c>
      <c r="F143" s="211">
        <v>430</v>
      </c>
      <c r="G143" s="203" t="s">
        <v>98</v>
      </c>
      <c r="H143" s="203" t="s">
        <v>102</v>
      </c>
      <c r="I143" s="280"/>
      <c r="J143" s="264" t="str">
        <f t="shared" si="2"/>
        <v>도국</v>
      </c>
      <c r="K143" s="267"/>
      <c r="L143" s="266"/>
      <c r="M143" s="266"/>
      <c r="N143" s="266"/>
      <c r="O143" s="266"/>
      <c r="P143" s="266"/>
      <c r="Q143" s="266"/>
      <c r="R143" s="268"/>
    </row>
    <row r="144" spans="1:18" ht="30" customHeight="1">
      <c r="A144" s="204">
        <v>139</v>
      </c>
      <c r="B144" s="202" t="s">
        <v>212</v>
      </c>
      <c r="C144" s="202"/>
      <c r="D144" s="202" t="s">
        <v>84</v>
      </c>
      <c r="E144" s="304">
        <v>3</v>
      </c>
      <c r="F144" s="211">
        <v>3</v>
      </c>
      <c r="G144" s="203" t="s">
        <v>98</v>
      </c>
      <c r="H144" s="203" t="s">
        <v>102</v>
      </c>
      <c r="I144" s="280"/>
      <c r="J144" s="264" t="str">
        <f t="shared" si="2"/>
        <v>도국</v>
      </c>
      <c r="K144" s="267"/>
      <c r="L144" s="266"/>
      <c r="M144" s="266"/>
      <c r="N144" s="266"/>
      <c r="O144" s="266"/>
      <c r="P144" s="266"/>
      <c r="Q144" s="266"/>
      <c r="R144" s="268"/>
    </row>
    <row r="145" spans="1:21" ht="30" customHeight="1">
      <c r="A145" s="204">
        <v>140</v>
      </c>
      <c r="B145" s="202" t="s">
        <v>703</v>
      </c>
      <c r="C145" s="202"/>
      <c r="D145" s="202" t="s">
        <v>84</v>
      </c>
      <c r="E145" s="304">
        <v>56</v>
      </c>
      <c r="F145" s="211">
        <v>56</v>
      </c>
      <c r="G145" s="203" t="s">
        <v>98</v>
      </c>
      <c r="H145" s="203" t="s">
        <v>102</v>
      </c>
      <c r="I145" s="280"/>
      <c r="J145" s="264" t="str">
        <f t="shared" si="2"/>
        <v>도국</v>
      </c>
      <c r="K145" s="265"/>
      <c r="L145" s="266"/>
      <c r="M145" s="266"/>
      <c r="N145" s="266"/>
      <c r="O145" s="266"/>
      <c r="P145" s="266"/>
      <c r="Q145" s="266"/>
      <c r="R145" s="288"/>
      <c r="S145" s="266"/>
      <c r="T145" s="266"/>
      <c r="U145" s="266"/>
    </row>
    <row r="146" spans="1:21" ht="30" customHeight="1">
      <c r="A146" s="204">
        <v>141</v>
      </c>
      <c r="B146" s="202" t="s">
        <v>213</v>
      </c>
      <c r="C146" s="202"/>
      <c r="D146" s="202" t="s">
        <v>84</v>
      </c>
      <c r="E146" s="304">
        <v>66</v>
      </c>
      <c r="F146" s="211">
        <v>66</v>
      </c>
      <c r="G146" s="203" t="s">
        <v>271</v>
      </c>
      <c r="H146" s="203" t="s">
        <v>272</v>
      </c>
      <c r="I146" s="280"/>
      <c r="J146" s="264" t="str">
        <f t="shared" si="2"/>
        <v xml:space="preserve">도지용선 </v>
      </c>
      <c r="K146" s="265"/>
      <c r="L146" s="266"/>
      <c r="M146" s="266"/>
      <c r="N146" s="266"/>
      <c r="O146" s="266"/>
      <c r="P146" s="266"/>
      <c r="Q146" s="266"/>
      <c r="R146" s="266"/>
    </row>
    <row r="147" spans="1:21" ht="30" customHeight="1">
      <c r="A147" s="204">
        <v>142</v>
      </c>
      <c r="B147" s="202" t="s">
        <v>214</v>
      </c>
      <c r="C147" s="202"/>
      <c r="D147" s="202" t="s">
        <v>84</v>
      </c>
      <c r="E147" s="304">
        <v>109</v>
      </c>
      <c r="F147" s="211">
        <v>109</v>
      </c>
      <c r="G147" s="203" t="s">
        <v>0</v>
      </c>
      <c r="H147" s="203" t="s">
        <v>7</v>
      </c>
      <c r="I147" s="280"/>
      <c r="J147" s="264" t="str">
        <f t="shared" si="2"/>
        <v>도공</v>
      </c>
      <c r="K147" s="265"/>
      <c r="L147" s="266"/>
      <c r="M147" s="266"/>
      <c r="N147" s="266"/>
      <c r="O147" s="266"/>
      <c r="P147" s="266"/>
      <c r="Q147" s="266"/>
      <c r="R147" s="266"/>
    </row>
    <row r="148" spans="1:21" ht="30" customHeight="1">
      <c r="A148" s="204">
        <v>143</v>
      </c>
      <c r="B148" s="202" t="s">
        <v>831</v>
      </c>
      <c r="C148" s="202"/>
      <c r="D148" s="202" t="s">
        <v>84</v>
      </c>
      <c r="E148" s="304">
        <v>306</v>
      </c>
      <c r="F148" s="211">
        <v>306</v>
      </c>
      <c r="G148" s="203" t="s">
        <v>0</v>
      </c>
      <c r="H148" s="203" t="s">
        <v>7</v>
      </c>
      <c r="I148" s="280"/>
      <c r="J148" s="264" t="str">
        <f t="shared" si="2"/>
        <v>도공</v>
      </c>
      <c r="K148" s="265"/>
      <c r="L148" s="266"/>
      <c r="M148" s="266"/>
      <c r="N148" s="266"/>
      <c r="O148" s="266"/>
      <c r="P148" s="266"/>
      <c r="Q148" s="266"/>
      <c r="R148" s="266"/>
    </row>
    <row r="149" spans="1:21" ht="30" customHeight="1">
      <c r="A149" s="204">
        <v>144</v>
      </c>
      <c r="B149" s="202" t="s">
        <v>832</v>
      </c>
      <c r="C149" s="202"/>
      <c r="D149" s="202" t="s">
        <v>84</v>
      </c>
      <c r="E149" s="304">
        <v>149</v>
      </c>
      <c r="F149" s="211">
        <v>149</v>
      </c>
      <c r="G149" s="203" t="s">
        <v>0</v>
      </c>
      <c r="H149" s="203" t="s">
        <v>7</v>
      </c>
      <c r="I149" s="280"/>
      <c r="J149" s="264" t="str">
        <f t="shared" si="2"/>
        <v>도공</v>
      </c>
      <c r="K149" s="265"/>
      <c r="L149" s="266"/>
      <c r="M149" s="266"/>
      <c r="N149" s="266"/>
      <c r="O149" s="266"/>
      <c r="P149" s="266"/>
      <c r="Q149" s="266"/>
      <c r="R149" s="266"/>
    </row>
    <row r="150" spans="1:21" ht="30" customHeight="1">
      <c r="A150" s="204">
        <v>145</v>
      </c>
      <c r="B150" s="202" t="s">
        <v>215</v>
      </c>
      <c r="C150" s="202"/>
      <c r="D150" s="202" t="s">
        <v>84</v>
      </c>
      <c r="E150" s="304">
        <v>144</v>
      </c>
      <c r="F150" s="211">
        <v>97</v>
      </c>
      <c r="G150" s="203" t="s">
        <v>0</v>
      </c>
      <c r="H150" s="203" t="s">
        <v>7</v>
      </c>
      <c r="I150" s="280"/>
      <c r="J150" s="264" t="str">
        <f t="shared" si="2"/>
        <v>도공</v>
      </c>
      <c r="K150" s="265"/>
      <c r="L150" s="266"/>
      <c r="M150" s="266"/>
      <c r="N150" s="266"/>
      <c r="O150" s="266"/>
      <c r="P150" s="266"/>
      <c r="Q150" s="266"/>
      <c r="R150" s="266"/>
    </row>
    <row r="151" spans="1:21" ht="30" customHeight="1">
      <c r="A151" s="204">
        <v>146</v>
      </c>
      <c r="B151" s="202" t="s">
        <v>833</v>
      </c>
      <c r="C151" s="202"/>
      <c r="D151" s="202" t="s">
        <v>84</v>
      </c>
      <c r="E151" s="304">
        <v>3832</v>
      </c>
      <c r="F151" s="211">
        <v>966</v>
      </c>
      <c r="G151" s="203" t="s">
        <v>98</v>
      </c>
      <c r="H151" s="203" t="s">
        <v>102</v>
      </c>
      <c r="I151" s="280"/>
      <c r="J151" s="264" t="str">
        <f t="shared" si="2"/>
        <v>도국</v>
      </c>
      <c r="K151" s="265"/>
      <c r="L151" s="266"/>
      <c r="M151" s="266"/>
      <c r="N151" s="266"/>
      <c r="O151" s="266"/>
      <c r="P151" s="266"/>
      <c r="Q151" s="266"/>
      <c r="R151" s="266"/>
    </row>
    <row r="152" spans="1:21" ht="30" customHeight="1">
      <c r="A152" s="204">
        <v>147</v>
      </c>
      <c r="B152" s="202" t="s">
        <v>736</v>
      </c>
      <c r="C152" s="202"/>
      <c r="D152" s="202" t="s">
        <v>84</v>
      </c>
      <c r="E152" s="304">
        <v>2</v>
      </c>
      <c r="F152" s="211">
        <v>2</v>
      </c>
      <c r="G152" s="203" t="s">
        <v>834</v>
      </c>
      <c r="H152" s="203" t="s">
        <v>835</v>
      </c>
      <c r="I152" s="280"/>
      <c r="J152" s="264" t="str">
        <f t="shared" si="2"/>
        <v>도지산영춘</v>
      </c>
      <c r="K152" s="265"/>
      <c r="L152" s="266"/>
      <c r="M152" s="266"/>
      <c r="N152" s="266"/>
      <c r="O152" s="266"/>
      <c r="P152" s="266"/>
      <c r="Q152" s="266"/>
      <c r="R152" s="266"/>
    </row>
    <row r="153" spans="1:21" ht="30" customHeight="1">
      <c r="A153" s="204">
        <v>148</v>
      </c>
      <c r="B153" s="202" t="s">
        <v>1096</v>
      </c>
      <c r="C153" s="202"/>
      <c r="D153" s="202" t="s">
        <v>1097</v>
      </c>
      <c r="E153" s="304">
        <v>984</v>
      </c>
      <c r="F153" s="211">
        <v>984</v>
      </c>
      <c r="G153" s="203" t="s">
        <v>1098</v>
      </c>
      <c r="H153" s="203" t="s">
        <v>1117</v>
      </c>
      <c r="I153" s="280"/>
      <c r="J153" s="264" t="str">
        <f t="shared" si="2"/>
        <v>임현대건설㈜</v>
      </c>
      <c r="K153" s="265"/>
      <c r="L153" s="266"/>
      <c r="M153" s="266"/>
      <c r="N153" s="266"/>
      <c r="O153" s="266"/>
      <c r="P153" s="266"/>
      <c r="Q153" s="266"/>
      <c r="R153" s="266"/>
    </row>
    <row r="154" spans="1:21" ht="30" customHeight="1">
      <c r="A154" s="204">
        <v>149</v>
      </c>
      <c r="B154" s="202" t="s">
        <v>1100</v>
      </c>
      <c r="C154" s="202"/>
      <c r="D154" s="202" t="s">
        <v>84</v>
      </c>
      <c r="E154" s="304">
        <v>3</v>
      </c>
      <c r="F154" s="211">
        <v>3</v>
      </c>
      <c r="G154" s="203" t="s">
        <v>994</v>
      </c>
      <c r="H154" s="203" t="s">
        <v>995</v>
      </c>
      <c r="I154" s="280"/>
      <c r="J154" s="264" t="str">
        <f t="shared" si="2"/>
        <v>도공</v>
      </c>
      <c r="K154" s="265"/>
      <c r="L154" s="266"/>
      <c r="M154" s="266"/>
      <c r="N154" s="266"/>
      <c r="O154" s="266"/>
      <c r="P154" s="266"/>
      <c r="Q154" s="266"/>
      <c r="R154" s="266"/>
    </row>
    <row r="155" spans="1:21" ht="30" customHeight="1">
      <c r="A155" s="204">
        <v>150</v>
      </c>
      <c r="B155" s="202" t="s">
        <v>1101</v>
      </c>
      <c r="C155" s="202"/>
      <c r="D155" s="202" t="s">
        <v>1097</v>
      </c>
      <c r="E155" s="304">
        <v>1661</v>
      </c>
      <c r="F155" s="211">
        <v>187</v>
      </c>
      <c r="G155" s="203" t="s">
        <v>994</v>
      </c>
      <c r="H155" s="203" t="s">
        <v>995</v>
      </c>
      <c r="I155" s="280"/>
      <c r="J155" s="264" t="str">
        <f t="shared" si="2"/>
        <v>임공</v>
      </c>
      <c r="K155" s="265"/>
      <c r="L155" s="266"/>
      <c r="M155" s="266"/>
      <c r="N155" s="266"/>
      <c r="O155" s="266"/>
      <c r="P155" s="266"/>
      <c r="Q155" s="266"/>
      <c r="R155" s="266"/>
    </row>
    <row r="156" spans="1:21" ht="30" customHeight="1">
      <c r="A156" s="274" t="s">
        <v>836</v>
      </c>
      <c r="B156" s="275"/>
      <c r="C156" s="275"/>
      <c r="D156" s="275"/>
      <c r="E156" s="276"/>
      <c r="F156" s="276">
        <f>SUM(F6:F155)</f>
        <v>57542.400000000001</v>
      </c>
      <c r="G156" s="286"/>
      <c r="H156" s="286"/>
      <c r="I156" s="287"/>
      <c r="J156" s="264"/>
      <c r="K156" s="267"/>
      <c r="L156" s="266"/>
      <c r="M156" s="266"/>
      <c r="N156" s="266"/>
      <c r="O156" s="266"/>
      <c r="P156" s="266"/>
      <c r="Q156" s="266"/>
      <c r="R156" s="288"/>
      <c r="S156" s="266"/>
      <c r="T156" s="266"/>
      <c r="U156" s="266"/>
    </row>
    <row r="157" spans="1:21" ht="30" customHeight="1">
      <c r="A157" s="204"/>
      <c r="B157" s="202"/>
      <c r="C157" s="202"/>
      <c r="D157" s="202"/>
      <c r="E157" s="304"/>
      <c r="F157" s="211"/>
      <c r="G157" s="203"/>
      <c r="H157" s="203"/>
      <c r="I157" s="295"/>
      <c r="J157" s="264"/>
      <c r="K157" s="265"/>
      <c r="L157" s="266"/>
      <c r="M157" s="266"/>
      <c r="N157" s="266"/>
      <c r="O157" s="266"/>
      <c r="P157" s="266"/>
      <c r="Q157" s="266"/>
      <c r="R157" s="266"/>
    </row>
    <row r="158" spans="1:21" ht="30" customHeight="1">
      <c r="A158" s="204"/>
      <c r="B158" s="202"/>
      <c r="C158" s="202"/>
      <c r="D158" s="202"/>
      <c r="E158" s="304"/>
      <c r="F158" s="211"/>
      <c r="G158" s="203"/>
      <c r="H158" s="203"/>
      <c r="I158" s="295"/>
      <c r="J158" s="264"/>
      <c r="K158" s="265"/>
      <c r="L158" s="266"/>
      <c r="M158" s="266"/>
      <c r="N158" s="266"/>
      <c r="O158" s="266"/>
      <c r="P158" s="266"/>
      <c r="Q158" s="266"/>
      <c r="R158" s="266"/>
    </row>
    <row r="159" spans="1:21" ht="30" customHeight="1">
      <c r="A159" s="204"/>
      <c r="B159" s="202"/>
      <c r="C159" s="202"/>
      <c r="D159" s="202"/>
      <c r="E159" s="304"/>
      <c r="F159" s="211"/>
      <c r="G159" s="203"/>
      <c r="H159" s="203"/>
      <c r="I159" s="295"/>
      <c r="J159" s="264"/>
      <c r="K159" s="265"/>
      <c r="L159" s="266"/>
      <c r="M159" s="266"/>
      <c r="N159" s="266"/>
      <c r="O159" s="266"/>
      <c r="P159" s="266"/>
      <c r="Q159" s="266"/>
      <c r="R159" s="266"/>
    </row>
    <row r="160" spans="1:21" ht="30" customHeight="1">
      <c r="A160" s="204"/>
      <c r="B160" s="202"/>
      <c r="C160" s="202"/>
      <c r="D160" s="202"/>
      <c r="E160" s="304"/>
      <c r="F160" s="211"/>
      <c r="G160" s="203"/>
      <c r="H160" s="203"/>
      <c r="I160" s="295"/>
      <c r="J160" s="264"/>
      <c r="K160" s="265"/>
      <c r="L160" s="266"/>
      <c r="M160" s="266"/>
      <c r="N160" s="266"/>
      <c r="O160" s="266"/>
      <c r="P160" s="266"/>
      <c r="Q160" s="266"/>
      <c r="R160" s="266"/>
    </row>
    <row r="161" spans="1:21" ht="30" customHeight="1">
      <c r="A161" s="204"/>
      <c r="B161" s="202"/>
      <c r="C161" s="202"/>
      <c r="D161" s="202"/>
      <c r="E161" s="304"/>
      <c r="F161" s="211"/>
      <c r="G161" s="203"/>
      <c r="H161" s="203"/>
      <c r="I161" s="295"/>
      <c r="J161" s="264"/>
      <c r="K161" s="265"/>
      <c r="L161" s="266"/>
      <c r="M161" s="266"/>
      <c r="N161" s="266"/>
      <c r="O161" s="266"/>
      <c r="P161" s="266"/>
      <c r="Q161" s="266"/>
      <c r="R161" s="266"/>
    </row>
    <row r="162" spans="1:21" ht="30" customHeight="1">
      <c r="A162" s="204"/>
      <c r="B162" s="202"/>
      <c r="C162" s="202"/>
      <c r="D162" s="202"/>
      <c r="E162" s="304"/>
      <c r="F162" s="211"/>
      <c r="G162" s="203"/>
      <c r="H162" s="203"/>
      <c r="I162" s="295"/>
      <c r="J162" s="264"/>
      <c r="K162" s="265"/>
      <c r="L162" s="266"/>
      <c r="M162" s="266"/>
      <c r="N162" s="266"/>
      <c r="O162" s="266"/>
      <c r="P162" s="266"/>
      <c r="Q162" s="266"/>
      <c r="R162" s="266"/>
    </row>
    <row r="163" spans="1:21" ht="30" customHeight="1">
      <c r="A163" s="204"/>
      <c r="B163" s="202"/>
      <c r="C163" s="202"/>
      <c r="D163" s="202"/>
      <c r="E163" s="304"/>
      <c r="F163" s="211"/>
      <c r="G163" s="203"/>
      <c r="H163" s="203"/>
      <c r="I163" s="295"/>
      <c r="J163" s="264"/>
      <c r="K163" s="265"/>
      <c r="L163" s="266"/>
      <c r="M163" s="266"/>
      <c r="N163" s="266"/>
      <c r="O163" s="266"/>
      <c r="P163" s="266"/>
      <c r="Q163" s="266"/>
      <c r="R163" s="266"/>
    </row>
    <row r="164" spans="1:21" ht="30" customHeight="1">
      <c r="A164" s="204"/>
      <c r="B164" s="202"/>
      <c r="C164" s="202"/>
      <c r="D164" s="202"/>
      <c r="E164" s="304"/>
      <c r="F164" s="211"/>
      <c r="G164" s="203"/>
      <c r="H164" s="203"/>
      <c r="I164" s="295"/>
      <c r="J164" s="264"/>
      <c r="K164" s="265"/>
      <c r="L164" s="266"/>
      <c r="M164" s="266"/>
      <c r="N164" s="266"/>
      <c r="O164" s="266"/>
      <c r="P164" s="266"/>
      <c r="Q164" s="266"/>
      <c r="R164" s="266"/>
    </row>
    <row r="165" spans="1:21" ht="30" customHeight="1">
      <c r="A165" s="204"/>
      <c r="B165" s="202"/>
      <c r="C165" s="202"/>
      <c r="D165" s="202"/>
      <c r="E165" s="304"/>
      <c r="F165" s="211"/>
      <c r="G165" s="203"/>
      <c r="H165" s="203"/>
      <c r="I165" s="295"/>
      <c r="J165" s="264"/>
      <c r="K165" s="265"/>
      <c r="L165" s="266"/>
      <c r="M165" s="266"/>
      <c r="N165" s="266"/>
      <c r="O165" s="266"/>
      <c r="P165" s="266"/>
      <c r="Q165" s="266"/>
      <c r="R165" s="266"/>
    </row>
    <row r="166" spans="1:21" ht="30" customHeight="1">
      <c r="A166" s="204"/>
      <c r="B166" s="202"/>
      <c r="C166" s="202"/>
      <c r="D166" s="202"/>
      <c r="E166" s="304"/>
      <c r="F166" s="211"/>
      <c r="G166" s="203"/>
      <c r="H166" s="203"/>
      <c r="I166" s="295"/>
      <c r="J166" s="264"/>
      <c r="K166" s="265"/>
      <c r="L166" s="266"/>
      <c r="M166" s="266"/>
      <c r="N166" s="266"/>
      <c r="O166" s="266"/>
      <c r="P166" s="266"/>
      <c r="Q166" s="266"/>
      <c r="R166" s="266"/>
    </row>
    <row r="167" spans="1:21" ht="30" customHeight="1">
      <c r="A167" s="204" t="s">
        <v>58</v>
      </c>
      <c r="B167" s="202"/>
      <c r="C167" s="202"/>
      <c r="D167" s="202"/>
      <c r="E167" s="304"/>
      <c r="F167" s="211"/>
      <c r="G167" s="203"/>
      <c r="H167" s="203"/>
      <c r="I167" s="295"/>
      <c r="J167" s="264"/>
      <c r="K167" s="265"/>
      <c r="L167" s="266"/>
      <c r="M167" s="266"/>
      <c r="N167" s="266"/>
      <c r="O167" s="266"/>
      <c r="P167" s="266"/>
      <c r="Q167" s="266"/>
      <c r="R167" s="266"/>
    </row>
    <row r="168" spans="1:21" ht="30" customHeight="1">
      <c r="A168" s="204"/>
      <c r="B168" s="202"/>
      <c r="C168" s="202"/>
      <c r="D168" s="202"/>
      <c r="E168" s="304"/>
      <c r="F168" s="211"/>
      <c r="G168" s="203"/>
      <c r="H168" s="203"/>
      <c r="I168" s="295"/>
      <c r="J168" s="264"/>
      <c r="K168" s="265"/>
      <c r="L168" s="266"/>
      <c r="M168" s="266"/>
      <c r="N168" s="266"/>
      <c r="O168" s="266"/>
      <c r="P168" s="266"/>
      <c r="Q168" s="266"/>
      <c r="R168" s="266"/>
    </row>
    <row r="169" spans="1:21" ht="30" customHeight="1">
      <c r="A169" s="204"/>
      <c r="B169" s="202"/>
      <c r="C169" s="202"/>
      <c r="D169" s="202"/>
      <c r="E169" s="304"/>
      <c r="F169" s="211"/>
      <c r="G169" s="203"/>
      <c r="H169" s="203"/>
      <c r="I169" s="295"/>
      <c r="J169" s="264"/>
      <c r="K169" s="265"/>
      <c r="L169" s="266"/>
      <c r="M169" s="266"/>
      <c r="N169" s="266"/>
      <c r="O169" s="266"/>
      <c r="P169" s="266"/>
      <c r="Q169" s="266"/>
      <c r="R169" s="266"/>
    </row>
    <row r="170" spans="1:21" ht="30" customHeight="1">
      <c r="A170" s="204"/>
      <c r="B170" s="202"/>
      <c r="C170" s="202"/>
      <c r="D170" s="202"/>
      <c r="E170" s="304"/>
      <c r="F170" s="211"/>
      <c r="G170" s="203"/>
      <c r="H170" s="203"/>
      <c r="I170" s="295"/>
      <c r="J170" s="264"/>
      <c r="K170" s="265"/>
      <c r="L170" s="266"/>
      <c r="M170" s="266"/>
      <c r="N170" s="266"/>
      <c r="O170" s="266"/>
      <c r="P170" s="266"/>
      <c r="Q170" s="266"/>
      <c r="R170" s="266"/>
    </row>
    <row r="171" spans="1:21" ht="30" customHeight="1">
      <c r="A171" s="204"/>
      <c r="B171" s="202"/>
      <c r="C171" s="202"/>
      <c r="D171" s="202"/>
      <c r="E171" s="304"/>
      <c r="F171" s="211"/>
      <c r="G171" s="203"/>
      <c r="H171" s="203"/>
      <c r="I171" s="295"/>
      <c r="J171" s="264"/>
      <c r="K171" s="265"/>
      <c r="L171" s="266"/>
      <c r="M171" s="266"/>
      <c r="N171" s="266"/>
      <c r="O171" s="266"/>
      <c r="P171" s="266"/>
      <c r="Q171" s="266"/>
      <c r="R171" s="266"/>
    </row>
    <row r="172" spans="1:21" ht="30" customHeight="1">
      <c r="A172" s="204"/>
      <c r="B172" s="202"/>
      <c r="C172" s="202"/>
      <c r="D172" s="202"/>
      <c r="E172" s="304"/>
      <c r="F172" s="211"/>
      <c r="G172" s="203"/>
      <c r="H172" s="203"/>
      <c r="I172" s="295"/>
      <c r="J172" s="264"/>
      <c r="K172" s="267"/>
      <c r="L172" s="266"/>
      <c r="M172" s="266"/>
      <c r="N172" s="266"/>
      <c r="O172" s="266"/>
      <c r="P172" s="266"/>
      <c r="Q172" s="266"/>
      <c r="R172" s="268"/>
    </row>
    <row r="173" spans="1:21" ht="30" customHeight="1">
      <c r="A173" s="204"/>
      <c r="B173" s="202"/>
      <c r="C173" s="202"/>
      <c r="D173" s="202"/>
      <c r="E173" s="304"/>
      <c r="F173" s="211"/>
      <c r="G173" s="203"/>
      <c r="H173" s="203"/>
      <c r="I173" s="295"/>
      <c r="J173" s="264"/>
      <c r="K173" s="267"/>
      <c r="L173" s="266"/>
      <c r="M173" s="266"/>
      <c r="N173" s="266"/>
      <c r="O173" s="266"/>
      <c r="P173" s="266"/>
      <c r="Q173" s="266"/>
      <c r="R173" s="268"/>
    </row>
    <row r="174" spans="1:21" ht="30" customHeight="1">
      <c r="A174" s="204"/>
      <c r="B174" s="202"/>
      <c r="C174" s="202"/>
      <c r="D174" s="202"/>
      <c r="E174" s="304"/>
      <c r="F174" s="211"/>
      <c r="G174" s="203"/>
      <c r="H174" s="203"/>
      <c r="I174" s="295"/>
      <c r="J174" s="264"/>
      <c r="K174" s="267"/>
      <c r="L174" s="266"/>
      <c r="M174" s="266"/>
      <c r="N174" s="266"/>
      <c r="O174" s="266"/>
      <c r="P174" s="266"/>
      <c r="Q174" s="266"/>
      <c r="R174" s="268"/>
    </row>
    <row r="175" spans="1:21" ht="30" customHeight="1">
      <c r="A175" s="204"/>
      <c r="B175" s="202"/>
      <c r="C175" s="202"/>
      <c r="D175" s="202"/>
      <c r="E175" s="304"/>
      <c r="F175" s="211"/>
      <c r="G175" s="203"/>
      <c r="H175" s="203"/>
      <c r="I175" s="295"/>
      <c r="J175" s="264"/>
      <c r="K175" s="267"/>
      <c r="L175" s="266"/>
      <c r="M175" s="266"/>
      <c r="N175" s="266"/>
      <c r="O175" s="266"/>
      <c r="P175" s="266"/>
      <c r="Q175" s="266"/>
      <c r="R175" s="268"/>
    </row>
    <row r="176" spans="1:21" ht="30" customHeight="1">
      <c r="A176" s="308"/>
      <c r="B176" s="300"/>
      <c r="C176" s="309"/>
      <c r="D176" s="310"/>
      <c r="E176" s="301"/>
      <c r="F176" s="302"/>
      <c r="G176" s="286"/>
      <c r="H176" s="286"/>
      <c r="I176" s="307"/>
      <c r="J176" s="264"/>
      <c r="K176" s="265"/>
      <c r="L176" s="266"/>
      <c r="M176" s="266"/>
      <c r="N176" s="266"/>
      <c r="O176" s="266"/>
      <c r="P176" s="266"/>
      <c r="Q176" s="266"/>
      <c r="R176" s="288"/>
      <c r="S176" s="266"/>
      <c r="T176" s="266"/>
      <c r="U176" s="266"/>
    </row>
    <row r="177" spans="1:21" ht="30" customHeight="1">
      <c r="A177" s="261"/>
      <c r="B177" s="200"/>
      <c r="C177" s="200"/>
      <c r="D177" s="200"/>
      <c r="E177" s="303"/>
      <c r="F177" s="210"/>
      <c r="G177" s="201"/>
      <c r="H177" s="201"/>
      <c r="I177" s="295"/>
      <c r="J177" s="264"/>
      <c r="K177" s="267"/>
      <c r="L177" s="266"/>
      <c r="M177" s="266"/>
      <c r="N177" s="266"/>
      <c r="O177" s="266"/>
      <c r="P177" s="266"/>
      <c r="Q177" s="266"/>
      <c r="R177" s="288"/>
      <c r="S177" s="266"/>
      <c r="T177" s="266"/>
      <c r="U177" s="266"/>
    </row>
    <row r="178" spans="1:21" ht="30" customHeight="1">
      <c r="A178" s="204"/>
      <c r="B178" s="202"/>
      <c r="C178" s="202"/>
      <c r="D178" s="202"/>
      <c r="E178" s="304"/>
      <c r="F178" s="211"/>
      <c r="G178" s="203"/>
      <c r="H178" s="203"/>
      <c r="I178" s="295"/>
      <c r="J178" s="264"/>
      <c r="K178" s="265"/>
      <c r="L178" s="266"/>
      <c r="M178" s="266"/>
      <c r="N178" s="266"/>
      <c r="O178" s="266"/>
      <c r="P178" s="266"/>
      <c r="Q178" s="266"/>
      <c r="R178" s="266"/>
    </row>
    <row r="179" spans="1:21" ht="30" customHeight="1">
      <c r="A179" s="204"/>
      <c r="B179" s="202"/>
      <c r="C179" s="202"/>
      <c r="D179" s="202"/>
      <c r="E179" s="304"/>
      <c r="F179" s="211"/>
      <c r="G179" s="203"/>
      <c r="H179" s="203"/>
      <c r="I179" s="295"/>
      <c r="J179" s="264"/>
      <c r="K179" s="265"/>
      <c r="L179" s="266"/>
      <c r="M179" s="266"/>
      <c r="N179" s="266"/>
      <c r="O179" s="266"/>
      <c r="P179" s="266"/>
      <c r="Q179" s="266"/>
      <c r="R179" s="266"/>
    </row>
    <row r="180" spans="1:21" ht="30" customHeight="1">
      <c r="A180" s="204"/>
      <c r="B180" s="202"/>
      <c r="C180" s="202"/>
      <c r="D180" s="202"/>
      <c r="E180" s="304"/>
      <c r="F180" s="211"/>
      <c r="G180" s="203"/>
      <c r="H180" s="203"/>
      <c r="I180" s="295"/>
      <c r="J180" s="264"/>
      <c r="K180" s="265"/>
      <c r="L180" s="266"/>
      <c r="M180" s="266"/>
      <c r="N180" s="266"/>
      <c r="O180" s="266"/>
      <c r="P180" s="266"/>
      <c r="Q180" s="266"/>
      <c r="R180" s="266"/>
    </row>
    <row r="181" spans="1:21" ht="30" customHeight="1">
      <c r="A181" s="204"/>
      <c r="B181" s="202"/>
      <c r="C181" s="202"/>
      <c r="D181" s="202"/>
      <c r="E181" s="304"/>
      <c r="F181" s="211"/>
      <c r="G181" s="203"/>
      <c r="H181" s="203"/>
      <c r="I181" s="295"/>
      <c r="J181" s="264"/>
      <c r="K181" s="265"/>
      <c r="L181" s="266"/>
      <c r="M181" s="266"/>
      <c r="N181" s="266"/>
      <c r="O181" s="266"/>
      <c r="P181" s="266"/>
      <c r="Q181" s="266"/>
      <c r="R181" s="266"/>
    </row>
    <row r="182" spans="1:21" ht="30" customHeight="1">
      <c r="A182" s="204"/>
      <c r="B182" s="202"/>
      <c r="C182" s="202"/>
      <c r="D182" s="202"/>
      <c r="E182" s="304"/>
      <c r="F182" s="211"/>
      <c r="G182" s="203"/>
      <c r="H182" s="203"/>
      <c r="I182" s="295"/>
      <c r="J182" s="264"/>
      <c r="K182" s="265"/>
      <c r="L182" s="266"/>
      <c r="M182" s="266"/>
      <c r="N182" s="266"/>
      <c r="O182" s="266"/>
      <c r="P182" s="266"/>
      <c r="Q182" s="266"/>
      <c r="R182" s="266"/>
    </row>
    <row r="183" spans="1:21" ht="30" customHeight="1">
      <c r="A183" s="204"/>
      <c r="B183" s="202"/>
      <c r="C183" s="202"/>
      <c r="D183" s="202"/>
      <c r="E183" s="304"/>
      <c r="F183" s="211"/>
      <c r="G183" s="203"/>
      <c r="H183" s="203"/>
      <c r="I183" s="295"/>
      <c r="J183" s="264"/>
      <c r="K183" s="265"/>
      <c r="L183" s="266"/>
      <c r="M183" s="266"/>
      <c r="N183" s="266"/>
      <c r="O183" s="266"/>
      <c r="P183" s="266"/>
      <c r="Q183" s="266"/>
      <c r="R183" s="266"/>
    </row>
    <row r="184" spans="1:21" ht="30" customHeight="1">
      <c r="A184" s="204"/>
      <c r="B184" s="202"/>
      <c r="C184" s="202"/>
      <c r="D184" s="202"/>
      <c r="E184" s="304"/>
      <c r="F184" s="211"/>
      <c r="G184" s="203"/>
      <c r="H184" s="203"/>
      <c r="I184" s="295"/>
      <c r="J184" s="264"/>
      <c r="K184" s="265"/>
      <c r="L184" s="266"/>
      <c r="M184" s="266"/>
      <c r="N184" s="266"/>
      <c r="O184" s="266"/>
      <c r="P184" s="266"/>
      <c r="Q184" s="266"/>
      <c r="R184" s="266"/>
    </row>
    <row r="185" spans="1:21" ht="30" customHeight="1">
      <c r="A185" s="204"/>
      <c r="B185" s="202"/>
      <c r="C185" s="202"/>
      <c r="D185" s="202"/>
      <c r="E185" s="304"/>
      <c r="F185" s="211"/>
      <c r="G185" s="203"/>
      <c r="H185" s="203"/>
      <c r="I185" s="295"/>
      <c r="J185" s="264"/>
      <c r="K185" s="265"/>
      <c r="L185" s="266"/>
      <c r="M185" s="266"/>
      <c r="N185" s="266"/>
      <c r="O185" s="266"/>
      <c r="P185" s="266"/>
      <c r="Q185" s="266"/>
      <c r="R185" s="266"/>
    </row>
    <row r="186" spans="1:21" ht="30" customHeight="1">
      <c r="A186" s="204"/>
      <c r="B186" s="202"/>
      <c r="C186" s="202"/>
      <c r="D186" s="202"/>
      <c r="E186" s="304"/>
      <c r="F186" s="211"/>
      <c r="G186" s="203"/>
      <c r="H186" s="203"/>
      <c r="I186" s="295"/>
      <c r="J186" s="264"/>
      <c r="K186" s="265"/>
      <c r="L186" s="266"/>
      <c r="M186" s="266"/>
      <c r="N186" s="266"/>
      <c r="O186" s="266"/>
      <c r="P186" s="266"/>
      <c r="Q186" s="266"/>
      <c r="R186" s="266"/>
    </row>
    <row r="187" spans="1:21" ht="30" customHeight="1">
      <c r="A187" s="204"/>
      <c r="B187" s="202"/>
      <c r="C187" s="202"/>
      <c r="D187" s="202"/>
      <c r="E187" s="304"/>
      <c r="F187" s="211"/>
      <c r="G187" s="203"/>
      <c r="H187" s="203"/>
      <c r="I187" s="295"/>
      <c r="J187" s="264"/>
      <c r="K187" s="265"/>
      <c r="L187" s="266"/>
      <c r="M187" s="266"/>
      <c r="N187" s="266"/>
      <c r="O187" s="266"/>
      <c r="P187" s="266"/>
      <c r="Q187" s="266"/>
      <c r="R187" s="266"/>
    </row>
    <row r="188" spans="1:21" ht="30" customHeight="1">
      <c r="A188" s="204"/>
      <c r="B188" s="202"/>
      <c r="C188" s="202"/>
      <c r="D188" s="202"/>
      <c r="E188" s="304"/>
      <c r="F188" s="211"/>
      <c r="G188" s="203"/>
      <c r="H188" s="203"/>
      <c r="I188" s="295"/>
      <c r="J188" s="264"/>
      <c r="K188" s="265"/>
      <c r="L188" s="266"/>
      <c r="M188" s="266"/>
      <c r="N188" s="266"/>
      <c r="O188" s="266"/>
      <c r="P188" s="266"/>
      <c r="Q188" s="266"/>
      <c r="R188" s="266"/>
    </row>
    <row r="189" spans="1:21" ht="30" customHeight="1">
      <c r="A189" s="204"/>
      <c r="B189" s="202"/>
      <c r="C189" s="202"/>
      <c r="D189" s="202"/>
      <c r="E189" s="304"/>
      <c r="F189" s="211"/>
      <c r="G189" s="203"/>
      <c r="H189" s="203"/>
      <c r="I189" s="295"/>
      <c r="J189" s="264"/>
      <c r="K189" s="265"/>
      <c r="L189" s="266"/>
      <c r="M189" s="266"/>
      <c r="N189" s="266"/>
      <c r="O189" s="266"/>
      <c r="P189" s="266"/>
      <c r="Q189" s="266"/>
      <c r="R189" s="266"/>
    </row>
    <row r="190" spans="1:21" ht="30" customHeight="1">
      <c r="A190" s="204"/>
      <c r="B190" s="202"/>
      <c r="C190" s="202"/>
      <c r="D190" s="202"/>
      <c r="E190" s="304"/>
      <c r="F190" s="211"/>
      <c r="G190" s="203"/>
      <c r="H190" s="203"/>
      <c r="I190" s="295"/>
      <c r="J190" s="264"/>
      <c r="K190" s="265"/>
      <c r="L190" s="266"/>
      <c r="M190" s="266"/>
      <c r="N190" s="266"/>
      <c r="O190" s="266"/>
      <c r="P190" s="266"/>
      <c r="Q190" s="266"/>
      <c r="R190" s="266"/>
    </row>
    <row r="191" spans="1:21" ht="30" customHeight="1">
      <c r="A191" s="204"/>
      <c r="B191" s="202"/>
      <c r="C191" s="202"/>
      <c r="D191" s="202"/>
      <c r="E191" s="304"/>
      <c r="F191" s="211"/>
      <c r="G191" s="203"/>
      <c r="H191" s="203"/>
      <c r="I191" s="295"/>
      <c r="J191" s="264"/>
      <c r="K191" s="265"/>
      <c r="L191" s="266"/>
      <c r="M191" s="266"/>
      <c r="N191" s="266"/>
      <c r="O191" s="266"/>
      <c r="P191" s="266"/>
      <c r="Q191" s="266"/>
      <c r="R191" s="266"/>
    </row>
    <row r="192" spans="1:21" ht="30" customHeight="1">
      <c r="A192" s="204"/>
      <c r="B192" s="202"/>
      <c r="C192" s="202"/>
      <c r="D192" s="202"/>
      <c r="E192" s="304"/>
      <c r="F192" s="211"/>
      <c r="G192" s="203"/>
      <c r="H192" s="203"/>
      <c r="I192" s="295"/>
      <c r="J192" s="264"/>
      <c r="K192" s="265"/>
      <c r="L192" s="266"/>
      <c r="M192" s="266"/>
      <c r="N192" s="266"/>
      <c r="O192" s="266"/>
      <c r="P192" s="266"/>
      <c r="Q192" s="266"/>
      <c r="R192" s="266"/>
    </row>
    <row r="193" spans="1:21" ht="30" customHeight="1">
      <c r="A193" s="204"/>
      <c r="B193" s="202"/>
      <c r="C193" s="202"/>
      <c r="D193" s="202"/>
      <c r="E193" s="304"/>
      <c r="F193" s="211"/>
      <c r="G193" s="203"/>
      <c r="H193" s="203"/>
      <c r="I193" s="295"/>
      <c r="J193" s="264"/>
      <c r="K193" s="267"/>
      <c r="L193" s="266"/>
      <c r="M193" s="266"/>
      <c r="N193" s="266"/>
      <c r="O193" s="266"/>
      <c r="P193" s="266"/>
      <c r="Q193" s="266"/>
      <c r="R193" s="268"/>
    </row>
    <row r="194" spans="1:21" ht="30" customHeight="1">
      <c r="A194" s="204"/>
      <c r="B194" s="202"/>
      <c r="C194" s="202"/>
      <c r="D194" s="202"/>
      <c r="E194" s="304"/>
      <c r="F194" s="211"/>
      <c r="G194" s="203"/>
      <c r="H194" s="203"/>
      <c r="I194" s="295"/>
      <c r="J194" s="264"/>
      <c r="K194" s="267"/>
      <c r="L194" s="266"/>
      <c r="M194" s="266"/>
      <c r="N194" s="266"/>
      <c r="O194" s="266"/>
      <c r="P194" s="266"/>
      <c r="Q194" s="266"/>
      <c r="R194" s="268"/>
    </row>
    <row r="195" spans="1:21" ht="30" customHeight="1">
      <c r="A195" s="204"/>
      <c r="B195" s="202"/>
      <c r="C195" s="202"/>
      <c r="D195" s="202"/>
      <c r="E195" s="304"/>
      <c r="F195" s="211"/>
      <c r="G195" s="203"/>
      <c r="H195" s="203"/>
      <c r="I195" s="295"/>
      <c r="J195" s="264"/>
      <c r="K195" s="267"/>
      <c r="L195" s="266"/>
      <c r="M195" s="266"/>
      <c r="N195" s="266"/>
      <c r="O195" s="266"/>
      <c r="P195" s="266"/>
      <c r="Q195" s="266"/>
      <c r="R195" s="268"/>
    </row>
    <row r="196" spans="1:21" ht="30" customHeight="1">
      <c r="A196" s="204"/>
      <c r="B196" s="202"/>
      <c r="C196" s="202"/>
      <c r="D196" s="202"/>
      <c r="E196" s="304"/>
      <c r="F196" s="211"/>
      <c r="G196" s="203"/>
      <c r="H196" s="203"/>
      <c r="I196" s="295"/>
      <c r="J196" s="264"/>
      <c r="K196" s="267"/>
      <c r="L196" s="266"/>
      <c r="M196" s="266"/>
      <c r="N196" s="266"/>
      <c r="O196" s="266"/>
      <c r="P196" s="266"/>
      <c r="Q196" s="266"/>
      <c r="R196" s="268"/>
    </row>
    <row r="197" spans="1:21" ht="30" customHeight="1">
      <c r="A197" s="308"/>
      <c r="B197" s="300"/>
      <c r="C197" s="309"/>
      <c r="D197" s="310"/>
      <c r="E197" s="301"/>
      <c r="F197" s="302"/>
      <c r="G197" s="286"/>
      <c r="H197" s="286"/>
      <c r="I197" s="307"/>
      <c r="J197" s="264"/>
      <c r="K197" s="265"/>
      <c r="L197" s="266"/>
      <c r="M197" s="266"/>
      <c r="N197" s="266"/>
      <c r="O197" s="266"/>
      <c r="P197" s="266"/>
      <c r="Q197" s="266"/>
      <c r="R197" s="288"/>
      <c r="S197" s="266"/>
      <c r="T197" s="266"/>
      <c r="U197" s="266"/>
    </row>
    <row r="198" spans="1:21" ht="30" customHeight="1">
      <c r="A198" s="261"/>
      <c r="B198" s="200"/>
      <c r="C198" s="200"/>
      <c r="D198" s="200"/>
      <c r="E198" s="303"/>
      <c r="F198" s="210"/>
      <c r="G198" s="201"/>
      <c r="H198" s="201"/>
      <c r="I198" s="295"/>
      <c r="J198" s="264"/>
      <c r="K198" s="267"/>
      <c r="L198" s="266"/>
      <c r="M198" s="266"/>
      <c r="N198" s="266"/>
      <c r="O198" s="266"/>
      <c r="P198" s="266"/>
      <c r="Q198" s="266"/>
      <c r="R198" s="288"/>
      <c r="S198" s="266"/>
      <c r="T198" s="266"/>
      <c r="U198" s="266"/>
    </row>
    <row r="199" spans="1:21" ht="30" customHeight="1">
      <c r="A199" s="204"/>
      <c r="B199" s="202"/>
      <c r="C199" s="202"/>
      <c r="D199" s="202"/>
      <c r="E199" s="304"/>
      <c r="F199" s="211"/>
      <c r="G199" s="203"/>
      <c r="H199" s="203"/>
      <c r="I199" s="295"/>
      <c r="J199" s="264"/>
      <c r="K199" s="265"/>
      <c r="L199" s="266"/>
      <c r="M199" s="266"/>
      <c r="N199" s="266"/>
      <c r="O199" s="266"/>
      <c r="P199" s="266"/>
      <c r="Q199" s="266"/>
      <c r="R199" s="266"/>
    </row>
    <row r="200" spans="1:21" ht="30" customHeight="1">
      <c r="A200" s="204"/>
      <c r="B200" s="202"/>
      <c r="C200" s="202"/>
      <c r="D200" s="202"/>
      <c r="E200" s="304"/>
      <c r="F200" s="211"/>
      <c r="G200" s="203"/>
      <c r="H200" s="203"/>
      <c r="I200" s="295"/>
      <c r="J200" s="264"/>
      <c r="K200" s="265"/>
      <c r="L200" s="266"/>
      <c r="M200" s="266"/>
      <c r="N200" s="266"/>
      <c r="O200" s="266"/>
      <c r="P200" s="266"/>
      <c r="Q200" s="266"/>
      <c r="R200" s="266"/>
    </row>
    <row r="201" spans="1:21" ht="30" customHeight="1">
      <c r="A201" s="204"/>
      <c r="B201" s="202"/>
      <c r="C201" s="202"/>
      <c r="D201" s="202"/>
      <c r="E201" s="304"/>
      <c r="F201" s="211"/>
      <c r="G201" s="203"/>
      <c r="H201" s="203"/>
      <c r="I201" s="295"/>
      <c r="J201" s="264"/>
      <c r="K201" s="265"/>
      <c r="L201" s="266"/>
      <c r="M201" s="266"/>
      <c r="N201" s="266"/>
      <c r="O201" s="266"/>
      <c r="P201" s="266"/>
      <c r="Q201" s="266"/>
      <c r="R201" s="266"/>
    </row>
    <row r="202" spans="1:21" ht="30" customHeight="1">
      <c r="A202" s="204"/>
      <c r="B202" s="202"/>
      <c r="C202" s="202"/>
      <c r="D202" s="202"/>
      <c r="E202" s="304"/>
      <c r="F202" s="211"/>
      <c r="G202" s="203"/>
      <c r="H202" s="203"/>
      <c r="I202" s="295"/>
      <c r="J202" s="264"/>
      <c r="K202" s="265"/>
      <c r="L202" s="266"/>
      <c r="M202" s="266"/>
      <c r="N202" s="266"/>
      <c r="O202" s="266"/>
      <c r="P202" s="266"/>
      <c r="Q202" s="266"/>
      <c r="R202" s="266"/>
    </row>
    <row r="203" spans="1:21" ht="30" customHeight="1">
      <c r="A203" s="204"/>
      <c r="B203" s="202"/>
      <c r="C203" s="202"/>
      <c r="D203" s="202"/>
      <c r="E203" s="304"/>
      <c r="F203" s="211"/>
      <c r="G203" s="203"/>
      <c r="H203" s="203"/>
      <c r="I203" s="295"/>
      <c r="J203" s="264"/>
      <c r="K203" s="265"/>
      <c r="L203" s="266"/>
      <c r="M203" s="266"/>
      <c r="N203" s="266"/>
      <c r="O203" s="266"/>
      <c r="P203" s="266"/>
      <c r="Q203" s="266"/>
      <c r="R203" s="266"/>
    </row>
    <row r="204" spans="1:21" ht="30" customHeight="1">
      <c r="A204" s="204"/>
      <c r="B204" s="202"/>
      <c r="C204" s="202"/>
      <c r="D204" s="202"/>
      <c r="E204" s="304"/>
      <c r="F204" s="211"/>
      <c r="G204" s="203"/>
      <c r="H204" s="203"/>
      <c r="I204" s="295"/>
      <c r="J204" s="264"/>
      <c r="K204" s="265"/>
      <c r="L204" s="266"/>
      <c r="M204" s="266"/>
      <c r="N204" s="266"/>
      <c r="O204" s="266"/>
      <c r="P204" s="266"/>
      <c r="Q204" s="266"/>
      <c r="R204" s="266"/>
    </row>
    <row r="205" spans="1:21" ht="30" customHeight="1">
      <c r="A205" s="204"/>
      <c r="B205" s="202"/>
      <c r="C205" s="202"/>
      <c r="D205" s="202"/>
      <c r="E205" s="304"/>
      <c r="F205" s="211"/>
      <c r="G205" s="203"/>
      <c r="H205" s="203"/>
      <c r="I205" s="295"/>
      <c r="J205" s="264"/>
      <c r="K205" s="265"/>
      <c r="L205" s="266"/>
      <c r="M205" s="266"/>
      <c r="N205" s="266"/>
      <c r="O205" s="266"/>
      <c r="P205" s="266"/>
      <c r="Q205" s="266"/>
      <c r="R205" s="266"/>
    </row>
    <row r="206" spans="1:21" ht="30" customHeight="1">
      <c r="A206" s="204"/>
      <c r="B206" s="202"/>
      <c r="C206" s="202"/>
      <c r="D206" s="202"/>
      <c r="E206" s="304"/>
      <c r="F206" s="211"/>
      <c r="G206" s="203"/>
      <c r="H206" s="203"/>
      <c r="I206" s="295"/>
      <c r="J206" s="264"/>
      <c r="K206" s="265"/>
      <c r="L206" s="266"/>
      <c r="M206" s="266"/>
      <c r="N206" s="266"/>
      <c r="O206" s="266"/>
      <c r="P206" s="266"/>
      <c r="Q206" s="266"/>
      <c r="R206" s="266"/>
    </row>
    <row r="207" spans="1:21" ht="30" customHeight="1">
      <c r="A207" s="204"/>
      <c r="B207" s="202"/>
      <c r="C207" s="202"/>
      <c r="D207" s="202"/>
      <c r="E207" s="304"/>
      <c r="F207" s="211"/>
      <c r="G207" s="203"/>
      <c r="H207" s="203"/>
      <c r="I207" s="295"/>
      <c r="J207" s="264"/>
      <c r="K207" s="265"/>
      <c r="L207" s="266"/>
      <c r="M207" s="266"/>
      <c r="N207" s="266"/>
      <c r="O207" s="266"/>
      <c r="P207" s="266"/>
      <c r="Q207" s="266"/>
      <c r="R207" s="266"/>
    </row>
    <row r="208" spans="1:21" ht="30" customHeight="1">
      <c r="A208" s="204"/>
      <c r="B208" s="202"/>
      <c r="C208" s="202"/>
      <c r="D208" s="202"/>
      <c r="E208" s="304"/>
      <c r="F208" s="211"/>
      <c r="G208" s="203"/>
      <c r="H208" s="203"/>
      <c r="I208" s="295"/>
      <c r="J208" s="264"/>
      <c r="K208" s="265"/>
      <c r="L208" s="266"/>
      <c r="M208" s="266"/>
      <c r="N208" s="266"/>
      <c r="O208" s="266"/>
      <c r="P208" s="266"/>
      <c r="Q208" s="266"/>
      <c r="R208" s="266"/>
    </row>
    <row r="209" spans="1:21" ht="30" customHeight="1">
      <c r="A209" s="204"/>
      <c r="B209" s="202"/>
      <c r="C209" s="202"/>
      <c r="D209" s="202"/>
      <c r="E209" s="304"/>
      <c r="F209" s="211"/>
      <c r="G209" s="203"/>
      <c r="H209" s="203"/>
      <c r="I209" s="295"/>
      <c r="J209" s="264"/>
      <c r="K209" s="265"/>
      <c r="L209" s="266"/>
      <c r="M209" s="266"/>
      <c r="N209" s="266"/>
      <c r="O209" s="266"/>
      <c r="P209" s="266"/>
      <c r="Q209" s="266"/>
      <c r="R209" s="266"/>
    </row>
    <row r="210" spans="1:21" ht="30" customHeight="1">
      <c r="A210" s="204"/>
      <c r="B210" s="202"/>
      <c r="C210" s="202"/>
      <c r="D210" s="202"/>
      <c r="E210" s="304"/>
      <c r="F210" s="211"/>
      <c r="G210" s="203"/>
      <c r="H210" s="203"/>
      <c r="I210" s="295"/>
      <c r="J210" s="264"/>
      <c r="K210" s="265"/>
      <c r="L210" s="266"/>
      <c r="M210" s="266"/>
      <c r="N210" s="266"/>
      <c r="O210" s="266"/>
      <c r="P210" s="266"/>
      <c r="Q210" s="266"/>
      <c r="R210" s="266"/>
    </row>
    <row r="211" spans="1:21" ht="30" customHeight="1">
      <c r="A211" s="204"/>
      <c r="B211" s="202"/>
      <c r="C211" s="202"/>
      <c r="D211" s="202"/>
      <c r="E211" s="304"/>
      <c r="F211" s="211"/>
      <c r="G211" s="203"/>
      <c r="H211" s="203"/>
      <c r="I211" s="295"/>
      <c r="J211" s="264"/>
      <c r="K211" s="265"/>
      <c r="L211" s="266"/>
      <c r="M211" s="266"/>
      <c r="N211" s="266"/>
      <c r="O211" s="266"/>
      <c r="P211" s="266"/>
      <c r="Q211" s="266"/>
      <c r="R211" s="266"/>
    </row>
    <row r="212" spans="1:21" ht="30" customHeight="1">
      <c r="A212" s="204"/>
      <c r="B212" s="202"/>
      <c r="C212" s="202"/>
      <c r="D212" s="202"/>
      <c r="E212" s="304"/>
      <c r="F212" s="211"/>
      <c r="G212" s="203"/>
      <c r="H212" s="203"/>
      <c r="I212" s="295"/>
      <c r="J212" s="264"/>
      <c r="K212" s="265"/>
      <c r="L212" s="266"/>
      <c r="M212" s="266"/>
      <c r="N212" s="266"/>
      <c r="O212" s="266"/>
      <c r="P212" s="266"/>
      <c r="Q212" s="266"/>
      <c r="R212" s="266"/>
    </row>
    <row r="213" spans="1:21" ht="30" customHeight="1">
      <c r="A213" s="204"/>
      <c r="B213" s="202"/>
      <c r="C213" s="202"/>
      <c r="D213" s="202"/>
      <c r="E213" s="304"/>
      <c r="F213" s="211"/>
      <c r="G213" s="203"/>
      <c r="H213" s="203"/>
      <c r="I213" s="295"/>
      <c r="J213" s="264"/>
      <c r="K213" s="265"/>
      <c r="L213" s="266"/>
      <c r="M213" s="266"/>
      <c r="N213" s="266"/>
      <c r="O213" s="266"/>
      <c r="P213" s="266"/>
      <c r="Q213" s="266"/>
      <c r="R213" s="266"/>
    </row>
    <row r="214" spans="1:21" ht="30" customHeight="1">
      <c r="A214" s="204"/>
      <c r="B214" s="202"/>
      <c r="C214" s="202"/>
      <c r="D214" s="202"/>
      <c r="E214" s="304"/>
      <c r="F214" s="211"/>
      <c r="G214" s="203"/>
      <c r="H214" s="203"/>
      <c r="I214" s="295"/>
      <c r="J214" s="264"/>
      <c r="K214" s="267"/>
      <c r="L214" s="266"/>
      <c r="M214" s="266"/>
      <c r="N214" s="266"/>
      <c r="O214" s="266"/>
      <c r="P214" s="266"/>
      <c r="Q214" s="266"/>
      <c r="R214" s="268"/>
    </row>
    <row r="215" spans="1:21" ht="30" customHeight="1">
      <c r="A215" s="204"/>
      <c r="B215" s="202"/>
      <c r="C215" s="202"/>
      <c r="D215" s="202"/>
      <c r="E215" s="304"/>
      <c r="F215" s="211"/>
      <c r="G215" s="203"/>
      <c r="H215" s="203"/>
      <c r="I215" s="295"/>
      <c r="J215" s="264"/>
      <c r="K215" s="267"/>
      <c r="L215" s="266"/>
      <c r="M215" s="266"/>
      <c r="N215" s="266"/>
      <c r="O215" s="266"/>
      <c r="P215" s="266"/>
      <c r="Q215" s="266"/>
      <c r="R215" s="268"/>
    </row>
    <row r="216" spans="1:21" ht="30" customHeight="1">
      <c r="A216" s="204"/>
      <c r="B216" s="202"/>
      <c r="C216" s="202"/>
      <c r="D216" s="202"/>
      <c r="E216" s="304"/>
      <c r="F216" s="211"/>
      <c r="G216" s="203"/>
      <c r="H216" s="203"/>
      <c r="I216" s="295"/>
      <c r="J216" s="264"/>
      <c r="K216" s="267"/>
      <c r="L216" s="266"/>
      <c r="M216" s="266"/>
      <c r="N216" s="266"/>
      <c r="O216" s="266"/>
      <c r="P216" s="266"/>
      <c r="Q216" s="266"/>
      <c r="R216" s="268"/>
    </row>
    <row r="217" spans="1:21" ht="30" customHeight="1">
      <c r="A217" s="204"/>
      <c r="B217" s="202"/>
      <c r="C217" s="202"/>
      <c r="D217" s="202"/>
      <c r="E217" s="304"/>
      <c r="F217" s="211"/>
      <c r="G217" s="203"/>
      <c r="H217" s="203"/>
      <c r="I217" s="295"/>
      <c r="J217" s="264"/>
      <c r="K217" s="267"/>
      <c r="L217" s="266"/>
      <c r="M217" s="266"/>
      <c r="N217" s="266"/>
      <c r="O217" s="266"/>
      <c r="P217" s="266"/>
      <c r="Q217" s="266"/>
      <c r="R217" s="268"/>
    </row>
    <row r="218" spans="1:21" ht="30" customHeight="1">
      <c r="A218" s="308"/>
      <c r="B218" s="300"/>
      <c r="C218" s="309"/>
      <c r="D218" s="310"/>
      <c r="E218" s="301"/>
      <c r="F218" s="302"/>
      <c r="G218" s="286"/>
      <c r="H218" s="286"/>
      <c r="I218" s="307"/>
      <c r="J218" s="264"/>
      <c r="K218" s="265"/>
      <c r="L218" s="266"/>
      <c r="M218" s="266"/>
      <c r="N218" s="266"/>
      <c r="O218" s="266"/>
      <c r="P218" s="266"/>
      <c r="Q218" s="266"/>
      <c r="R218" s="288"/>
      <c r="S218" s="266"/>
      <c r="T218" s="266"/>
      <c r="U218" s="266"/>
    </row>
    <row r="219" spans="1:21" ht="30" customHeight="1">
      <c r="A219" s="261"/>
      <c r="B219" s="200"/>
      <c r="C219" s="200"/>
      <c r="D219" s="200"/>
      <c r="E219" s="303"/>
      <c r="F219" s="210"/>
      <c r="G219" s="201"/>
      <c r="H219" s="201"/>
      <c r="I219" s="295"/>
      <c r="J219" s="264"/>
      <c r="K219" s="267"/>
      <c r="L219" s="266"/>
      <c r="M219" s="266"/>
      <c r="N219" s="266"/>
      <c r="O219" s="266"/>
      <c r="P219" s="266"/>
      <c r="Q219" s="266"/>
      <c r="R219" s="288"/>
      <c r="S219" s="266"/>
      <c r="T219" s="266"/>
      <c r="U219" s="266"/>
    </row>
    <row r="220" spans="1:21" ht="30" customHeight="1">
      <c r="A220" s="204"/>
      <c r="B220" s="202"/>
      <c r="C220" s="202"/>
      <c r="D220" s="202"/>
      <c r="E220" s="304"/>
      <c r="F220" s="211"/>
      <c r="G220" s="203"/>
      <c r="H220" s="203"/>
      <c r="I220" s="295"/>
      <c r="J220" s="264"/>
      <c r="K220" s="265"/>
      <c r="L220" s="266"/>
      <c r="M220" s="266"/>
      <c r="N220" s="266"/>
      <c r="O220" s="266"/>
      <c r="P220" s="266"/>
      <c r="Q220" s="266"/>
      <c r="R220" s="266"/>
    </row>
    <row r="221" spans="1:21" ht="30" customHeight="1">
      <c r="A221" s="204"/>
      <c r="B221" s="202"/>
      <c r="C221" s="202"/>
      <c r="D221" s="202"/>
      <c r="E221" s="304"/>
      <c r="F221" s="211"/>
      <c r="G221" s="203"/>
      <c r="H221" s="203"/>
      <c r="I221" s="295"/>
      <c r="J221" s="264"/>
      <c r="K221" s="265"/>
      <c r="L221" s="266"/>
      <c r="M221" s="266"/>
      <c r="N221" s="266"/>
      <c r="O221" s="266"/>
      <c r="P221" s="266"/>
      <c r="Q221" s="266"/>
      <c r="R221" s="266"/>
    </row>
    <row r="222" spans="1:21" ht="30" customHeight="1">
      <c r="A222" s="204"/>
      <c r="B222" s="202"/>
      <c r="C222" s="202"/>
      <c r="D222" s="202"/>
      <c r="E222" s="304"/>
      <c r="F222" s="211"/>
      <c r="G222" s="203"/>
      <c r="H222" s="203"/>
      <c r="I222" s="295"/>
      <c r="J222" s="264"/>
      <c r="K222" s="265"/>
      <c r="L222" s="266"/>
      <c r="M222" s="266"/>
      <c r="N222" s="266"/>
      <c r="O222" s="266"/>
      <c r="P222" s="266"/>
      <c r="Q222" s="266"/>
      <c r="R222" s="266"/>
    </row>
    <row r="223" spans="1:21" ht="30" customHeight="1">
      <c r="A223" s="204"/>
      <c r="B223" s="202"/>
      <c r="C223" s="202"/>
      <c r="D223" s="202"/>
      <c r="E223" s="304"/>
      <c r="F223" s="211"/>
      <c r="G223" s="203"/>
      <c r="H223" s="203"/>
      <c r="I223" s="295"/>
      <c r="J223" s="264"/>
      <c r="K223" s="265"/>
      <c r="L223" s="266"/>
      <c r="M223" s="266"/>
      <c r="N223" s="266"/>
      <c r="O223" s="266"/>
      <c r="P223" s="266"/>
      <c r="Q223" s="266"/>
      <c r="R223" s="266"/>
    </row>
    <row r="224" spans="1:21" ht="30" customHeight="1">
      <c r="A224" s="204"/>
      <c r="B224" s="202"/>
      <c r="C224" s="202"/>
      <c r="D224" s="202"/>
      <c r="E224" s="304"/>
      <c r="F224" s="211"/>
      <c r="G224" s="203"/>
      <c r="H224" s="203"/>
      <c r="I224" s="295"/>
      <c r="J224" s="264"/>
      <c r="K224" s="265"/>
      <c r="L224" s="266"/>
      <c r="M224" s="266"/>
      <c r="N224" s="266"/>
      <c r="O224" s="266"/>
      <c r="P224" s="266"/>
      <c r="Q224" s="266"/>
      <c r="R224" s="266"/>
    </row>
    <row r="225" spans="1:21" ht="30" customHeight="1">
      <c r="A225" s="204"/>
      <c r="B225" s="202"/>
      <c r="C225" s="202"/>
      <c r="D225" s="202"/>
      <c r="E225" s="304"/>
      <c r="F225" s="211"/>
      <c r="G225" s="203"/>
      <c r="H225" s="203"/>
      <c r="I225" s="295"/>
      <c r="J225" s="264"/>
      <c r="K225" s="265"/>
      <c r="L225" s="266"/>
      <c r="M225" s="266"/>
      <c r="N225" s="266"/>
      <c r="O225" s="266"/>
      <c r="P225" s="266"/>
      <c r="Q225" s="266"/>
      <c r="R225" s="266"/>
    </row>
    <row r="226" spans="1:21" ht="30" customHeight="1">
      <c r="A226" s="204"/>
      <c r="B226" s="202"/>
      <c r="C226" s="202"/>
      <c r="D226" s="202"/>
      <c r="E226" s="304"/>
      <c r="F226" s="211"/>
      <c r="G226" s="203"/>
      <c r="H226" s="203"/>
      <c r="I226" s="295"/>
      <c r="J226" s="264"/>
      <c r="K226" s="265"/>
      <c r="L226" s="266"/>
      <c r="M226" s="266"/>
      <c r="N226" s="266"/>
      <c r="O226" s="266"/>
      <c r="P226" s="266"/>
      <c r="Q226" s="266"/>
      <c r="R226" s="266"/>
    </row>
    <row r="227" spans="1:21" ht="30" customHeight="1">
      <c r="A227" s="204"/>
      <c r="B227" s="202"/>
      <c r="C227" s="202"/>
      <c r="D227" s="202"/>
      <c r="E227" s="304"/>
      <c r="F227" s="211"/>
      <c r="G227" s="203"/>
      <c r="H227" s="203"/>
      <c r="I227" s="295"/>
      <c r="J227" s="264"/>
      <c r="K227" s="265"/>
      <c r="L227" s="266"/>
      <c r="M227" s="266"/>
      <c r="N227" s="266"/>
      <c r="O227" s="266"/>
      <c r="P227" s="266"/>
      <c r="Q227" s="266"/>
      <c r="R227" s="266"/>
    </row>
    <row r="228" spans="1:21" ht="30" customHeight="1">
      <c r="A228" s="204"/>
      <c r="B228" s="202"/>
      <c r="C228" s="202"/>
      <c r="D228" s="202"/>
      <c r="E228" s="304"/>
      <c r="F228" s="211"/>
      <c r="G228" s="203"/>
      <c r="H228" s="203"/>
      <c r="I228" s="295"/>
      <c r="J228" s="264"/>
      <c r="K228" s="265"/>
      <c r="L228" s="266"/>
      <c r="M228" s="266"/>
      <c r="N228" s="266"/>
      <c r="O228" s="266"/>
      <c r="P228" s="266"/>
      <c r="Q228" s="266"/>
      <c r="R228" s="266"/>
    </row>
    <row r="229" spans="1:21" ht="30" customHeight="1">
      <c r="A229" s="204"/>
      <c r="B229" s="202"/>
      <c r="C229" s="202"/>
      <c r="D229" s="202"/>
      <c r="E229" s="304"/>
      <c r="F229" s="211"/>
      <c r="G229" s="203"/>
      <c r="H229" s="203"/>
      <c r="I229" s="295"/>
      <c r="J229" s="264"/>
      <c r="K229" s="265"/>
      <c r="L229" s="266"/>
      <c r="M229" s="266"/>
      <c r="N229" s="266"/>
      <c r="O229" s="266"/>
      <c r="P229" s="266"/>
      <c r="Q229" s="266"/>
      <c r="R229" s="266"/>
    </row>
    <row r="230" spans="1:21" ht="30" customHeight="1">
      <c r="A230" s="204"/>
      <c r="B230" s="202"/>
      <c r="C230" s="202"/>
      <c r="D230" s="202"/>
      <c r="E230" s="304"/>
      <c r="F230" s="211"/>
      <c r="G230" s="203"/>
      <c r="H230" s="203"/>
      <c r="I230" s="295"/>
      <c r="J230" s="264"/>
      <c r="K230" s="265"/>
      <c r="L230" s="266"/>
      <c r="M230" s="266"/>
      <c r="N230" s="266"/>
      <c r="O230" s="266"/>
      <c r="P230" s="266"/>
      <c r="Q230" s="266"/>
      <c r="R230" s="266"/>
    </row>
    <row r="231" spans="1:21" ht="30" customHeight="1">
      <c r="A231" s="204"/>
      <c r="B231" s="202"/>
      <c r="C231" s="202"/>
      <c r="D231" s="202"/>
      <c r="E231" s="304"/>
      <c r="F231" s="211"/>
      <c r="G231" s="203"/>
      <c r="H231" s="203"/>
      <c r="I231" s="295"/>
      <c r="J231" s="264"/>
      <c r="K231" s="265"/>
      <c r="L231" s="266"/>
      <c r="M231" s="266"/>
      <c r="N231" s="266"/>
      <c r="O231" s="266"/>
      <c r="P231" s="266"/>
      <c r="Q231" s="266"/>
      <c r="R231" s="266"/>
    </row>
    <row r="232" spans="1:21" ht="30" customHeight="1">
      <c r="A232" s="204"/>
      <c r="B232" s="202"/>
      <c r="C232" s="202"/>
      <c r="D232" s="202"/>
      <c r="E232" s="304"/>
      <c r="F232" s="211"/>
      <c r="G232" s="203"/>
      <c r="H232" s="203"/>
      <c r="I232" s="295"/>
      <c r="J232" s="264"/>
      <c r="K232" s="265"/>
      <c r="L232" s="266"/>
      <c r="M232" s="266"/>
      <c r="N232" s="266"/>
      <c r="O232" s="266"/>
      <c r="P232" s="266"/>
      <c r="Q232" s="266"/>
      <c r="R232" s="266"/>
    </row>
    <row r="233" spans="1:21" ht="30" customHeight="1">
      <c r="A233" s="204"/>
      <c r="B233" s="202"/>
      <c r="C233" s="202"/>
      <c r="D233" s="202"/>
      <c r="E233" s="304"/>
      <c r="F233" s="211"/>
      <c r="G233" s="203"/>
      <c r="H233" s="203"/>
      <c r="I233" s="295"/>
      <c r="J233" s="264"/>
      <c r="K233" s="265"/>
      <c r="L233" s="266"/>
      <c r="M233" s="266"/>
      <c r="N233" s="266"/>
      <c r="O233" s="266"/>
      <c r="P233" s="266"/>
      <c r="Q233" s="266"/>
      <c r="R233" s="266"/>
    </row>
    <row r="234" spans="1:21" ht="30" customHeight="1">
      <c r="A234" s="204"/>
      <c r="B234" s="202"/>
      <c r="C234" s="202"/>
      <c r="D234" s="202"/>
      <c r="E234" s="304"/>
      <c r="F234" s="211"/>
      <c r="G234" s="203"/>
      <c r="H234" s="203"/>
      <c r="I234" s="295"/>
      <c r="J234" s="264"/>
      <c r="K234" s="265"/>
      <c r="L234" s="266"/>
      <c r="M234" s="266"/>
      <c r="N234" s="266"/>
      <c r="O234" s="266"/>
      <c r="P234" s="266"/>
      <c r="Q234" s="266"/>
      <c r="R234" s="266"/>
    </row>
    <row r="235" spans="1:21" ht="30" customHeight="1">
      <c r="A235" s="204"/>
      <c r="B235" s="202"/>
      <c r="C235" s="202"/>
      <c r="D235" s="202"/>
      <c r="E235" s="304"/>
      <c r="F235" s="211"/>
      <c r="G235" s="203"/>
      <c r="H235" s="203"/>
      <c r="I235" s="295"/>
      <c r="J235" s="264"/>
      <c r="K235" s="267"/>
      <c r="L235" s="266"/>
      <c r="M235" s="266"/>
      <c r="N235" s="266"/>
      <c r="O235" s="266"/>
      <c r="P235" s="266"/>
      <c r="Q235" s="266"/>
      <c r="R235" s="268"/>
    </row>
    <row r="236" spans="1:21" ht="30" customHeight="1">
      <c r="A236" s="204"/>
      <c r="B236" s="202"/>
      <c r="C236" s="202"/>
      <c r="D236" s="202"/>
      <c r="E236" s="304"/>
      <c r="F236" s="211"/>
      <c r="G236" s="203"/>
      <c r="H236" s="203"/>
      <c r="I236" s="295"/>
      <c r="J236" s="264"/>
      <c r="K236" s="267"/>
      <c r="L236" s="266"/>
      <c r="M236" s="266"/>
      <c r="N236" s="266"/>
      <c r="O236" s="266"/>
      <c r="P236" s="266"/>
      <c r="Q236" s="266"/>
      <c r="R236" s="268"/>
    </row>
    <row r="237" spans="1:21" ht="30" customHeight="1">
      <c r="A237" s="204"/>
      <c r="B237" s="202"/>
      <c r="C237" s="202"/>
      <c r="D237" s="202"/>
      <c r="E237" s="304"/>
      <c r="F237" s="211"/>
      <c r="G237" s="203"/>
      <c r="H237" s="203"/>
      <c r="I237" s="295"/>
      <c r="J237" s="264"/>
      <c r="K237" s="267"/>
      <c r="L237" s="266"/>
      <c r="M237" s="266"/>
      <c r="N237" s="266"/>
      <c r="O237" s="266"/>
      <c r="P237" s="266"/>
      <c r="Q237" s="266"/>
      <c r="R237" s="268"/>
    </row>
    <row r="238" spans="1:21" ht="30" customHeight="1">
      <c r="A238" s="204"/>
      <c r="B238" s="202"/>
      <c r="C238" s="202"/>
      <c r="D238" s="202"/>
      <c r="E238" s="304"/>
      <c r="F238" s="211"/>
      <c r="G238" s="203"/>
      <c r="H238" s="203"/>
      <c r="I238" s="295"/>
      <c r="J238" s="264"/>
      <c r="K238" s="267"/>
      <c r="L238" s="266"/>
      <c r="M238" s="266"/>
      <c r="N238" s="266"/>
      <c r="O238" s="266"/>
      <c r="P238" s="266"/>
      <c r="Q238" s="266"/>
      <c r="R238" s="268"/>
    </row>
    <row r="239" spans="1:21" ht="30" customHeight="1">
      <c r="A239" s="308"/>
      <c r="B239" s="300"/>
      <c r="C239" s="309"/>
      <c r="D239" s="310"/>
      <c r="E239" s="301"/>
      <c r="F239" s="302"/>
      <c r="G239" s="286"/>
      <c r="H239" s="286"/>
      <c r="I239" s="307"/>
      <c r="J239" s="264"/>
      <c r="K239" s="265"/>
      <c r="L239" s="266"/>
      <c r="M239" s="266"/>
      <c r="N239" s="266"/>
      <c r="O239" s="266"/>
      <c r="P239" s="266"/>
      <c r="Q239" s="266"/>
      <c r="R239" s="288"/>
      <c r="S239" s="266"/>
      <c r="T239" s="266"/>
      <c r="U239" s="266"/>
    </row>
    <row r="240" spans="1:21" ht="30" customHeight="1">
      <c r="A240" s="261"/>
      <c r="B240" s="200"/>
      <c r="C240" s="200"/>
      <c r="D240" s="200"/>
      <c r="E240" s="303"/>
      <c r="F240" s="210"/>
      <c r="G240" s="201"/>
      <c r="H240" s="201"/>
      <c r="I240" s="295"/>
      <c r="J240" s="264"/>
      <c r="K240" s="267"/>
      <c r="L240" s="266"/>
      <c r="M240" s="266"/>
      <c r="N240" s="266"/>
      <c r="O240" s="266"/>
      <c r="P240" s="266"/>
      <c r="Q240" s="266"/>
      <c r="R240" s="288"/>
      <c r="S240" s="266"/>
      <c r="T240" s="266"/>
      <c r="U240" s="266"/>
    </row>
    <row r="241" spans="1:18" ht="30" customHeight="1">
      <c r="A241" s="204"/>
      <c r="B241" s="202"/>
      <c r="C241" s="202"/>
      <c r="D241" s="202"/>
      <c r="E241" s="304"/>
      <c r="F241" s="211"/>
      <c r="G241" s="203"/>
      <c r="H241" s="203"/>
      <c r="I241" s="295"/>
      <c r="J241" s="264"/>
      <c r="K241" s="265"/>
      <c r="L241" s="266"/>
      <c r="M241" s="266"/>
      <c r="N241" s="266"/>
      <c r="O241" s="266"/>
      <c r="P241" s="266"/>
      <c r="Q241" s="266"/>
      <c r="R241" s="266"/>
    </row>
    <row r="242" spans="1:18" ht="30" customHeight="1">
      <c r="A242" s="204"/>
      <c r="B242" s="202"/>
      <c r="C242" s="202"/>
      <c r="D242" s="202"/>
      <c r="E242" s="304"/>
      <c r="F242" s="211"/>
      <c r="G242" s="203"/>
      <c r="H242" s="203"/>
      <c r="I242" s="295"/>
      <c r="J242" s="264"/>
      <c r="K242" s="265"/>
      <c r="L242" s="266"/>
      <c r="M242" s="266"/>
      <c r="N242" s="266"/>
      <c r="O242" s="266"/>
      <c r="P242" s="266"/>
      <c r="Q242" s="266"/>
      <c r="R242" s="266"/>
    </row>
    <row r="243" spans="1:18" ht="30" customHeight="1">
      <c r="A243" s="204"/>
      <c r="B243" s="202"/>
      <c r="C243" s="202"/>
      <c r="D243" s="202"/>
      <c r="E243" s="304"/>
      <c r="F243" s="211"/>
      <c r="G243" s="203"/>
      <c r="H243" s="203"/>
      <c r="I243" s="295"/>
      <c r="J243" s="264"/>
      <c r="K243" s="265"/>
      <c r="L243" s="266"/>
      <c r="M243" s="266"/>
      <c r="N243" s="266"/>
      <c r="O243" s="266"/>
      <c r="P243" s="266"/>
      <c r="Q243" s="266"/>
      <c r="R243" s="266"/>
    </row>
    <row r="244" spans="1:18" ht="30" customHeight="1">
      <c r="A244" s="204"/>
      <c r="B244" s="202"/>
      <c r="C244" s="202"/>
      <c r="D244" s="202"/>
      <c r="E244" s="304"/>
      <c r="F244" s="211"/>
      <c r="G244" s="203"/>
      <c r="H244" s="203"/>
      <c r="I244" s="295"/>
      <c r="J244" s="264"/>
      <c r="K244" s="265"/>
      <c r="L244" s="266"/>
      <c r="M244" s="266"/>
      <c r="N244" s="266"/>
      <c r="O244" s="266"/>
      <c r="P244" s="266"/>
      <c r="Q244" s="266"/>
      <c r="R244" s="266"/>
    </row>
    <row r="245" spans="1:18" ht="30" customHeight="1">
      <c r="A245" s="204"/>
      <c r="B245" s="202"/>
      <c r="C245" s="202"/>
      <c r="D245" s="202"/>
      <c r="E245" s="304"/>
      <c r="F245" s="211"/>
      <c r="G245" s="203"/>
      <c r="H245" s="203"/>
      <c r="I245" s="295"/>
      <c r="J245" s="264"/>
      <c r="K245" s="265"/>
      <c r="L245" s="266"/>
      <c r="M245" s="266"/>
      <c r="N245" s="266"/>
      <c r="O245" s="266"/>
      <c r="P245" s="266"/>
      <c r="Q245" s="266"/>
      <c r="R245" s="266"/>
    </row>
    <row r="246" spans="1:18" ht="30" customHeight="1">
      <c r="A246" s="204"/>
      <c r="B246" s="202"/>
      <c r="C246" s="202"/>
      <c r="D246" s="202"/>
      <c r="E246" s="304"/>
      <c r="F246" s="211"/>
      <c r="G246" s="203"/>
      <c r="H246" s="203"/>
      <c r="I246" s="295"/>
      <c r="J246" s="264"/>
      <c r="K246" s="265"/>
      <c r="L246" s="266"/>
      <c r="M246" s="266"/>
      <c r="N246" s="266"/>
      <c r="O246" s="266"/>
      <c r="P246" s="266"/>
      <c r="Q246" s="266"/>
      <c r="R246" s="266"/>
    </row>
    <row r="247" spans="1:18" ht="30" customHeight="1">
      <c r="A247" s="204"/>
      <c r="B247" s="202"/>
      <c r="C247" s="202"/>
      <c r="D247" s="202"/>
      <c r="E247" s="304"/>
      <c r="F247" s="211"/>
      <c r="G247" s="203"/>
      <c r="H247" s="203"/>
      <c r="I247" s="295"/>
      <c r="J247" s="264"/>
      <c r="K247" s="265"/>
      <c r="L247" s="266"/>
      <c r="M247" s="266"/>
      <c r="N247" s="266"/>
      <c r="O247" s="266"/>
      <c r="P247" s="266"/>
      <c r="Q247" s="266"/>
      <c r="R247" s="266"/>
    </row>
    <row r="248" spans="1:18" ht="30" customHeight="1">
      <c r="A248" s="204"/>
      <c r="B248" s="202"/>
      <c r="C248" s="202"/>
      <c r="D248" s="202"/>
      <c r="E248" s="304"/>
      <c r="F248" s="211"/>
      <c r="G248" s="203"/>
      <c r="H248" s="203"/>
      <c r="I248" s="295"/>
      <c r="J248" s="264"/>
      <c r="K248" s="265"/>
      <c r="L248" s="266"/>
      <c r="M248" s="266"/>
      <c r="N248" s="266"/>
      <c r="O248" s="266"/>
      <c r="P248" s="266"/>
      <c r="Q248" s="266"/>
      <c r="R248" s="266"/>
    </row>
    <row r="249" spans="1:18" ht="30" customHeight="1">
      <c r="A249" s="204"/>
      <c r="B249" s="202"/>
      <c r="C249" s="202"/>
      <c r="D249" s="202"/>
      <c r="E249" s="304"/>
      <c r="F249" s="211"/>
      <c r="G249" s="203"/>
      <c r="H249" s="203"/>
      <c r="I249" s="295"/>
      <c r="J249" s="264"/>
      <c r="K249" s="265"/>
      <c r="L249" s="266"/>
      <c r="M249" s="266"/>
      <c r="N249" s="266"/>
      <c r="O249" s="266"/>
      <c r="P249" s="266"/>
      <c r="Q249" s="266"/>
      <c r="R249" s="266"/>
    </row>
    <row r="250" spans="1:18" ht="30" customHeight="1">
      <c r="A250" s="204"/>
      <c r="B250" s="202"/>
      <c r="C250" s="202"/>
      <c r="D250" s="202"/>
      <c r="E250" s="304"/>
      <c r="F250" s="211"/>
      <c r="G250" s="203"/>
      <c r="H250" s="203"/>
      <c r="I250" s="295"/>
      <c r="J250" s="264"/>
      <c r="K250" s="265"/>
      <c r="L250" s="266"/>
      <c r="M250" s="266"/>
      <c r="N250" s="266"/>
      <c r="O250" s="266"/>
      <c r="P250" s="266"/>
      <c r="Q250" s="266"/>
      <c r="R250" s="266"/>
    </row>
    <row r="251" spans="1:18" ht="30" customHeight="1">
      <c r="A251" s="204"/>
      <c r="B251" s="202"/>
      <c r="C251" s="202"/>
      <c r="D251" s="202"/>
      <c r="E251" s="304"/>
      <c r="F251" s="211"/>
      <c r="G251" s="203"/>
      <c r="H251" s="203"/>
      <c r="I251" s="295"/>
      <c r="J251" s="264"/>
      <c r="K251" s="265"/>
      <c r="L251" s="266"/>
      <c r="M251" s="266"/>
      <c r="N251" s="266"/>
      <c r="O251" s="266"/>
      <c r="P251" s="266"/>
      <c r="Q251" s="266"/>
      <c r="R251" s="266"/>
    </row>
    <row r="252" spans="1:18" ht="30" customHeight="1">
      <c r="A252" s="204"/>
      <c r="B252" s="202"/>
      <c r="C252" s="202"/>
      <c r="D252" s="202"/>
      <c r="E252" s="304"/>
      <c r="F252" s="211"/>
      <c r="G252" s="203"/>
      <c r="H252" s="203"/>
      <c r="I252" s="295"/>
      <c r="J252" s="264"/>
      <c r="K252" s="265"/>
      <c r="L252" s="266"/>
      <c r="M252" s="266"/>
      <c r="N252" s="266"/>
      <c r="O252" s="266"/>
      <c r="P252" s="266"/>
      <c r="Q252" s="266"/>
      <c r="R252" s="266"/>
    </row>
    <row r="253" spans="1:18" ht="30" customHeight="1">
      <c r="A253" s="204"/>
      <c r="B253" s="202"/>
      <c r="C253" s="202"/>
      <c r="D253" s="202"/>
      <c r="E253" s="304"/>
      <c r="F253" s="211"/>
      <c r="G253" s="203"/>
      <c r="H253" s="203"/>
      <c r="I253" s="295"/>
      <c r="J253" s="264"/>
      <c r="K253" s="265"/>
      <c r="L253" s="266"/>
      <c r="M253" s="266"/>
      <c r="N253" s="266"/>
      <c r="O253" s="266"/>
      <c r="P253" s="266"/>
      <c r="Q253" s="266"/>
      <c r="R253" s="266"/>
    </row>
    <row r="254" spans="1:18" ht="30" customHeight="1">
      <c r="A254" s="204"/>
      <c r="B254" s="202"/>
      <c r="C254" s="202"/>
      <c r="D254" s="202"/>
      <c r="E254" s="304"/>
      <c r="F254" s="211"/>
      <c r="G254" s="203"/>
      <c r="H254" s="203"/>
      <c r="I254" s="295"/>
      <c r="J254" s="264"/>
      <c r="K254" s="265"/>
      <c r="L254" s="266"/>
      <c r="M254" s="266"/>
      <c r="N254" s="266"/>
      <c r="O254" s="266"/>
      <c r="P254" s="266"/>
      <c r="Q254" s="266"/>
      <c r="R254" s="266"/>
    </row>
    <row r="255" spans="1:18" ht="30" customHeight="1">
      <c r="A255" s="204"/>
      <c r="B255" s="202"/>
      <c r="C255" s="202"/>
      <c r="D255" s="202"/>
      <c r="E255" s="304"/>
      <c r="F255" s="211"/>
      <c r="G255" s="203"/>
      <c r="H255" s="203"/>
      <c r="I255" s="295"/>
      <c r="J255" s="264"/>
      <c r="K255" s="265"/>
      <c r="L255" s="266"/>
      <c r="M255" s="266"/>
      <c r="N255" s="266"/>
      <c r="O255" s="266"/>
      <c r="P255" s="266"/>
      <c r="Q255" s="266"/>
      <c r="R255" s="266"/>
    </row>
    <row r="256" spans="1:18" ht="30" customHeight="1">
      <c r="A256" s="204"/>
      <c r="B256" s="202"/>
      <c r="C256" s="202"/>
      <c r="D256" s="202"/>
      <c r="E256" s="304"/>
      <c r="F256" s="211"/>
      <c r="G256" s="203"/>
      <c r="H256" s="203"/>
      <c r="I256" s="295"/>
      <c r="J256" s="264"/>
      <c r="K256" s="267"/>
      <c r="L256" s="266"/>
      <c r="M256" s="266"/>
      <c r="N256" s="266"/>
      <c r="O256" s="266"/>
      <c r="P256" s="266"/>
      <c r="Q256" s="266"/>
      <c r="R256" s="268"/>
    </row>
    <row r="257" spans="1:21" ht="30" customHeight="1">
      <c r="A257" s="204"/>
      <c r="B257" s="202"/>
      <c r="C257" s="202"/>
      <c r="D257" s="202"/>
      <c r="E257" s="304"/>
      <c r="F257" s="211"/>
      <c r="G257" s="203"/>
      <c r="H257" s="203"/>
      <c r="I257" s="295"/>
      <c r="J257" s="264"/>
      <c r="K257" s="267"/>
      <c r="L257" s="266"/>
      <c r="M257" s="266"/>
      <c r="N257" s="266"/>
      <c r="O257" s="266"/>
      <c r="P257" s="266"/>
      <c r="Q257" s="266"/>
      <c r="R257" s="268"/>
    </row>
    <row r="258" spans="1:21" ht="30" customHeight="1">
      <c r="A258" s="204"/>
      <c r="B258" s="202"/>
      <c r="C258" s="202"/>
      <c r="D258" s="202"/>
      <c r="E258" s="304"/>
      <c r="F258" s="211"/>
      <c r="G258" s="203"/>
      <c r="H258" s="203"/>
      <c r="I258" s="295"/>
      <c r="J258" s="264"/>
      <c r="K258" s="267"/>
      <c r="L258" s="266"/>
      <c r="M258" s="266"/>
      <c r="N258" s="266"/>
      <c r="O258" s="266"/>
      <c r="P258" s="266"/>
      <c r="Q258" s="266"/>
      <c r="R258" s="268"/>
    </row>
    <row r="259" spans="1:21" ht="30" customHeight="1">
      <c r="A259" s="204"/>
      <c r="B259" s="202"/>
      <c r="C259" s="202"/>
      <c r="D259" s="202"/>
      <c r="E259" s="304"/>
      <c r="F259" s="211"/>
      <c r="G259" s="203"/>
      <c r="H259" s="203"/>
      <c r="I259" s="295"/>
      <c r="J259" s="264"/>
      <c r="K259" s="267"/>
      <c r="L259" s="266"/>
      <c r="M259" s="266"/>
      <c r="N259" s="266"/>
      <c r="O259" s="266"/>
      <c r="P259" s="266"/>
      <c r="Q259" s="266"/>
      <c r="R259" s="268"/>
    </row>
    <row r="260" spans="1:21" ht="30" customHeight="1">
      <c r="A260" s="308"/>
      <c r="B260" s="300"/>
      <c r="C260" s="309"/>
      <c r="D260" s="310"/>
      <c r="E260" s="301"/>
      <c r="F260" s="302"/>
      <c r="G260" s="286"/>
      <c r="H260" s="286"/>
      <c r="I260" s="307"/>
      <c r="J260" s="264"/>
      <c r="K260" s="265"/>
      <c r="L260" s="266"/>
      <c r="M260" s="266"/>
      <c r="N260" s="266"/>
      <c r="O260" s="266"/>
      <c r="P260" s="266"/>
      <c r="Q260" s="266"/>
      <c r="R260" s="288"/>
      <c r="S260" s="266"/>
      <c r="T260" s="266"/>
      <c r="U260" s="266"/>
    </row>
    <row r="261" spans="1:21" ht="30" customHeight="1">
      <c r="A261" s="261"/>
      <c r="B261" s="200"/>
      <c r="C261" s="200"/>
      <c r="D261" s="200"/>
      <c r="E261" s="303"/>
      <c r="F261" s="210"/>
      <c r="G261" s="201"/>
      <c r="H261" s="201"/>
      <c r="I261" s="295"/>
      <c r="J261" s="264"/>
      <c r="K261" s="267"/>
      <c r="L261" s="266"/>
      <c r="M261" s="266"/>
      <c r="N261" s="266"/>
      <c r="O261" s="266"/>
      <c r="P261" s="266"/>
      <c r="Q261" s="266"/>
      <c r="R261" s="288"/>
      <c r="S261" s="266"/>
      <c r="T261" s="266"/>
      <c r="U261" s="266"/>
    </row>
    <row r="262" spans="1:21" ht="30" customHeight="1">
      <c r="A262" s="204"/>
      <c r="B262" s="202"/>
      <c r="C262" s="202"/>
      <c r="D262" s="202"/>
      <c r="E262" s="304"/>
      <c r="F262" s="211"/>
      <c r="G262" s="203"/>
      <c r="H262" s="203"/>
      <c r="I262" s="295"/>
      <c r="J262" s="264"/>
      <c r="K262" s="265"/>
      <c r="L262" s="266"/>
      <c r="M262" s="266"/>
      <c r="N262" s="266"/>
      <c r="O262" s="266"/>
      <c r="P262" s="266"/>
      <c r="Q262" s="266"/>
      <c r="R262" s="266"/>
    </row>
    <row r="263" spans="1:21" ht="30" customHeight="1">
      <c r="A263" s="204"/>
      <c r="B263" s="202"/>
      <c r="C263" s="202"/>
      <c r="D263" s="202"/>
      <c r="E263" s="304"/>
      <c r="F263" s="211"/>
      <c r="G263" s="203"/>
      <c r="H263" s="203"/>
      <c r="I263" s="295"/>
      <c r="J263" s="264"/>
      <c r="K263" s="265"/>
      <c r="L263" s="266"/>
      <c r="M263" s="266"/>
      <c r="N263" s="266"/>
      <c r="O263" s="266"/>
      <c r="P263" s="266"/>
      <c r="Q263" s="266"/>
      <c r="R263" s="266"/>
    </row>
    <row r="264" spans="1:21" ht="30" customHeight="1">
      <c r="A264" s="204"/>
      <c r="B264" s="202"/>
      <c r="C264" s="202"/>
      <c r="D264" s="202"/>
      <c r="E264" s="304"/>
      <c r="F264" s="211"/>
      <c r="G264" s="203"/>
      <c r="H264" s="203"/>
      <c r="I264" s="295"/>
      <c r="J264" s="264"/>
      <c r="K264" s="265"/>
      <c r="L264" s="266"/>
      <c r="M264" s="266"/>
      <c r="N264" s="266"/>
      <c r="O264" s="266"/>
      <c r="P264" s="266"/>
      <c r="Q264" s="266"/>
      <c r="R264" s="266"/>
    </row>
    <row r="265" spans="1:21" ht="30" customHeight="1">
      <c r="A265" s="204"/>
      <c r="B265" s="202"/>
      <c r="C265" s="202"/>
      <c r="D265" s="202"/>
      <c r="E265" s="304"/>
      <c r="F265" s="211"/>
      <c r="G265" s="203"/>
      <c r="H265" s="203"/>
      <c r="I265" s="295"/>
      <c r="J265" s="264"/>
      <c r="K265" s="265"/>
      <c r="L265" s="266"/>
      <c r="M265" s="266"/>
      <c r="N265" s="266"/>
      <c r="O265" s="266"/>
      <c r="P265" s="266"/>
      <c r="Q265" s="266"/>
      <c r="R265" s="266"/>
    </row>
    <row r="266" spans="1:21" ht="30" customHeight="1">
      <c r="A266" s="204"/>
      <c r="B266" s="202"/>
      <c r="C266" s="202"/>
      <c r="D266" s="202"/>
      <c r="E266" s="304"/>
      <c r="F266" s="211"/>
      <c r="G266" s="203"/>
      <c r="H266" s="203"/>
      <c r="I266" s="295"/>
      <c r="J266" s="264"/>
      <c r="K266" s="265"/>
      <c r="L266" s="266"/>
      <c r="M266" s="266"/>
      <c r="N266" s="266"/>
      <c r="O266" s="266"/>
      <c r="P266" s="266"/>
      <c r="Q266" s="266"/>
      <c r="R266" s="266"/>
    </row>
    <row r="267" spans="1:21" ht="30" customHeight="1">
      <c r="A267" s="204"/>
      <c r="B267" s="202"/>
      <c r="C267" s="202"/>
      <c r="D267" s="202"/>
      <c r="E267" s="304"/>
      <c r="F267" s="211"/>
      <c r="G267" s="203"/>
      <c r="H267" s="203"/>
      <c r="I267" s="295"/>
      <c r="J267" s="264"/>
      <c r="K267" s="265"/>
      <c r="L267" s="266"/>
      <c r="M267" s="266"/>
      <c r="N267" s="266"/>
      <c r="O267" s="266"/>
      <c r="P267" s="266"/>
      <c r="Q267" s="266"/>
      <c r="R267" s="266"/>
    </row>
    <row r="268" spans="1:21" ht="30" customHeight="1">
      <c r="A268" s="204"/>
      <c r="B268" s="202"/>
      <c r="C268" s="202"/>
      <c r="D268" s="202"/>
      <c r="E268" s="304"/>
      <c r="F268" s="211"/>
      <c r="G268" s="203"/>
      <c r="H268" s="203"/>
      <c r="I268" s="295"/>
      <c r="J268" s="264"/>
      <c r="K268" s="265"/>
      <c r="L268" s="266"/>
      <c r="M268" s="266"/>
      <c r="N268" s="266"/>
      <c r="O268" s="266"/>
      <c r="P268" s="266"/>
      <c r="Q268" s="266"/>
      <c r="R268" s="266"/>
    </row>
    <row r="269" spans="1:21" ht="30" customHeight="1">
      <c r="A269" s="204"/>
      <c r="B269" s="202"/>
      <c r="C269" s="202"/>
      <c r="D269" s="202"/>
      <c r="E269" s="304"/>
      <c r="F269" s="211"/>
      <c r="G269" s="203"/>
      <c r="H269" s="203"/>
      <c r="I269" s="295"/>
      <c r="J269" s="264"/>
      <c r="K269" s="265"/>
      <c r="L269" s="266"/>
      <c r="M269" s="266"/>
      <c r="N269" s="266"/>
      <c r="O269" s="266"/>
      <c r="P269" s="266"/>
      <c r="Q269" s="266"/>
      <c r="R269" s="266"/>
    </row>
    <row r="270" spans="1:21" ht="30" customHeight="1">
      <c r="A270" s="204"/>
      <c r="B270" s="202"/>
      <c r="C270" s="202"/>
      <c r="D270" s="202"/>
      <c r="E270" s="304"/>
      <c r="F270" s="211"/>
      <c r="G270" s="203"/>
      <c r="H270" s="203"/>
      <c r="I270" s="295"/>
      <c r="J270" s="264"/>
      <c r="K270" s="265"/>
      <c r="L270" s="266"/>
      <c r="M270" s="266"/>
      <c r="N270" s="266"/>
      <c r="O270" s="266"/>
      <c r="P270" s="266"/>
      <c r="Q270" s="266"/>
      <c r="R270" s="266"/>
    </row>
    <row r="271" spans="1:21" ht="30" customHeight="1">
      <c r="A271" s="204"/>
      <c r="B271" s="202"/>
      <c r="C271" s="202"/>
      <c r="D271" s="202"/>
      <c r="E271" s="304"/>
      <c r="F271" s="211"/>
      <c r="G271" s="203"/>
      <c r="H271" s="203"/>
      <c r="I271" s="295"/>
      <c r="J271" s="264"/>
      <c r="K271" s="265"/>
      <c r="L271" s="266"/>
      <c r="M271" s="266"/>
      <c r="N271" s="266"/>
      <c r="O271" s="266"/>
      <c r="P271" s="266"/>
      <c r="Q271" s="266"/>
      <c r="R271" s="266"/>
    </row>
    <row r="272" spans="1:21" ht="30" customHeight="1">
      <c r="A272" s="204"/>
      <c r="B272" s="202"/>
      <c r="C272" s="202"/>
      <c r="D272" s="202"/>
      <c r="E272" s="304"/>
      <c r="F272" s="211"/>
      <c r="G272" s="203"/>
      <c r="H272" s="203"/>
      <c r="I272" s="295"/>
      <c r="J272" s="264"/>
      <c r="K272" s="265"/>
      <c r="L272" s="266"/>
      <c r="M272" s="266"/>
      <c r="N272" s="266"/>
      <c r="O272" s="266"/>
      <c r="P272" s="266"/>
      <c r="Q272" s="266"/>
      <c r="R272" s="266"/>
    </row>
    <row r="273" spans="1:21" ht="30" customHeight="1">
      <c r="A273" s="204"/>
      <c r="B273" s="202"/>
      <c r="C273" s="202"/>
      <c r="D273" s="202"/>
      <c r="E273" s="304"/>
      <c r="F273" s="211"/>
      <c r="G273" s="203"/>
      <c r="H273" s="203"/>
      <c r="I273" s="295"/>
      <c r="J273" s="264"/>
      <c r="K273" s="265"/>
      <c r="L273" s="266"/>
      <c r="M273" s="266"/>
      <c r="N273" s="266"/>
      <c r="O273" s="266"/>
      <c r="P273" s="266"/>
      <c r="Q273" s="266"/>
      <c r="R273" s="266"/>
    </row>
    <row r="274" spans="1:21" ht="30" customHeight="1">
      <c r="A274" s="204"/>
      <c r="B274" s="202"/>
      <c r="C274" s="202"/>
      <c r="D274" s="202"/>
      <c r="E274" s="304"/>
      <c r="F274" s="211"/>
      <c r="G274" s="203"/>
      <c r="H274" s="203"/>
      <c r="I274" s="295"/>
      <c r="J274" s="264"/>
      <c r="K274" s="265"/>
      <c r="L274" s="266"/>
      <c r="M274" s="266"/>
      <c r="N274" s="266"/>
      <c r="O274" s="266"/>
      <c r="P274" s="266"/>
      <c r="Q274" s="266"/>
      <c r="R274" s="266"/>
    </row>
    <row r="275" spans="1:21" ht="30" customHeight="1">
      <c r="A275" s="204"/>
      <c r="B275" s="202"/>
      <c r="C275" s="202"/>
      <c r="D275" s="202"/>
      <c r="E275" s="304"/>
      <c r="F275" s="211"/>
      <c r="G275" s="203"/>
      <c r="H275" s="203"/>
      <c r="I275" s="295"/>
      <c r="J275" s="264"/>
      <c r="K275" s="265"/>
      <c r="L275" s="266"/>
      <c r="M275" s="266"/>
      <c r="N275" s="266"/>
      <c r="O275" s="266"/>
      <c r="P275" s="266"/>
      <c r="Q275" s="266"/>
      <c r="R275" s="266"/>
    </row>
    <row r="276" spans="1:21" ht="30" customHeight="1">
      <c r="A276" s="204"/>
      <c r="B276" s="202"/>
      <c r="C276" s="202"/>
      <c r="D276" s="202"/>
      <c r="E276" s="304"/>
      <c r="F276" s="211"/>
      <c r="G276" s="203"/>
      <c r="H276" s="203"/>
      <c r="I276" s="295"/>
      <c r="J276" s="264"/>
      <c r="K276" s="265"/>
      <c r="L276" s="266"/>
      <c r="M276" s="266"/>
      <c r="N276" s="266"/>
      <c r="O276" s="266"/>
      <c r="P276" s="266"/>
      <c r="Q276" s="266"/>
      <c r="R276" s="266"/>
    </row>
    <row r="277" spans="1:21" ht="30" customHeight="1">
      <c r="A277" s="204"/>
      <c r="B277" s="202"/>
      <c r="C277" s="202"/>
      <c r="D277" s="202"/>
      <c r="E277" s="304"/>
      <c r="F277" s="211"/>
      <c r="G277" s="203"/>
      <c r="H277" s="203"/>
      <c r="I277" s="295"/>
      <c r="J277" s="264"/>
      <c r="K277" s="267"/>
      <c r="L277" s="266"/>
      <c r="M277" s="266"/>
      <c r="N277" s="266"/>
      <c r="O277" s="266"/>
      <c r="P277" s="266"/>
      <c r="Q277" s="266"/>
      <c r="R277" s="268"/>
    </row>
    <row r="278" spans="1:21" ht="30" customHeight="1">
      <c r="A278" s="204"/>
      <c r="B278" s="202"/>
      <c r="C278" s="202"/>
      <c r="D278" s="202"/>
      <c r="E278" s="304"/>
      <c r="F278" s="211"/>
      <c r="G278" s="203"/>
      <c r="H278" s="203"/>
      <c r="I278" s="295"/>
      <c r="J278" s="264"/>
      <c r="K278" s="267"/>
      <c r="L278" s="266"/>
      <c r="M278" s="266"/>
      <c r="N278" s="266"/>
      <c r="O278" s="266"/>
      <c r="P278" s="266"/>
      <c r="Q278" s="266"/>
      <c r="R278" s="268"/>
    </row>
    <row r="279" spans="1:21" ht="30" customHeight="1">
      <c r="A279" s="204"/>
      <c r="B279" s="202"/>
      <c r="C279" s="202"/>
      <c r="D279" s="202"/>
      <c r="E279" s="304"/>
      <c r="F279" s="211"/>
      <c r="G279" s="203"/>
      <c r="H279" s="203"/>
      <c r="I279" s="295"/>
      <c r="J279" s="264"/>
      <c r="K279" s="267"/>
      <c r="L279" s="266"/>
      <c r="M279" s="266"/>
      <c r="N279" s="266"/>
      <c r="O279" s="266"/>
      <c r="P279" s="266"/>
      <c r="Q279" s="266"/>
      <c r="R279" s="268"/>
    </row>
    <row r="280" spans="1:21" ht="30" customHeight="1">
      <c r="A280" s="204"/>
      <c r="B280" s="202"/>
      <c r="C280" s="202"/>
      <c r="D280" s="202"/>
      <c r="E280" s="304"/>
      <c r="F280" s="211"/>
      <c r="G280" s="203"/>
      <c r="H280" s="203"/>
      <c r="I280" s="295"/>
      <c r="J280" s="264"/>
      <c r="K280" s="267"/>
      <c r="L280" s="266"/>
      <c r="M280" s="266"/>
      <c r="N280" s="266"/>
      <c r="O280" s="266"/>
      <c r="P280" s="266"/>
      <c r="Q280" s="266"/>
      <c r="R280" s="268"/>
    </row>
    <row r="281" spans="1:21" ht="30" customHeight="1">
      <c r="A281" s="308"/>
      <c r="B281" s="300"/>
      <c r="C281" s="309"/>
      <c r="D281" s="310"/>
      <c r="E281" s="301"/>
      <c r="F281" s="302"/>
      <c r="G281" s="286"/>
      <c r="H281" s="286"/>
      <c r="I281" s="307"/>
      <c r="J281" s="264"/>
      <c r="K281" s="265"/>
      <c r="L281" s="266"/>
      <c r="M281" s="266"/>
      <c r="N281" s="266"/>
      <c r="O281" s="266"/>
      <c r="P281" s="266"/>
      <c r="Q281" s="266"/>
      <c r="R281" s="288"/>
      <c r="S281" s="266"/>
      <c r="T281" s="266"/>
      <c r="U281" s="266"/>
    </row>
    <row r="282" spans="1:21" ht="30" customHeight="1">
      <c r="A282" s="261"/>
      <c r="B282" s="200"/>
      <c r="C282" s="200"/>
      <c r="D282" s="200"/>
      <c r="E282" s="303"/>
      <c r="F282" s="210"/>
      <c r="G282" s="201"/>
      <c r="H282" s="201"/>
      <c r="I282" s="295"/>
      <c r="J282" s="264"/>
      <c r="K282" s="267"/>
      <c r="L282" s="266"/>
      <c r="M282" s="266"/>
      <c r="N282" s="266"/>
      <c r="O282" s="266"/>
      <c r="P282" s="266"/>
      <c r="Q282" s="266"/>
      <c r="R282" s="288"/>
      <c r="S282" s="266"/>
      <c r="T282" s="266"/>
      <c r="U282" s="266"/>
    </row>
    <row r="283" spans="1:21" ht="30" customHeight="1">
      <c r="A283" s="204"/>
      <c r="B283" s="202"/>
      <c r="C283" s="202"/>
      <c r="D283" s="202"/>
      <c r="E283" s="304"/>
      <c r="F283" s="211"/>
      <c r="G283" s="203"/>
      <c r="H283" s="203"/>
      <c r="I283" s="295"/>
      <c r="J283" s="264"/>
      <c r="K283" s="265"/>
      <c r="L283" s="266"/>
      <c r="M283" s="266"/>
      <c r="N283" s="266"/>
      <c r="O283" s="266"/>
      <c r="P283" s="266"/>
      <c r="Q283" s="266"/>
      <c r="R283" s="266"/>
    </row>
    <row r="284" spans="1:21" ht="30" customHeight="1">
      <c r="A284" s="204"/>
      <c r="B284" s="202"/>
      <c r="C284" s="202"/>
      <c r="D284" s="202"/>
      <c r="E284" s="304"/>
      <c r="F284" s="211"/>
      <c r="G284" s="203"/>
      <c r="H284" s="203"/>
      <c r="I284" s="295"/>
      <c r="J284" s="264"/>
      <c r="K284" s="265"/>
      <c r="L284" s="266"/>
      <c r="M284" s="266"/>
      <c r="N284" s="266"/>
      <c r="O284" s="266"/>
      <c r="P284" s="266"/>
      <c r="Q284" s="266"/>
      <c r="R284" s="266"/>
    </row>
    <row r="285" spans="1:21" ht="30" customHeight="1">
      <c r="A285" s="204"/>
      <c r="B285" s="202"/>
      <c r="C285" s="202"/>
      <c r="D285" s="202"/>
      <c r="E285" s="304"/>
      <c r="F285" s="211"/>
      <c r="G285" s="203"/>
      <c r="H285" s="203"/>
      <c r="I285" s="295"/>
      <c r="J285" s="264"/>
      <c r="K285" s="265"/>
      <c r="L285" s="266"/>
      <c r="M285" s="266"/>
      <c r="N285" s="266"/>
      <c r="O285" s="266"/>
      <c r="P285" s="266"/>
      <c r="Q285" s="266"/>
      <c r="R285" s="266"/>
    </row>
    <row r="286" spans="1:21" ht="30" customHeight="1">
      <c r="A286" s="204"/>
      <c r="B286" s="202"/>
      <c r="C286" s="202"/>
      <c r="D286" s="202"/>
      <c r="E286" s="304"/>
      <c r="F286" s="211"/>
      <c r="G286" s="203"/>
      <c r="H286" s="203"/>
      <c r="I286" s="295"/>
      <c r="J286" s="264"/>
      <c r="K286" s="265"/>
      <c r="L286" s="266"/>
      <c r="M286" s="266"/>
      <c r="N286" s="266"/>
      <c r="O286" s="266"/>
      <c r="P286" s="266"/>
      <c r="Q286" s="266"/>
      <c r="R286" s="266"/>
    </row>
    <row r="287" spans="1:21" ht="30" customHeight="1">
      <c r="A287" s="204"/>
      <c r="B287" s="202"/>
      <c r="C287" s="202"/>
      <c r="D287" s="202"/>
      <c r="E287" s="304"/>
      <c r="F287" s="211"/>
      <c r="G287" s="203"/>
      <c r="H287" s="203"/>
      <c r="I287" s="295"/>
      <c r="J287" s="264"/>
      <c r="K287" s="265"/>
      <c r="L287" s="266"/>
      <c r="M287" s="266"/>
      <c r="N287" s="266"/>
      <c r="O287" s="266"/>
      <c r="P287" s="266"/>
      <c r="Q287" s="266"/>
      <c r="R287" s="266"/>
    </row>
    <row r="288" spans="1:21" ht="30" customHeight="1">
      <c r="A288" s="204"/>
      <c r="B288" s="202"/>
      <c r="C288" s="202"/>
      <c r="D288" s="202"/>
      <c r="E288" s="304"/>
      <c r="F288" s="211"/>
      <c r="G288" s="203"/>
      <c r="H288" s="203"/>
      <c r="I288" s="295"/>
      <c r="J288" s="264"/>
      <c r="K288" s="265"/>
      <c r="L288" s="266"/>
      <c r="M288" s="266"/>
      <c r="N288" s="266"/>
      <c r="O288" s="266"/>
      <c r="P288" s="266"/>
      <c r="Q288" s="266"/>
      <c r="R288" s="266"/>
    </row>
    <row r="289" spans="1:21" ht="30" customHeight="1">
      <c r="A289" s="204"/>
      <c r="B289" s="202"/>
      <c r="C289" s="202"/>
      <c r="D289" s="202"/>
      <c r="E289" s="304"/>
      <c r="F289" s="211"/>
      <c r="G289" s="203"/>
      <c r="H289" s="203"/>
      <c r="I289" s="295"/>
      <c r="J289" s="264"/>
      <c r="K289" s="265"/>
      <c r="L289" s="266"/>
      <c r="M289" s="266"/>
      <c r="N289" s="266"/>
      <c r="O289" s="266"/>
      <c r="P289" s="266"/>
      <c r="Q289" s="266"/>
      <c r="R289" s="266"/>
    </row>
    <row r="290" spans="1:21" ht="30" customHeight="1">
      <c r="A290" s="204"/>
      <c r="B290" s="202"/>
      <c r="C290" s="202"/>
      <c r="D290" s="202"/>
      <c r="E290" s="304"/>
      <c r="F290" s="211"/>
      <c r="G290" s="203"/>
      <c r="H290" s="203"/>
      <c r="I290" s="295"/>
      <c r="J290" s="264"/>
      <c r="K290" s="265"/>
      <c r="L290" s="266"/>
      <c r="M290" s="266"/>
      <c r="N290" s="266"/>
      <c r="O290" s="266"/>
      <c r="P290" s="266"/>
      <c r="Q290" s="266"/>
      <c r="R290" s="266"/>
    </row>
    <row r="291" spans="1:21" ht="30" customHeight="1">
      <c r="A291" s="204"/>
      <c r="B291" s="202"/>
      <c r="C291" s="202"/>
      <c r="D291" s="202"/>
      <c r="E291" s="304"/>
      <c r="F291" s="211"/>
      <c r="G291" s="203"/>
      <c r="H291" s="203"/>
      <c r="I291" s="295"/>
      <c r="J291" s="264"/>
      <c r="K291" s="265"/>
      <c r="L291" s="266"/>
      <c r="M291" s="266"/>
      <c r="N291" s="266"/>
      <c r="O291" s="266"/>
      <c r="P291" s="266"/>
      <c r="Q291" s="266"/>
      <c r="R291" s="266"/>
    </row>
    <row r="292" spans="1:21" ht="30" customHeight="1">
      <c r="A292" s="204"/>
      <c r="B292" s="202"/>
      <c r="C292" s="202"/>
      <c r="D292" s="202"/>
      <c r="E292" s="304"/>
      <c r="F292" s="211"/>
      <c r="G292" s="203"/>
      <c r="H292" s="203"/>
      <c r="I292" s="295"/>
      <c r="J292" s="264"/>
      <c r="K292" s="265"/>
      <c r="L292" s="266"/>
      <c r="M292" s="266"/>
      <c r="N292" s="266"/>
      <c r="O292" s="266"/>
      <c r="P292" s="266"/>
      <c r="Q292" s="266"/>
      <c r="R292" s="266"/>
    </row>
    <row r="293" spans="1:21" ht="30" customHeight="1">
      <c r="A293" s="204"/>
      <c r="B293" s="202"/>
      <c r="C293" s="202"/>
      <c r="D293" s="202"/>
      <c r="E293" s="304"/>
      <c r="F293" s="211"/>
      <c r="G293" s="203"/>
      <c r="H293" s="203"/>
      <c r="I293" s="295"/>
      <c r="J293" s="264"/>
      <c r="K293" s="265"/>
      <c r="L293" s="266"/>
      <c r="M293" s="266"/>
      <c r="N293" s="266"/>
      <c r="O293" s="266"/>
      <c r="P293" s="266"/>
      <c r="Q293" s="266"/>
      <c r="R293" s="266"/>
    </row>
    <row r="294" spans="1:21" ht="30" customHeight="1">
      <c r="A294" s="204"/>
      <c r="B294" s="202"/>
      <c r="C294" s="202"/>
      <c r="D294" s="202"/>
      <c r="E294" s="304"/>
      <c r="F294" s="211"/>
      <c r="G294" s="203"/>
      <c r="H294" s="203"/>
      <c r="I294" s="295"/>
      <c r="J294" s="264"/>
      <c r="K294" s="265"/>
      <c r="L294" s="266"/>
      <c r="M294" s="266"/>
      <c r="N294" s="266"/>
      <c r="O294" s="266"/>
      <c r="P294" s="266"/>
      <c r="Q294" s="266"/>
      <c r="R294" s="266"/>
    </row>
    <row r="295" spans="1:21" ht="30" customHeight="1">
      <c r="A295" s="204"/>
      <c r="B295" s="202"/>
      <c r="C295" s="202"/>
      <c r="D295" s="202"/>
      <c r="E295" s="304"/>
      <c r="F295" s="211"/>
      <c r="G295" s="203"/>
      <c r="H295" s="203"/>
      <c r="I295" s="295"/>
      <c r="J295" s="264"/>
      <c r="K295" s="265"/>
      <c r="L295" s="266"/>
      <c r="M295" s="266"/>
      <c r="N295" s="266"/>
      <c r="O295" s="266"/>
      <c r="P295" s="266"/>
      <c r="Q295" s="266"/>
      <c r="R295" s="266"/>
    </row>
    <row r="296" spans="1:21" ht="30" customHeight="1">
      <c r="A296" s="204"/>
      <c r="B296" s="202"/>
      <c r="C296" s="202"/>
      <c r="D296" s="202"/>
      <c r="E296" s="304"/>
      <c r="F296" s="211"/>
      <c r="G296" s="203"/>
      <c r="H296" s="203"/>
      <c r="I296" s="295"/>
      <c r="J296" s="264"/>
      <c r="K296" s="265"/>
      <c r="L296" s="266"/>
      <c r="M296" s="266"/>
      <c r="N296" s="266"/>
      <c r="O296" s="266"/>
      <c r="P296" s="266"/>
      <c r="Q296" s="266"/>
      <c r="R296" s="266"/>
    </row>
    <row r="297" spans="1:21" ht="30" customHeight="1">
      <c r="A297" s="204" t="str">
        <f>IF(ISBLANK(D297)," ",186-COUNTBLANK($D$6:D297))</f>
        <v xml:space="preserve"> </v>
      </c>
      <c r="B297" s="202"/>
      <c r="C297" s="202"/>
      <c r="D297" s="202"/>
      <c r="E297" s="304"/>
      <c r="F297" s="211"/>
      <c r="G297" s="203"/>
      <c r="H297" s="203"/>
      <c r="I297" s="295"/>
      <c r="J297" s="264"/>
      <c r="K297" s="265"/>
      <c r="L297" s="266"/>
      <c r="M297" s="266"/>
      <c r="N297" s="266"/>
      <c r="O297" s="266"/>
      <c r="P297" s="266"/>
      <c r="Q297" s="266"/>
      <c r="R297" s="266"/>
    </row>
    <row r="298" spans="1:21" ht="30" customHeight="1">
      <c r="A298" s="204" t="str">
        <f>IF(ISBLANK(D298)," ",187-COUNTBLANK($D$6:D298))</f>
        <v xml:space="preserve"> </v>
      </c>
      <c r="B298" s="202"/>
      <c r="C298" s="202"/>
      <c r="D298" s="202"/>
      <c r="E298" s="304"/>
      <c r="F298" s="211"/>
      <c r="G298" s="203"/>
      <c r="H298" s="203"/>
      <c r="I298" s="295"/>
      <c r="J298" s="264"/>
      <c r="K298" s="267"/>
      <c r="L298" s="266"/>
      <c r="M298" s="266"/>
      <c r="N298" s="266"/>
      <c r="O298" s="266"/>
      <c r="P298" s="266"/>
      <c r="Q298" s="266"/>
      <c r="R298" s="268"/>
    </row>
    <row r="299" spans="1:21" ht="30" customHeight="1">
      <c r="A299" s="204" t="str">
        <f>IF(ISBLANK(D299)," ",188-COUNTBLANK($D$6:D299))</f>
        <v xml:space="preserve"> </v>
      </c>
      <c r="B299" s="202"/>
      <c r="C299" s="202"/>
      <c r="D299" s="202"/>
      <c r="E299" s="304"/>
      <c r="F299" s="211"/>
      <c r="G299" s="203"/>
      <c r="H299" s="203"/>
      <c r="I299" s="295"/>
      <c r="J299" s="264"/>
      <c r="K299" s="267"/>
      <c r="L299" s="266"/>
      <c r="M299" s="266"/>
      <c r="N299" s="266"/>
      <c r="O299" s="266"/>
      <c r="P299" s="266"/>
      <c r="Q299" s="266"/>
      <c r="R299" s="268"/>
    </row>
    <row r="300" spans="1:21" ht="30" customHeight="1">
      <c r="A300" s="204" t="s">
        <v>58</v>
      </c>
      <c r="B300" s="202"/>
      <c r="C300" s="202"/>
      <c r="D300" s="202"/>
      <c r="E300" s="304"/>
      <c r="F300" s="211">
        <f>SUM(F280:F299)</f>
        <v>0</v>
      </c>
      <c r="G300" s="203"/>
      <c r="H300" s="203"/>
      <c r="I300" s="295"/>
      <c r="J300" s="264"/>
      <c r="K300" s="267"/>
      <c r="L300" s="266"/>
      <c r="M300" s="266"/>
      <c r="N300" s="266"/>
      <c r="O300" s="266"/>
      <c r="P300" s="266"/>
      <c r="Q300" s="266"/>
      <c r="R300" s="268"/>
    </row>
    <row r="301" spans="1:21" ht="30" customHeight="1">
      <c r="A301" s="204" t="str">
        <f>IF(ISBLANK(D301)," ",190-COUNTBLANK($D$6:D301))</f>
        <v xml:space="preserve"> </v>
      </c>
      <c r="B301" s="202"/>
      <c r="C301" s="202"/>
      <c r="D301" s="202"/>
      <c r="E301" s="304"/>
      <c r="F301" s="211"/>
      <c r="G301" s="203"/>
      <c r="H301" s="203"/>
      <c r="I301" s="295"/>
      <c r="J301" s="264"/>
      <c r="K301" s="267"/>
      <c r="L301" s="266"/>
      <c r="M301" s="266"/>
      <c r="N301" s="266"/>
      <c r="O301" s="266"/>
      <c r="P301" s="266"/>
      <c r="Q301" s="266"/>
      <c r="R301" s="268"/>
    </row>
    <row r="302" spans="1:21" ht="30" customHeight="1">
      <c r="A302" s="308" t="str">
        <f>IF(ISBLANK(D302)," ",191-COUNTBLANK($D$6:D302))</f>
        <v xml:space="preserve"> </v>
      </c>
      <c r="B302" s="300"/>
      <c r="C302" s="309"/>
      <c r="D302" s="310"/>
      <c r="E302" s="301"/>
      <c r="F302" s="302"/>
      <c r="G302" s="286"/>
      <c r="H302" s="286"/>
      <c r="I302" s="307"/>
      <c r="J302" s="264"/>
      <c r="K302" s="265"/>
      <c r="L302" s="266"/>
      <c r="M302" s="266"/>
      <c r="N302" s="266"/>
      <c r="O302" s="266"/>
      <c r="P302" s="266"/>
      <c r="Q302" s="266"/>
      <c r="R302" s="288"/>
      <c r="S302" s="266"/>
      <c r="T302" s="266"/>
      <c r="U302" s="266"/>
    </row>
    <row r="303" spans="1:21" ht="30" customHeight="1">
      <c r="A303" s="261" t="str">
        <f>IF(ISBLANK(D303)," ",192-COUNTBLANK($D$6:D303))</f>
        <v xml:space="preserve"> </v>
      </c>
      <c r="B303" s="200"/>
      <c r="C303" s="200"/>
      <c r="D303" s="200"/>
      <c r="E303" s="303"/>
      <c r="F303" s="210"/>
      <c r="G303" s="201"/>
      <c r="H303" s="201"/>
      <c r="I303" s="295"/>
      <c r="J303" s="264"/>
      <c r="K303" s="267"/>
      <c r="L303" s="266"/>
      <c r="M303" s="266"/>
      <c r="N303" s="266"/>
      <c r="O303" s="266"/>
      <c r="P303" s="266"/>
      <c r="Q303" s="266"/>
      <c r="R303" s="288"/>
      <c r="S303" s="266"/>
      <c r="T303" s="266"/>
      <c r="U303" s="266"/>
    </row>
    <row r="304" spans="1:21" ht="30" customHeight="1">
      <c r="A304" s="204" t="str">
        <f>IF(ISBLANK(D304)," ",193-COUNTBLANK($D$6:D304))</f>
        <v xml:space="preserve"> </v>
      </c>
      <c r="B304" s="202"/>
      <c r="C304" s="202"/>
      <c r="D304" s="202"/>
      <c r="E304" s="304"/>
      <c r="F304" s="211"/>
      <c r="G304" s="203"/>
      <c r="H304" s="203"/>
      <c r="I304" s="295"/>
      <c r="J304" s="264"/>
      <c r="K304" s="265"/>
      <c r="L304" s="266"/>
      <c r="M304" s="266"/>
      <c r="N304" s="266"/>
      <c r="O304" s="266"/>
      <c r="P304" s="266"/>
      <c r="Q304" s="266"/>
      <c r="R304" s="266"/>
    </row>
    <row r="305" spans="1:18" ht="30" customHeight="1">
      <c r="A305" s="204" t="str">
        <f>IF(ISBLANK(D305)," ",194-COUNTBLANK($D$6:D305))</f>
        <v xml:space="preserve"> </v>
      </c>
      <c r="B305" s="202"/>
      <c r="C305" s="202"/>
      <c r="D305" s="202"/>
      <c r="E305" s="304"/>
      <c r="F305" s="211"/>
      <c r="G305" s="203"/>
      <c r="H305" s="203"/>
      <c r="I305" s="295"/>
      <c r="J305" s="264"/>
      <c r="K305" s="265"/>
      <c r="L305" s="266"/>
      <c r="M305" s="266"/>
      <c r="N305" s="266"/>
      <c r="O305" s="266"/>
      <c r="P305" s="266"/>
      <c r="Q305" s="266"/>
      <c r="R305" s="266"/>
    </row>
    <row r="306" spans="1:18" ht="30" customHeight="1">
      <c r="A306" s="204" t="str">
        <f>IF(ISBLANK(D306)," ",195-COUNTBLANK($D$6:D306))</f>
        <v xml:space="preserve"> </v>
      </c>
      <c r="B306" s="202"/>
      <c r="C306" s="202"/>
      <c r="D306" s="202"/>
      <c r="E306" s="304"/>
      <c r="F306" s="211"/>
      <c r="G306" s="203"/>
      <c r="H306" s="203"/>
      <c r="I306" s="295"/>
      <c r="J306" s="264"/>
      <c r="K306" s="265"/>
      <c r="L306" s="266"/>
      <c r="M306" s="266"/>
      <c r="N306" s="266"/>
      <c r="O306" s="266"/>
      <c r="P306" s="266"/>
      <c r="Q306" s="266"/>
      <c r="R306" s="266"/>
    </row>
    <row r="307" spans="1:18" ht="30" customHeight="1">
      <c r="A307" s="204" t="str">
        <f>IF(ISBLANK(D307)," ",196-COUNTBLANK($D$6:D307))</f>
        <v xml:space="preserve"> </v>
      </c>
      <c r="B307" s="202"/>
      <c r="C307" s="202"/>
      <c r="D307" s="202"/>
      <c r="E307" s="304"/>
      <c r="F307" s="211"/>
      <c r="G307" s="203"/>
      <c r="H307" s="203"/>
      <c r="I307" s="295"/>
      <c r="J307" s="264"/>
      <c r="K307" s="265"/>
      <c r="L307" s="266"/>
      <c r="M307" s="266"/>
      <c r="N307" s="266"/>
      <c r="O307" s="266"/>
      <c r="P307" s="266"/>
      <c r="Q307" s="266"/>
      <c r="R307" s="266"/>
    </row>
    <row r="308" spans="1:18" ht="30" customHeight="1">
      <c r="A308" s="204" t="str">
        <f>IF(ISBLANK(D308)," ",197-COUNTBLANK($D$6:D308))</f>
        <v xml:space="preserve"> </v>
      </c>
      <c r="B308" s="202"/>
      <c r="C308" s="202"/>
      <c r="D308" s="202"/>
      <c r="E308" s="304"/>
      <c r="F308" s="211"/>
      <c r="G308" s="203"/>
      <c r="H308" s="203"/>
      <c r="I308" s="295"/>
      <c r="J308" s="264"/>
      <c r="K308" s="265"/>
      <c r="L308" s="266"/>
      <c r="M308" s="266"/>
      <c r="N308" s="266"/>
      <c r="O308" s="266"/>
      <c r="P308" s="266"/>
      <c r="Q308" s="266"/>
      <c r="R308" s="266"/>
    </row>
    <row r="309" spans="1:18" ht="30" customHeight="1">
      <c r="A309" s="204" t="str">
        <f>IF(ISBLANK(D309)," ",198-COUNTBLANK($D$6:D309))</f>
        <v xml:space="preserve"> </v>
      </c>
      <c r="B309" s="202"/>
      <c r="C309" s="202"/>
      <c r="D309" s="202"/>
      <c r="E309" s="304"/>
      <c r="F309" s="211"/>
      <c r="G309" s="203"/>
      <c r="H309" s="203"/>
      <c r="I309" s="295"/>
      <c r="J309" s="264"/>
      <c r="K309" s="265"/>
      <c r="L309" s="266"/>
      <c r="M309" s="266"/>
      <c r="N309" s="266"/>
      <c r="O309" s="266"/>
      <c r="P309" s="266"/>
      <c r="Q309" s="266"/>
      <c r="R309" s="266"/>
    </row>
    <row r="310" spans="1:18" ht="30" customHeight="1">
      <c r="A310" s="204" t="str">
        <f>IF(ISBLANK(D310)," ",199-COUNTBLANK($D$6:D310))</f>
        <v xml:space="preserve"> </v>
      </c>
      <c r="B310" s="202"/>
      <c r="C310" s="202"/>
      <c r="D310" s="202"/>
      <c r="E310" s="304"/>
      <c r="F310" s="211"/>
      <c r="G310" s="203"/>
      <c r="H310" s="203"/>
      <c r="I310" s="295"/>
      <c r="J310" s="264"/>
      <c r="K310" s="265"/>
      <c r="L310" s="266"/>
      <c r="M310" s="266"/>
      <c r="N310" s="266"/>
      <c r="O310" s="266"/>
      <c r="P310" s="266"/>
      <c r="Q310" s="266"/>
      <c r="R310" s="266"/>
    </row>
    <row r="311" spans="1:18" ht="30" customHeight="1">
      <c r="A311" s="204" t="str">
        <f>IF(ISBLANK(D311)," ",200-COUNTBLANK($D$6:D311))</f>
        <v xml:space="preserve"> </v>
      </c>
      <c r="B311" s="202"/>
      <c r="C311" s="202"/>
      <c r="D311" s="202"/>
      <c r="E311" s="304"/>
      <c r="F311" s="211"/>
      <c r="G311" s="203"/>
      <c r="H311" s="203"/>
      <c r="I311" s="295"/>
      <c r="J311" s="264"/>
      <c r="K311" s="265"/>
      <c r="L311" s="266"/>
      <c r="M311" s="266"/>
      <c r="N311" s="266"/>
      <c r="O311" s="266"/>
      <c r="P311" s="266"/>
      <c r="Q311" s="266"/>
      <c r="R311" s="266"/>
    </row>
    <row r="312" spans="1:18" ht="30" customHeight="1">
      <c r="A312" s="204" t="str">
        <f>IF(ISBLANK(D312)," ",201-COUNTBLANK($D$6:D312))</f>
        <v xml:space="preserve"> </v>
      </c>
      <c r="B312" s="202"/>
      <c r="C312" s="202"/>
      <c r="D312" s="202"/>
      <c r="E312" s="304"/>
      <c r="F312" s="211"/>
      <c r="G312" s="203"/>
      <c r="H312" s="203"/>
      <c r="I312" s="295"/>
      <c r="J312" s="264"/>
      <c r="K312" s="265"/>
      <c r="L312" s="266"/>
      <c r="M312" s="266"/>
      <c r="N312" s="266"/>
      <c r="O312" s="266"/>
      <c r="P312" s="266"/>
      <c r="Q312" s="266"/>
      <c r="R312" s="266"/>
    </row>
    <row r="313" spans="1:18" ht="30" customHeight="1">
      <c r="A313" s="204" t="str">
        <f>IF(ISBLANK(D313)," ",202-COUNTBLANK($D$6:D313))</f>
        <v xml:space="preserve"> </v>
      </c>
      <c r="B313" s="202"/>
      <c r="C313" s="202"/>
      <c r="D313" s="202"/>
      <c r="E313" s="304"/>
      <c r="F313" s="211"/>
      <c r="G313" s="203"/>
      <c r="H313" s="203"/>
      <c r="I313" s="295"/>
      <c r="J313" s="264"/>
      <c r="K313" s="265"/>
      <c r="L313" s="266"/>
      <c r="M313" s="266"/>
      <c r="N313" s="266"/>
      <c r="O313" s="266"/>
      <c r="P313" s="266"/>
      <c r="Q313" s="266"/>
      <c r="R313" s="266"/>
    </row>
    <row r="314" spans="1:18" ht="30" customHeight="1">
      <c r="A314" s="204" t="str">
        <f>IF(ISBLANK(D314)," ",203-COUNTBLANK($D$6:D314))</f>
        <v xml:space="preserve"> </v>
      </c>
      <c r="B314" s="202"/>
      <c r="C314" s="202"/>
      <c r="D314" s="202"/>
      <c r="E314" s="304"/>
      <c r="F314" s="211"/>
      <c r="G314" s="203"/>
      <c r="H314" s="203"/>
      <c r="I314" s="295"/>
      <c r="J314" s="264"/>
      <c r="K314" s="265"/>
      <c r="L314" s="266"/>
      <c r="M314" s="266"/>
      <c r="N314" s="266"/>
      <c r="O314" s="266"/>
      <c r="P314" s="266"/>
      <c r="Q314" s="266"/>
      <c r="R314" s="266"/>
    </row>
    <row r="315" spans="1:18" ht="30" customHeight="1">
      <c r="A315" s="204" t="str">
        <f>IF(ISBLANK(D315)," ",204-COUNTBLANK($D$6:D315))</f>
        <v xml:space="preserve"> </v>
      </c>
      <c r="B315" s="202"/>
      <c r="C315" s="202"/>
      <c r="D315" s="202"/>
      <c r="E315" s="304"/>
      <c r="F315" s="211"/>
      <c r="G315" s="203"/>
      <c r="H315" s="203"/>
      <c r="I315" s="295"/>
      <c r="J315" s="264"/>
      <c r="K315" s="265"/>
      <c r="L315" s="266"/>
      <c r="M315" s="266"/>
      <c r="N315" s="266"/>
      <c r="O315" s="266"/>
      <c r="P315" s="266"/>
      <c r="Q315" s="266"/>
      <c r="R315" s="266"/>
    </row>
    <row r="316" spans="1:18" ht="30" customHeight="1">
      <c r="A316" s="204" t="str">
        <f>IF(ISBLANK(D316)," ",205-COUNTBLANK($D$6:D316))</f>
        <v xml:space="preserve"> </v>
      </c>
      <c r="B316" s="202"/>
      <c r="C316" s="202"/>
      <c r="D316" s="202"/>
      <c r="E316" s="304"/>
      <c r="F316" s="211"/>
      <c r="G316" s="203"/>
      <c r="H316" s="203"/>
      <c r="I316" s="295"/>
      <c r="J316" s="264"/>
      <c r="K316" s="265"/>
      <c r="L316" s="266"/>
      <c r="M316" s="266"/>
      <c r="N316" s="266"/>
      <c r="O316" s="266"/>
      <c r="P316" s="266"/>
      <c r="Q316" s="266"/>
      <c r="R316" s="266"/>
    </row>
    <row r="317" spans="1:18" ht="30" customHeight="1">
      <c r="A317" s="204" t="str">
        <f>IF(ISBLANK(D317)," ",206-COUNTBLANK($D$6:D317))</f>
        <v xml:space="preserve"> </v>
      </c>
      <c r="B317" s="202"/>
      <c r="C317" s="202"/>
      <c r="D317" s="202"/>
      <c r="E317" s="304"/>
      <c r="F317" s="211"/>
      <c r="G317" s="203"/>
      <c r="H317" s="203"/>
      <c r="I317" s="295"/>
      <c r="J317" s="264"/>
      <c r="K317" s="265"/>
      <c r="L317" s="266"/>
      <c r="M317" s="266"/>
      <c r="N317" s="266"/>
      <c r="O317" s="266"/>
      <c r="P317" s="266"/>
      <c r="Q317" s="266"/>
      <c r="R317" s="266"/>
    </row>
    <row r="318" spans="1:18" ht="30" customHeight="1">
      <c r="A318" s="204" t="str">
        <f>IF(ISBLANK(D318)," ",207-COUNTBLANK($D$6:D318))</f>
        <v xml:space="preserve"> </v>
      </c>
      <c r="B318" s="202"/>
      <c r="C318" s="202"/>
      <c r="D318" s="202"/>
      <c r="E318" s="304"/>
      <c r="F318" s="211"/>
      <c r="G318" s="203"/>
      <c r="H318" s="203"/>
      <c r="I318" s="295"/>
      <c r="J318" s="264"/>
      <c r="K318" s="265"/>
      <c r="L318" s="266"/>
      <c r="M318" s="266"/>
      <c r="N318" s="266"/>
      <c r="O318" s="266"/>
      <c r="P318" s="266"/>
      <c r="Q318" s="266"/>
      <c r="R318" s="266"/>
    </row>
    <row r="319" spans="1:18" ht="30" customHeight="1">
      <c r="A319" s="204" t="str">
        <f>IF(ISBLANK(D319)," ",208-COUNTBLANK($D$6:D319))</f>
        <v xml:space="preserve"> </v>
      </c>
      <c r="B319" s="202"/>
      <c r="C319" s="202"/>
      <c r="D319" s="202"/>
      <c r="E319" s="304"/>
      <c r="F319" s="211"/>
      <c r="G319" s="203"/>
      <c r="H319" s="203"/>
      <c r="I319" s="295"/>
      <c r="J319" s="264"/>
      <c r="K319" s="267"/>
      <c r="L319" s="266"/>
      <c r="M319" s="266"/>
      <c r="N319" s="266"/>
      <c r="O319" s="266"/>
      <c r="P319" s="266"/>
      <c r="Q319" s="266"/>
      <c r="R319" s="268"/>
    </row>
    <row r="320" spans="1:18" ht="30" customHeight="1">
      <c r="A320" s="204" t="str">
        <f>IF(ISBLANK(D320)," ",209-COUNTBLANK($D$6:D320))</f>
        <v xml:space="preserve"> </v>
      </c>
      <c r="B320" s="202"/>
      <c r="C320" s="202"/>
      <c r="D320" s="202"/>
      <c r="E320" s="304"/>
      <c r="F320" s="211"/>
      <c r="G320" s="203"/>
      <c r="H320" s="203"/>
      <c r="I320" s="295"/>
      <c r="J320" s="264"/>
      <c r="K320" s="267"/>
      <c r="L320" s="266"/>
      <c r="M320" s="266"/>
      <c r="N320" s="266"/>
      <c r="O320" s="266"/>
      <c r="P320" s="266"/>
      <c r="Q320" s="266"/>
      <c r="R320" s="268"/>
    </row>
    <row r="321" spans="1:21" ht="30" customHeight="1">
      <c r="A321" s="204" t="s">
        <v>58</v>
      </c>
      <c r="B321" s="202"/>
      <c r="C321" s="202"/>
      <c r="D321" s="202"/>
      <c r="E321" s="304"/>
      <c r="F321" s="211">
        <f>SUM(F301:F320)</f>
        <v>0</v>
      </c>
      <c r="G321" s="203"/>
      <c r="H321" s="203"/>
      <c r="I321" s="295"/>
      <c r="J321" s="264"/>
      <c r="K321" s="267"/>
      <c r="L321" s="266"/>
      <c r="M321" s="266"/>
      <c r="N321" s="266"/>
      <c r="O321" s="266"/>
      <c r="P321" s="266"/>
      <c r="Q321" s="266"/>
      <c r="R321" s="268"/>
    </row>
    <row r="322" spans="1:21" ht="30" customHeight="1">
      <c r="A322" s="204" t="str">
        <f>IF(ISBLANK(D322)," ",211-COUNTBLANK($D$6:D322))</f>
        <v xml:space="preserve"> </v>
      </c>
      <c r="B322" s="202"/>
      <c r="C322" s="202"/>
      <c r="D322" s="202"/>
      <c r="E322" s="304"/>
      <c r="F322" s="211"/>
      <c r="G322" s="203"/>
      <c r="H322" s="203"/>
      <c r="I322" s="295"/>
      <c r="J322" s="264"/>
      <c r="K322" s="267"/>
      <c r="L322" s="266"/>
      <c r="M322" s="266"/>
      <c r="N322" s="266"/>
      <c r="O322" s="266"/>
      <c r="P322" s="266"/>
      <c r="Q322" s="266"/>
      <c r="R322" s="268"/>
    </row>
    <row r="323" spans="1:21" ht="30" customHeight="1">
      <c r="A323" s="308" t="str">
        <f>IF(ISBLANK(D323)," ",212-COUNTBLANK($D$6:D323))</f>
        <v xml:space="preserve"> </v>
      </c>
      <c r="B323" s="300"/>
      <c r="C323" s="309"/>
      <c r="D323" s="310"/>
      <c r="E323" s="301"/>
      <c r="F323" s="302"/>
      <c r="G323" s="286"/>
      <c r="H323" s="286"/>
      <c r="I323" s="307"/>
      <c r="J323" s="264"/>
      <c r="K323" s="265"/>
      <c r="L323" s="266"/>
      <c r="M323" s="266"/>
      <c r="N323" s="266"/>
      <c r="O323" s="266"/>
      <c r="P323" s="266"/>
      <c r="Q323" s="266"/>
      <c r="R323" s="288"/>
      <c r="S323" s="266"/>
      <c r="T323" s="266"/>
      <c r="U323" s="266"/>
    </row>
    <row r="324" spans="1:21" ht="30" customHeight="1">
      <c r="A324" s="261" t="str">
        <f>IF(ISBLANK(D324)," ",213-COUNTBLANK($D$6:D324))</f>
        <v xml:space="preserve"> </v>
      </c>
      <c r="B324" s="200"/>
      <c r="C324" s="200"/>
      <c r="D324" s="200"/>
      <c r="E324" s="303"/>
      <c r="F324" s="210"/>
      <c r="G324" s="201"/>
      <c r="H324" s="201"/>
      <c r="I324" s="295"/>
      <c r="J324" s="264"/>
      <c r="K324" s="267"/>
      <c r="L324" s="266"/>
      <c r="M324" s="266"/>
      <c r="N324" s="266"/>
      <c r="O324" s="266"/>
      <c r="P324" s="266"/>
      <c r="Q324" s="266"/>
      <c r="R324" s="288"/>
      <c r="S324" s="266"/>
      <c r="T324" s="266"/>
      <c r="U324" s="266"/>
    </row>
    <row r="325" spans="1:21" ht="30" customHeight="1">
      <c r="A325" s="204" t="str">
        <f>IF(ISBLANK(D325)," ",214-COUNTBLANK($D$6:D325))</f>
        <v xml:space="preserve"> </v>
      </c>
      <c r="B325" s="202"/>
      <c r="C325" s="202"/>
      <c r="D325" s="202"/>
      <c r="E325" s="304"/>
      <c r="F325" s="211"/>
      <c r="G325" s="203"/>
      <c r="H325" s="203"/>
      <c r="I325" s="295"/>
      <c r="J325" s="264"/>
      <c r="K325" s="265"/>
      <c r="L325" s="266"/>
      <c r="M325" s="266"/>
      <c r="N325" s="266"/>
      <c r="O325" s="266"/>
      <c r="P325" s="266"/>
      <c r="Q325" s="266"/>
      <c r="R325" s="266"/>
    </row>
    <row r="326" spans="1:21" ht="30" customHeight="1">
      <c r="A326" s="204" t="str">
        <f>IF(ISBLANK(D326)," ",215-COUNTBLANK($D$6:D326))</f>
        <v xml:space="preserve"> </v>
      </c>
      <c r="B326" s="202"/>
      <c r="C326" s="202"/>
      <c r="D326" s="202"/>
      <c r="E326" s="304"/>
      <c r="F326" s="211"/>
      <c r="G326" s="203"/>
      <c r="H326" s="203"/>
      <c r="I326" s="295"/>
      <c r="J326" s="264"/>
      <c r="K326" s="265"/>
      <c r="L326" s="266"/>
      <c r="M326" s="266"/>
      <c r="N326" s="266"/>
      <c r="O326" s="266"/>
      <c r="P326" s="266"/>
      <c r="Q326" s="266"/>
      <c r="R326" s="266"/>
    </row>
    <row r="327" spans="1:21" ht="30" customHeight="1">
      <c r="A327" s="204" t="str">
        <f>IF(ISBLANK(D327)," ",216-COUNTBLANK($D$6:D327))</f>
        <v xml:space="preserve"> </v>
      </c>
      <c r="B327" s="202"/>
      <c r="C327" s="202"/>
      <c r="D327" s="202"/>
      <c r="E327" s="304"/>
      <c r="F327" s="211"/>
      <c r="G327" s="203"/>
      <c r="H327" s="203"/>
      <c r="I327" s="295"/>
      <c r="J327" s="264"/>
      <c r="K327" s="265"/>
      <c r="L327" s="266"/>
      <c r="M327" s="266"/>
      <c r="N327" s="266"/>
      <c r="O327" s="266"/>
      <c r="P327" s="266"/>
      <c r="Q327" s="266"/>
      <c r="R327" s="266"/>
    </row>
    <row r="328" spans="1:21" ht="30" customHeight="1">
      <c r="A328" s="204" t="str">
        <f>IF(ISBLANK(D328)," ",217-COUNTBLANK($D$6:D328))</f>
        <v xml:space="preserve"> </v>
      </c>
      <c r="B328" s="202"/>
      <c r="C328" s="202"/>
      <c r="D328" s="202"/>
      <c r="E328" s="304"/>
      <c r="F328" s="211"/>
      <c r="G328" s="203"/>
      <c r="H328" s="203"/>
      <c r="I328" s="295"/>
      <c r="J328" s="264"/>
      <c r="K328" s="265"/>
      <c r="L328" s="266"/>
      <c r="M328" s="266"/>
      <c r="N328" s="266"/>
      <c r="O328" s="266"/>
      <c r="P328" s="266"/>
      <c r="Q328" s="266"/>
      <c r="R328" s="266"/>
    </row>
    <row r="329" spans="1:21" ht="30" customHeight="1">
      <c r="A329" s="204" t="str">
        <f>IF(ISBLANK(D329)," ",218-COUNTBLANK($D$6:D329))</f>
        <v xml:space="preserve"> </v>
      </c>
      <c r="B329" s="202"/>
      <c r="C329" s="202"/>
      <c r="D329" s="202"/>
      <c r="E329" s="304"/>
      <c r="F329" s="211"/>
      <c r="G329" s="203"/>
      <c r="H329" s="203"/>
      <c r="I329" s="295"/>
      <c r="J329" s="264"/>
      <c r="K329" s="265"/>
      <c r="L329" s="266"/>
      <c r="M329" s="266"/>
      <c r="N329" s="266"/>
      <c r="O329" s="266"/>
      <c r="P329" s="266"/>
      <c r="Q329" s="266"/>
      <c r="R329" s="266"/>
    </row>
    <row r="330" spans="1:21" ht="30" customHeight="1">
      <c r="A330" s="204" t="str">
        <f>IF(ISBLANK(D330)," ",219-COUNTBLANK($D$6:D330))</f>
        <v xml:space="preserve"> </v>
      </c>
      <c r="B330" s="202"/>
      <c r="C330" s="202"/>
      <c r="D330" s="202"/>
      <c r="E330" s="304"/>
      <c r="F330" s="211"/>
      <c r="G330" s="203"/>
      <c r="H330" s="203"/>
      <c r="I330" s="295"/>
      <c r="J330" s="264"/>
      <c r="K330" s="265"/>
      <c r="L330" s="266"/>
      <c r="M330" s="266"/>
      <c r="N330" s="266"/>
      <c r="O330" s="266"/>
      <c r="P330" s="266"/>
      <c r="Q330" s="266"/>
      <c r="R330" s="266"/>
    </row>
    <row r="331" spans="1:21" ht="30" customHeight="1">
      <c r="A331" s="204" t="str">
        <f>IF(ISBLANK(D331)," ",220-COUNTBLANK($D$6:D331))</f>
        <v xml:space="preserve"> </v>
      </c>
      <c r="B331" s="202"/>
      <c r="C331" s="202"/>
      <c r="D331" s="202"/>
      <c r="E331" s="304"/>
      <c r="F331" s="211"/>
      <c r="G331" s="203"/>
      <c r="H331" s="203"/>
      <c r="I331" s="295"/>
      <c r="J331" s="264"/>
      <c r="K331" s="265"/>
      <c r="L331" s="266"/>
      <c r="M331" s="266"/>
      <c r="N331" s="266"/>
      <c r="O331" s="266"/>
      <c r="P331" s="266"/>
      <c r="Q331" s="266"/>
      <c r="R331" s="266"/>
    </row>
    <row r="332" spans="1:21" ht="30" customHeight="1">
      <c r="A332" s="204" t="str">
        <f>IF(ISBLANK(D332)," ",221-COUNTBLANK($D$6:D332))</f>
        <v xml:space="preserve"> </v>
      </c>
      <c r="B332" s="202"/>
      <c r="C332" s="202"/>
      <c r="D332" s="202"/>
      <c r="E332" s="304"/>
      <c r="F332" s="211"/>
      <c r="G332" s="203"/>
      <c r="H332" s="203"/>
      <c r="I332" s="295"/>
      <c r="J332" s="264"/>
      <c r="K332" s="265"/>
      <c r="L332" s="266"/>
      <c r="M332" s="266"/>
      <c r="N332" s="266"/>
      <c r="O332" s="266"/>
      <c r="P332" s="266"/>
      <c r="Q332" s="266"/>
      <c r="R332" s="266"/>
    </row>
    <row r="333" spans="1:21" ht="30" customHeight="1">
      <c r="A333" s="204" t="str">
        <f>IF(ISBLANK(D333)," ",222-COUNTBLANK($D$6:D333))</f>
        <v xml:space="preserve"> </v>
      </c>
      <c r="B333" s="202"/>
      <c r="C333" s="202"/>
      <c r="D333" s="202"/>
      <c r="E333" s="304"/>
      <c r="F333" s="211"/>
      <c r="G333" s="203"/>
      <c r="H333" s="203"/>
      <c r="I333" s="295"/>
      <c r="J333" s="264"/>
      <c r="K333" s="265"/>
      <c r="L333" s="266"/>
      <c r="M333" s="266"/>
      <c r="N333" s="266"/>
      <c r="O333" s="266"/>
      <c r="P333" s="266"/>
      <c r="Q333" s="266"/>
      <c r="R333" s="266"/>
    </row>
    <row r="334" spans="1:21" ht="30" customHeight="1">
      <c r="A334" s="204" t="str">
        <f>IF(ISBLANK(D334)," ",223-COUNTBLANK($D$6:D334))</f>
        <v xml:space="preserve"> </v>
      </c>
      <c r="B334" s="202"/>
      <c r="C334" s="202"/>
      <c r="D334" s="202"/>
      <c r="E334" s="304"/>
      <c r="F334" s="211"/>
      <c r="G334" s="203"/>
      <c r="H334" s="203"/>
      <c r="I334" s="295"/>
      <c r="J334" s="264"/>
      <c r="K334" s="265"/>
      <c r="L334" s="266"/>
      <c r="M334" s="266"/>
      <c r="N334" s="266"/>
      <c r="O334" s="266"/>
      <c r="P334" s="266"/>
      <c r="Q334" s="266"/>
      <c r="R334" s="266"/>
    </row>
    <row r="335" spans="1:21" ht="30" customHeight="1">
      <c r="A335" s="204" t="str">
        <f>IF(ISBLANK(D335)," ",224-COUNTBLANK($D$6:D335))</f>
        <v xml:space="preserve"> </v>
      </c>
      <c r="B335" s="202"/>
      <c r="C335" s="202"/>
      <c r="D335" s="202"/>
      <c r="E335" s="304"/>
      <c r="F335" s="211"/>
      <c r="G335" s="203"/>
      <c r="H335" s="203"/>
      <c r="I335" s="295"/>
      <c r="J335" s="264"/>
      <c r="K335" s="265"/>
      <c r="L335" s="266"/>
      <c r="M335" s="266"/>
      <c r="N335" s="266"/>
      <c r="O335" s="266"/>
      <c r="P335" s="266"/>
      <c r="Q335" s="266"/>
      <c r="R335" s="266"/>
    </row>
    <row r="336" spans="1:21" ht="30" customHeight="1">
      <c r="A336" s="204" t="str">
        <f>IF(ISBLANK(D336)," ",225-COUNTBLANK($D$6:D336))</f>
        <v xml:space="preserve"> </v>
      </c>
      <c r="B336" s="202"/>
      <c r="C336" s="202"/>
      <c r="D336" s="202"/>
      <c r="E336" s="304"/>
      <c r="F336" s="211"/>
      <c r="G336" s="203"/>
      <c r="H336" s="203"/>
      <c r="I336" s="295"/>
      <c r="J336" s="264"/>
      <c r="K336" s="265"/>
      <c r="L336" s="266"/>
      <c r="M336" s="266"/>
      <c r="N336" s="266"/>
      <c r="O336" s="266"/>
      <c r="P336" s="266"/>
      <c r="Q336" s="266"/>
      <c r="R336" s="266"/>
    </row>
    <row r="337" spans="1:21" ht="30" customHeight="1">
      <c r="A337" s="204" t="str">
        <f>IF(ISBLANK(D337)," ",226-COUNTBLANK($D$6:D337))</f>
        <v xml:space="preserve"> </v>
      </c>
      <c r="B337" s="202"/>
      <c r="C337" s="202"/>
      <c r="D337" s="202"/>
      <c r="E337" s="304"/>
      <c r="F337" s="211"/>
      <c r="G337" s="203"/>
      <c r="H337" s="203"/>
      <c r="I337" s="295"/>
      <c r="J337" s="264"/>
      <c r="K337" s="265"/>
      <c r="L337" s="266"/>
      <c r="M337" s="266"/>
      <c r="N337" s="266"/>
      <c r="O337" s="266"/>
      <c r="P337" s="266"/>
      <c r="Q337" s="266"/>
      <c r="R337" s="266"/>
    </row>
    <row r="338" spans="1:21" ht="30" customHeight="1">
      <c r="A338" s="204" t="str">
        <f>IF(ISBLANK(D338)," ",227-COUNTBLANK($D$6:D338))</f>
        <v xml:space="preserve"> </v>
      </c>
      <c r="B338" s="202"/>
      <c r="C338" s="202"/>
      <c r="D338" s="202"/>
      <c r="E338" s="304"/>
      <c r="F338" s="211"/>
      <c r="G338" s="203"/>
      <c r="H338" s="203"/>
      <c r="I338" s="295"/>
      <c r="J338" s="264"/>
      <c r="K338" s="265"/>
      <c r="L338" s="266"/>
      <c r="M338" s="266"/>
      <c r="N338" s="266"/>
      <c r="O338" s="266"/>
      <c r="P338" s="266"/>
      <c r="Q338" s="266"/>
      <c r="R338" s="266"/>
    </row>
    <row r="339" spans="1:21" ht="30" customHeight="1">
      <c r="A339" s="204" t="str">
        <f>IF(ISBLANK(D339)," ",228-COUNTBLANK($D$6:D339))</f>
        <v xml:space="preserve"> </v>
      </c>
      <c r="B339" s="202"/>
      <c r="C339" s="202"/>
      <c r="D339" s="202"/>
      <c r="E339" s="304"/>
      <c r="F339" s="211"/>
      <c r="G339" s="203"/>
      <c r="H339" s="203"/>
      <c r="I339" s="295"/>
      <c r="J339" s="264"/>
      <c r="K339" s="265"/>
      <c r="L339" s="266"/>
      <c r="M339" s="266"/>
      <c r="N339" s="266"/>
      <c r="O339" s="266"/>
      <c r="P339" s="266"/>
      <c r="Q339" s="266"/>
      <c r="R339" s="266"/>
    </row>
    <row r="340" spans="1:21" ht="30" customHeight="1">
      <c r="A340" s="204" t="str">
        <f>IF(ISBLANK(D340)," ",229-COUNTBLANK($D$6:D340))</f>
        <v xml:space="preserve"> </v>
      </c>
      <c r="B340" s="202"/>
      <c r="C340" s="202"/>
      <c r="D340" s="202"/>
      <c r="E340" s="304"/>
      <c r="F340" s="211"/>
      <c r="G340" s="203"/>
      <c r="H340" s="203"/>
      <c r="I340" s="295"/>
      <c r="J340" s="264"/>
      <c r="K340" s="267"/>
      <c r="L340" s="266"/>
      <c r="M340" s="266"/>
      <c r="N340" s="266"/>
      <c r="O340" s="266"/>
      <c r="P340" s="266"/>
      <c r="Q340" s="266"/>
      <c r="R340" s="268"/>
    </row>
    <row r="341" spans="1:21" ht="30" customHeight="1">
      <c r="A341" s="204" t="str">
        <f>IF(ISBLANK(D341)," ",230-COUNTBLANK($D$6:D341))</f>
        <v xml:space="preserve"> </v>
      </c>
      <c r="B341" s="202"/>
      <c r="C341" s="202"/>
      <c r="D341" s="202"/>
      <c r="E341" s="304"/>
      <c r="F341" s="211"/>
      <c r="G341" s="203"/>
      <c r="H341" s="203"/>
      <c r="I341" s="295"/>
      <c r="J341" s="264"/>
      <c r="K341" s="267"/>
      <c r="L341" s="266"/>
      <c r="M341" s="266"/>
      <c r="N341" s="266"/>
      <c r="O341" s="266"/>
      <c r="P341" s="266"/>
      <c r="Q341" s="266"/>
      <c r="R341" s="268"/>
    </row>
    <row r="342" spans="1:21" ht="30" customHeight="1">
      <c r="A342" s="204" t="s">
        <v>58</v>
      </c>
      <c r="B342" s="202"/>
      <c r="C342" s="202"/>
      <c r="D342" s="202"/>
      <c r="E342" s="304"/>
      <c r="F342" s="211">
        <f>SUM(F322:F341)</f>
        <v>0</v>
      </c>
      <c r="G342" s="203"/>
      <c r="H342" s="203"/>
      <c r="I342" s="295"/>
      <c r="J342" s="264"/>
      <c r="K342" s="267"/>
      <c r="L342" s="266"/>
      <c r="M342" s="266"/>
      <c r="N342" s="266"/>
      <c r="O342" s="266"/>
      <c r="P342" s="266"/>
      <c r="Q342" s="266"/>
      <c r="R342" s="268"/>
    </row>
    <row r="343" spans="1:21" ht="30" customHeight="1">
      <c r="A343" s="204" t="str">
        <f>IF(ISBLANK(D343)," ",232-COUNTBLANK($D$6:D343))</f>
        <v xml:space="preserve"> </v>
      </c>
      <c r="B343" s="202"/>
      <c r="C343" s="202"/>
      <c r="D343" s="202"/>
      <c r="E343" s="304"/>
      <c r="F343" s="211"/>
      <c r="G343" s="203"/>
      <c r="H343" s="203"/>
      <c r="I343" s="295"/>
      <c r="J343" s="264"/>
      <c r="K343" s="267"/>
      <c r="L343" s="266"/>
      <c r="M343" s="266"/>
      <c r="N343" s="266"/>
      <c r="O343" s="266"/>
      <c r="P343" s="266"/>
      <c r="Q343" s="266"/>
      <c r="R343" s="268"/>
    </row>
    <row r="344" spans="1:21" ht="30" customHeight="1">
      <c r="A344" s="308" t="str">
        <f>IF(ISBLANK(D344)," ",233-COUNTBLANK($D$6:D344))</f>
        <v xml:space="preserve"> </v>
      </c>
      <c r="B344" s="300"/>
      <c r="C344" s="309"/>
      <c r="D344" s="310"/>
      <c r="E344" s="301"/>
      <c r="F344" s="302"/>
      <c r="G344" s="286"/>
      <c r="H344" s="286"/>
      <c r="I344" s="307"/>
      <c r="J344" s="264"/>
      <c r="K344" s="265"/>
      <c r="L344" s="266"/>
      <c r="M344" s="266"/>
      <c r="N344" s="266"/>
      <c r="O344" s="266"/>
      <c r="P344" s="266"/>
      <c r="Q344" s="266"/>
      <c r="R344" s="288"/>
      <c r="S344" s="266"/>
      <c r="T344" s="266"/>
      <c r="U344" s="266"/>
    </row>
    <row r="345" spans="1:21" ht="30" customHeight="1">
      <c r="A345" s="261" t="str">
        <f>IF(ISBLANK(D345)," ",234-COUNTBLANK($D$6:D345))</f>
        <v xml:space="preserve"> </v>
      </c>
      <c r="B345" s="200"/>
      <c r="C345" s="200"/>
      <c r="D345" s="200"/>
      <c r="E345" s="303"/>
      <c r="F345" s="210"/>
      <c r="G345" s="201"/>
      <c r="H345" s="201"/>
      <c r="I345" s="295"/>
      <c r="J345" s="264"/>
      <c r="K345" s="267"/>
      <c r="L345" s="266"/>
      <c r="M345" s="266"/>
      <c r="N345" s="266"/>
      <c r="O345" s="266"/>
      <c r="P345" s="266"/>
      <c r="Q345" s="266"/>
      <c r="R345" s="288"/>
      <c r="S345" s="266"/>
      <c r="T345" s="266"/>
      <c r="U345" s="266"/>
    </row>
    <row r="346" spans="1:21" ht="30" customHeight="1">
      <c r="A346" s="204" t="str">
        <f>IF(ISBLANK(D346)," ",235-COUNTBLANK($D$6:D346))</f>
        <v xml:space="preserve"> </v>
      </c>
      <c r="B346" s="202"/>
      <c r="C346" s="202"/>
      <c r="D346" s="202"/>
      <c r="E346" s="304"/>
      <c r="F346" s="211"/>
      <c r="G346" s="203"/>
      <c r="H346" s="203"/>
      <c r="I346" s="295"/>
      <c r="J346" s="264"/>
      <c r="K346" s="265"/>
      <c r="L346" s="266"/>
      <c r="M346" s="266"/>
      <c r="N346" s="266"/>
      <c r="O346" s="266"/>
      <c r="P346" s="266"/>
      <c r="Q346" s="266"/>
      <c r="R346" s="266"/>
    </row>
    <row r="347" spans="1:21" ht="30" customHeight="1">
      <c r="A347" s="204" t="str">
        <f>IF(ISBLANK(D347)," ",236-COUNTBLANK($D$6:D347))</f>
        <v xml:space="preserve"> </v>
      </c>
      <c r="B347" s="202"/>
      <c r="C347" s="202"/>
      <c r="D347" s="202"/>
      <c r="E347" s="304"/>
      <c r="F347" s="211"/>
      <c r="G347" s="203"/>
      <c r="H347" s="203"/>
      <c r="I347" s="295"/>
      <c r="J347" s="264"/>
      <c r="K347" s="265"/>
      <c r="L347" s="266"/>
      <c r="M347" s="266"/>
      <c r="N347" s="266"/>
      <c r="O347" s="266"/>
      <c r="P347" s="266"/>
      <c r="Q347" s="266"/>
      <c r="R347" s="266"/>
    </row>
    <row r="348" spans="1:21" ht="30" customHeight="1">
      <c r="A348" s="204" t="str">
        <f>IF(ISBLANK(D348)," ",237-COUNTBLANK($D$6:D348))</f>
        <v xml:space="preserve"> </v>
      </c>
      <c r="B348" s="202"/>
      <c r="C348" s="202"/>
      <c r="D348" s="202"/>
      <c r="E348" s="304"/>
      <c r="F348" s="211"/>
      <c r="G348" s="203"/>
      <c r="H348" s="203"/>
      <c r="I348" s="295"/>
      <c r="J348" s="264"/>
      <c r="K348" s="265"/>
      <c r="L348" s="266"/>
      <c r="M348" s="266"/>
      <c r="N348" s="266"/>
      <c r="O348" s="266"/>
      <c r="P348" s="266"/>
      <c r="Q348" s="266"/>
      <c r="R348" s="266"/>
    </row>
    <row r="349" spans="1:21" ht="30" customHeight="1">
      <c r="A349" s="204" t="str">
        <f>IF(ISBLANK(D349)," ",238-COUNTBLANK($D$6:D349))</f>
        <v xml:space="preserve"> </v>
      </c>
      <c r="B349" s="202"/>
      <c r="C349" s="202"/>
      <c r="D349" s="202"/>
      <c r="E349" s="304"/>
      <c r="F349" s="211"/>
      <c r="G349" s="203"/>
      <c r="H349" s="203"/>
      <c r="I349" s="295"/>
      <c r="J349" s="264"/>
      <c r="K349" s="265"/>
      <c r="L349" s="266"/>
      <c r="M349" s="266"/>
      <c r="N349" s="266"/>
      <c r="O349" s="266"/>
      <c r="P349" s="266"/>
      <c r="Q349" s="266"/>
      <c r="R349" s="266"/>
    </row>
    <row r="350" spans="1:21" ht="30" customHeight="1">
      <c r="A350" s="204" t="str">
        <f>IF(ISBLANK(D350)," ",239-COUNTBLANK($D$6:D350))</f>
        <v xml:space="preserve"> </v>
      </c>
      <c r="B350" s="202"/>
      <c r="C350" s="202"/>
      <c r="D350" s="202"/>
      <c r="E350" s="304"/>
      <c r="F350" s="211"/>
      <c r="G350" s="203"/>
      <c r="H350" s="203"/>
      <c r="I350" s="295"/>
      <c r="J350" s="264"/>
      <c r="K350" s="265"/>
      <c r="L350" s="266"/>
      <c r="M350" s="266"/>
      <c r="N350" s="266"/>
      <c r="O350" s="266"/>
      <c r="P350" s="266"/>
      <c r="Q350" s="266"/>
      <c r="R350" s="266"/>
    </row>
    <row r="351" spans="1:21" ht="30" customHeight="1">
      <c r="A351" s="204" t="str">
        <f>IF(ISBLANK(D351)," ",240-COUNTBLANK($D$6:D351))</f>
        <v xml:space="preserve"> </v>
      </c>
      <c r="B351" s="202"/>
      <c r="C351" s="202"/>
      <c r="D351" s="202"/>
      <c r="E351" s="304"/>
      <c r="F351" s="211"/>
      <c r="G351" s="203"/>
      <c r="H351" s="203"/>
      <c r="I351" s="295"/>
      <c r="J351" s="264"/>
      <c r="K351" s="265"/>
      <c r="L351" s="266"/>
      <c r="M351" s="266"/>
      <c r="N351" s="266"/>
      <c r="O351" s="266"/>
      <c r="P351" s="266"/>
      <c r="Q351" s="266"/>
      <c r="R351" s="266"/>
    </row>
    <row r="352" spans="1:21" ht="30" customHeight="1">
      <c r="A352" s="204" t="str">
        <f>IF(ISBLANK(D352)," ",241-COUNTBLANK($D$6:D352))</f>
        <v xml:space="preserve"> </v>
      </c>
      <c r="B352" s="202"/>
      <c r="C352" s="202"/>
      <c r="D352" s="202"/>
      <c r="E352" s="304"/>
      <c r="F352" s="211"/>
      <c r="G352" s="203"/>
      <c r="H352" s="203"/>
      <c r="I352" s="295"/>
      <c r="J352" s="264"/>
      <c r="K352" s="265"/>
      <c r="L352" s="266"/>
      <c r="M352" s="266"/>
      <c r="N352" s="266"/>
      <c r="O352" s="266"/>
      <c r="P352" s="266"/>
      <c r="Q352" s="266"/>
      <c r="R352" s="266"/>
    </row>
    <row r="353" spans="1:21" ht="30" customHeight="1">
      <c r="A353" s="204" t="str">
        <f>IF(ISBLANK(D353)," ",242-COUNTBLANK($D$6:D353))</f>
        <v xml:space="preserve"> </v>
      </c>
      <c r="B353" s="202"/>
      <c r="C353" s="202"/>
      <c r="D353" s="202"/>
      <c r="E353" s="304"/>
      <c r="F353" s="211"/>
      <c r="G353" s="203"/>
      <c r="H353" s="203"/>
      <c r="I353" s="295"/>
      <c r="J353" s="264"/>
      <c r="K353" s="265"/>
      <c r="L353" s="266"/>
      <c r="M353" s="266"/>
      <c r="N353" s="266"/>
      <c r="O353" s="266"/>
      <c r="P353" s="266"/>
      <c r="Q353" s="266"/>
      <c r="R353" s="266"/>
    </row>
    <row r="354" spans="1:21" ht="30" customHeight="1">
      <c r="A354" s="204" t="str">
        <f>IF(ISBLANK(D354)," ",243-COUNTBLANK($D$6:D354))</f>
        <v xml:space="preserve"> </v>
      </c>
      <c r="B354" s="202"/>
      <c r="C354" s="202"/>
      <c r="D354" s="202"/>
      <c r="E354" s="304"/>
      <c r="F354" s="211"/>
      <c r="G354" s="203"/>
      <c r="H354" s="203"/>
      <c r="I354" s="295"/>
      <c r="J354" s="264"/>
      <c r="K354" s="265"/>
      <c r="L354" s="266"/>
      <c r="M354" s="266"/>
      <c r="N354" s="266"/>
      <c r="O354" s="266"/>
      <c r="P354" s="266"/>
      <c r="Q354" s="266"/>
      <c r="R354" s="266"/>
    </row>
    <row r="355" spans="1:21" ht="30" customHeight="1">
      <c r="A355" s="204" t="str">
        <f>IF(ISBLANK(D355)," ",244-COUNTBLANK($D$6:D355))</f>
        <v xml:space="preserve"> </v>
      </c>
      <c r="B355" s="202"/>
      <c r="C355" s="202"/>
      <c r="D355" s="202"/>
      <c r="E355" s="304"/>
      <c r="F355" s="211"/>
      <c r="G355" s="203"/>
      <c r="H355" s="203"/>
      <c r="I355" s="295"/>
      <c r="J355" s="264"/>
      <c r="K355" s="265"/>
      <c r="L355" s="266"/>
      <c r="M355" s="266"/>
      <c r="N355" s="266"/>
      <c r="O355" s="266"/>
      <c r="P355" s="266"/>
      <c r="Q355" s="266"/>
      <c r="R355" s="266"/>
    </row>
    <row r="356" spans="1:21" ht="30" customHeight="1">
      <c r="A356" s="204" t="str">
        <f>IF(ISBLANK(D356)," ",245-COUNTBLANK($D$6:D356))</f>
        <v xml:space="preserve"> </v>
      </c>
      <c r="B356" s="202"/>
      <c r="C356" s="202"/>
      <c r="D356" s="202"/>
      <c r="E356" s="304"/>
      <c r="F356" s="211"/>
      <c r="G356" s="203"/>
      <c r="H356" s="203"/>
      <c r="I356" s="295"/>
      <c r="J356" s="264"/>
      <c r="K356" s="265"/>
      <c r="L356" s="266"/>
      <c r="M356" s="266"/>
      <c r="N356" s="266"/>
      <c r="O356" s="266"/>
      <c r="P356" s="266"/>
      <c r="Q356" s="266"/>
      <c r="R356" s="266"/>
    </row>
    <row r="357" spans="1:21" ht="30" customHeight="1">
      <c r="A357" s="204" t="str">
        <f>IF(ISBLANK(D357)," ",246-COUNTBLANK($D$6:D357))</f>
        <v xml:space="preserve"> </v>
      </c>
      <c r="B357" s="202"/>
      <c r="C357" s="202"/>
      <c r="D357" s="202"/>
      <c r="E357" s="304"/>
      <c r="F357" s="211"/>
      <c r="G357" s="203"/>
      <c r="H357" s="203"/>
      <c r="I357" s="295"/>
      <c r="J357" s="264"/>
      <c r="K357" s="265"/>
      <c r="L357" s="266"/>
      <c r="M357" s="266"/>
      <c r="N357" s="266"/>
      <c r="O357" s="266"/>
      <c r="P357" s="266"/>
      <c r="Q357" s="266"/>
      <c r="R357" s="266"/>
    </row>
    <row r="358" spans="1:21" ht="30" customHeight="1">
      <c r="A358" s="204" t="str">
        <f>IF(ISBLANK(D358)," ",247-COUNTBLANK($D$6:D358))</f>
        <v xml:space="preserve"> </v>
      </c>
      <c r="B358" s="202"/>
      <c r="C358" s="202"/>
      <c r="D358" s="202"/>
      <c r="E358" s="304"/>
      <c r="F358" s="211"/>
      <c r="G358" s="203"/>
      <c r="H358" s="203"/>
      <c r="I358" s="295"/>
      <c r="J358" s="264"/>
      <c r="K358" s="265"/>
      <c r="L358" s="266"/>
      <c r="M358" s="266"/>
      <c r="N358" s="266"/>
      <c r="O358" s="266"/>
      <c r="P358" s="266"/>
      <c r="Q358" s="266"/>
      <c r="R358" s="266"/>
    </row>
    <row r="359" spans="1:21" ht="30" customHeight="1">
      <c r="A359" s="204" t="str">
        <f>IF(ISBLANK(D359)," ",248-COUNTBLANK($D$6:D359))</f>
        <v xml:space="preserve"> </v>
      </c>
      <c r="B359" s="202"/>
      <c r="C359" s="202"/>
      <c r="D359" s="202"/>
      <c r="E359" s="304"/>
      <c r="F359" s="211"/>
      <c r="G359" s="203"/>
      <c r="H359" s="203"/>
      <c r="I359" s="295"/>
      <c r="J359" s="264"/>
      <c r="K359" s="265"/>
      <c r="L359" s="266"/>
      <c r="M359" s="266"/>
      <c r="N359" s="266"/>
      <c r="O359" s="266"/>
      <c r="P359" s="266"/>
      <c r="Q359" s="266"/>
      <c r="R359" s="266"/>
    </row>
    <row r="360" spans="1:21" ht="30" customHeight="1">
      <c r="A360" s="204" t="str">
        <f>IF(ISBLANK(D360)," ",249-COUNTBLANK($D$6:D360))</f>
        <v xml:space="preserve"> </v>
      </c>
      <c r="B360" s="202"/>
      <c r="C360" s="202"/>
      <c r="D360" s="202"/>
      <c r="E360" s="304"/>
      <c r="F360" s="211"/>
      <c r="G360" s="203"/>
      <c r="H360" s="203"/>
      <c r="I360" s="295"/>
      <c r="J360" s="264"/>
      <c r="K360" s="265"/>
      <c r="L360" s="266"/>
      <c r="M360" s="266"/>
      <c r="N360" s="266"/>
      <c r="O360" s="266"/>
      <c r="P360" s="266"/>
      <c r="Q360" s="266"/>
      <c r="R360" s="266"/>
    </row>
    <row r="361" spans="1:21" ht="30" customHeight="1">
      <c r="A361" s="204" t="str">
        <f>IF(ISBLANK(D361)," ",250-COUNTBLANK($D$6:D361))</f>
        <v xml:space="preserve"> </v>
      </c>
      <c r="B361" s="202"/>
      <c r="C361" s="202"/>
      <c r="D361" s="202"/>
      <c r="E361" s="304"/>
      <c r="F361" s="211"/>
      <c r="G361" s="203"/>
      <c r="H361" s="203"/>
      <c r="I361" s="295"/>
      <c r="J361" s="264"/>
      <c r="K361" s="267"/>
      <c r="L361" s="266"/>
      <c r="M361" s="266"/>
      <c r="N361" s="266"/>
      <c r="O361" s="266"/>
      <c r="P361" s="266"/>
      <c r="Q361" s="266"/>
      <c r="R361" s="268"/>
    </row>
    <row r="362" spans="1:21" ht="30" customHeight="1">
      <c r="A362" s="204" t="str">
        <f>IF(ISBLANK(D362)," ",251-COUNTBLANK($D$6:D362))</f>
        <v xml:space="preserve"> </v>
      </c>
      <c r="B362" s="202"/>
      <c r="C362" s="202"/>
      <c r="D362" s="202"/>
      <c r="E362" s="304"/>
      <c r="F362" s="211"/>
      <c r="G362" s="203"/>
      <c r="H362" s="203"/>
      <c r="I362" s="295"/>
      <c r="J362" s="264"/>
      <c r="K362" s="267"/>
      <c r="L362" s="266"/>
      <c r="M362" s="266"/>
      <c r="N362" s="266"/>
      <c r="O362" s="266"/>
      <c r="P362" s="266"/>
      <c r="Q362" s="266"/>
      <c r="R362" s="268"/>
    </row>
    <row r="363" spans="1:21" ht="30" customHeight="1">
      <c r="A363" s="204" t="s">
        <v>58</v>
      </c>
      <c r="B363" s="202"/>
      <c r="C363" s="202"/>
      <c r="D363" s="202"/>
      <c r="E363" s="304"/>
      <c r="F363" s="211">
        <f>SUM(F343:F362)</f>
        <v>0</v>
      </c>
      <c r="G363" s="203"/>
      <c r="H363" s="203"/>
      <c r="I363" s="295"/>
      <c r="J363" s="264"/>
      <c r="K363" s="267"/>
      <c r="L363" s="266"/>
      <c r="M363" s="266"/>
      <c r="N363" s="266"/>
      <c r="O363" s="266"/>
      <c r="P363" s="266"/>
      <c r="Q363" s="266"/>
      <c r="R363" s="268"/>
    </row>
    <row r="364" spans="1:21" ht="30" customHeight="1">
      <c r="A364" s="204" t="str">
        <f>IF(ISBLANK(D364)," ",253-COUNTBLANK($D$6:D364))</f>
        <v xml:space="preserve"> </v>
      </c>
      <c r="B364" s="202"/>
      <c r="C364" s="202"/>
      <c r="D364" s="202"/>
      <c r="E364" s="304"/>
      <c r="F364" s="211"/>
      <c r="G364" s="203"/>
      <c r="H364" s="203"/>
      <c r="I364" s="295"/>
      <c r="J364" s="264"/>
      <c r="K364" s="267"/>
      <c r="L364" s="266"/>
      <c r="M364" s="266"/>
      <c r="N364" s="266"/>
      <c r="O364" s="266"/>
      <c r="P364" s="266"/>
      <c r="Q364" s="266"/>
      <c r="R364" s="268"/>
    </row>
    <row r="365" spans="1:21" ht="30" customHeight="1">
      <c r="A365" s="308" t="str">
        <f>IF(ISBLANK(D365)," ",254-COUNTBLANK($D$6:D365))</f>
        <v xml:space="preserve"> </v>
      </c>
      <c r="B365" s="300"/>
      <c r="C365" s="309"/>
      <c r="D365" s="310"/>
      <c r="E365" s="301"/>
      <c r="F365" s="302"/>
      <c r="G365" s="286"/>
      <c r="H365" s="286"/>
      <c r="I365" s="307"/>
      <c r="J365" s="264"/>
      <c r="K365" s="265"/>
      <c r="L365" s="266"/>
      <c r="M365" s="266"/>
      <c r="N365" s="266"/>
      <c r="O365" s="266"/>
      <c r="P365" s="266"/>
      <c r="Q365" s="266"/>
      <c r="R365" s="288"/>
      <c r="S365" s="266"/>
      <c r="T365" s="266"/>
      <c r="U365" s="266"/>
    </row>
    <row r="366" spans="1:21" ht="30" customHeight="1">
      <c r="A366" s="261" t="str">
        <f>IF(ISBLANK(D366)," ",255-COUNTBLANK($D$6:D366))</f>
        <v xml:space="preserve"> </v>
      </c>
      <c r="B366" s="200"/>
      <c r="C366" s="200"/>
      <c r="D366" s="200"/>
      <c r="E366" s="303"/>
      <c r="F366" s="210"/>
      <c r="G366" s="201"/>
      <c r="H366" s="201"/>
      <c r="I366" s="295"/>
      <c r="J366" s="264"/>
      <c r="K366" s="267"/>
      <c r="L366" s="266"/>
      <c r="M366" s="266"/>
      <c r="N366" s="266"/>
      <c r="O366" s="266"/>
      <c r="P366" s="266"/>
      <c r="Q366" s="266"/>
      <c r="R366" s="288"/>
      <c r="S366" s="266"/>
      <c r="T366" s="266"/>
      <c r="U366" s="266"/>
    </row>
    <row r="367" spans="1:21" ht="30" customHeight="1">
      <c r="A367" s="204" t="str">
        <f>IF(ISBLANK(D367)," ",256-COUNTBLANK($D$6:D367))</f>
        <v xml:space="preserve"> </v>
      </c>
      <c r="B367" s="202"/>
      <c r="C367" s="202"/>
      <c r="D367" s="202"/>
      <c r="E367" s="304"/>
      <c r="F367" s="211"/>
      <c r="G367" s="203"/>
      <c r="H367" s="203"/>
      <c r="I367" s="295"/>
      <c r="J367" s="264"/>
      <c r="K367" s="265"/>
      <c r="L367" s="266"/>
      <c r="M367" s="266"/>
      <c r="N367" s="266"/>
      <c r="O367" s="266"/>
      <c r="P367" s="266"/>
      <c r="Q367" s="266"/>
      <c r="R367" s="266"/>
    </row>
    <row r="368" spans="1:21" ht="30" customHeight="1">
      <c r="A368" s="204" t="str">
        <f>IF(ISBLANK(D368)," ",257-COUNTBLANK($D$6:D368))</f>
        <v xml:space="preserve"> </v>
      </c>
      <c r="B368" s="202"/>
      <c r="C368" s="202"/>
      <c r="D368" s="202"/>
      <c r="E368" s="304"/>
      <c r="F368" s="211"/>
      <c r="G368" s="203"/>
      <c r="H368" s="203"/>
      <c r="I368" s="295"/>
      <c r="J368" s="264"/>
      <c r="K368" s="265"/>
      <c r="L368" s="266"/>
      <c r="M368" s="266"/>
      <c r="N368" s="266"/>
      <c r="O368" s="266"/>
      <c r="P368" s="266"/>
      <c r="Q368" s="266"/>
      <c r="R368" s="266"/>
    </row>
    <row r="369" spans="1:18" ht="30" customHeight="1">
      <c r="A369" s="204" t="str">
        <f>IF(ISBLANK(D369)," ",258-COUNTBLANK($D$6:D369))</f>
        <v xml:space="preserve"> </v>
      </c>
      <c r="B369" s="202"/>
      <c r="C369" s="202"/>
      <c r="D369" s="202"/>
      <c r="E369" s="304"/>
      <c r="F369" s="211"/>
      <c r="G369" s="203"/>
      <c r="H369" s="203"/>
      <c r="I369" s="295"/>
      <c r="J369" s="264"/>
      <c r="K369" s="265"/>
      <c r="L369" s="266"/>
      <c r="M369" s="266"/>
      <c r="N369" s="266"/>
      <c r="O369" s="266"/>
      <c r="P369" s="266"/>
      <c r="Q369" s="266"/>
      <c r="R369" s="266"/>
    </row>
    <row r="370" spans="1:18" ht="30" customHeight="1">
      <c r="A370" s="204" t="str">
        <f>IF(ISBLANK(D370)," ",259-COUNTBLANK($D$6:D370))</f>
        <v xml:space="preserve"> </v>
      </c>
      <c r="B370" s="202"/>
      <c r="C370" s="202"/>
      <c r="D370" s="202"/>
      <c r="E370" s="304"/>
      <c r="F370" s="211"/>
      <c r="G370" s="203"/>
      <c r="H370" s="203"/>
      <c r="I370" s="295"/>
      <c r="J370" s="264"/>
      <c r="K370" s="265"/>
      <c r="L370" s="266"/>
      <c r="M370" s="266"/>
      <c r="N370" s="266"/>
      <c r="O370" s="266"/>
      <c r="P370" s="266"/>
      <c r="Q370" s="266"/>
      <c r="R370" s="266"/>
    </row>
    <row r="371" spans="1:18" ht="30" customHeight="1">
      <c r="A371" s="204" t="str">
        <f>IF(ISBLANK(D371)," ",260-COUNTBLANK($D$6:D371))</f>
        <v xml:space="preserve"> </v>
      </c>
      <c r="B371" s="202"/>
      <c r="C371" s="202"/>
      <c r="D371" s="202"/>
      <c r="E371" s="304"/>
      <c r="F371" s="211"/>
      <c r="G371" s="203"/>
      <c r="H371" s="203"/>
      <c r="I371" s="295"/>
      <c r="J371" s="264"/>
      <c r="K371" s="265"/>
      <c r="L371" s="266"/>
      <c r="M371" s="266"/>
      <c r="N371" s="266"/>
      <c r="O371" s="266"/>
      <c r="P371" s="266"/>
      <c r="Q371" s="266"/>
      <c r="R371" s="266"/>
    </row>
    <row r="372" spans="1:18" ht="30" customHeight="1">
      <c r="A372" s="204" t="str">
        <f>IF(ISBLANK(D372)," ",261-COUNTBLANK($D$6:D372))</f>
        <v xml:space="preserve"> </v>
      </c>
      <c r="B372" s="202"/>
      <c r="C372" s="202"/>
      <c r="D372" s="202"/>
      <c r="E372" s="304"/>
      <c r="F372" s="211"/>
      <c r="G372" s="203"/>
      <c r="H372" s="203"/>
      <c r="I372" s="295"/>
      <c r="J372" s="264"/>
      <c r="K372" s="265"/>
      <c r="L372" s="266"/>
      <c r="M372" s="266"/>
      <c r="N372" s="266"/>
      <c r="O372" s="266"/>
      <c r="P372" s="266"/>
      <c r="Q372" s="266"/>
      <c r="R372" s="266"/>
    </row>
    <row r="373" spans="1:18" ht="30" customHeight="1">
      <c r="A373" s="204" t="str">
        <f>IF(ISBLANK(D373)," ",262-COUNTBLANK($D$6:D373))</f>
        <v xml:space="preserve"> </v>
      </c>
      <c r="B373" s="202"/>
      <c r="C373" s="202"/>
      <c r="D373" s="202"/>
      <c r="E373" s="304"/>
      <c r="F373" s="211"/>
      <c r="G373" s="203"/>
      <c r="H373" s="203"/>
      <c r="I373" s="295"/>
      <c r="J373" s="264"/>
      <c r="K373" s="265"/>
      <c r="L373" s="266"/>
      <c r="M373" s="266"/>
      <c r="N373" s="266"/>
      <c r="O373" s="266"/>
      <c r="P373" s="266"/>
      <c r="Q373" s="266"/>
      <c r="R373" s="266"/>
    </row>
    <row r="374" spans="1:18" ht="30" customHeight="1">
      <c r="A374" s="204" t="str">
        <f>IF(ISBLANK(D374)," ",263-COUNTBLANK($D$6:D374))</f>
        <v xml:space="preserve"> </v>
      </c>
      <c r="B374" s="202"/>
      <c r="C374" s="202"/>
      <c r="D374" s="202"/>
      <c r="E374" s="304"/>
      <c r="F374" s="211"/>
      <c r="G374" s="203"/>
      <c r="H374" s="203"/>
      <c r="I374" s="295"/>
      <c r="J374" s="264"/>
      <c r="K374" s="265"/>
      <c r="L374" s="266"/>
      <c r="M374" s="266"/>
      <c r="N374" s="266"/>
      <c r="O374" s="266"/>
      <c r="P374" s="266"/>
      <c r="Q374" s="266"/>
      <c r="R374" s="266"/>
    </row>
    <row r="375" spans="1:18" ht="30" customHeight="1">
      <c r="A375" s="204" t="str">
        <f>IF(ISBLANK(D375)," ",264-COUNTBLANK($D$6:D375))</f>
        <v xml:space="preserve"> </v>
      </c>
      <c r="B375" s="202"/>
      <c r="C375" s="202"/>
      <c r="D375" s="202"/>
      <c r="E375" s="304"/>
      <c r="F375" s="211"/>
      <c r="G375" s="203"/>
      <c r="H375" s="203"/>
      <c r="I375" s="295"/>
      <c r="J375" s="264"/>
      <c r="K375" s="265"/>
      <c r="L375" s="266"/>
      <c r="M375" s="266"/>
      <c r="N375" s="266"/>
      <c r="O375" s="266"/>
      <c r="P375" s="266"/>
      <c r="Q375" s="266"/>
      <c r="R375" s="266"/>
    </row>
    <row r="376" spans="1:18" ht="30" customHeight="1">
      <c r="A376" s="204" t="str">
        <f>IF(ISBLANK(D376)," ",265-COUNTBLANK($D$6:D376))</f>
        <v xml:space="preserve"> </v>
      </c>
      <c r="B376" s="202"/>
      <c r="C376" s="202"/>
      <c r="D376" s="202"/>
      <c r="E376" s="304"/>
      <c r="F376" s="211"/>
      <c r="G376" s="203"/>
      <c r="H376" s="203"/>
      <c r="I376" s="295"/>
      <c r="J376" s="264"/>
      <c r="K376" s="265"/>
      <c r="L376" s="266"/>
      <c r="M376" s="266"/>
      <c r="N376" s="266"/>
      <c r="O376" s="266"/>
      <c r="P376" s="266"/>
      <c r="Q376" s="266"/>
      <c r="R376" s="266"/>
    </row>
    <row r="377" spans="1:18" ht="30" customHeight="1">
      <c r="A377" s="204" t="str">
        <f>IF(ISBLANK(D377)," ",266-COUNTBLANK($D$6:D377))</f>
        <v xml:space="preserve"> </v>
      </c>
      <c r="B377" s="202"/>
      <c r="C377" s="202"/>
      <c r="D377" s="202"/>
      <c r="E377" s="304"/>
      <c r="F377" s="211"/>
      <c r="G377" s="203"/>
      <c r="H377" s="203"/>
      <c r="I377" s="295"/>
      <c r="J377" s="264"/>
      <c r="K377" s="265"/>
      <c r="L377" s="266"/>
      <c r="M377" s="266"/>
      <c r="N377" s="266"/>
      <c r="O377" s="266"/>
      <c r="P377" s="266"/>
      <c r="Q377" s="266"/>
      <c r="R377" s="266"/>
    </row>
    <row r="378" spans="1:18" ht="30" customHeight="1">
      <c r="A378" s="204" t="str">
        <f>IF(ISBLANK(D378)," ",267-COUNTBLANK($D$6:D378))</f>
        <v xml:space="preserve"> </v>
      </c>
      <c r="B378" s="202"/>
      <c r="C378" s="202"/>
      <c r="D378" s="202"/>
      <c r="E378" s="304"/>
      <c r="F378" s="211"/>
      <c r="G378" s="203"/>
      <c r="H378" s="203"/>
      <c r="I378" s="295"/>
      <c r="J378" s="264"/>
      <c r="K378" s="265"/>
      <c r="L378" s="266"/>
      <c r="M378" s="266"/>
      <c r="N378" s="266"/>
      <c r="O378" s="266"/>
      <c r="P378" s="266"/>
      <c r="Q378" s="266"/>
      <c r="R378" s="266"/>
    </row>
    <row r="379" spans="1:18" ht="30" customHeight="1">
      <c r="A379" s="204" t="str">
        <f>IF(ISBLANK(D379)," ",268-COUNTBLANK($D$6:D379))</f>
        <v xml:space="preserve"> </v>
      </c>
      <c r="B379" s="202"/>
      <c r="C379" s="202"/>
      <c r="D379" s="202"/>
      <c r="E379" s="304"/>
      <c r="F379" s="211"/>
      <c r="G379" s="203"/>
      <c r="H379" s="203"/>
      <c r="I379" s="295"/>
      <c r="J379" s="264"/>
      <c r="K379" s="265"/>
      <c r="L379" s="266"/>
      <c r="M379" s="266"/>
      <c r="N379" s="266"/>
      <c r="O379" s="266"/>
      <c r="P379" s="266"/>
      <c r="Q379" s="266"/>
      <c r="R379" s="266"/>
    </row>
    <row r="380" spans="1:18" ht="30" customHeight="1">
      <c r="A380" s="204" t="str">
        <f>IF(ISBLANK(D380)," ",269-COUNTBLANK($D$6:D380))</f>
        <v xml:space="preserve"> </v>
      </c>
      <c r="B380" s="202"/>
      <c r="C380" s="202"/>
      <c r="D380" s="202"/>
      <c r="E380" s="304"/>
      <c r="F380" s="211"/>
      <c r="G380" s="203"/>
      <c r="H380" s="203"/>
      <c r="I380" s="295"/>
      <c r="J380" s="264"/>
      <c r="K380" s="265"/>
      <c r="L380" s="266"/>
      <c r="M380" s="266"/>
      <c r="N380" s="266"/>
      <c r="O380" s="266"/>
      <c r="P380" s="266"/>
      <c r="Q380" s="266"/>
      <c r="R380" s="266"/>
    </row>
    <row r="381" spans="1:18" ht="30" customHeight="1">
      <c r="A381" s="204" t="str">
        <f>IF(ISBLANK(D381)," ",270-COUNTBLANK($D$6:D381))</f>
        <v xml:space="preserve"> </v>
      </c>
      <c r="B381" s="202"/>
      <c r="C381" s="202"/>
      <c r="D381" s="202"/>
      <c r="E381" s="304"/>
      <c r="F381" s="211"/>
      <c r="G381" s="203"/>
      <c r="H381" s="203"/>
      <c r="I381" s="295"/>
      <c r="J381" s="264"/>
      <c r="K381" s="265"/>
      <c r="L381" s="266"/>
      <c r="M381" s="266"/>
      <c r="N381" s="266"/>
      <c r="O381" s="266"/>
      <c r="P381" s="266"/>
      <c r="Q381" s="266"/>
      <c r="R381" s="266"/>
    </row>
    <row r="382" spans="1:18" ht="30" customHeight="1">
      <c r="A382" s="204" t="str">
        <f>IF(ISBLANK(D382)," ",271-COUNTBLANK($D$6:D382))</f>
        <v xml:space="preserve"> </v>
      </c>
      <c r="B382" s="202"/>
      <c r="C382" s="202"/>
      <c r="D382" s="202"/>
      <c r="E382" s="304"/>
      <c r="F382" s="211"/>
      <c r="G382" s="203"/>
      <c r="H382" s="203"/>
      <c r="I382" s="295"/>
      <c r="J382" s="264"/>
      <c r="K382" s="267"/>
      <c r="L382" s="266"/>
      <c r="M382" s="266"/>
      <c r="N382" s="266"/>
      <c r="O382" s="266"/>
      <c r="P382" s="266"/>
      <c r="Q382" s="266"/>
      <c r="R382" s="268"/>
    </row>
    <row r="383" spans="1:18" ht="30" customHeight="1">
      <c r="A383" s="204" t="str">
        <f>IF(ISBLANK(D383)," ",272-COUNTBLANK($D$6:D383))</f>
        <v xml:space="preserve"> </v>
      </c>
      <c r="B383" s="202"/>
      <c r="C383" s="202"/>
      <c r="D383" s="202"/>
      <c r="E383" s="304"/>
      <c r="F383" s="211"/>
      <c r="G383" s="203"/>
      <c r="H383" s="203"/>
      <c r="I383" s="295"/>
      <c r="J383" s="264"/>
      <c r="K383" s="267"/>
      <c r="L383" s="266"/>
      <c r="M383" s="266"/>
      <c r="N383" s="266"/>
      <c r="O383" s="266"/>
      <c r="P383" s="266"/>
      <c r="Q383" s="266"/>
      <c r="R383" s="268"/>
    </row>
    <row r="384" spans="1:18" ht="30" customHeight="1">
      <c r="A384" s="204" t="s">
        <v>58</v>
      </c>
      <c r="B384" s="202"/>
      <c r="C384" s="202"/>
      <c r="D384" s="202"/>
      <c r="E384" s="304"/>
      <c r="F384" s="211">
        <f>SUM(F364:F383)</f>
        <v>0</v>
      </c>
      <c r="G384" s="203"/>
      <c r="H384" s="203"/>
      <c r="I384" s="295"/>
      <c r="J384" s="264"/>
      <c r="K384" s="267"/>
      <c r="L384" s="266"/>
      <c r="M384" s="266"/>
      <c r="N384" s="266"/>
      <c r="O384" s="266"/>
      <c r="P384" s="266"/>
      <c r="Q384" s="266"/>
      <c r="R384" s="268"/>
    </row>
    <row r="385" spans="1:21" ht="30" customHeight="1">
      <c r="A385" s="204" t="str">
        <f>IF(ISBLANK(D385)," ",274-COUNTBLANK($D$6:D385))</f>
        <v xml:space="preserve"> </v>
      </c>
      <c r="B385" s="202"/>
      <c r="C385" s="202"/>
      <c r="D385" s="202"/>
      <c r="E385" s="304"/>
      <c r="F385" s="211"/>
      <c r="G385" s="203"/>
      <c r="H385" s="203"/>
      <c r="I385" s="295"/>
      <c r="J385" s="264"/>
      <c r="K385" s="267"/>
      <c r="L385" s="266"/>
      <c r="M385" s="266"/>
      <c r="N385" s="266"/>
      <c r="O385" s="266"/>
      <c r="P385" s="266"/>
      <c r="Q385" s="266"/>
      <c r="R385" s="268"/>
    </row>
    <row r="386" spans="1:21" ht="30" customHeight="1">
      <c r="A386" s="308" t="str">
        <f>IF(ISBLANK(D386)," ",275-COUNTBLANK($D$6:D386))</f>
        <v xml:space="preserve"> </v>
      </c>
      <c r="B386" s="300"/>
      <c r="C386" s="309"/>
      <c r="D386" s="310"/>
      <c r="E386" s="301"/>
      <c r="F386" s="302"/>
      <c r="G386" s="286"/>
      <c r="H386" s="286"/>
      <c r="I386" s="307"/>
      <c r="J386" s="264"/>
      <c r="K386" s="265"/>
      <c r="L386" s="266"/>
      <c r="M386" s="266"/>
      <c r="N386" s="266"/>
      <c r="O386" s="266"/>
      <c r="P386" s="266"/>
      <c r="Q386" s="266"/>
      <c r="R386" s="288"/>
      <c r="S386" s="266"/>
      <c r="T386" s="266"/>
      <c r="U386" s="266"/>
    </row>
    <row r="387" spans="1:21" ht="30" customHeight="1">
      <c r="A387" s="261" t="str">
        <f>IF(ISBLANK(D387)," ",276-COUNTBLANK($D$6:D387))</f>
        <v xml:space="preserve"> </v>
      </c>
      <c r="B387" s="200"/>
      <c r="C387" s="200"/>
      <c r="D387" s="200"/>
      <c r="E387" s="303"/>
      <c r="F387" s="210"/>
      <c r="G387" s="201"/>
      <c r="H387" s="201"/>
      <c r="I387" s="295"/>
      <c r="J387" s="264"/>
      <c r="K387" s="267"/>
      <c r="L387" s="266"/>
      <c r="M387" s="266"/>
      <c r="N387" s="266"/>
      <c r="O387" s="266"/>
      <c r="P387" s="266"/>
      <c r="Q387" s="266"/>
      <c r="R387" s="288"/>
      <c r="S387" s="266"/>
      <c r="T387" s="266"/>
      <c r="U387" s="266"/>
    </row>
    <row r="388" spans="1:21" ht="30" customHeight="1">
      <c r="A388" s="204" t="str">
        <f>IF(ISBLANK(D388)," ",277-COUNTBLANK($D$6:D388))</f>
        <v xml:space="preserve"> </v>
      </c>
      <c r="B388" s="202"/>
      <c r="C388" s="202"/>
      <c r="D388" s="202"/>
      <c r="E388" s="304"/>
      <c r="F388" s="211"/>
      <c r="G388" s="203"/>
      <c r="H388" s="203"/>
      <c r="I388" s="295"/>
      <c r="J388" s="264"/>
      <c r="K388" s="265"/>
      <c r="L388" s="266"/>
      <c r="M388" s="266"/>
      <c r="N388" s="266"/>
      <c r="O388" s="266"/>
      <c r="P388" s="266"/>
      <c r="Q388" s="266"/>
      <c r="R388" s="266"/>
    </row>
    <row r="389" spans="1:21" ht="30" customHeight="1">
      <c r="A389" s="204" t="str">
        <f>IF(ISBLANK(D389)," ",278-COUNTBLANK($D$6:D389))</f>
        <v xml:space="preserve"> </v>
      </c>
      <c r="B389" s="202"/>
      <c r="C389" s="202"/>
      <c r="D389" s="202"/>
      <c r="E389" s="304"/>
      <c r="F389" s="211"/>
      <c r="G389" s="203"/>
      <c r="H389" s="203"/>
      <c r="I389" s="295"/>
      <c r="J389" s="264"/>
      <c r="K389" s="265"/>
      <c r="L389" s="266"/>
      <c r="M389" s="266"/>
      <c r="N389" s="266"/>
      <c r="O389" s="266"/>
      <c r="P389" s="266"/>
      <c r="Q389" s="266"/>
      <c r="R389" s="266"/>
    </row>
    <row r="390" spans="1:21" ht="30" customHeight="1">
      <c r="A390" s="204" t="str">
        <f>IF(ISBLANK(D390)," ",279-COUNTBLANK($D$6:D390))</f>
        <v xml:space="preserve"> </v>
      </c>
      <c r="B390" s="202"/>
      <c r="C390" s="202"/>
      <c r="D390" s="202"/>
      <c r="E390" s="304"/>
      <c r="F390" s="211"/>
      <c r="G390" s="203"/>
      <c r="H390" s="203"/>
      <c r="I390" s="295"/>
      <c r="J390" s="264"/>
      <c r="K390" s="265"/>
      <c r="L390" s="266"/>
      <c r="M390" s="266"/>
      <c r="N390" s="266"/>
      <c r="O390" s="266"/>
      <c r="P390" s="266"/>
      <c r="Q390" s="266"/>
      <c r="R390" s="266"/>
    </row>
    <row r="391" spans="1:21" ht="30" customHeight="1">
      <c r="A391" s="204" t="str">
        <f>IF(ISBLANK(D391)," ",280-COUNTBLANK($D$6:D391))</f>
        <v xml:space="preserve"> </v>
      </c>
      <c r="B391" s="202"/>
      <c r="C391" s="202"/>
      <c r="D391" s="202"/>
      <c r="E391" s="304"/>
      <c r="F391" s="211"/>
      <c r="G391" s="203"/>
      <c r="H391" s="203"/>
      <c r="I391" s="295"/>
      <c r="J391" s="264"/>
      <c r="K391" s="265"/>
      <c r="L391" s="266"/>
      <c r="M391" s="266"/>
      <c r="N391" s="266"/>
      <c r="O391" s="266"/>
      <c r="P391" s="266"/>
      <c r="Q391" s="266"/>
      <c r="R391" s="266"/>
    </row>
    <row r="392" spans="1:21" ht="30" customHeight="1">
      <c r="A392" s="204" t="str">
        <f>IF(ISBLANK(D392)," ",281-COUNTBLANK($D$6:D392))</f>
        <v xml:space="preserve"> </v>
      </c>
      <c r="B392" s="202"/>
      <c r="C392" s="202"/>
      <c r="D392" s="202"/>
      <c r="E392" s="304"/>
      <c r="F392" s="211"/>
      <c r="G392" s="203"/>
      <c r="H392" s="203"/>
      <c r="I392" s="295"/>
      <c r="J392" s="264"/>
      <c r="K392" s="265"/>
      <c r="L392" s="266"/>
      <c r="M392" s="266"/>
      <c r="N392" s="266"/>
      <c r="O392" s="266"/>
      <c r="P392" s="266"/>
      <c r="Q392" s="266"/>
      <c r="R392" s="266"/>
    </row>
    <row r="393" spans="1:21" ht="30" customHeight="1">
      <c r="A393" s="204" t="str">
        <f>IF(ISBLANK(D393)," ",282-COUNTBLANK($D$6:D393))</f>
        <v xml:space="preserve"> </v>
      </c>
      <c r="B393" s="202"/>
      <c r="C393" s="202"/>
      <c r="D393" s="202"/>
      <c r="E393" s="304"/>
      <c r="F393" s="211"/>
      <c r="G393" s="203"/>
      <c r="H393" s="203"/>
      <c r="I393" s="295"/>
      <c r="J393" s="264"/>
      <c r="K393" s="265"/>
      <c r="L393" s="266"/>
      <c r="M393" s="266"/>
      <c r="N393" s="266"/>
      <c r="O393" s="266"/>
      <c r="P393" s="266"/>
      <c r="Q393" s="266"/>
      <c r="R393" s="266"/>
    </row>
    <row r="394" spans="1:21" ht="30" customHeight="1">
      <c r="A394" s="204" t="str">
        <f>IF(ISBLANK(D394)," ",283-COUNTBLANK($D$6:D394))</f>
        <v xml:space="preserve"> </v>
      </c>
      <c r="B394" s="202"/>
      <c r="C394" s="202"/>
      <c r="D394" s="202"/>
      <c r="E394" s="304"/>
      <c r="F394" s="211"/>
      <c r="G394" s="203"/>
      <c r="H394" s="203"/>
      <c r="I394" s="295"/>
      <c r="J394" s="264"/>
      <c r="K394" s="265"/>
      <c r="L394" s="266"/>
      <c r="M394" s="266"/>
      <c r="N394" s="266"/>
      <c r="O394" s="266"/>
      <c r="P394" s="266"/>
      <c r="Q394" s="266"/>
      <c r="R394" s="266"/>
    </row>
    <row r="395" spans="1:21" ht="30" customHeight="1">
      <c r="A395" s="204" t="str">
        <f>IF(ISBLANK(D395)," ",284-COUNTBLANK($D$6:D395))</f>
        <v xml:space="preserve"> </v>
      </c>
      <c r="B395" s="202"/>
      <c r="C395" s="202"/>
      <c r="D395" s="202"/>
      <c r="E395" s="304"/>
      <c r="F395" s="211"/>
      <c r="G395" s="203"/>
      <c r="H395" s="203"/>
      <c r="I395" s="295"/>
      <c r="J395" s="264"/>
      <c r="K395" s="265"/>
      <c r="L395" s="266"/>
      <c r="M395" s="266"/>
      <c r="N395" s="266"/>
      <c r="O395" s="266"/>
      <c r="P395" s="266"/>
      <c r="Q395" s="266"/>
      <c r="R395" s="266"/>
    </row>
    <row r="396" spans="1:21" ht="30" customHeight="1">
      <c r="A396" s="204" t="str">
        <f>IF(ISBLANK(D396)," ",285-COUNTBLANK($D$6:D396))</f>
        <v xml:space="preserve"> </v>
      </c>
      <c r="B396" s="202"/>
      <c r="C396" s="202"/>
      <c r="D396" s="202"/>
      <c r="E396" s="304"/>
      <c r="F396" s="211"/>
      <c r="G396" s="203"/>
      <c r="H396" s="203"/>
      <c r="I396" s="295"/>
      <c r="J396" s="264"/>
      <c r="K396" s="265"/>
      <c r="L396" s="266"/>
      <c r="M396" s="266"/>
      <c r="N396" s="266"/>
      <c r="O396" s="266"/>
      <c r="P396" s="266"/>
      <c r="Q396" s="266"/>
      <c r="R396" s="266"/>
    </row>
    <row r="397" spans="1:21" ht="30" customHeight="1">
      <c r="A397" s="204" t="str">
        <f>IF(ISBLANK(D397)," ",286-COUNTBLANK($D$6:D397))</f>
        <v xml:space="preserve"> </v>
      </c>
      <c r="B397" s="202"/>
      <c r="C397" s="202"/>
      <c r="D397" s="202"/>
      <c r="E397" s="304"/>
      <c r="F397" s="211"/>
      <c r="G397" s="203"/>
      <c r="H397" s="203"/>
      <c r="I397" s="295"/>
      <c r="J397" s="264"/>
      <c r="K397" s="265"/>
      <c r="L397" s="266"/>
      <c r="M397" s="266"/>
      <c r="N397" s="266"/>
      <c r="O397" s="266"/>
      <c r="P397" s="266"/>
      <c r="Q397" s="266"/>
      <c r="R397" s="266"/>
    </row>
    <row r="398" spans="1:21" ht="30" customHeight="1">
      <c r="A398" s="204" t="str">
        <f>IF(ISBLANK(D398)," ",287-COUNTBLANK($D$6:D398))</f>
        <v xml:space="preserve"> </v>
      </c>
      <c r="B398" s="202"/>
      <c r="C398" s="202"/>
      <c r="D398" s="202"/>
      <c r="E398" s="304"/>
      <c r="F398" s="211"/>
      <c r="G398" s="203"/>
      <c r="H398" s="203"/>
      <c r="I398" s="295"/>
      <c r="J398" s="264"/>
      <c r="K398" s="265"/>
      <c r="L398" s="266"/>
      <c r="M398" s="266"/>
      <c r="N398" s="266"/>
      <c r="O398" s="266"/>
      <c r="P398" s="266"/>
      <c r="Q398" s="266"/>
      <c r="R398" s="266"/>
    </row>
    <row r="399" spans="1:21" ht="30" customHeight="1">
      <c r="A399" s="204" t="str">
        <f>IF(ISBLANK(D399)," ",288-COUNTBLANK($D$6:D399))</f>
        <v xml:space="preserve"> </v>
      </c>
      <c r="B399" s="202"/>
      <c r="C399" s="202"/>
      <c r="D399" s="202"/>
      <c r="E399" s="304"/>
      <c r="F399" s="211"/>
      <c r="G399" s="203"/>
      <c r="H399" s="203"/>
      <c r="I399" s="295"/>
      <c r="J399" s="264"/>
      <c r="K399" s="265"/>
      <c r="L399" s="266"/>
      <c r="M399" s="266"/>
      <c r="N399" s="266"/>
      <c r="O399" s="266"/>
      <c r="P399" s="266"/>
      <c r="Q399" s="266"/>
      <c r="R399" s="266"/>
    </row>
    <row r="400" spans="1:21" ht="30" customHeight="1">
      <c r="A400" s="204" t="str">
        <f>IF(ISBLANK(D400)," ",289-COUNTBLANK($D$6:D400))</f>
        <v xml:space="preserve"> </v>
      </c>
      <c r="B400" s="202"/>
      <c r="C400" s="202"/>
      <c r="D400" s="202"/>
      <c r="E400" s="304"/>
      <c r="F400" s="211"/>
      <c r="G400" s="203"/>
      <c r="H400" s="203"/>
      <c r="I400" s="295"/>
      <c r="J400" s="264"/>
      <c r="K400" s="265"/>
      <c r="L400" s="266"/>
      <c r="M400" s="266"/>
      <c r="N400" s="266"/>
      <c r="O400" s="266"/>
      <c r="P400" s="266"/>
      <c r="Q400" s="266"/>
      <c r="R400" s="266"/>
    </row>
    <row r="401" spans="1:21" ht="30" customHeight="1">
      <c r="A401" s="204" t="str">
        <f>IF(ISBLANK(D401)," ",290-COUNTBLANK($D$6:D401))</f>
        <v xml:space="preserve"> </v>
      </c>
      <c r="B401" s="202"/>
      <c r="C401" s="202"/>
      <c r="D401" s="202"/>
      <c r="E401" s="304"/>
      <c r="F401" s="211"/>
      <c r="G401" s="203"/>
      <c r="H401" s="203"/>
      <c r="I401" s="295"/>
      <c r="J401" s="264"/>
      <c r="K401" s="265"/>
      <c r="L401" s="266"/>
      <c r="M401" s="266"/>
      <c r="N401" s="266"/>
      <c r="O401" s="266"/>
      <c r="P401" s="266"/>
      <c r="Q401" s="266"/>
      <c r="R401" s="266"/>
    </row>
    <row r="402" spans="1:21" ht="30" customHeight="1">
      <c r="A402" s="204" t="str">
        <f>IF(ISBLANK(D402)," ",291-COUNTBLANK($D$6:D402))</f>
        <v xml:space="preserve"> </v>
      </c>
      <c r="B402" s="202"/>
      <c r="C402" s="202"/>
      <c r="D402" s="202"/>
      <c r="E402" s="304"/>
      <c r="F402" s="211"/>
      <c r="G402" s="203"/>
      <c r="H402" s="203"/>
      <c r="I402" s="295"/>
      <c r="J402" s="264"/>
      <c r="K402" s="265"/>
      <c r="L402" s="266"/>
      <c r="M402" s="266"/>
      <c r="N402" s="266"/>
      <c r="O402" s="266"/>
      <c r="P402" s="266"/>
      <c r="Q402" s="266"/>
      <c r="R402" s="266"/>
    </row>
    <row r="403" spans="1:21" ht="30" customHeight="1">
      <c r="A403" s="204" t="str">
        <f>IF(ISBLANK(D403)," ",292-COUNTBLANK($D$6:D403))</f>
        <v xml:space="preserve"> </v>
      </c>
      <c r="B403" s="202"/>
      <c r="C403" s="202"/>
      <c r="D403" s="202"/>
      <c r="E403" s="304"/>
      <c r="F403" s="211"/>
      <c r="G403" s="203"/>
      <c r="H403" s="203"/>
      <c r="I403" s="295"/>
      <c r="J403" s="264"/>
      <c r="K403" s="267"/>
      <c r="L403" s="266"/>
      <c r="M403" s="266"/>
      <c r="N403" s="266"/>
      <c r="O403" s="266"/>
      <c r="P403" s="266"/>
      <c r="Q403" s="266"/>
      <c r="R403" s="268"/>
    </row>
    <row r="404" spans="1:21" ht="30" customHeight="1">
      <c r="A404" s="204" t="str">
        <f>IF(ISBLANK(D404)," ",293-COUNTBLANK($D$6:D404))</f>
        <v xml:space="preserve"> </v>
      </c>
      <c r="B404" s="202"/>
      <c r="C404" s="202"/>
      <c r="D404" s="202"/>
      <c r="E404" s="304"/>
      <c r="F404" s="211"/>
      <c r="G404" s="203"/>
      <c r="H404" s="203"/>
      <c r="I404" s="295"/>
      <c r="J404" s="264"/>
      <c r="K404" s="267"/>
      <c r="L404" s="266"/>
      <c r="M404" s="266"/>
      <c r="N404" s="266"/>
      <c r="O404" s="266"/>
      <c r="P404" s="266"/>
      <c r="Q404" s="266"/>
      <c r="R404" s="268"/>
    </row>
    <row r="405" spans="1:21" ht="30" customHeight="1">
      <c r="A405" s="204" t="s">
        <v>58</v>
      </c>
      <c r="B405" s="202"/>
      <c r="C405" s="202"/>
      <c r="D405" s="202"/>
      <c r="E405" s="304"/>
      <c r="F405" s="211">
        <f>SUM(F385:F404)</f>
        <v>0</v>
      </c>
      <c r="G405" s="203"/>
      <c r="H405" s="203"/>
      <c r="I405" s="295"/>
      <c r="J405" s="264"/>
      <c r="K405" s="267"/>
      <c r="L405" s="266"/>
      <c r="M405" s="266"/>
      <c r="N405" s="266"/>
      <c r="O405" s="266"/>
      <c r="P405" s="266"/>
      <c r="Q405" s="266"/>
      <c r="R405" s="268"/>
    </row>
    <row r="406" spans="1:21" ht="30" customHeight="1">
      <c r="A406" s="204" t="str">
        <f>IF(ISBLANK(D406)," ",295-COUNTBLANK($D$6:D406))</f>
        <v xml:space="preserve"> </v>
      </c>
      <c r="B406" s="202"/>
      <c r="C406" s="202"/>
      <c r="D406" s="202"/>
      <c r="E406" s="304"/>
      <c r="F406" s="211"/>
      <c r="G406" s="203"/>
      <c r="H406" s="203"/>
      <c r="I406" s="295"/>
      <c r="J406" s="264"/>
      <c r="K406" s="267"/>
      <c r="L406" s="266"/>
      <c r="M406" s="266"/>
      <c r="N406" s="266"/>
      <c r="O406" s="266"/>
      <c r="P406" s="266"/>
      <c r="Q406" s="266"/>
      <c r="R406" s="268"/>
    </row>
    <row r="407" spans="1:21" ht="30" customHeight="1">
      <c r="A407" s="308" t="str">
        <f>IF(ISBLANK(D407)," ",296-COUNTBLANK($D$6:D407))</f>
        <v xml:space="preserve"> </v>
      </c>
      <c r="B407" s="300"/>
      <c r="C407" s="309"/>
      <c r="D407" s="310"/>
      <c r="E407" s="301"/>
      <c r="F407" s="302"/>
      <c r="G407" s="286"/>
      <c r="H407" s="286"/>
      <c r="I407" s="307"/>
      <c r="J407" s="264"/>
      <c r="K407" s="265"/>
      <c r="L407" s="266"/>
      <c r="M407" s="266"/>
      <c r="N407" s="266"/>
      <c r="O407" s="266"/>
      <c r="P407" s="266"/>
      <c r="Q407" s="266"/>
      <c r="R407" s="288"/>
      <c r="S407" s="266"/>
      <c r="T407" s="266"/>
      <c r="U407" s="266"/>
    </row>
    <row r="408" spans="1:21" ht="30" customHeight="1">
      <c r="A408" s="261" t="str">
        <f>IF(ISBLANK(D408)," ",297-COUNTBLANK($D$6:D408))</f>
        <v xml:space="preserve"> </v>
      </c>
      <c r="B408" s="200"/>
      <c r="C408" s="200"/>
      <c r="D408" s="200"/>
      <c r="E408" s="303"/>
      <c r="F408" s="210"/>
      <c r="G408" s="201"/>
      <c r="H408" s="201"/>
      <c r="I408" s="295"/>
      <c r="J408" s="264"/>
      <c r="K408" s="267"/>
      <c r="L408" s="266"/>
      <c r="M408" s="266"/>
      <c r="N408" s="266"/>
      <c r="O408" s="266"/>
      <c r="P408" s="266"/>
      <c r="Q408" s="266"/>
      <c r="R408" s="288"/>
      <c r="S408" s="266"/>
      <c r="T408" s="266"/>
      <c r="U408" s="266"/>
    </row>
    <row r="409" spans="1:21" ht="30" customHeight="1">
      <c r="A409" s="204" t="str">
        <f>IF(ISBLANK(D409)," ",298-COUNTBLANK($D$6:D409))</f>
        <v xml:space="preserve"> </v>
      </c>
      <c r="B409" s="202"/>
      <c r="C409" s="202"/>
      <c r="D409" s="202"/>
      <c r="E409" s="304"/>
      <c r="F409" s="211"/>
      <c r="G409" s="203"/>
      <c r="H409" s="203"/>
      <c r="I409" s="295"/>
      <c r="J409" s="264"/>
      <c r="K409" s="265"/>
      <c r="L409" s="266"/>
      <c r="M409" s="266"/>
      <c r="N409" s="266"/>
      <c r="O409" s="266"/>
      <c r="P409" s="266"/>
      <c r="Q409" s="266"/>
      <c r="R409" s="266"/>
    </row>
    <row r="410" spans="1:21" ht="30" customHeight="1">
      <c r="A410" s="204" t="str">
        <f>IF(ISBLANK(D410)," ",299-COUNTBLANK($D$6:D410))</f>
        <v xml:space="preserve"> </v>
      </c>
      <c r="B410" s="202"/>
      <c r="C410" s="202"/>
      <c r="D410" s="202"/>
      <c r="E410" s="304"/>
      <c r="F410" s="211"/>
      <c r="G410" s="203"/>
      <c r="H410" s="203"/>
      <c r="I410" s="295"/>
      <c r="J410" s="264"/>
      <c r="K410" s="265"/>
      <c r="L410" s="266"/>
      <c r="M410" s="266"/>
      <c r="N410" s="266"/>
      <c r="O410" s="266"/>
      <c r="P410" s="266"/>
      <c r="Q410" s="266"/>
      <c r="R410" s="266"/>
    </row>
    <row r="411" spans="1:21" ht="30" customHeight="1">
      <c r="A411" s="204" t="str">
        <f>IF(ISBLANK(D411)," ",300-COUNTBLANK($D$6:D411))</f>
        <v xml:space="preserve"> </v>
      </c>
      <c r="B411" s="202"/>
      <c r="C411" s="202"/>
      <c r="D411" s="202"/>
      <c r="E411" s="304"/>
      <c r="F411" s="211"/>
      <c r="G411" s="203"/>
      <c r="H411" s="203"/>
      <c r="I411" s="295"/>
      <c r="J411" s="264"/>
      <c r="K411" s="265"/>
      <c r="L411" s="266"/>
      <c r="M411" s="266"/>
      <c r="N411" s="266"/>
      <c r="O411" s="266"/>
      <c r="P411" s="266"/>
      <c r="Q411" s="266"/>
      <c r="R411" s="266"/>
    </row>
    <row r="412" spans="1:21" ht="30" customHeight="1">
      <c r="A412" s="204" t="str">
        <f>IF(ISBLANK(D412)," ",301-COUNTBLANK($D$6:D412))</f>
        <v xml:space="preserve"> </v>
      </c>
      <c r="B412" s="202"/>
      <c r="C412" s="202"/>
      <c r="D412" s="202"/>
      <c r="E412" s="304"/>
      <c r="F412" s="211"/>
      <c r="G412" s="203"/>
      <c r="H412" s="203"/>
      <c r="I412" s="295"/>
      <c r="J412" s="264"/>
      <c r="K412" s="265"/>
      <c r="L412" s="266"/>
      <c r="M412" s="266"/>
      <c r="N412" s="266"/>
      <c r="O412" s="266"/>
      <c r="P412" s="266"/>
      <c r="Q412" s="266"/>
      <c r="R412" s="266"/>
    </row>
    <row r="413" spans="1:21" ht="30" customHeight="1">
      <c r="A413" s="204" t="str">
        <f>IF(ISBLANK(D413)," ",302-COUNTBLANK($D$6:D413))</f>
        <v xml:space="preserve"> </v>
      </c>
      <c r="B413" s="202"/>
      <c r="C413" s="202"/>
      <c r="D413" s="202"/>
      <c r="E413" s="304"/>
      <c r="F413" s="211"/>
      <c r="G413" s="203"/>
      <c r="H413" s="203"/>
      <c r="I413" s="295"/>
      <c r="J413" s="264"/>
      <c r="K413" s="265"/>
      <c r="L413" s="266"/>
      <c r="M413" s="266"/>
      <c r="N413" s="266"/>
      <c r="O413" s="266"/>
      <c r="P413" s="266"/>
      <c r="Q413" s="266"/>
      <c r="R413" s="266"/>
    </row>
    <row r="414" spans="1:21" ht="30" customHeight="1">
      <c r="A414" s="204" t="str">
        <f>IF(ISBLANK(D414)," ",303-COUNTBLANK($D$6:D414))</f>
        <v xml:space="preserve"> </v>
      </c>
      <c r="B414" s="202"/>
      <c r="C414" s="202"/>
      <c r="D414" s="202"/>
      <c r="E414" s="304"/>
      <c r="F414" s="211"/>
      <c r="G414" s="203"/>
      <c r="H414" s="203"/>
      <c r="I414" s="295"/>
      <c r="J414" s="264"/>
      <c r="K414" s="265"/>
      <c r="L414" s="266"/>
      <c r="M414" s="266"/>
      <c r="N414" s="266"/>
      <c r="O414" s="266"/>
      <c r="P414" s="266"/>
      <c r="Q414" s="266"/>
      <c r="R414" s="266"/>
    </row>
    <row r="415" spans="1:21" ht="30" customHeight="1">
      <c r="A415" s="204" t="str">
        <f>IF(ISBLANK(D415)," ",304-COUNTBLANK($D$6:D415))</f>
        <v xml:space="preserve"> </v>
      </c>
      <c r="B415" s="202"/>
      <c r="C415" s="202"/>
      <c r="D415" s="202"/>
      <c r="E415" s="304"/>
      <c r="F415" s="211"/>
      <c r="G415" s="203"/>
      <c r="H415" s="203"/>
      <c r="I415" s="295"/>
      <c r="J415" s="264"/>
      <c r="K415" s="265"/>
      <c r="L415" s="266"/>
      <c r="M415" s="266"/>
      <c r="N415" s="266"/>
      <c r="O415" s="266"/>
      <c r="P415" s="266"/>
      <c r="Q415" s="266"/>
      <c r="R415" s="266"/>
    </row>
    <row r="416" spans="1:21" ht="30" customHeight="1">
      <c r="A416" s="204" t="str">
        <f>IF(ISBLANK(D416)," ",305-COUNTBLANK($D$6:D416))</f>
        <v xml:space="preserve"> </v>
      </c>
      <c r="B416" s="202"/>
      <c r="C416" s="202"/>
      <c r="D416" s="202"/>
      <c r="E416" s="304"/>
      <c r="F416" s="211"/>
      <c r="G416" s="203"/>
      <c r="H416" s="203"/>
      <c r="I416" s="295"/>
      <c r="J416" s="264"/>
      <c r="K416" s="265"/>
      <c r="L416" s="266"/>
      <c r="M416" s="266"/>
      <c r="N416" s="266"/>
      <c r="O416" s="266"/>
      <c r="P416" s="266"/>
      <c r="Q416" s="266"/>
      <c r="R416" s="266"/>
    </row>
    <row r="417" spans="1:21" ht="30" customHeight="1">
      <c r="A417" s="204" t="str">
        <f>IF(ISBLANK(D417)," ",306-COUNTBLANK($D$6:D417))</f>
        <v xml:space="preserve"> </v>
      </c>
      <c r="B417" s="202"/>
      <c r="C417" s="202"/>
      <c r="D417" s="202"/>
      <c r="E417" s="304"/>
      <c r="F417" s="211"/>
      <c r="G417" s="203"/>
      <c r="H417" s="203"/>
      <c r="I417" s="295"/>
      <c r="J417" s="264"/>
      <c r="K417" s="265"/>
      <c r="L417" s="266"/>
      <c r="M417" s="266"/>
      <c r="N417" s="266"/>
      <c r="O417" s="266"/>
      <c r="P417" s="266"/>
      <c r="Q417" s="266"/>
      <c r="R417" s="266"/>
    </row>
    <row r="418" spans="1:21" ht="30" customHeight="1">
      <c r="A418" s="204" t="str">
        <f>IF(ISBLANK(D418)," ",307-COUNTBLANK($D$6:D418))</f>
        <v xml:space="preserve"> </v>
      </c>
      <c r="B418" s="202"/>
      <c r="C418" s="202"/>
      <c r="D418" s="202"/>
      <c r="E418" s="304"/>
      <c r="F418" s="211"/>
      <c r="G418" s="203"/>
      <c r="H418" s="203"/>
      <c r="I418" s="295"/>
      <c r="J418" s="264"/>
      <c r="K418" s="265"/>
      <c r="L418" s="266"/>
      <c r="M418" s="266"/>
      <c r="N418" s="266"/>
      <c r="O418" s="266"/>
      <c r="P418" s="266"/>
      <c r="Q418" s="266"/>
      <c r="R418" s="266"/>
    </row>
    <row r="419" spans="1:21" ht="30" customHeight="1">
      <c r="A419" s="204" t="str">
        <f>IF(ISBLANK(D419)," ",308-COUNTBLANK($D$6:D419))</f>
        <v xml:space="preserve"> </v>
      </c>
      <c r="B419" s="202"/>
      <c r="C419" s="202"/>
      <c r="D419" s="202"/>
      <c r="E419" s="304"/>
      <c r="F419" s="211"/>
      <c r="G419" s="203"/>
      <c r="H419" s="203"/>
      <c r="I419" s="295"/>
      <c r="J419" s="264"/>
      <c r="K419" s="265"/>
      <c r="L419" s="266"/>
      <c r="M419" s="266"/>
      <c r="N419" s="266"/>
      <c r="O419" s="266"/>
      <c r="P419" s="266"/>
      <c r="Q419" s="266"/>
      <c r="R419" s="266"/>
    </row>
    <row r="420" spans="1:21" ht="30" customHeight="1">
      <c r="A420" s="204" t="str">
        <f>IF(ISBLANK(D420)," ",309-COUNTBLANK($D$6:D420))</f>
        <v xml:space="preserve"> </v>
      </c>
      <c r="B420" s="202"/>
      <c r="C420" s="202"/>
      <c r="D420" s="202"/>
      <c r="E420" s="304"/>
      <c r="F420" s="211"/>
      <c r="G420" s="203"/>
      <c r="H420" s="203"/>
      <c r="I420" s="295"/>
      <c r="J420" s="264"/>
      <c r="K420" s="265"/>
      <c r="L420" s="266"/>
      <c r="M420" s="266"/>
      <c r="N420" s="266"/>
      <c r="O420" s="266"/>
      <c r="P420" s="266"/>
      <c r="Q420" s="266"/>
      <c r="R420" s="266"/>
    </row>
    <row r="421" spans="1:21" ht="30" customHeight="1">
      <c r="A421" s="204" t="str">
        <f>IF(ISBLANK(D421)," ",310-COUNTBLANK($D$6:D421))</f>
        <v xml:space="preserve"> </v>
      </c>
      <c r="B421" s="202"/>
      <c r="C421" s="202"/>
      <c r="D421" s="202"/>
      <c r="E421" s="304"/>
      <c r="F421" s="211"/>
      <c r="G421" s="203"/>
      <c r="H421" s="203"/>
      <c r="I421" s="295"/>
      <c r="J421" s="264"/>
      <c r="K421" s="265"/>
      <c r="L421" s="266"/>
      <c r="M421" s="266"/>
      <c r="N421" s="266"/>
      <c r="O421" s="266"/>
      <c r="P421" s="266"/>
      <c r="Q421" s="266"/>
      <c r="R421" s="266"/>
    </row>
    <row r="422" spans="1:21" ht="30" customHeight="1">
      <c r="A422" s="204" t="str">
        <f>IF(ISBLANK(D422)," ",311-COUNTBLANK($D$6:D422))</f>
        <v xml:space="preserve"> </v>
      </c>
      <c r="B422" s="202"/>
      <c r="C422" s="202"/>
      <c r="D422" s="202"/>
      <c r="E422" s="304"/>
      <c r="F422" s="211"/>
      <c r="G422" s="203"/>
      <c r="H422" s="203"/>
      <c r="I422" s="295"/>
      <c r="J422" s="264"/>
      <c r="K422" s="265"/>
      <c r="L422" s="266"/>
      <c r="M422" s="266"/>
      <c r="N422" s="266"/>
      <c r="O422" s="266"/>
      <c r="P422" s="266"/>
      <c r="Q422" s="266"/>
      <c r="R422" s="266"/>
    </row>
    <row r="423" spans="1:21" ht="27.75" customHeight="1">
      <c r="A423" s="204" t="str">
        <f>IF(ISBLANK(D423)," ",312-COUNTBLANK($D$6:D423))</f>
        <v xml:space="preserve"> </v>
      </c>
      <c r="B423" s="202"/>
      <c r="C423" s="202"/>
      <c r="D423" s="202"/>
      <c r="E423" s="304"/>
      <c r="F423" s="211"/>
      <c r="G423" s="203"/>
      <c r="H423" s="203"/>
      <c r="I423" s="295"/>
      <c r="J423" s="264"/>
      <c r="K423" s="265"/>
      <c r="L423" s="266"/>
      <c r="M423" s="266"/>
      <c r="N423" s="266"/>
      <c r="O423" s="266"/>
      <c r="P423" s="266"/>
      <c r="Q423" s="266"/>
      <c r="R423" s="266"/>
    </row>
    <row r="424" spans="1:21" ht="27.75" customHeight="1">
      <c r="A424" s="204" t="str">
        <f>IF(ISBLANK(D424)," ",313-COUNTBLANK($D$6:D424))</f>
        <v xml:space="preserve"> </v>
      </c>
      <c r="B424" s="202"/>
      <c r="C424" s="202"/>
      <c r="D424" s="202"/>
      <c r="E424" s="304"/>
      <c r="F424" s="211"/>
      <c r="G424" s="203"/>
      <c r="H424" s="203"/>
      <c r="I424" s="295"/>
      <c r="J424" s="264"/>
      <c r="K424" s="267"/>
      <c r="L424" s="266"/>
      <c r="M424" s="266"/>
      <c r="N424" s="266"/>
      <c r="O424" s="266"/>
      <c r="P424" s="266"/>
      <c r="Q424" s="266"/>
      <c r="R424" s="268"/>
    </row>
    <row r="425" spans="1:21" ht="27.75" customHeight="1">
      <c r="A425" s="204" t="str">
        <f>IF(ISBLANK(D425)," ",314-COUNTBLANK($D$6:D425))</f>
        <v xml:space="preserve"> </v>
      </c>
      <c r="B425" s="202"/>
      <c r="C425" s="202"/>
      <c r="D425" s="202"/>
      <c r="E425" s="304"/>
      <c r="F425" s="211"/>
      <c r="G425" s="203"/>
      <c r="H425" s="203"/>
      <c r="I425" s="295"/>
      <c r="J425" s="264"/>
      <c r="K425" s="267"/>
      <c r="L425" s="266"/>
      <c r="M425" s="266"/>
      <c r="N425" s="266"/>
      <c r="O425" s="266"/>
      <c r="P425" s="266"/>
      <c r="Q425" s="266"/>
      <c r="R425" s="268"/>
    </row>
    <row r="426" spans="1:21" ht="27.75" customHeight="1">
      <c r="A426" s="204" t="s">
        <v>58</v>
      </c>
      <c r="B426" s="202"/>
      <c r="C426" s="202"/>
      <c r="D426" s="202"/>
      <c r="E426" s="304"/>
      <c r="F426" s="211">
        <f>SUM(F406:F425)</f>
        <v>0</v>
      </c>
      <c r="G426" s="203"/>
      <c r="H426" s="203"/>
      <c r="I426" s="295"/>
      <c r="J426" s="264"/>
      <c r="K426" s="267"/>
      <c r="L426" s="266"/>
      <c r="M426" s="266"/>
      <c r="N426" s="266"/>
      <c r="O426" s="266"/>
      <c r="P426" s="266"/>
      <c r="Q426" s="266"/>
      <c r="R426" s="268"/>
    </row>
    <row r="427" spans="1:21" ht="27.75" customHeight="1">
      <c r="A427" s="204" t="str">
        <f>IF(ISBLANK(D427)," ",316-COUNTBLANK($D$6:D427))</f>
        <v xml:space="preserve"> </v>
      </c>
      <c r="B427" s="202"/>
      <c r="C427" s="202"/>
      <c r="D427" s="202"/>
      <c r="E427" s="304"/>
      <c r="F427" s="211"/>
      <c r="G427" s="203"/>
      <c r="H427" s="203"/>
      <c r="I427" s="295"/>
      <c r="J427" s="264"/>
      <c r="K427" s="267"/>
      <c r="L427" s="266"/>
      <c r="M427" s="266"/>
      <c r="N427" s="266"/>
      <c r="O427" s="266"/>
      <c r="P427" s="266"/>
      <c r="Q427" s="266"/>
      <c r="R427" s="268"/>
    </row>
    <row r="428" spans="1:21" ht="27.75" customHeight="1">
      <c r="A428" s="308" t="str">
        <f>IF(ISBLANK(D428)," ",317-COUNTBLANK($D$6:D428))</f>
        <v xml:space="preserve"> </v>
      </c>
      <c r="B428" s="300"/>
      <c r="C428" s="309"/>
      <c r="D428" s="310"/>
      <c r="E428" s="301"/>
      <c r="F428" s="302"/>
      <c r="G428" s="286"/>
      <c r="H428" s="286"/>
      <c r="I428" s="307"/>
      <c r="J428" s="264"/>
      <c r="K428" s="265"/>
      <c r="L428" s="266"/>
      <c r="M428" s="266"/>
      <c r="N428" s="266"/>
      <c r="O428" s="266"/>
      <c r="P428" s="266"/>
      <c r="Q428" s="266"/>
      <c r="R428" s="288"/>
      <c r="S428" s="266"/>
      <c r="T428" s="266"/>
      <c r="U428" s="266"/>
    </row>
    <row r="429" spans="1:21" ht="27.75" customHeight="1">
      <c r="A429" s="261" t="str">
        <f>IF(ISBLANK(D429)," ",318-COUNTBLANK($D$6:D429))</f>
        <v xml:space="preserve"> </v>
      </c>
      <c r="B429" s="200"/>
      <c r="C429" s="200"/>
      <c r="D429" s="200"/>
      <c r="E429" s="303"/>
      <c r="F429" s="210"/>
      <c r="G429" s="201"/>
      <c r="H429" s="201"/>
      <c r="I429" s="295"/>
      <c r="J429" s="264"/>
      <c r="K429" s="267"/>
      <c r="L429" s="266"/>
      <c r="M429" s="266"/>
      <c r="N429" s="266"/>
      <c r="O429" s="266"/>
      <c r="P429" s="266"/>
      <c r="Q429" s="266"/>
      <c r="R429" s="288"/>
      <c r="S429" s="266"/>
      <c r="T429" s="266"/>
      <c r="U429" s="266"/>
    </row>
    <row r="430" spans="1:21" ht="27.75" customHeight="1">
      <c r="A430" s="204" t="str">
        <f>IF(ISBLANK(D430)," ",319-COUNTBLANK($D$6:D430))</f>
        <v xml:space="preserve"> </v>
      </c>
      <c r="B430" s="202"/>
      <c r="C430" s="202"/>
      <c r="D430" s="202"/>
      <c r="E430" s="304"/>
      <c r="F430" s="211"/>
      <c r="G430" s="203"/>
      <c r="H430" s="203"/>
      <c r="I430" s="295"/>
      <c r="J430" s="264"/>
      <c r="K430" s="265"/>
      <c r="L430" s="266"/>
      <c r="M430" s="266"/>
      <c r="N430" s="266"/>
      <c r="O430" s="266"/>
      <c r="P430" s="266"/>
      <c r="Q430" s="266"/>
      <c r="R430" s="266"/>
    </row>
    <row r="431" spans="1:21" ht="27.75" customHeight="1">
      <c r="A431" s="204" t="str">
        <f>IF(ISBLANK(D431)," ",320-COUNTBLANK($D$6:D431))</f>
        <v xml:space="preserve"> </v>
      </c>
      <c r="B431" s="202"/>
      <c r="C431" s="202"/>
      <c r="D431" s="202"/>
      <c r="E431" s="304"/>
      <c r="F431" s="211"/>
      <c r="G431" s="203"/>
      <c r="H431" s="203"/>
      <c r="I431" s="295"/>
      <c r="J431" s="264"/>
      <c r="K431" s="265"/>
      <c r="L431" s="266"/>
      <c r="M431" s="266"/>
      <c r="N431" s="266"/>
      <c r="O431" s="266"/>
      <c r="P431" s="266"/>
      <c r="Q431" s="266"/>
      <c r="R431" s="266"/>
    </row>
    <row r="432" spans="1:21" ht="27.75" customHeight="1">
      <c r="A432" s="204" t="str">
        <f>IF(ISBLANK(D432)," ",321-COUNTBLANK($D$6:D432))</f>
        <v xml:space="preserve"> </v>
      </c>
      <c r="B432" s="202"/>
      <c r="C432" s="202"/>
      <c r="D432" s="202"/>
      <c r="E432" s="304"/>
      <c r="F432" s="211"/>
      <c r="G432" s="203"/>
      <c r="H432" s="203"/>
      <c r="I432" s="295"/>
      <c r="J432" s="264"/>
      <c r="K432" s="265"/>
      <c r="L432" s="266"/>
      <c r="M432" s="266"/>
      <c r="N432" s="266"/>
      <c r="O432" s="266"/>
      <c r="P432" s="266"/>
      <c r="Q432" s="266"/>
      <c r="R432" s="266"/>
    </row>
    <row r="433" spans="1:18" ht="27.75" customHeight="1">
      <c r="A433" s="204" t="str">
        <f>IF(ISBLANK(D433)," ",322-COUNTBLANK($D$6:D433))</f>
        <v xml:space="preserve"> </v>
      </c>
      <c r="B433" s="202"/>
      <c r="C433" s="202"/>
      <c r="D433" s="202"/>
      <c r="E433" s="304"/>
      <c r="F433" s="211"/>
      <c r="G433" s="203"/>
      <c r="H433" s="203"/>
      <c r="I433" s="295"/>
      <c r="J433" s="264"/>
      <c r="K433" s="265"/>
      <c r="L433" s="266"/>
      <c r="M433" s="266"/>
      <c r="N433" s="266"/>
      <c r="O433" s="266"/>
      <c r="P433" s="266"/>
      <c r="Q433" s="266"/>
      <c r="R433" s="266"/>
    </row>
    <row r="434" spans="1:18" ht="27.75" customHeight="1">
      <c r="A434" s="204" t="str">
        <f>IF(ISBLANK(D434)," ",323-COUNTBLANK($D$6:D434))</f>
        <v xml:space="preserve"> </v>
      </c>
      <c r="B434" s="202"/>
      <c r="C434" s="202"/>
      <c r="D434" s="202"/>
      <c r="E434" s="304"/>
      <c r="F434" s="211"/>
      <c r="G434" s="203"/>
      <c r="H434" s="203"/>
      <c r="I434" s="295"/>
      <c r="J434" s="264"/>
      <c r="K434" s="265"/>
      <c r="L434" s="266"/>
      <c r="M434" s="266"/>
      <c r="N434" s="266"/>
      <c r="O434" s="266"/>
      <c r="P434" s="266"/>
      <c r="Q434" s="266"/>
      <c r="R434" s="266"/>
    </row>
    <row r="435" spans="1:18" ht="27.75" customHeight="1">
      <c r="A435" s="204" t="str">
        <f>IF(ISBLANK(D435)," ",324-COUNTBLANK($D$6:D435))</f>
        <v xml:space="preserve"> </v>
      </c>
      <c r="B435" s="202"/>
      <c r="C435" s="202"/>
      <c r="D435" s="202"/>
      <c r="E435" s="304"/>
      <c r="F435" s="211"/>
      <c r="G435" s="203"/>
      <c r="H435" s="203"/>
      <c r="I435" s="295"/>
      <c r="J435" s="264"/>
      <c r="K435" s="265"/>
      <c r="L435" s="266"/>
      <c r="M435" s="266"/>
      <c r="N435" s="266"/>
      <c r="O435" s="266"/>
      <c r="P435" s="266"/>
      <c r="Q435" s="266"/>
      <c r="R435" s="266"/>
    </row>
    <row r="436" spans="1:18" ht="27.75" customHeight="1">
      <c r="A436" s="204" t="str">
        <f>IF(ISBLANK(D436)," ",325-COUNTBLANK($D$6:D436))</f>
        <v xml:space="preserve"> </v>
      </c>
      <c r="B436" s="202"/>
      <c r="C436" s="202"/>
      <c r="D436" s="202"/>
      <c r="E436" s="304"/>
      <c r="F436" s="211"/>
      <c r="G436" s="203"/>
      <c r="H436" s="203"/>
      <c r="I436" s="295"/>
      <c r="J436" s="264"/>
      <c r="K436" s="265"/>
      <c r="L436" s="266"/>
      <c r="M436" s="266"/>
      <c r="N436" s="266"/>
      <c r="O436" s="266"/>
      <c r="P436" s="266"/>
      <c r="Q436" s="266"/>
      <c r="R436" s="266"/>
    </row>
    <row r="437" spans="1:18" ht="27.75" customHeight="1">
      <c r="A437" s="204" t="str">
        <f>IF(ISBLANK(D437)," ",326-COUNTBLANK($D$6:D437))</f>
        <v xml:space="preserve"> </v>
      </c>
      <c r="B437" s="202"/>
      <c r="C437" s="202"/>
      <c r="D437" s="202"/>
      <c r="E437" s="304"/>
      <c r="F437" s="211"/>
      <c r="G437" s="203"/>
      <c r="H437" s="203"/>
      <c r="I437" s="295"/>
      <c r="J437" s="264"/>
      <c r="K437" s="265"/>
      <c r="L437" s="266"/>
      <c r="M437" s="266"/>
      <c r="N437" s="266"/>
      <c r="O437" s="266"/>
      <c r="P437" s="266"/>
      <c r="Q437" s="266"/>
      <c r="R437" s="266"/>
    </row>
    <row r="438" spans="1:18" ht="27.75" customHeight="1">
      <c r="A438" s="204" t="str">
        <f>IF(ISBLANK(D438)," ",327-COUNTBLANK($D$6:D438))</f>
        <v xml:space="preserve"> </v>
      </c>
      <c r="B438" s="202"/>
      <c r="C438" s="202"/>
      <c r="D438" s="202"/>
      <c r="E438" s="304"/>
      <c r="F438" s="211"/>
      <c r="G438" s="203"/>
      <c r="H438" s="203"/>
      <c r="I438" s="295"/>
      <c r="J438" s="264"/>
      <c r="K438" s="265"/>
      <c r="L438" s="266"/>
      <c r="M438" s="266"/>
      <c r="N438" s="266"/>
      <c r="O438" s="266"/>
      <c r="P438" s="266"/>
      <c r="Q438" s="266"/>
      <c r="R438" s="266"/>
    </row>
    <row r="439" spans="1:18" ht="27.75" customHeight="1">
      <c r="A439" s="204" t="str">
        <f>IF(ISBLANK(D439)," ",328-COUNTBLANK($D$6:D439))</f>
        <v xml:space="preserve"> </v>
      </c>
      <c r="B439" s="202"/>
      <c r="C439" s="202"/>
      <c r="D439" s="202"/>
      <c r="E439" s="304"/>
      <c r="F439" s="211"/>
      <c r="G439" s="203"/>
      <c r="H439" s="203"/>
      <c r="I439" s="295"/>
      <c r="J439" s="264"/>
      <c r="K439" s="265"/>
      <c r="L439" s="266"/>
      <c r="M439" s="266"/>
      <c r="N439" s="266"/>
      <c r="O439" s="266"/>
      <c r="P439" s="266"/>
      <c r="Q439" s="266"/>
      <c r="R439" s="266"/>
    </row>
    <row r="440" spans="1:18" ht="27.75" customHeight="1">
      <c r="A440" s="204" t="str">
        <f>IF(ISBLANK(D440)," ",329-COUNTBLANK($D$6:D440))</f>
        <v xml:space="preserve"> </v>
      </c>
      <c r="B440" s="202"/>
      <c r="C440" s="202"/>
      <c r="D440" s="202"/>
      <c r="E440" s="304"/>
      <c r="F440" s="211"/>
      <c r="G440" s="203"/>
      <c r="H440" s="203"/>
      <c r="I440" s="295"/>
      <c r="J440" s="264"/>
      <c r="K440" s="265"/>
      <c r="L440" s="266"/>
      <c r="M440" s="266"/>
      <c r="N440" s="266"/>
      <c r="O440" s="266"/>
      <c r="P440" s="266"/>
      <c r="Q440" s="266"/>
      <c r="R440" s="266"/>
    </row>
    <row r="441" spans="1:18" ht="27.75" customHeight="1">
      <c r="A441" s="204" t="str">
        <f>IF(ISBLANK(D441)," ",330-COUNTBLANK($D$6:D441))</f>
        <v xml:space="preserve"> </v>
      </c>
      <c r="B441" s="202"/>
      <c r="C441" s="202"/>
      <c r="D441" s="202"/>
      <c r="E441" s="304"/>
      <c r="F441" s="211"/>
      <c r="G441" s="203"/>
      <c r="H441" s="203"/>
      <c r="I441" s="295"/>
      <c r="J441" s="264"/>
      <c r="K441" s="265"/>
      <c r="L441" s="266"/>
      <c r="M441" s="266"/>
      <c r="N441" s="266"/>
      <c r="O441" s="266"/>
      <c r="P441" s="266"/>
      <c r="Q441" s="266"/>
      <c r="R441" s="266"/>
    </row>
    <row r="442" spans="1:18" ht="27.75" customHeight="1">
      <c r="A442" s="204" t="str">
        <f>IF(ISBLANK(D442)," ",331-COUNTBLANK($D$6:D442))</f>
        <v xml:space="preserve"> </v>
      </c>
      <c r="B442" s="202"/>
      <c r="C442" s="202"/>
      <c r="D442" s="202"/>
      <c r="E442" s="304"/>
      <c r="F442" s="211"/>
      <c r="G442" s="203"/>
      <c r="H442" s="203"/>
      <c r="I442" s="295"/>
      <c r="J442" s="264"/>
      <c r="K442" s="265"/>
      <c r="L442" s="266"/>
      <c r="M442" s="266"/>
      <c r="N442" s="266"/>
      <c r="O442" s="266"/>
      <c r="P442" s="266"/>
      <c r="Q442" s="266"/>
      <c r="R442" s="266"/>
    </row>
    <row r="443" spans="1:18" ht="27.75" customHeight="1">
      <c r="A443" s="204" t="str">
        <f>IF(ISBLANK(D443)," ",332-COUNTBLANK($D$6:D443))</f>
        <v xml:space="preserve"> </v>
      </c>
      <c r="B443" s="202"/>
      <c r="C443" s="202"/>
      <c r="D443" s="202"/>
      <c r="E443" s="304"/>
      <c r="F443" s="211"/>
      <c r="G443" s="203"/>
      <c r="H443" s="203"/>
      <c r="I443" s="295"/>
      <c r="J443" s="264"/>
      <c r="K443" s="265"/>
      <c r="L443" s="266"/>
      <c r="M443" s="266"/>
      <c r="N443" s="266"/>
      <c r="O443" s="266"/>
      <c r="P443" s="266"/>
      <c r="Q443" s="266"/>
      <c r="R443" s="266"/>
    </row>
    <row r="444" spans="1:18" ht="27.75" customHeight="1">
      <c r="A444" s="204" t="str">
        <f>IF(ISBLANK(D444)," ",333-COUNTBLANK($D$6:D444))</f>
        <v xml:space="preserve"> </v>
      </c>
      <c r="B444" s="202"/>
      <c r="C444" s="202"/>
      <c r="D444" s="202"/>
      <c r="E444" s="304"/>
      <c r="F444" s="211"/>
      <c r="G444" s="203"/>
      <c r="H444" s="203"/>
      <c r="I444" s="295"/>
      <c r="J444" s="264"/>
      <c r="K444" s="265"/>
      <c r="L444" s="266"/>
      <c r="M444" s="266"/>
      <c r="N444" s="266"/>
      <c r="O444" s="266"/>
      <c r="P444" s="266"/>
      <c r="Q444" s="266"/>
      <c r="R444" s="266"/>
    </row>
    <row r="445" spans="1:18" ht="27.75" customHeight="1">
      <c r="A445" s="204" t="str">
        <f>IF(ISBLANK(D445)," ",334-COUNTBLANK($D$6:D445))</f>
        <v xml:space="preserve"> </v>
      </c>
      <c r="B445" s="202"/>
      <c r="C445" s="202"/>
      <c r="D445" s="202"/>
      <c r="E445" s="304"/>
      <c r="F445" s="211"/>
      <c r="G445" s="203"/>
      <c r="H445" s="203"/>
      <c r="I445" s="295"/>
      <c r="J445" s="264"/>
      <c r="K445" s="267"/>
      <c r="L445" s="266"/>
      <c r="M445" s="266"/>
      <c r="N445" s="266"/>
      <c r="O445" s="266"/>
      <c r="P445" s="266"/>
      <c r="Q445" s="266"/>
      <c r="R445" s="268"/>
    </row>
    <row r="446" spans="1:18" ht="27.75" customHeight="1">
      <c r="A446" s="204" t="str">
        <f>IF(ISBLANK(D446)," ",335-COUNTBLANK($D$6:D446))</f>
        <v xml:space="preserve"> </v>
      </c>
      <c r="B446" s="202"/>
      <c r="C446" s="202"/>
      <c r="D446" s="202"/>
      <c r="E446" s="304"/>
      <c r="F446" s="211"/>
      <c r="G446" s="203"/>
      <c r="H446" s="203"/>
      <c r="I446" s="295"/>
      <c r="J446" s="264"/>
      <c r="K446" s="267"/>
      <c r="L446" s="266"/>
      <c r="M446" s="266"/>
      <c r="N446" s="266"/>
      <c r="O446" s="266"/>
      <c r="P446" s="266"/>
      <c r="Q446" s="266"/>
      <c r="R446" s="268"/>
    </row>
    <row r="447" spans="1:18" ht="27.75" customHeight="1">
      <c r="A447" s="204" t="s">
        <v>58</v>
      </c>
      <c r="B447" s="202"/>
      <c r="C447" s="202"/>
      <c r="D447" s="202"/>
      <c r="E447" s="304"/>
      <c r="F447" s="211">
        <f>SUM(F427:F446)</f>
        <v>0</v>
      </c>
      <c r="G447" s="203"/>
      <c r="H447" s="203"/>
      <c r="I447" s="295"/>
      <c r="J447" s="264"/>
      <c r="K447" s="267"/>
      <c r="L447" s="266"/>
      <c r="M447" s="266"/>
      <c r="N447" s="266"/>
      <c r="O447" s="266"/>
      <c r="P447" s="266"/>
      <c r="Q447" s="266"/>
      <c r="R447" s="268"/>
    </row>
    <row r="448" spans="1:18" ht="27.75" customHeight="1">
      <c r="A448" s="204" t="str">
        <f>IF(ISBLANK(D448)," ",337-COUNTBLANK($D$6:D448))</f>
        <v xml:space="preserve"> </v>
      </c>
      <c r="B448" s="202"/>
      <c r="C448" s="202"/>
      <c r="D448" s="202"/>
      <c r="E448" s="304"/>
      <c r="F448" s="211"/>
      <c r="G448" s="203"/>
      <c r="H448" s="203"/>
      <c r="I448" s="295"/>
      <c r="J448" s="264"/>
      <c r="K448" s="267"/>
      <c r="L448" s="266"/>
      <c r="M448" s="266"/>
      <c r="N448" s="266"/>
      <c r="O448" s="266"/>
      <c r="P448" s="266"/>
      <c r="Q448" s="266"/>
      <c r="R448" s="268"/>
    </row>
    <row r="449" spans="1:21" ht="27.75" customHeight="1">
      <c r="A449" s="308" t="str">
        <f>IF(ISBLANK(D449)," ",338-COUNTBLANK($D$6:D449))</f>
        <v xml:space="preserve"> </v>
      </c>
      <c r="B449" s="300"/>
      <c r="C449" s="309"/>
      <c r="D449" s="310"/>
      <c r="E449" s="301"/>
      <c r="F449" s="302"/>
      <c r="G449" s="286"/>
      <c r="H449" s="286"/>
      <c r="I449" s="307"/>
      <c r="J449" s="264"/>
      <c r="K449" s="265"/>
      <c r="L449" s="266"/>
      <c r="M449" s="266"/>
      <c r="N449" s="266"/>
      <c r="O449" s="266"/>
      <c r="P449" s="266"/>
      <c r="Q449" s="266"/>
      <c r="R449" s="288"/>
      <c r="S449" s="266"/>
      <c r="T449" s="266"/>
      <c r="U449" s="266"/>
    </row>
    <row r="450" spans="1:21" ht="27.75" customHeight="1">
      <c r="A450" s="261" t="str">
        <f>IF(ISBLANK(D450)," ",339-COUNTBLANK($D$6:D450))</f>
        <v xml:space="preserve"> </v>
      </c>
      <c r="B450" s="200"/>
      <c r="C450" s="200"/>
      <c r="D450" s="200"/>
      <c r="E450" s="303"/>
      <c r="F450" s="210"/>
      <c r="G450" s="201"/>
      <c r="H450" s="201"/>
      <c r="I450" s="295"/>
      <c r="J450" s="264"/>
      <c r="K450" s="267"/>
      <c r="L450" s="266"/>
      <c r="M450" s="266"/>
      <c r="N450" s="266"/>
      <c r="O450" s="266"/>
      <c r="P450" s="266"/>
      <c r="Q450" s="266"/>
      <c r="R450" s="288"/>
      <c r="S450" s="266"/>
      <c r="T450" s="266"/>
      <c r="U450" s="266"/>
    </row>
    <row r="451" spans="1:21" ht="27.75" customHeight="1">
      <c r="A451" s="204" t="str">
        <f>IF(ISBLANK(D451)," ",340-COUNTBLANK($D$6:D451))</f>
        <v xml:space="preserve"> </v>
      </c>
      <c r="B451" s="202"/>
      <c r="C451" s="202"/>
      <c r="D451" s="202"/>
      <c r="E451" s="304"/>
      <c r="F451" s="211"/>
      <c r="G451" s="203"/>
      <c r="H451" s="203"/>
      <c r="I451" s="295"/>
      <c r="J451" s="264"/>
      <c r="K451" s="265"/>
      <c r="L451" s="266"/>
      <c r="M451" s="266"/>
      <c r="N451" s="266"/>
      <c r="O451" s="266"/>
      <c r="P451" s="266"/>
      <c r="Q451" s="266"/>
      <c r="R451" s="266"/>
    </row>
    <row r="452" spans="1:21" ht="27.75" customHeight="1">
      <c r="A452" s="204" t="str">
        <f>IF(ISBLANK(D452)," ",341-COUNTBLANK($D$6:D452))</f>
        <v xml:space="preserve"> </v>
      </c>
      <c r="B452" s="202"/>
      <c r="C452" s="202"/>
      <c r="D452" s="202"/>
      <c r="E452" s="304"/>
      <c r="F452" s="211"/>
      <c r="G452" s="203"/>
      <c r="H452" s="203"/>
      <c r="I452" s="295"/>
      <c r="J452" s="264"/>
      <c r="K452" s="265"/>
      <c r="L452" s="266"/>
      <c r="M452" s="266"/>
      <c r="N452" s="266"/>
      <c r="O452" s="266"/>
      <c r="P452" s="266"/>
      <c r="Q452" s="266"/>
      <c r="R452" s="266"/>
    </row>
    <row r="453" spans="1:21" ht="27.75" customHeight="1">
      <c r="A453" s="204" t="str">
        <f>IF(ISBLANK(D453)," ",342-COUNTBLANK($D$6:D453))</f>
        <v xml:space="preserve"> </v>
      </c>
      <c r="B453" s="202"/>
      <c r="C453" s="202"/>
      <c r="D453" s="202"/>
      <c r="E453" s="304"/>
      <c r="F453" s="211"/>
      <c r="G453" s="203"/>
      <c r="H453" s="203"/>
      <c r="I453" s="295"/>
      <c r="J453" s="264"/>
      <c r="K453" s="265"/>
      <c r="L453" s="266"/>
      <c r="M453" s="266"/>
      <c r="N453" s="266"/>
      <c r="O453" s="266"/>
      <c r="P453" s="266"/>
      <c r="Q453" s="266"/>
      <c r="R453" s="266"/>
    </row>
    <row r="454" spans="1:21" ht="27.75" customHeight="1">
      <c r="A454" s="204" t="str">
        <f>IF(ISBLANK(D454)," ",343-COUNTBLANK($D$6:D454))</f>
        <v xml:space="preserve"> </v>
      </c>
      <c r="B454" s="202"/>
      <c r="C454" s="202"/>
      <c r="D454" s="202"/>
      <c r="E454" s="304"/>
      <c r="F454" s="211"/>
      <c r="G454" s="203"/>
      <c r="H454" s="203"/>
      <c r="I454" s="295"/>
      <c r="J454" s="264"/>
      <c r="K454" s="265"/>
      <c r="L454" s="266"/>
      <c r="M454" s="266"/>
      <c r="N454" s="266"/>
      <c r="O454" s="266"/>
      <c r="P454" s="266"/>
      <c r="Q454" s="266"/>
      <c r="R454" s="266"/>
    </row>
    <row r="455" spans="1:21" ht="27.75" customHeight="1">
      <c r="A455" s="204" t="str">
        <f>IF(ISBLANK(D455)," ",344-COUNTBLANK($D$6:D455))</f>
        <v xml:space="preserve"> </v>
      </c>
      <c r="B455" s="202"/>
      <c r="C455" s="202"/>
      <c r="D455" s="202"/>
      <c r="E455" s="304"/>
      <c r="F455" s="211"/>
      <c r="G455" s="203"/>
      <c r="H455" s="203"/>
      <c r="I455" s="295"/>
      <c r="J455" s="264"/>
      <c r="K455" s="265"/>
      <c r="L455" s="266"/>
      <c r="M455" s="266"/>
      <c r="N455" s="266"/>
      <c r="O455" s="266"/>
      <c r="P455" s="266"/>
      <c r="Q455" s="266"/>
      <c r="R455" s="266"/>
    </row>
    <row r="456" spans="1:21" ht="27.75" customHeight="1">
      <c r="A456" s="204" t="str">
        <f>IF(ISBLANK(D456)," ",345-COUNTBLANK($D$6:D456))</f>
        <v xml:space="preserve"> </v>
      </c>
      <c r="B456" s="202"/>
      <c r="C456" s="202"/>
      <c r="D456" s="202"/>
      <c r="E456" s="304"/>
      <c r="F456" s="211"/>
      <c r="G456" s="203"/>
      <c r="H456" s="203"/>
      <c r="I456" s="295"/>
      <c r="J456" s="264"/>
      <c r="K456" s="265"/>
      <c r="L456" s="266"/>
      <c r="M456" s="266"/>
      <c r="N456" s="266"/>
      <c r="O456" s="266"/>
      <c r="P456" s="266"/>
      <c r="Q456" s="266"/>
      <c r="R456" s="266"/>
    </row>
    <row r="457" spans="1:21" ht="27.75" customHeight="1">
      <c r="A457" s="204" t="str">
        <f>IF(ISBLANK(D457)," ",346-COUNTBLANK($D$6:D457))</f>
        <v xml:space="preserve"> </v>
      </c>
      <c r="B457" s="202"/>
      <c r="C457" s="202"/>
      <c r="D457" s="202"/>
      <c r="E457" s="304"/>
      <c r="F457" s="211"/>
      <c r="G457" s="203"/>
      <c r="H457" s="203"/>
      <c r="I457" s="295"/>
      <c r="J457" s="264"/>
      <c r="K457" s="265"/>
      <c r="L457" s="266"/>
      <c r="M457" s="266"/>
      <c r="N457" s="266"/>
      <c r="O457" s="266"/>
      <c r="P457" s="266"/>
      <c r="Q457" s="266"/>
      <c r="R457" s="266"/>
    </row>
    <row r="458" spans="1:21" ht="27.75" customHeight="1">
      <c r="A458" s="204" t="str">
        <f>IF(ISBLANK(D458)," ",347-COUNTBLANK($D$6:D458))</f>
        <v xml:space="preserve"> </v>
      </c>
      <c r="B458" s="202"/>
      <c r="C458" s="202"/>
      <c r="D458" s="202"/>
      <c r="E458" s="304"/>
      <c r="F458" s="211"/>
      <c r="G458" s="203"/>
      <c r="H458" s="203"/>
      <c r="I458" s="295"/>
      <c r="J458" s="264"/>
      <c r="K458" s="265"/>
      <c r="L458" s="266"/>
      <c r="M458" s="266"/>
      <c r="N458" s="266"/>
      <c r="O458" s="266"/>
      <c r="P458" s="266"/>
      <c r="Q458" s="266"/>
      <c r="R458" s="266"/>
    </row>
    <row r="459" spans="1:21" ht="27.75" customHeight="1">
      <c r="A459" s="204" t="str">
        <f>IF(ISBLANK(D459)," ",348-COUNTBLANK($D$6:D459))</f>
        <v xml:space="preserve"> </v>
      </c>
      <c r="B459" s="202"/>
      <c r="C459" s="202"/>
      <c r="D459" s="202"/>
      <c r="E459" s="304"/>
      <c r="F459" s="211"/>
      <c r="G459" s="203"/>
      <c r="H459" s="203"/>
      <c r="I459" s="295"/>
      <c r="J459" s="264"/>
      <c r="K459" s="265"/>
      <c r="L459" s="266"/>
      <c r="M459" s="266"/>
      <c r="N459" s="266"/>
      <c r="O459" s="266"/>
      <c r="P459" s="266"/>
      <c r="Q459" s="266"/>
      <c r="R459" s="266"/>
    </row>
    <row r="460" spans="1:21" ht="27.75" customHeight="1">
      <c r="A460" s="204" t="str">
        <f>IF(ISBLANK(D460)," ",349-COUNTBLANK($D$6:D460))</f>
        <v xml:space="preserve"> </v>
      </c>
      <c r="B460" s="202"/>
      <c r="C460" s="202"/>
      <c r="D460" s="202"/>
      <c r="E460" s="304"/>
      <c r="F460" s="211"/>
      <c r="G460" s="203"/>
      <c r="H460" s="203"/>
      <c r="I460" s="295"/>
      <c r="J460" s="264"/>
      <c r="K460" s="265"/>
      <c r="L460" s="266"/>
      <c r="M460" s="266"/>
      <c r="N460" s="266"/>
      <c r="O460" s="266"/>
      <c r="P460" s="266"/>
      <c r="Q460" s="266"/>
      <c r="R460" s="266"/>
    </row>
    <row r="461" spans="1:21" ht="27.75" customHeight="1">
      <c r="A461" s="204" t="str">
        <f>IF(ISBLANK(D461)," ",350-COUNTBLANK($D$6:D461))</f>
        <v xml:space="preserve"> </v>
      </c>
      <c r="B461" s="202"/>
      <c r="C461" s="202"/>
      <c r="D461" s="202"/>
      <c r="E461" s="304"/>
      <c r="F461" s="211"/>
      <c r="G461" s="203"/>
      <c r="H461" s="203"/>
      <c r="I461" s="295"/>
      <c r="J461" s="264"/>
      <c r="K461" s="265"/>
      <c r="L461" s="266"/>
      <c r="M461" s="266"/>
      <c r="N461" s="266"/>
      <c r="O461" s="266"/>
      <c r="P461" s="266"/>
      <c r="Q461" s="266"/>
      <c r="R461" s="266"/>
    </row>
    <row r="462" spans="1:21" ht="27.75" customHeight="1">
      <c r="A462" s="204" t="str">
        <f>IF(ISBLANK(D462)," ",351-COUNTBLANK($D$6:D462))</f>
        <v xml:space="preserve"> </v>
      </c>
      <c r="B462" s="202"/>
      <c r="C462" s="202"/>
      <c r="D462" s="202"/>
      <c r="E462" s="304"/>
      <c r="F462" s="211"/>
      <c r="G462" s="203"/>
      <c r="H462" s="203"/>
      <c r="I462" s="295"/>
      <c r="J462" s="264"/>
      <c r="K462" s="265"/>
      <c r="L462" s="266"/>
      <c r="M462" s="266"/>
      <c r="N462" s="266"/>
      <c r="O462" s="266"/>
      <c r="P462" s="266"/>
      <c r="Q462" s="266"/>
      <c r="R462" s="266"/>
    </row>
    <row r="463" spans="1:21" ht="27.75" customHeight="1">
      <c r="A463" s="204" t="str">
        <f>IF(ISBLANK(D463)," ",352-COUNTBLANK($D$6:D463))</f>
        <v xml:space="preserve"> </v>
      </c>
      <c r="B463" s="202"/>
      <c r="C463" s="202"/>
      <c r="D463" s="202"/>
      <c r="E463" s="304"/>
      <c r="F463" s="211"/>
      <c r="G463" s="203"/>
      <c r="H463" s="203"/>
      <c r="I463" s="295"/>
      <c r="J463" s="264"/>
      <c r="K463" s="265"/>
      <c r="L463" s="266"/>
      <c r="M463" s="266"/>
      <c r="N463" s="266"/>
      <c r="O463" s="266"/>
      <c r="P463" s="266"/>
      <c r="Q463" s="266"/>
      <c r="R463" s="266"/>
    </row>
    <row r="464" spans="1:21" ht="27.75" customHeight="1">
      <c r="A464" s="204" t="str">
        <f>IF(ISBLANK(D464)," ",353-COUNTBLANK($D$6:D464))</f>
        <v xml:space="preserve"> </v>
      </c>
      <c r="B464" s="202"/>
      <c r="C464" s="202"/>
      <c r="D464" s="202"/>
      <c r="E464" s="304"/>
      <c r="F464" s="211"/>
      <c r="G464" s="203"/>
      <c r="H464" s="203"/>
      <c r="I464" s="295"/>
      <c r="J464" s="264"/>
      <c r="K464" s="265"/>
      <c r="L464" s="266"/>
      <c r="M464" s="266"/>
      <c r="N464" s="266"/>
      <c r="O464" s="266"/>
      <c r="P464" s="266"/>
      <c r="Q464" s="266"/>
      <c r="R464" s="266"/>
    </row>
    <row r="465" spans="1:21" ht="27.75" customHeight="1">
      <c r="A465" s="204" t="str">
        <f>IF(ISBLANK(D465)," ",354-COUNTBLANK($D$6:D465))</f>
        <v xml:space="preserve"> </v>
      </c>
      <c r="B465" s="202"/>
      <c r="C465" s="202"/>
      <c r="D465" s="202"/>
      <c r="E465" s="304"/>
      <c r="F465" s="211"/>
      <c r="G465" s="203"/>
      <c r="H465" s="203"/>
      <c r="I465" s="295"/>
      <c r="J465" s="264"/>
      <c r="K465" s="265"/>
      <c r="L465" s="266"/>
      <c r="M465" s="266"/>
      <c r="N465" s="266"/>
      <c r="O465" s="266"/>
      <c r="P465" s="266"/>
      <c r="Q465" s="266"/>
      <c r="R465" s="266"/>
    </row>
    <row r="466" spans="1:21" ht="27.75" customHeight="1">
      <c r="A466" s="204" t="str">
        <f>IF(ISBLANK(D466)," ",355-COUNTBLANK($D$6:D466))</f>
        <v xml:space="preserve"> </v>
      </c>
      <c r="B466" s="202"/>
      <c r="C466" s="202"/>
      <c r="D466" s="202"/>
      <c r="E466" s="304"/>
      <c r="F466" s="211"/>
      <c r="G466" s="203"/>
      <c r="H466" s="203"/>
      <c r="I466" s="295"/>
      <c r="J466" s="264"/>
      <c r="K466" s="267"/>
      <c r="L466" s="266"/>
      <c r="M466" s="266"/>
      <c r="N466" s="266"/>
      <c r="O466" s="266"/>
      <c r="P466" s="266"/>
      <c r="Q466" s="266"/>
      <c r="R466" s="268"/>
    </row>
    <row r="467" spans="1:21" ht="27.75" customHeight="1">
      <c r="A467" s="204" t="str">
        <f>IF(ISBLANK(D467)," ",356-COUNTBLANK($D$6:D467))</f>
        <v xml:space="preserve"> </v>
      </c>
      <c r="B467" s="202"/>
      <c r="C467" s="202"/>
      <c r="D467" s="202"/>
      <c r="E467" s="304"/>
      <c r="F467" s="211"/>
      <c r="G467" s="203"/>
      <c r="H467" s="203"/>
      <c r="I467" s="295"/>
      <c r="J467" s="264"/>
      <c r="K467" s="267"/>
      <c r="L467" s="266"/>
      <c r="M467" s="266"/>
      <c r="N467" s="266"/>
      <c r="O467" s="266"/>
      <c r="P467" s="266"/>
      <c r="Q467" s="266"/>
      <c r="R467" s="268"/>
    </row>
    <row r="468" spans="1:21" ht="27.75" customHeight="1">
      <c r="A468" s="204" t="s">
        <v>58</v>
      </c>
      <c r="B468" s="202"/>
      <c r="C468" s="202"/>
      <c r="D468" s="202"/>
      <c r="E468" s="304"/>
      <c r="F468" s="211">
        <f>SUM(F448:F467)</f>
        <v>0</v>
      </c>
      <c r="G468" s="203"/>
      <c r="H468" s="203"/>
      <c r="I468" s="295"/>
      <c r="J468" s="264"/>
      <c r="K468" s="267"/>
      <c r="L468" s="266"/>
      <c r="M468" s="266"/>
      <c r="N468" s="266"/>
      <c r="O468" s="266"/>
      <c r="P468" s="266"/>
      <c r="Q468" s="266"/>
      <c r="R468" s="268"/>
    </row>
    <row r="469" spans="1:21" ht="27.75" customHeight="1">
      <c r="A469" s="204" t="str">
        <f>IF(ISBLANK(D469)," ",358-COUNTBLANK($D$6:D469))</f>
        <v xml:space="preserve"> </v>
      </c>
      <c r="B469" s="202"/>
      <c r="C469" s="202"/>
      <c r="D469" s="202"/>
      <c r="E469" s="304"/>
      <c r="F469" s="211"/>
      <c r="G469" s="203"/>
      <c r="H469" s="203"/>
      <c r="I469" s="295"/>
      <c r="J469" s="264"/>
      <c r="K469" s="267"/>
      <c r="L469" s="266"/>
      <c r="M469" s="266"/>
      <c r="N469" s="266"/>
      <c r="O469" s="266"/>
      <c r="P469" s="266"/>
      <c r="Q469" s="266"/>
      <c r="R469" s="268"/>
    </row>
    <row r="470" spans="1:21" ht="27.75" customHeight="1">
      <c r="A470" s="308" t="str">
        <f>IF(ISBLANK(D470)," ",359-COUNTBLANK($D$6:D470))</f>
        <v xml:space="preserve"> </v>
      </c>
      <c r="B470" s="300"/>
      <c r="C470" s="309"/>
      <c r="D470" s="310"/>
      <c r="E470" s="301"/>
      <c r="F470" s="302"/>
      <c r="G470" s="286"/>
      <c r="H470" s="286"/>
      <c r="I470" s="307"/>
      <c r="J470" s="264"/>
      <c r="K470" s="265"/>
      <c r="L470" s="266"/>
      <c r="M470" s="266"/>
      <c r="N470" s="266"/>
      <c r="O470" s="266"/>
      <c r="P470" s="266"/>
      <c r="Q470" s="266"/>
      <c r="R470" s="288"/>
      <c r="S470" s="266"/>
      <c r="T470" s="266"/>
      <c r="U470" s="266"/>
    </row>
    <row r="471" spans="1:21" ht="27.75" customHeight="1">
      <c r="A471" s="261" t="str">
        <f>IF(ISBLANK(D471)," ",360-COUNTBLANK($D$6:D471))</f>
        <v xml:space="preserve"> </v>
      </c>
      <c r="B471" s="200"/>
      <c r="C471" s="200"/>
      <c r="D471" s="200"/>
      <c r="E471" s="303"/>
      <c r="F471" s="210"/>
      <c r="G471" s="201"/>
      <c r="H471" s="201"/>
      <c r="I471" s="295"/>
      <c r="J471" s="264"/>
      <c r="K471" s="267"/>
      <c r="L471" s="266"/>
      <c r="M471" s="266"/>
      <c r="N471" s="266"/>
      <c r="O471" s="266"/>
      <c r="P471" s="266"/>
      <c r="Q471" s="266"/>
      <c r="R471" s="288"/>
      <c r="S471" s="266"/>
      <c r="T471" s="266"/>
      <c r="U471" s="266"/>
    </row>
    <row r="472" spans="1:21" ht="27.75" customHeight="1">
      <c r="A472" s="204" t="str">
        <f>IF(ISBLANK(D472)," ",361-COUNTBLANK($D$6:D472))</f>
        <v xml:space="preserve"> </v>
      </c>
      <c r="B472" s="202"/>
      <c r="C472" s="202"/>
      <c r="D472" s="202"/>
      <c r="E472" s="304"/>
      <c r="F472" s="211"/>
      <c r="G472" s="203"/>
      <c r="H472" s="203"/>
      <c r="I472" s="295"/>
      <c r="J472" s="264"/>
      <c r="K472" s="265"/>
      <c r="L472" s="266"/>
      <c r="M472" s="266"/>
      <c r="N472" s="266"/>
      <c r="O472" s="266"/>
      <c r="P472" s="266"/>
      <c r="Q472" s="266"/>
      <c r="R472" s="266"/>
    </row>
    <row r="473" spans="1:21" ht="27.75" customHeight="1">
      <c r="A473" s="204" t="str">
        <f>IF(ISBLANK(D473)," ",362-COUNTBLANK($D$6:D473))</f>
        <v xml:space="preserve"> </v>
      </c>
      <c r="B473" s="202"/>
      <c r="C473" s="202"/>
      <c r="D473" s="202"/>
      <c r="E473" s="304"/>
      <c r="F473" s="211"/>
      <c r="G473" s="203"/>
      <c r="H473" s="203"/>
      <c r="I473" s="295"/>
      <c r="J473" s="264"/>
      <c r="K473" s="265"/>
      <c r="L473" s="266"/>
      <c r="M473" s="266"/>
      <c r="N473" s="266"/>
      <c r="O473" s="266"/>
      <c r="P473" s="266"/>
      <c r="Q473" s="266"/>
      <c r="R473" s="266"/>
    </row>
    <row r="474" spans="1:21" ht="27.75" customHeight="1">
      <c r="A474" s="204" t="str">
        <f>IF(ISBLANK(D474)," ",363-COUNTBLANK($D$6:D474))</f>
        <v xml:space="preserve"> </v>
      </c>
      <c r="B474" s="202"/>
      <c r="C474" s="202"/>
      <c r="D474" s="202"/>
      <c r="E474" s="304"/>
      <c r="F474" s="211"/>
      <c r="G474" s="203"/>
      <c r="H474" s="203"/>
      <c r="I474" s="295"/>
      <c r="J474" s="264"/>
      <c r="K474" s="265"/>
      <c r="L474" s="266"/>
      <c r="M474" s="266"/>
      <c r="N474" s="266"/>
      <c r="O474" s="266"/>
      <c r="P474" s="266"/>
      <c r="Q474" s="266"/>
      <c r="R474" s="266"/>
    </row>
    <row r="475" spans="1:21" ht="27.75" customHeight="1">
      <c r="A475" s="204" t="str">
        <f>IF(ISBLANK(D475)," ",364-COUNTBLANK($D$6:D475))</f>
        <v xml:space="preserve"> </v>
      </c>
      <c r="B475" s="202"/>
      <c r="C475" s="202"/>
      <c r="D475" s="202"/>
      <c r="E475" s="304"/>
      <c r="F475" s="211"/>
      <c r="G475" s="203"/>
      <c r="H475" s="203"/>
      <c r="I475" s="295"/>
      <c r="J475" s="264"/>
      <c r="K475" s="265"/>
      <c r="L475" s="266"/>
      <c r="M475" s="266"/>
      <c r="N475" s="266"/>
      <c r="O475" s="266"/>
      <c r="P475" s="266"/>
      <c r="Q475" s="266"/>
      <c r="R475" s="266"/>
    </row>
    <row r="476" spans="1:21" ht="27.75" customHeight="1">
      <c r="A476" s="204" t="str">
        <f>IF(ISBLANK(D476)," ",365-COUNTBLANK($D$6:D476))</f>
        <v xml:space="preserve"> </v>
      </c>
      <c r="B476" s="202"/>
      <c r="C476" s="202"/>
      <c r="D476" s="202"/>
      <c r="E476" s="304"/>
      <c r="F476" s="211"/>
      <c r="G476" s="203"/>
      <c r="H476" s="203"/>
      <c r="I476" s="295"/>
      <c r="J476" s="264"/>
      <c r="K476" s="265"/>
      <c r="L476" s="266"/>
      <c r="M476" s="266"/>
      <c r="N476" s="266"/>
      <c r="O476" s="266"/>
      <c r="P476" s="266"/>
      <c r="Q476" s="266"/>
      <c r="R476" s="266"/>
    </row>
    <row r="477" spans="1:21" ht="27.75" customHeight="1">
      <c r="A477" s="204" t="str">
        <f>IF(ISBLANK(D477)," ",366-COUNTBLANK($D$6:D477))</f>
        <v xml:space="preserve"> </v>
      </c>
      <c r="B477" s="202"/>
      <c r="C477" s="202"/>
      <c r="D477" s="202"/>
      <c r="E477" s="304"/>
      <c r="F477" s="211"/>
      <c r="G477" s="203"/>
      <c r="H477" s="203"/>
      <c r="I477" s="295"/>
      <c r="J477" s="264"/>
      <c r="K477" s="265"/>
      <c r="L477" s="266"/>
      <c r="M477" s="266"/>
      <c r="N477" s="266"/>
      <c r="O477" s="266"/>
      <c r="P477" s="266"/>
      <c r="Q477" s="266"/>
      <c r="R477" s="266"/>
    </row>
    <row r="478" spans="1:21" ht="27.75" customHeight="1">
      <c r="A478" s="204" t="str">
        <f>IF(ISBLANK(D478)," ",367-COUNTBLANK($D$6:D478))</f>
        <v xml:space="preserve"> </v>
      </c>
      <c r="B478" s="202"/>
      <c r="C478" s="202"/>
      <c r="D478" s="202"/>
      <c r="E478" s="304"/>
      <c r="F478" s="211"/>
      <c r="G478" s="203"/>
      <c r="H478" s="203"/>
      <c r="I478" s="295"/>
      <c r="J478" s="264"/>
      <c r="K478" s="265"/>
      <c r="L478" s="266"/>
      <c r="M478" s="266"/>
      <c r="N478" s="266"/>
      <c r="O478" s="266"/>
      <c r="P478" s="266"/>
      <c r="Q478" s="266"/>
      <c r="R478" s="266"/>
    </row>
    <row r="479" spans="1:21" ht="27.75" customHeight="1">
      <c r="A479" s="204" t="str">
        <f>IF(ISBLANK(D479)," ",368-COUNTBLANK($D$6:D479))</f>
        <v xml:space="preserve"> </v>
      </c>
      <c r="B479" s="202"/>
      <c r="C479" s="202"/>
      <c r="D479" s="202"/>
      <c r="E479" s="304"/>
      <c r="F479" s="211"/>
      <c r="G479" s="203"/>
      <c r="H479" s="203"/>
      <c r="I479" s="295"/>
      <c r="J479" s="264"/>
      <c r="K479" s="265"/>
      <c r="L479" s="266"/>
      <c r="M479" s="266"/>
      <c r="N479" s="266"/>
      <c r="O479" s="266"/>
      <c r="P479" s="266"/>
      <c r="Q479" s="266"/>
      <c r="R479" s="266"/>
    </row>
    <row r="480" spans="1:21" ht="27.75" customHeight="1">
      <c r="A480" s="204" t="str">
        <f>IF(ISBLANK(D480)," ",369-COUNTBLANK($D$6:D480))</f>
        <v xml:space="preserve"> </v>
      </c>
      <c r="B480" s="202"/>
      <c r="C480" s="202"/>
      <c r="D480" s="202"/>
      <c r="E480" s="304"/>
      <c r="F480" s="211"/>
      <c r="G480" s="203"/>
      <c r="H480" s="203"/>
      <c r="I480" s="295"/>
      <c r="J480" s="264"/>
      <c r="K480" s="265"/>
      <c r="L480" s="266"/>
      <c r="M480" s="266"/>
      <c r="N480" s="266"/>
      <c r="O480" s="266"/>
      <c r="P480" s="266"/>
      <c r="Q480" s="266"/>
      <c r="R480" s="266"/>
    </row>
    <row r="481" spans="1:21" ht="27.75" customHeight="1">
      <c r="A481" s="204" t="str">
        <f>IF(ISBLANK(D481)," ",370-COUNTBLANK($D$6:D481))</f>
        <v xml:space="preserve"> </v>
      </c>
      <c r="B481" s="202"/>
      <c r="C481" s="202"/>
      <c r="D481" s="202"/>
      <c r="E481" s="304"/>
      <c r="F481" s="211"/>
      <c r="G481" s="203"/>
      <c r="H481" s="203"/>
      <c r="I481" s="295"/>
      <c r="J481" s="264"/>
      <c r="K481" s="265"/>
      <c r="L481" s="266"/>
      <c r="M481" s="266"/>
      <c r="N481" s="266"/>
      <c r="O481" s="266"/>
      <c r="P481" s="266"/>
      <c r="Q481" s="266"/>
      <c r="R481" s="266"/>
    </row>
    <row r="482" spans="1:21" ht="27.75" customHeight="1">
      <c r="A482" s="204" t="str">
        <f>IF(ISBLANK(D482)," ",371-COUNTBLANK($D$6:D482))</f>
        <v xml:space="preserve"> </v>
      </c>
      <c r="B482" s="202"/>
      <c r="C482" s="202"/>
      <c r="D482" s="202"/>
      <c r="E482" s="304"/>
      <c r="F482" s="211"/>
      <c r="G482" s="203"/>
      <c r="H482" s="203"/>
      <c r="I482" s="295"/>
      <c r="J482" s="264"/>
      <c r="K482" s="265"/>
      <c r="L482" s="266"/>
      <c r="M482" s="266"/>
      <c r="N482" s="266"/>
      <c r="O482" s="266"/>
      <c r="P482" s="266"/>
      <c r="Q482" s="266"/>
      <c r="R482" s="266"/>
    </row>
    <row r="483" spans="1:21" ht="27.75" customHeight="1">
      <c r="A483" s="204" t="str">
        <f>IF(ISBLANK(D483)," ",372-COUNTBLANK($D$6:D483))</f>
        <v xml:space="preserve"> </v>
      </c>
      <c r="B483" s="202"/>
      <c r="C483" s="202"/>
      <c r="D483" s="202"/>
      <c r="E483" s="304"/>
      <c r="F483" s="211"/>
      <c r="G483" s="203"/>
      <c r="H483" s="203"/>
      <c r="I483" s="295"/>
      <c r="J483" s="264"/>
      <c r="K483" s="265"/>
      <c r="L483" s="266"/>
      <c r="M483" s="266"/>
      <c r="N483" s="266"/>
      <c r="O483" s="266"/>
      <c r="P483" s="266"/>
      <c r="Q483" s="266"/>
      <c r="R483" s="266"/>
    </row>
    <row r="484" spans="1:21" ht="27.75" customHeight="1">
      <c r="A484" s="204" t="str">
        <f>IF(ISBLANK(D484)," ",373-COUNTBLANK($D$6:D484))</f>
        <v xml:space="preserve"> </v>
      </c>
      <c r="B484" s="202"/>
      <c r="C484" s="202"/>
      <c r="D484" s="202"/>
      <c r="E484" s="304"/>
      <c r="F484" s="211"/>
      <c r="G484" s="203"/>
      <c r="H484" s="203"/>
      <c r="I484" s="295"/>
      <c r="J484" s="264"/>
      <c r="K484" s="265"/>
      <c r="L484" s="266"/>
      <c r="M484" s="266"/>
      <c r="N484" s="266"/>
      <c r="O484" s="266"/>
      <c r="P484" s="266"/>
      <c r="Q484" s="266"/>
      <c r="R484" s="266"/>
    </row>
    <row r="485" spans="1:21" ht="27.75" customHeight="1">
      <c r="A485" s="204" t="str">
        <f>IF(ISBLANK(D485)," ",374-COUNTBLANK($D$6:D485))</f>
        <v xml:space="preserve"> </v>
      </c>
      <c r="B485" s="202"/>
      <c r="C485" s="202"/>
      <c r="D485" s="202"/>
      <c r="E485" s="304"/>
      <c r="F485" s="211"/>
      <c r="G485" s="203"/>
      <c r="H485" s="203"/>
      <c r="I485" s="295"/>
      <c r="J485" s="264"/>
      <c r="K485" s="265"/>
      <c r="L485" s="266"/>
      <c r="M485" s="266"/>
      <c r="N485" s="266"/>
      <c r="O485" s="266"/>
      <c r="P485" s="266"/>
      <c r="Q485" s="266"/>
      <c r="R485" s="266"/>
    </row>
    <row r="486" spans="1:21" ht="27.75" customHeight="1">
      <c r="A486" s="204" t="str">
        <f>IF(ISBLANK(D486)," ",375-COUNTBLANK($D$6:D486))</f>
        <v xml:space="preserve"> </v>
      </c>
      <c r="B486" s="202"/>
      <c r="C486" s="202"/>
      <c r="D486" s="202"/>
      <c r="E486" s="304"/>
      <c r="F486" s="211"/>
      <c r="G486" s="203"/>
      <c r="H486" s="203"/>
      <c r="I486" s="295"/>
      <c r="J486" s="264"/>
      <c r="K486" s="265"/>
      <c r="L486" s="266"/>
      <c r="M486" s="266"/>
      <c r="N486" s="266"/>
      <c r="O486" s="266"/>
      <c r="P486" s="266"/>
      <c r="Q486" s="266"/>
      <c r="R486" s="266"/>
    </row>
    <row r="487" spans="1:21" ht="27.75" customHeight="1">
      <c r="A487" s="204" t="str">
        <f>IF(ISBLANK(D487)," ",376-COUNTBLANK($D$6:D487))</f>
        <v xml:space="preserve"> </v>
      </c>
      <c r="B487" s="202"/>
      <c r="C487" s="202"/>
      <c r="D487" s="202"/>
      <c r="E487" s="304"/>
      <c r="F487" s="211"/>
      <c r="G487" s="203"/>
      <c r="H487" s="203"/>
      <c r="I487" s="295"/>
      <c r="J487" s="264"/>
      <c r="K487" s="267"/>
      <c r="L487" s="266"/>
      <c r="M487" s="266"/>
      <c r="N487" s="266"/>
      <c r="O487" s="266"/>
      <c r="P487" s="266"/>
      <c r="Q487" s="266"/>
      <c r="R487" s="268"/>
    </row>
    <row r="488" spans="1:21" ht="27.75" customHeight="1">
      <c r="A488" s="204" t="str">
        <f>IF(ISBLANK(D488)," ",377-COUNTBLANK($D$6:D488))</f>
        <v xml:space="preserve"> </v>
      </c>
      <c r="B488" s="202"/>
      <c r="C488" s="202"/>
      <c r="D488" s="202"/>
      <c r="E488" s="304"/>
      <c r="F488" s="211"/>
      <c r="G488" s="203"/>
      <c r="H488" s="203"/>
      <c r="I488" s="295"/>
      <c r="J488" s="264"/>
      <c r="K488" s="267"/>
      <c r="L488" s="266"/>
      <c r="M488" s="266"/>
      <c r="N488" s="266"/>
      <c r="O488" s="266"/>
      <c r="P488" s="266"/>
      <c r="Q488" s="266"/>
      <c r="R488" s="268"/>
    </row>
    <row r="489" spans="1:21" ht="27.75" customHeight="1">
      <c r="A489" s="204" t="s">
        <v>58</v>
      </c>
      <c r="B489" s="202"/>
      <c r="C489" s="202"/>
      <c r="D489" s="202"/>
      <c r="E489" s="304"/>
      <c r="F489" s="211">
        <f>SUM(F469:F488)</f>
        <v>0</v>
      </c>
      <c r="G489" s="203"/>
      <c r="H489" s="203"/>
      <c r="I489" s="295"/>
      <c r="J489" s="264"/>
      <c r="K489" s="267"/>
      <c r="L489" s="266"/>
      <c r="M489" s="266"/>
      <c r="N489" s="266"/>
      <c r="O489" s="266"/>
      <c r="P489" s="266"/>
      <c r="Q489" s="266"/>
      <c r="R489" s="268"/>
    </row>
    <row r="490" spans="1:21" ht="27.75" customHeight="1">
      <c r="A490" s="204" t="str">
        <f>IF(ISBLANK(D490)," ",379-COUNTBLANK($D$6:D490))</f>
        <v xml:space="preserve"> </v>
      </c>
      <c r="B490" s="202"/>
      <c r="C490" s="202"/>
      <c r="D490" s="202"/>
      <c r="E490" s="304"/>
      <c r="F490" s="211"/>
      <c r="G490" s="203"/>
      <c r="H490" s="203"/>
      <c r="I490" s="295"/>
      <c r="J490" s="264"/>
      <c r="K490" s="267"/>
      <c r="L490" s="266"/>
      <c r="M490" s="266"/>
      <c r="N490" s="266"/>
      <c r="O490" s="266"/>
      <c r="P490" s="266"/>
      <c r="Q490" s="266"/>
      <c r="R490" s="268"/>
    </row>
    <row r="491" spans="1:21" ht="27.75" customHeight="1">
      <c r="A491" s="308" t="str">
        <f>IF(ISBLANK(D491)," ",380-COUNTBLANK($D$6:D491))</f>
        <v xml:space="preserve"> </v>
      </c>
      <c r="B491" s="300"/>
      <c r="C491" s="309"/>
      <c r="D491" s="310"/>
      <c r="E491" s="301"/>
      <c r="F491" s="302"/>
      <c r="G491" s="286"/>
      <c r="H491" s="286"/>
      <c r="I491" s="307"/>
      <c r="J491" s="264"/>
      <c r="K491" s="265"/>
      <c r="L491" s="266"/>
      <c r="M491" s="266"/>
      <c r="N491" s="266"/>
      <c r="O491" s="266"/>
      <c r="P491" s="266"/>
      <c r="Q491" s="266"/>
      <c r="R491" s="288"/>
      <c r="S491" s="266"/>
      <c r="T491" s="266"/>
      <c r="U491" s="266"/>
    </row>
    <row r="492" spans="1:21" ht="27.75" customHeight="1">
      <c r="A492" s="261" t="str">
        <f>IF(ISBLANK(D492)," ",381-COUNTBLANK($D$6:D492))</f>
        <v xml:space="preserve"> </v>
      </c>
      <c r="B492" s="200"/>
      <c r="C492" s="200"/>
      <c r="D492" s="200"/>
      <c r="E492" s="303"/>
      <c r="F492" s="210"/>
      <c r="G492" s="201"/>
      <c r="H492" s="201"/>
      <c r="I492" s="295"/>
      <c r="J492" s="264"/>
      <c r="K492" s="267"/>
      <c r="L492" s="266"/>
      <c r="M492" s="266"/>
      <c r="N492" s="266"/>
      <c r="O492" s="266"/>
      <c r="P492" s="266"/>
      <c r="Q492" s="266"/>
      <c r="R492" s="288"/>
      <c r="S492" s="266"/>
      <c r="T492" s="266"/>
      <c r="U492" s="266"/>
    </row>
    <row r="493" spans="1:21" ht="27.75" customHeight="1">
      <c r="A493" s="204" t="str">
        <f>IF(ISBLANK(D493)," ",382-COUNTBLANK($D$6:D493))</f>
        <v xml:space="preserve"> </v>
      </c>
      <c r="B493" s="202"/>
      <c r="C493" s="202"/>
      <c r="D493" s="202"/>
      <c r="E493" s="304"/>
      <c r="F493" s="211"/>
      <c r="G493" s="203"/>
      <c r="H493" s="203"/>
      <c r="I493" s="295"/>
      <c r="J493" s="264"/>
      <c r="K493" s="265"/>
      <c r="L493" s="266"/>
      <c r="M493" s="266"/>
      <c r="N493" s="266"/>
      <c r="O493" s="266"/>
      <c r="P493" s="266"/>
      <c r="Q493" s="266"/>
      <c r="R493" s="266"/>
    </row>
    <row r="494" spans="1:21" ht="27.75" customHeight="1">
      <c r="A494" s="204" t="str">
        <f>IF(ISBLANK(D494)," ",383-COUNTBLANK($D$6:D494))</f>
        <v xml:space="preserve"> </v>
      </c>
      <c r="B494" s="202"/>
      <c r="C494" s="202"/>
      <c r="D494" s="202"/>
      <c r="E494" s="304"/>
      <c r="F494" s="211"/>
      <c r="G494" s="203"/>
      <c r="H494" s="203"/>
      <c r="I494" s="295"/>
      <c r="J494" s="264"/>
      <c r="K494" s="265"/>
      <c r="L494" s="266"/>
      <c r="M494" s="266"/>
      <c r="N494" s="266"/>
      <c r="O494" s="266"/>
      <c r="P494" s="266"/>
      <c r="Q494" s="266"/>
      <c r="R494" s="266"/>
    </row>
    <row r="495" spans="1:21" ht="27.75" customHeight="1">
      <c r="A495" s="204" t="str">
        <f>IF(ISBLANK(D495)," ",384-COUNTBLANK($D$6:D495))</f>
        <v xml:space="preserve"> </v>
      </c>
      <c r="B495" s="202"/>
      <c r="C495" s="202"/>
      <c r="D495" s="202"/>
      <c r="E495" s="304"/>
      <c r="F495" s="211"/>
      <c r="G495" s="203"/>
      <c r="H495" s="203"/>
      <c r="I495" s="295"/>
      <c r="J495" s="264"/>
      <c r="K495" s="265"/>
      <c r="L495" s="266"/>
      <c r="M495" s="266"/>
      <c r="N495" s="266"/>
      <c r="O495" s="266"/>
      <c r="P495" s="266"/>
      <c r="Q495" s="266"/>
      <c r="R495" s="266"/>
    </row>
    <row r="496" spans="1:21" ht="27.75" customHeight="1">
      <c r="A496" s="204" t="str">
        <f>IF(ISBLANK(D496)," ",385-COUNTBLANK($D$6:D496))</f>
        <v xml:space="preserve"> </v>
      </c>
      <c r="B496" s="202"/>
      <c r="C496" s="202"/>
      <c r="D496" s="202"/>
      <c r="E496" s="304"/>
      <c r="F496" s="211"/>
      <c r="G496" s="203"/>
      <c r="H496" s="203"/>
      <c r="I496" s="295"/>
      <c r="J496" s="264"/>
      <c r="K496" s="265"/>
      <c r="L496" s="266"/>
      <c r="M496" s="266"/>
      <c r="N496" s="266"/>
      <c r="O496" s="266"/>
      <c r="P496" s="266"/>
      <c r="Q496" s="266"/>
      <c r="R496" s="266"/>
    </row>
    <row r="497" spans="1:21" ht="27.75" customHeight="1">
      <c r="A497" s="204" t="str">
        <f>IF(ISBLANK(D497)," ",386-COUNTBLANK($D$6:D497))</f>
        <v xml:space="preserve"> </v>
      </c>
      <c r="B497" s="202"/>
      <c r="C497" s="202"/>
      <c r="D497" s="202"/>
      <c r="E497" s="304"/>
      <c r="F497" s="211"/>
      <c r="G497" s="203"/>
      <c r="H497" s="203"/>
      <c r="I497" s="295"/>
      <c r="J497" s="264"/>
      <c r="K497" s="265"/>
      <c r="L497" s="266"/>
      <c r="M497" s="266"/>
      <c r="N497" s="266"/>
      <c r="O497" s="266"/>
      <c r="P497" s="266"/>
      <c r="Q497" s="266"/>
      <c r="R497" s="266"/>
    </row>
    <row r="498" spans="1:21" ht="27.75" customHeight="1">
      <c r="A498" s="204" t="str">
        <f>IF(ISBLANK(D498)," ",387-COUNTBLANK($D$6:D498))</f>
        <v xml:space="preserve"> </v>
      </c>
      <c r="B498" s="202"/>
      <c r="C498" s="202"/>
      <c r="D498" s="202"/>
      <c r="E498" s="304"/>
      <c r="F498" s="211"/>
      <c r="G498" s="203"/>
      <c r="H498" s="203"/>
      <c r="I498" s="295"/>
      <c r="J498" s="264"/>
      <c r="K498" s="265"/>
      <c r="L498" s="266"/>
      <c r="M498" s="266"/>
      <c r="N498" s="266"/>
      <c r="O498" s="266"/>
      <c r="P498" s="266"/>
      <c r="Q498" s="266"/>
      <c r="R498" s="266"/>
    </row>
    <row r="499" spans="1:21" ht="27.75" customHeight="1">
      <c r="A499" s="204" t="str">
        <f>IF(ISBLANK(D499)," ",388-COUNTBLANK($D$6:D499))</f>
        <v xml:space="preserve"> </v>
      </c>
      <c r="B499" s="202"/>
      <c r="C499" s="202"/>
      <c r="D499" s="202"/>
      <c r="E499" s="304"/>
      <c r="F499" s="211"/>
      <c r="G499" s="203"/>
      <c r="H499" s="203"/>
      <c r="I499" s="295"/>
      <c r="J499" s="264"/>
      <c r="K499" s="265"/>
      <c r="L499" s="266"/>
      <c r="M499" s="266"/>
      <c r="N499" s="266"/>
      <c r="O499" s="266"/>
      <c r="P499" s="266"/>
      <c r="Q499" s="266"/>
      <c r="R499" s="266"/>
    </row>
    <row r="500" spans="1:21" ht="27.75" customHeight="1">
      <c r="A500" s="204" t="str">
        <f>IF(ISBLANK(D500)," ",389-COUNTBLANK($D$6:D500))</f>
        <v xml:space="preserve"> </v>
      </c>
      <c r="B500" s="202"/>
      <c r="C500" s="202"/>
      <c r="D500" s="202"/>
      <c r="E500" s="304"/>
      <c r="F500" s="211"/>
      <c r="G500" s="203"/>
      <c r="H500" s="203"/>
      <c r="I500" s="295"/>
      <c r="J500" s="264"/>
      <c r="K500" s="265"/>
      <c r="L500" s="266"/>
      <c r="M500" s="266"/>
      <c r="N500" s="266"/>
      <c r="O500" s="266"/>
      <c r="P500" s="266"/>
      <c r="Q500" s="266"/>
      <c r="R500" s="266"/>
    </row>
    <row r="501" spans="1:21" ht="27.75" customHeight="1">
      <c r="A501" s="204" t="str">
        <f>IF(ISBLANK(D501)," ",390-COUNTBLANK($D$6:D501))</f>
        <v xml:space="preserve"> </v>
      </c>
      <c r="B501" s="202"/>
      <c r="C501" s="202"/>
      <c r="D501" s="202"/>
      <c r="E501" s="304"/>
      <c r="F501" s="211"/>
      <c r="G501" s="203"/>
      <c r="H501" s="203"/>
      <c r="I501" s="295"/>
      <c r="J501" s="264"/>
      <c r="K501" s="265"/>
      <c r="L501" s="266"/>
      <c r="M501" s="266"/>
      <c r="N501" s="266"/>
      <c r="O501" s="266"/>
      <c r="P501" s="266"/>
      <c r="Q501" s="266"/>
      <c r="R501" s="266"/>
    </row>
    <row r="502" spans="1:21" ht="27.75" customHeight="1">
      <c r="A502" s="204" t="str">
        <f>IF(ISBLANK(D502)," ",391-COUNTBLANK($D$6:D502))</f>
        <v xml:space="preserve"> </v>
      </c>
      <c r="B502" s="202"/>
      <c r="C502" s="202"/>
      <c r="D502" s="202"/>
      <c r="E502" s="304"/>
      <c r="F502" s="211"/>
      <c r="G502" s="203"/>
      <c r="H502" s="203"/>
      <c r="I502" s="295"/>
      <c r="J502" s="264"/>
      <c r="K502" s="265"/>
      <c r="L502" s="266"/>
      <c r="M502" s="266"/>
      <c r="N502" s="266"/>
      <c r="O502" s="266"/>
      <c r="P502" s="266"/>
      <c r="Q502" s="266"/>
      <c r="R502" s="266"/>
    </row>
    <row r="503" spans="1:21" ht="27.75" customHeight="1">
      <c r="A503" s="204" t="str">
        <f>IF(ISBLANK(D503)," ",392-COUNTBLANK($D$6:D503))</f>
        <v xml:space="preserve"> </v>
      </c>
      <c r="B503" s="202"/>
      <c r="C503" s="202"/>
      <c r="D503" s="202"/>
      <c r="E503" s="304"/>
      <c r="F503" s="211"/>
      <c r="G503" s="203"/>
      <c r="H503" s="203"/>
      <c r="I503" s="295"/>
      <c r="J503" s="264"/>
      <c r="K503" s="265"/>
      <c r="L503" s="266"/>
      <c r="M503" s="266"/>
      <c r="N503" s="266"/>
      <c r="O503" s="266"/>
      <c r="P503" s="266"/>
      <c r="Q503" s="266"/>
      <c r="R503" s="266"/>
    </row>
    <row r="504" spans="1:21" ht="27.75" customHeight="1">
      <c r="A504" s="204" t="str">
        <f>IF(ISBLANK(D504)," ",393-COUNTBLANK($D$6:D504))</f>
        <v xml:space="preserve"> </v>
      </c>
      <c r="B504" s="202"/>
      <c r="C504" s="202"/>
      <c r="D504" s="202"/>
      <c r="E504" s="304"/>
      <c r="F504" s="211"/>
      <c r="G504" s="203"/>
      <c r="H504" s="203"/>
      <c r="I504" s="295"/>
      <c r="J504" s="264"/>
      <c r="K504" s="265"/>
      <c r="L504" s="266"/>
      <c r="M504" s="266"/>
      <c r="N504" s="266"/>
      <c r="O504" s="266"/>
      <c r="P504" s="266"/>
      <c r="Q504" s="266"/>
      <c r="R504" s="266"/>
    </row>
    <row r="505" spans="1:21" ht="27.75" customHeight="1">
      <c r="A505" s="204" t="str">
        <f>IF(ISBLANK(D505)," ",394-COUNTBLANK($D$6:D505))</f>
        <v xml:space="preserve"> </v>
      </c>
      <c r="B505" s="202"/>
      <c r="C505" s="202"/>
      <c r="D505" s="202"/>
      <c r="E505" s="304"/>
      <c r="F505" s="211"/>
      <c r="G505" s="203"/>
      <c r="H505" s="203"/>
      <c r="I505" s="295"/>
      <c r="J505" s="264"/>
      <c r="K505" s="265"/>
      <c r="L505" s="266"/>
      <c r="M505" s="266"/>
      <c r="N505" s="266"/>
      <c r="O505" s="266"/>
      <c r="P505" s="266"/>
      <c r="Q505" s="266"/>
      <c r="R505" s="266"/>
    </row>
    <row r="506" spans="1:21" ht="27.75" customHeight="1">
      <c r="A506" s="204" t="str">
        <f>IF(ISBLANK(D506)," ",395-COUNTBLANK($D$6:D506))</f>
        <v xml:space="preserve"> </v>
      </c>
      <c r="B506" s="202"/>
      <c r="C506" s="202"/>
      <c r="D506" s="202"/>
      <c r="E506" s="304"/>
      <c r="F506" s="211"/>
      <c r="G506" s="203"/>
      <c r="H506" s="203"/>
      <c r="I506" s="295"/>
      <c r="J506" s="264"/>
      <c r="K506" s="265"/>
      <c r="L506" s="266"/>
      <c r="M506" s="266"/>
      <c r="N506" s="266"/>
      <c r="O506" s="266"/>
      <c r="P506" s="266"/>
      <c r="Q506" s="266"/>
      <c r="R506" s="266"/>
    </row>
    <row r="507" spans="1:21" ht="27.75" customHeight="1">
      <c r="A507" s="204" t="str">
        <f>IF(ISBLANK(D507)," ",396-COUNTBLANK($D$6:D507))</f>
        <v xml:space="preserve"> </v>
      </c>
      <c r="B507" s="202"/>
      <c r="C507" s="202"/>
      <c r="D507" s="202"/>
      <c r="E507" s="304"/>
      <c r="F507" s="211"/>
      <c r="G507" s="203"/>
      <c r="H507" s="203"/>
      <c r="I507" s="295"/>
      <c r="J507" s="264"/>
      <c r="K507" s="265"/>
      <c r="L507" s="266"/>
      <c r="M507" s="266"/>
      <c r="N507" s="266"/>
      <c r="O507" s="266"/>
      <c r="P507" s="266"/>
      <c r="Q507" s="266"/>
      <c r="R507" s="266"/>
    </row>
    <row r="508" spans="1:21" ht="27.75" customHeight="1">
      <c r="A508" s="204" t="str">
        <f>IF(ISBLANK(D508)," ",397-COUNTBLANK($D$6:D508))</f>
        <v xml:space="preserve"> </v>
      </c>
      <c r="B508" s="202"/>
      <c r="C508" s="202"/>
      <c r="D508" s="202"/>
      <c r="E508" s="304"/>
      <c r="F508" s="211"/>
      <c r="G508" s="203"/>
      <c r="H508" s="203"/>
      <c r="I508" s="295"/>
      <c r="J508" s="264"/>
      <c r="K508" s="267"/>
      <c r="L508" s="266"/>
      <c r="M508" s="266"/>
      <c r="N508" s="266"/>
      <c r="O508" s="266"/>
      <c r="P508" s="266"/>
      <c r="Q508" s="266"/>
      <c r="R508" s="268"/>
    </row>
    <row r="509" spans="1:21" ht="27.75" customHeight="1">
      <c r="A509" s="204" t="str">
        <f>IF(ISBLANK(D509)," ",398-COUNTBLANK($D$6:D509))</f>
        <v xml:space="preserve"> </v>
      </c>
      <c r="B509" s="202"/>
      <c r="C509" s="202"/>
      <c r="D509" s="202"/>
      <c r="E509" s="304"/>
      <c r="F509" s="211"/>
      <c r="G509" s="203"/>
      <c r="H509" s="203"/>
      <c r="I509" s="295"/>
      <c r="J509" s="264"/>
      <c r="K509" s="267"/>
      <c r="L509" s="266"/>
      <c r="M509" s="266"/>
      <c r="N509" s="266"/>
      <c r="O509" s="266"/>
      <c r="P509" s="266"/>
      <c r="Q509" s="266"/>
      <c r="R509" s="268"/>
    </row>
    <row r="510" spans="1:21" ht="27.75" customHeight="1">
      <c r="A510" s="204" t="s">
        <v>58</v>
      </c>
      <c r="B510" s="202"/>
      <c r="C510" s="202"/>
      <c r="D510" s="202"/>
      <c r="E510" s="304"/>
      <c r="F510" s="211">
        <f>SUM(F490:F509)</f>
        <v>0</v>
      </c>
      <c r="G510" s="203"/>
      <c r="H510" s="203"/>
      <c r="I510" s="295"/>
      <c r="J510" s="264"/>
      <c r="K510" s="267"/>
      <c r="L510" s="266"/>
      <c r="M510" s="266"/>
      <c r="N510" s="266"/>
      <c r="O510" s="266"/>
      <c r="P510" s="266"/>
      <c r="Q510" s="266"/>
      <c r="R510" s="268"/>
    </row>
    <row r="511" spans="1:21" ht="27.75" customHeight="1">
      <c r="A511" s="204" t="str">
        <f>IF(ISBLANK(D511)," ",400-COUNTBLANK($D$6:D511))</f>
        <v xml:space="preserve"> </v>
      </c>
      <c r="B511" s="202"/>
      <c r="C511" s="202"/>
      <c r="D511" s="202"/>
      <c r="E511" s="304"/>
      <c r="F511" s="211"/>
      <c r="G511" s="203"/>
      <c r="H511" s="203"/>
      <c r="I511" s="295"/>
      <c r="J511" s="264"/>
      <c r="K511" s="267"/>
      <c r="L511" s="266"/>
      <c r="M511" s="266"/>
      <c r="N511" s="266"/>
      <c r="O511" s="266"/>
      <c r="P511" s="266"/>
      <c r="Q511" s="266"/>
      <c r="R511" s="268"/>
    </row>
    <row r="512" spans="1:21" ht="27.75" customHeight="1">
      <c r="A512" s="308" t="str">
        <f>IF(ISBLANK(D512)," ",401-COUNTBLANK($D$6:D512))</f>
        <v xml:space="preserve"> </v>
      </c>
      <c r="B512" s="300"/>
      <c r="C512" s="309"/>
      <c r="D512" s="310"/>
      <c r="E512" s="301"/>
      <c r="F512" s="302"/>
      <c r="G512" s="286"/>
      <c r="H512" s="286"/>
      <c r="I512" s="307"/>
      <c r="J512" s="264"/>
      <c r="K512" s="265"/>
      <c r="L512" s="266"/>
      <c r="M512" s="266"/>
      <c r="N512" s="266"/>
      <c r="O512" s="266"/>
      <c r="P512" s="266"/>
      <c r="Q512" s="266"/>
      <c r="R512" s="288"/>
      <c r="S512" s="266"/>
      <c r="T512" s="266"/>
      <c r="U512" s="266"/>
    </row>
    <row r="513" spans="1:21" ht="27.75" customHeight="1">
      <c r="A513" s="241" t="str">
        <f>IF(ISBLANK(D513)," ",402-COUNTBLANK($D$6:D513))</f>
        <v xml:space="preserve"> </v>
      </c>
      <c r="J513" s="264"/>
      <c r="K513" s="267"/>
      <c r="L513" s="266"/>
      <c r="M513" s="266"/>
      <c r="N513" s="266"/>
      <c r="O513" s="266"/>
      <c r="P513" s="266"/>
      <c r="Q513" s="266"/>
      <c r="R513" s="288"/>
      <c r="S513" s="266"/>
      <c r="T513" s="266"/>
      <c r="U513" s="266"/>
    </row>
    <row r="514" spans="1:21" ht="27.75" customHeight="1">
      <c r="A514" s="241" t="str">
        <f>IF(ISBLANK(D514)," ",403-COUNTBLANK($D$6:D514))</f>
        <v xml:space="preserve"> </v>
      </c>
      <c r="J514" s="264"/>
      <c r="K514" s="265"/>
      <c r="L514" s="266"/>
      <c r="M514" s="266"/>
      <c r="N514" s="266"/>
      <c r="O514" s="266"/>
      <c r="P514" s="266"/>
      <c r="Q514" s="266"/>
      <c r="R514" s="266"/>
    </row>
    <row r="515" spans="1:21" ht="27.75" customHeight="1">
      <c r="A515" s="241" t="str">
        <f>IF(ISBLANK(D515)," ",404-COUNTBLANK($D$6:D515))</f>
        <v xml:space="preserve"> </v>
      </c>
      <c r="J515" s="264"/>
      <c r="K515" s="265"/>
      <c r="L515" s="266"/>
      <c r="M515" s="266"/>
      <c r="N515" s="266"/>
      <c r="O515" s="266"/>
      <c r="P515" s="266"/>
      <c r="Q515" s="266"/>
      <c r="R515" s="266"/>
    </row>
    <row r="516" spans="1:21" ht="27.75" customHeight="1">
      <c r="A516" s="241" t="str">
        <f>IF(ISBLANK(D516)," ",405-COUNTBLANK($D$6:D516))</f>
        <v xml:space="preserve"> </v>
      </c>
      <c r="J516" s="264"/>
      <c r="K516" s="265"/>
      <c r="L516" s="266"/>
      <c r="M516" s="266"/>
      <c r="N516" s="266"/>
      <c r="O516" s="266"/>
      <c r="P516" s="266"/>
      <c r="Q516" s="266"/>
      <c r="R516" s="266"/>
    </row>
    <row r="517" spans="1:21" ht="27.75" customHeight="1">
      <c r="A517" s="241" t="str">
        <f>IF(ISBLANK(D517)," ",406-COUNTBLANK($D$6:D517))</f>
        <v xml:space="preserve"> </v>
      </c>
      <c r="J517" s="264"/>
      <c r="K517" s="265"/>
      <c r="L517" s="266"/>
      <c r="M517" s="266"/>
      <c r="N517" s="266"/>
      <c r="O517" s="266"/>
      <c r="P517" s="266"/>
      <c r="Q517" s="266"/>
      <c r="R517" s="266"/>
    </row>
    <row r="518" spans="1:21" ht="27.75" customHeight="1">
      <c r="A518" s="241" t="str">
        <f>IF(ISBLANK(D518)," ",407-COUNTBLANK($D$6:D518))</f>
        <v xml:space="preserve"> </v>
      </c>
      <c r="J518" s="264"/>
      <c r="K518" s="265"/>
      <c r="L518" s="266"/>
      <c r="M518" s="266"/>
      <c r="N518" s="266"/>
      <c r="O518" s="266"/>
      <c r="P518" s="266"/>
      <c r="Q518" s="266"/>
      <c r="R518" s="266"/>
    </row>
    <row r="519" spans="1:21" ht="27.75" customHeight="1">
      <c r="A519" s="241" t="str">
        <f>IF(ISBLANK(D519)," ",408-COUNTBLANK($D$6:D519))</f>
        <v xml:space="preserve"> </v>
      </c>
      <c r="J519" s="264"/>
      <c r="K519" s="265"/>
      <c r="L519" s="266"/>
      <c r="M519" s="266"/>
      <c r="N519" s="266"/>
      <c r="O519" s="266"/>
      <c r="P519" s="266"/>
      <c r="Q519" s="266"/>
      <c r="R519" s="266"/>
    </row>
    <row r="520" spans="1:21" ht="27.75" customHeight="1">
      <c r="A520" s="241" t="str">
        <f>IF(ISBLANK(D520)," ",409-COUNTBLANK($D$6:D520))</f>
        <v xml:space="preserve"> </v>
      </c>
      <c r="J520" s="264"/>
      <c r="K520" s="265"/>
      <c r="L520" s="266"/>
      <c r="M520" s="266"/>
      <c r="N520" s="266"/>
      <c r="O520" s="266"/>
      <c r="P520" s="266"/>
      <c r="Q520" s="266"/>
      <c r="R520" s="266"/>
    </row>
    <row r="521" spans="1:21" ht="27.75" customHeight="1">
      <c r="A521" s="241" t="str">
        <f>IF(ISBLANK(D521)," ",410-COUNTBLANK($D$6:D521))</f>
        <v xml:space="preserve"> </v>
      </c>
      <c r="J521" s="264"/>
      <c r="K521" s="265"/>
      <c r="L521" s="266"/>
      <c r="M521" s="266"/>
      <c r="N521" s="266"/>
      <c r="O521" s="266"/>
      <c r="P521" s="266"/>
      <c r="Q521" s="266"/>
      <c r="R521" s="266"/>
    </row>
    <row r="522" spans="1:21" ht="27.75" customHeight="1">
      <c r="A522" s="241" t="str">
        <f>IF(ISBLANK(D522)," ",411-COUNTBLANK($D$6:D522))</f>
        <v xml:space="preserve"> </v>
      </c>
      <c r="J522" s="264"/>
      <c r="K522" s="265"/>
      <c r="L522" s="266"/>
      <c r="M522" s="266"/>
      <c r="N522" s="266"/>
      <c r="O522" s="266"/>
      <c r="P522" s="266"/>
      <c r="Q522" s="266"/>
      <c r="R522" s="266"/>
    </row>
    <row r="523" spans="1:21" ht="27.75" customHeight="1">
      <c r="A523" s="241" t="str">
        <f>IF(ISBLANK(D523)," ",412-COUNTBLANK($D$6:D523))</f>
        <v xml:space="preserve"> </v>
      </c>
      <c r="J523" s="264"/>
      <c r="K523" s="265"/>
      <c r="L523" s="266"/>
      <c r="M523" s="266"/>
      <c r="N523" s="266"/>
      <c r="O523" s="266"/>
      <c r="P523" s="266"/>
      <c r="Q523" s="266"/>
      <c r="R523" s="266"/>
    </row>
    <row r="524" spans="1:21" ht="27.75" customHeight="1">
      <c r="A524" s="241" t="str">
        <f>IF(ISBLANK(D524)," ",413-COUNTBLANK($D$6:D524))</f>
        <v xml:space="preserve"> </v>
      </c>
      <c r="J524" s="264"/>
      <c r="K524" s="265"/>
      <c r="L524" s="266"/>
      <c r="M524" s="266"/>
      <c r="N524" s="266"/>
      <c r="O524" s="266"/>
      <c r="P524" s="266"/>
      <c r="Q524" s="266"/>
      <c r="R524" s="266"/>
    </row>
    <row r="525" spans="1:21" ht="27.75" customHeight="1">
      <c r="A525" s="241" t="str">
        <f>IF(ISBLANK(D525)," ",414-COUNTBLANK($D$6:D525))</f>
        <v xml:space="preserve"> </v>
      </c>
      <c r="J525" s="264"/>
      <c r="K525" s="265"/>
      <c r="L525" s="266"/>
      <c r="M525" s="266"/>
      <c r="N525" s="266"/>
      <c r="O525" s="266"/>
      <c r="P525" s="266"/>
      <c r="Q525" s="266"/>
      <c r="R525" s="266"/>
    </row>
    <row r="526" spans="1:21" ht="27.75" customHeight="1">
      <c r="A526" s="241" t="str">
        <f>IF(ISBLANK(D526)," ",415-COUNTBLANK($D$6:D526))</f>
        <v xml:space="preserve"> </v>
      </c>
      <c r="J526" s="264"/>
      <c r="K526" s="265"/>
      <c r="L526" s="266"/>
      <c r="M526" s="266"/>
      <c r="N526" s="266"/>
      <c r="O526" s="266"/>
      <c r="P526" s="266"/>
      <c r="Q526" s="266"/>
      <c r="R526" s="266"/>
    </row>
    <row r="527" spans="1:21" ht="27.75" customHeight="1">
      <c r="A527" s="241" t="str">
        <f>IF(ISBLANK(D527)," ",416-COUNTBLANK($D$6:D527))</f>
        <v xml:space="preserve"> </v>
      </c>
      <c r="J527" s="264"/>
      <c r="K527" s="265"/>
      <c r="L527" s="266"/>
      <c r="M527" s="266"/>
      <c r="N527" s="266"/>
      <c r="O527" s="266"/>
      <c r="P527" s="266"/>
      <c r="Q527" s="266"/>
      <c r="R527" s="266"/>
    </row>
    <row r="528" spans="1:21" ht="27.75" customHeight="1">
      <c r="A528" s="241" t="str">
        <f>IF(ISBLANK(D528)," ",417-COUNTBLANK($D$6:D528))</f>
        <v xml:space="preserve"> </v>
      </c>
      <c r="J528" s="264"/>
      <c r="K528" s="265"/>
      <c r="L528" s="266"/>
      <c r="M528" s="266"/>
      <c r="N528" s="266"/>
      <c r="O528" s="266"/>
      <c r="P528" s="266"/>
      <c r="Q528" s="266"/>
      <c r="R528" s="266"/>
    </row>
    <row r="529" spans="1:21" ht="27.75" customHeight="1">
      <c r="A529" s="241" t="str">
        <f>IF(ISBLANK(D529)," ",418-COUNTBLANK($D$6:D529))</f>
        <v xml:space="preserve"> </v>
      </c>
      <c r="J529" s="264"/>
      <c r="K529" s="267"/>
      <c r="L529" s="266"/>
      <c r="M529" s="266"/>
      <c r="N529" s="266"/>
      <c r="O529" s="266"/>
      <c r="P529" s="266"/>
      <c r="Q529" s="266"/>
      <c r="R529" s="268"/>
    </row>
    <row r="530" spans="1:21" ht="27.75" customHeight="1">
      <c r="A530" s="241" t="str">
        <f>IF(ISBLANK(D530)," ",419-COUNTBLANK($D$6:D530))</f>
        <v xml:space="preserve"> </v>
      </c>
      <c r="J530" s="264"/>
      <c r="K530" s="267"/>
      <c r="L530" s="266"/>
      <c r="M530" s="266"/>
      <c r="N530" s="266"/>
      <c r="O530" s="266"/>
      <c r="P530" s="266"/>
      <c r="Q530" s="266"/>
      <c r="R530" s="268"/>
    </row>
    <row r="531" spans="1:21" ht="27.75" customHeight="1">
      <c r="A531" s="241" t="s">
        <v>58</v>
      </c>
      <c r="F531" s="313">
        <f>SUM(F511:F530)</f>
        <v>0</v>
      </c>
      <c r="J531" s="264"/>
      <c r="K531" s="267"/>
      <c r="L531" s="266"/>
      <c r="M531" s="266"/>
      <c r="N531" s="266"/>
      <c r="O531" s="266"/>
      <c r="P531" s="266"/>
      <c r="Q531" s="266"/>
      <c r="R531" s="268"/>
    </row>
    <row r="532" spans="1:21" ht="27.75" customHeight="1">
      <c r="A532" s="241" t="str">
        <f>IF(ISBLANK(D532)," ",421-COUNTBLANK($D$6:D532))</f>
        <v xml:space="preserve"> </v>
      </c>
      <c r="J532" s="264"/>
      <c r="K532" s="267"/>
      <c r="L532" s="266"/>
      <c r="M532" s="266"/>
      <c r="N532" s="266"/>
      <c r="O532" s="266"/>
      <c r="P532" s="266"/>
      <c r="Q532" s="266"/>
      <c r="R532" s="268"/>
    </row>
    <row r="533" spans="1:21" ht="27.75" customHeight="1">
      <c r="A533" s="241" t="str">
        <f>IF(ISBLANK(D533)," ",422-COUNTBLANK($D$6:D533))</f>
        <v xml:space="preserve"> </v>
      </c>
      <c r="J533" s="264"/>
      <c r="K533" s="265"/>
      <c r="L533" s="266"/>
      <c r="M533" s="266"/>
      <c r="N533" s="266"/>
      <c r="O533" s="266"/>
      <c r="P533" s="266"/>
      <c r="Q533" s="266"/>
      <c r="R533" s="288"/>
      <c r="S533" s="266"/>
      <c r="T533" s="266"/>
      <c r="U533" s="266"/>
    </row>
    <row r="534" spans="1:21" ht="27.75" customHeight="1">
      <c r="A534" s="241" t="str">
        <f>IF(ISBLANK(D534)," ",423-COUNTBLANK($D$6:D534))</f>
        <v xml:space="preserve"> </v>
      </c>
      <c r="J534" s="264"/>
      <c r="K534" s="267"/>
      <c r="L534" s="266"/>
      <c r="M534" s="266"/>
      <c r="N534" s="266"/>
      <c r="O534" s="266"/>
      <c r="P534" s="266"/>
      <c r="Q534" s="266"/>
      <c r="R534" s="288"/>
      <c r="S534" s="266"/>
      <c r="T534" s="266"/>
      <c r="U534" s="266"/>
    </row>
    <row r="535" spans="1:21" ht="27.75" customHeight="1">
      <c r="A535" s="241" t="str">
        <f>IF(ISBLANK(D535)," ",424-COUNTBLANK($D$6:D535))</f>
        <v xml:space="preserve"> </v>
      </c>
      <c r="J535" s="264"/>
      <c r="K535" s="265"/>
      <c r="L535" s="266"/>
      <c r="M535" s="266"/>
      <c r="N535" s="266"/>
      <c r="O535" s="266"/>
      <c r="P535" s="266"/>
      <c r="Q535" s="266"/>
      <c r="R535" s="266"/>
    </row>
    <row r="536" spans="1:21" ht="27.75" customHeight="1">
      <c r="A536" s="241" t="str">
        <f>IF(ISBLANK(D536)," ",425-COUNTBLANK($D$6:D536))</f>
        <v xml:space="preserve"> </v>
      </c>
      <c r="J536" s="264"/>
      <c r="K536" s="265"/>
      <c r="L536" s="266"/>
      <c r="M536" s="266"/>
      <c r="N536" s="266"/>
      <c r="O536" s="266"/>
      <c r="P536" s="266"/>
      <c r="Q536" s="266"/>
      <c r="R536" s="266"/>
    </row>
    <row r="537" spans="1:21" ht="27.75" customHeight="1">
      <c r="A537" s="241" t="str">
        <f>IF(ISBLANK(D537)," ",426-COUNTBLANK($D$6:D537))</f>
        <v xml:space="preserve"> </v>
      </c>
      <c r="J537" s="264"/>
      <c r="K537" s="265"/>
      <c r="L537" s="266"/>
      <c r="M537" s="266"/>
      <c r="N537" s="266"/>
      <c r="O537" s="266"/>
      <c r="P537" s="266"/>
      <c r="Q537" s="266"/>
      <c r="R537" s="266"/>
    </row>
    <row r="538" spans="1:21" ht="27.75" customHeight="1">
      <c r="A538" s="241" t="str">
        <f>IF(ISBLANK(D538)," ",427-COUNTBLANK($D$6:D538))</f>
        <v xml:space="preserve"> </v>
      </c>
      <c r="J538" s="264"/>
      <c r="K538" s="265"/>
      <c r="L538" s="266"/>
      <c r="M538" s="266"/>
      <c r="N538" s="266"/>
      <c r="O538" s="266"/>
      <c r="P538" s="266"/>
      <c r="Q538" s="266"/>
      <c r="R538" s="266"/>
    </row>
    <row r="539" spans="1:21" ht="27.75" customHeight="1">
      <c r="A539" s="241" t="str">
        <f>IF(ISBLANK(D539)," ",428-COUNTBLANK($D$6:D539))</f>
        <v xml:space="preserve"> </v>
      </c>
      <c r="J539" s="264"/>
      <c r="K539" s="265"/>
      <c r="L539" s="266"/>
      <c r="M539" s="266"/>
      <c r="N539" s="266"/>
      <c r="O539" s="266"/>
      <c r="P539" s="266"/>
      <c r="Q539" s="266"/>
      <c r="R539" s="266"/>
    </row>
    <row r="540" spans="1:21" ht="27.75" customHeight="1">
      <c r="A540" s="241" t="str">
        <f>IF(ISBLANK(D540)," ",429-COUNTBLANK($D$6:D540))</f>
        <v xml:space="preserve"> </v>
      </c>
      <c r="J540" s="264"/>
      <c r="K540" s="265"/>
      <c r="L540" s="266"/>
      <c r="M540" s="266"/>
      <c r="N540" s="266"/>
      <c r="O540" s="266"/>
      <c r="P540" s="266"/>
      <c r="Q540" s="266"/>
      <c r="R540" s="266"/>
    </row>
    <row r="541" spans="1:21" ht="27.75" customHeight="1">
      <c r="A541" s="241" t="str">
        <f>IF(ISBLANK(D541)," ",430-COUNTBLANK($D$6:D541))</f>
        <v xml:space="preserve"> </v>
      </c>
      <c r="J541" s="264"/>
      <c r="K541" s="265"/>
      <c r="L541" s="266"/>
      <c r="M541" s="266"/>
      <c r="N541" s="266"/>
      <c r="O541" s="266"/>
      <c r="P541" s="266"/>
      <c r="Q541" s="266"/>
      <c r="R541" s="266"/>
    </row>
    <row r="542" spans="1:21" ht="27.75" customHeight="1">
      <c r="A542" s="241" t="str">
        <f>IF(ISBLANK(D542)," ",431-COUNTBLANK($D$6:D542))</f>
        <v xml:space="preserve"> </v>
      </c>
      <c r="J542" s="264"/>
      <c r="K542" s="265"/>
      <c r="L542" s="266"/>
      <c r="M542" s="266"/>
      <c r="N542" s="266"/>
      <c r="O542" s="266"/>
      <c r="P542" s="266"/>
      <c r="Q542" s="266"/>
      <c r="R542" s="266"/>
    </row>
    <row r="543" spans="1:21" ht="27.75" customHeight="1">
      <c r="A543" s="241" t="str">
        <f>IF(ISBLANK(D543)," ",432-COUNTBLANK($D$6:D543))</f>
        <v xml:space="preserve"> </v>
      </c>
      <c r="J543" s="264"/>
      <c r="K543" s="265"/>
      <c r="L543" s="266"/>
      <c r="M543" s="266"/>
      <c r="N543" s="266"/>
      <c r="O543" s="266"/>
      <c r="P543" s="266"/>
      <c r="Q543" s="266"/>
      <c r="R543" s="266"/>
    </row>
    <row r="544" spans="1:21" ht="27.75" customHeight="1">
      <c r="A544" s="241" t="str">
        <f>IF(ISBLANK(D544)," ",433-COUNTBLANK($D$6:D544))</f>
        <v xml:space="preserve"> </v>
      </c>
      <c r="J544" s="264"/>
      <c r="K544" s="265"/>
      <c r="L544" s="266"/>
      <c r="M544" s="266"/>
      <c r="N544" s="266"/>
      <c r="O544" s="266"/>
      <c r="P544" s="266"/>
      <c r="Q544" s="266"/>
      <c r="R544" s="266"/>
    </row>
    <row r="545" spans="1:21" ht="27.75" customHeight="1">
      <c r="A545" s="241" t="str">
        <f>IF(ISBLANK(D545)," ",434-COUNTBLANK($D$6:D545))</f>
        <v xml:space="preserve"> </v>
      </c>
      <c r="J545" s="264"/>
      <c r="K545" s="265"/>
      <c r="L545" s="266"/>
      <c r="M545" s="266"/>
      <c r="N545" s="266"/>
      <c r="O545" s="266"/>
      <c r="P545" s="266"/>
      <c r="Q545" s="266"/>
      <c r="R545" s="266"/>
    </row>
    <row r="546" spans="1:21" ht="27.75" customHeight="1">
      <c r="A546" s="241" t="str">
        <f>IF(ISBLANK(D546)," ",435-COUNTBLANK($D$6:D546))</f>
        <v xml:space="preserve"> </v>
      </c>
      <c r="J546" s="264"/>
      <c r="K546" s="265"/>
      <c r="L546" s="266"/>
      <c r="M546" s="266"/>
      <c r="N546" s="266"/>
      <c r="O546" s="266"/>
      <c r="P546" s="266"/>
      <c r="Q546" s="266"/>
      <c r="R546" s="266"/>
    </row>
    <row r="547" spans="1:21" ht="27.75" customHeight="1">
      <c r="A547" s="241" t="str">
        <f>IF(ISBLANK(D547)," ",436-COUNTBLANK($D$6:D547))</f>
        <v xml:space="preserve"> </v>
      </c>
      <c r="J547" s="264"/>
      <c r="K547" s="265"/>
      <c r="L547" s="266"/>
      <c r="M547" s="266"/>
      <c r="N547" s="266"/>
      <c r="O547" s="266"/>
      <c r="P547" s="266"/>
      <c r="Q547" s="266"/>
      <c r="R547" s="266"/>
    </row>
    <row r="548" spans="1:21" ht="27.75" customHeight="1">
      <c r="A548" s="241" t="str">
        <f>IF(ISBLANK(D548)," ",437-COUNTBLANK($D$6:D548))</f>
        <v xml:space="preserve"> </v>
      </c>
      <c r="J548" s="264"/>
      <c r="K548" s="265"/>
      <c r="L548" s="266"/>
      <c r="M548" s="266"/>
      <c r="N548" s="266"/>
      <c r="O548" s="266"/>
      <c r="P548" s="266"/>
      <c r="Q548" s="266"/>
      <c r="R548" s="266"/>
    </row>
    <row r="549" spans="1:21" ht="27.75" customHeight="1">
      <c r="A549" s="241" t="str">
        <f>IF(ISBLANK(D549)," ",438-COUNTBLANK($D$6:D549))</f>
        <v xml:space="preserve"> </v>
      </c>
      <c r="J549" s="264"/>
      <c r="K549" s="265"/>
      <c r="L549" s="266"/>
      <c r="M549" s="266"/>
      <c r="N549" s="266"/>
      <c r="O549" s="266"/>
      <c r="P549" s="266"/>
      <c r="Q549" s="266"/>
      <c r="R549" s="266"/>
    </row>
    <row r="550" spans="1:21" ht="27.75" customHeight="1">
      <c r="A550" s="241" t="str">
        <f>IF(ISBLANK(D550)," ",439-COUNTBLANK($D$6:D550))</f>
        <v xml:space="preserve"> </v>
      </c>
      <c r="J550" s="264"/>
      <c r="K550" s="267"/>
      <c r="L550" s="266"/>
      <c r="M550" s="266"/>
      <c r="N550" s="266"/>
      <c r="O550" s="266"/>
      <c r="P550" s="266"/>
      <c r="Q550" s="266"/>
      <c r="R550" s="268"/>
    </row>
    <row r="551" spans="1:21" ht="27.75" customHeight="1">
      <c r="A551" s="241" t="str">
        <f>IF(ISBLANK(D551)," ",440-COUNTBLANK($D$6:D551))</f>
        <v xml:space="preserve"> </v>
      </c>
      <c r="J551" s="264"/>
      <c r="K551" s="267"/>
      <c r="L551" s="266"/>
      <c r="M551" s="266"/>
      <c r="N551" s="266"/>
      <c r="O551" s="266"/>
      <c r="P551" s="266"/>
      <c r="Q551" s="266"/>
      <c r="R551" s="268"/>
    </row>
    <row r="552" spans="1:21" ht="27.75" customHeight="1">
      <c r="A552" s="241" t="s">
        <v>58</v>
      </c>
      <c r="F552" s="313">
        <f>SUM(F532:F551)</f>
        <v>0</v>
      </c>
      <c r="J552" s="264"/>
      <c r="K552" s="267"/>
      <c r="L552" s="266"/>
      <c r="M552" s="266"/>
      <c r="N552" s="266"/>
      <c r="O552" s="266"/>
      <c r="P552" s="266"/>
      <c r="Q552" s="266"/>
      <c r="R552" s="268"/>
    </row>
    <row r="553" spans="1:21" ht="27.75" customHeight="1">
      <c r="A553" s="241" t="str">
        <f>IF(ISBLANK(D553)," ",442-COUNTBLANK($D$6:D553))</f>
        <v xml:space="preserve"> </v>
      </c>
      <c r="J553" s="264"/>
      <c r="K553" s="267"/>
      <c r="L553" s="266"/>
      <c r="M553" s="266"/>
      <c r="N553" s="266"/>
      <c r="O553" s="266"/>
      <c r="P553" s="266"/>
      <c r="Q553" s="266"/>
      <c r="R553" s="268"/>
    </row>
    <row r="554" spans="1:21" ht="27.75" customHeight="1">
      <c r="A554" s="241" t="str">
        <f>IF(ISBLANK(D554)," ",443-COUNTBLANK($D$6:D554))</f>
        <v xml:space="preserve"> </v>
      </c>
      <c r="J554" s="264"/>
      <c r="K554" s="265"/>
      <c r="L554" s="266"/>
      <c r="M554" s="266"/>
      <c r="N554" s="266"/>
      <c r="O554" s="266"/>
      <c r="P554" s="266"/>
      <c r="Q554" s="266"/>
      <c r="R554" s="288"/>
      <c r="S554" s="266"/>
      <c r="T554" s="266"/>
      <c r="U554" s="266"/>
    </row>
    <row r="555" spans="1:21" ht="27.75" customHeight="1">
      <c r="A555" s="241" t="str">
        <f>IF(ISBLANK(D555)," ",444-COUNTBLANK($D$6:D555))</f>
        <v xml:space="preserve"> </v>
      </c>
      <c r="J555" s="264"/>
      <c r="K555" s="267"/>
      <c r="L555" s="266"/>
      <c r="M555" s="266"/>
      <c r="N555" s="266"/>
      <c r="O555" s="266"/>
      <c r="P555" s="266"/>
      <c r="Q555" s="266"/>
      <c r="R555" s="288"/>
      <c r="S555" s="266"/>
      <c r="T555" s="266"/>
      <c r="U555" s="266"/>
    </row>
    <row r="556" spans="1:21" ht="27.75" customHeight="1">
      <c r="A556" s="241" t="str">
        <f>IF(ISBLANK(D556)," ",445-COUNTBLANK($D$6:D556))</f>
        <v xml:space="preserve"> </v>
      </c>
      <c r="J556" s="264"/>
      <c r="K556" s="265"/>
      <c r="L556" s="266"/>
      <c r="M556" s="266"/>
      <c r="N556" s="266"/>
      <c r="O556" s="266"/>
      <c r="P556" s="266"/>
      <c r="Q556" s="266"/>
      <c r="R556" s="266"/>
    </row>
    <row r="557" spans="1:21" ht="27.75" customHeight="1">
      <c r="A557" s="241" t="str">
        <f>IF(ISBLANK(D557)," ",446-COUNTBLANK($D$6:D557))</f>
        <v xml:space="preserve"> </v>
      </c>
      <c r="J557" s="264"/>
      <c r="K557" s="265"/>
      <c r="L557" s="266"/>
      <c r="M557" s="266"/>
      <c r="N557" s="266"/>
      <c r="O557" s="266"/>
      <c r="P557" s="266"/>
      <c r="Q557" s="266"/>
      <c r="R557" s="266"/>
    </row>
    <row r="558" spans="1:21" ht="27.75" customHeight="1">
      <c r="A558" s="241" t="str">
        <f>IF(ISBLANK(D558)," ",447-COUNTBLANK($D$6:D558))</f>
        <v xml:space="preserve"> </v>
      </c>
      <c r="J558" s="264"/>
      <c r="K558" s="265"/>
      <c r="L558" s="266"/>
      <c r="M558" s="266"/>
      <c r="N558" s="266"/>
      <c r="O558" s="266"/>
      <c r="P558" s="266"/>
      <c r="Q558" s="266"/>
      <c r="R558" s="266"/>
    </row>
    <row r="559" spans="1:21" ht="27.75" customHeight="1">
      <c r="A559" s="241" t="str">
        <f>IF(ISBLANK(D559)," ",448-COUNTBLANK($D$6:D559))</f>
        <v xml:space="preserve"> </v>
      </c>
      <c r="J559" s="264"/>
      <c r="K559" s="265"/>
      <c r="L559" s="266"/>
      <c r="M559" s="266"/>
      <c r="N559" s="266"/>
      <c r="O559" s="266"/>
      <c r="P559" s="266"/>
      <c r="Q559" s="266"/>
      <c r="R559" s="266"/>
    </row>
    <row r="560" spans="1:21" ht="27.75" customHeight="1">
      <c r="A560" s="241" t="str">
        <f>IF(ISBLANK(D560)," ",449-COUNTBLANK($D$6:D560))</f>
        <v xml:space="preserve"> </v>
      </c>
      <c r="J560" s="264"/>
      <c r="K560" s="265"/>
      <c r="L560" s="266"/>
      <c r="M560" s="266"/>
      <c r="N560" s="266"/>
      <c r="O560" s="266"/>
      <c r="P560" s="266"/>
      <c r="Q560" s="266"/>
      <c r="R560" s="266"/>
    </row>
    <row r="561" spans="1:21" ht="27.75" customHeight="1">
      <c r="A561" s="241" t="str">
        <f>IF(ISBLANK(D561)," ",450-COUNTBLANK($D$6:D561))</f>
        <v xml:space="preserve"> </v>
      </c>
      <c r="J561" s="264"/>
      <c r="K561" s="265"/>
      <c r="L561" s="266"/>
      <c r="M561" s="266"/>
      <c r="N561" s="266"/>
      <c r="O561" s="266"/>
      <c r="P561" s="266"/>
      <c r="Q561" s="266"/>
      <c r="R561" s="266"/>
    </row>
    <row r="562" spans="1:21" ht="27.75" customHeight="1">
      <c r="A562" s="241" t="str">
        <f>IF(ISBLANK(D562)," ",451-COUNTBLANK($D$6:D562))</f>
        <v xml:space="preserve"> </v>
      </c>
      <c r="J562" s="264"/>
      <c r="K562" s="265"/>
      <c r="L562" s="266"/>
      <c r="M562" s="266"/>
      <c r="N562" s="266"/>
      <c r="O562" s="266"/>
      <c r="P562" s="266"/>
      <c r="Q562" s="266"/>
      <c r="R562" s="266"/>
    </row>
    <row r="563" spans="1:21" ht="27.75" customHeight="1">
      <c r="A563" s="241" t="str">
        <f>IF(ISBLANK(D563)," ",452-COUNTBLANK($D$6:D563))</f>
        <v xml:space="preserve"> </v>
      </c>
      <c r="J563" s="264"/>
      <c r="K563" s="265"/>
      <c r="L563" s="266"/>
      <c r="M563" s="266"/>
      <c r="N563" s="266"/>
      <c r="O563" s="266"/>
      <c r="P563" s="266"/>
      <c r="Q563" s="266"/>
      <c r="R563" s="266"/>
    </row>
    <row r="564" spans="1:21" ht="27.75" customHeight="1">
      <c r="A564" s="241" t="str">
        <f>IF(ISBLANK(D564)," ",453-COUNTBLANK($D$6:D564))</f>
        <v xml:space="preserve"> </v>
      </c>
      <c r="J564" s="264"/>
      <c r="K564" s="265"/>
      <c r="L564" s="266"/>
      <c r="M564" s="266"/>
      <c r="N564" s="266"/>
      <c r="O564" s="266"/>
      <c r="P564" s="266"/>
      <c r="Q564" s="266"/>
      <c r="R564" s="266"/>
    </row>
    <row r="565" spans="1:21" ht="27.75" customHeight="1">
      <c r="A565" s="241" t="str">
        <f>IF(ISBLANK(D565)," ",454-COUNTBLANK($D$6:D565))</f>
        <v xml:space="preserve"> </v>
      </c>
      <c r="J565" s="264"/>
      <c r="K565" s="265"/>
      <c r="L565" s="266"/>
      <c r="M565" s="266"/>
      <c r="N565" s="266"/>
      <c r="O565" s="266"/>
      <c r="P565" s="266"/>
      <c r="Q565" s="266"/>
      <c r="R565" s="266"/>
    </row>
    <row r="566" spans="1:21" ht="27.75" customHeight="1">
      <c r="A566" s="241" t="str">
        <f>IF(ISBLANK(D566)," ",455-COUNTBLANK($D$6:D566))</f>
        <v xml:space="preserve"> </v>
      </c>
      <c r="J566" s="264"/>
      <c r="K566" s="265"/>
      <c r="L566" s="266"/>
      <c r="M566" s="266"/>
      <c r="N566" s="266"/>
      <c r="O566" s="266"/>
      <c r="P566" s="266"/>
      <c r="Q566" s="266"/>
      <c r="R566" s="266"/>
    </row>
    <row r="567" spans="1:21" ht="27.75" customHeight="1">
      <c r="A567" s="241" t="str">
        <f>IF(ISBLANK(D567)," ",456-COUNTBLANK($D$6:D567))</f>
        <v xml:space="preserve"> </v>
      </c>
      <c r="J567" s="264"/>
      <c r="K567" s="265"/>
      <c r="L567" s="266"/>
      <c r="M567" s="266"/>
      <c r="N567" s="266"/>
      <c r="O567" s="266"/>
      <c r="P567" s="266"/>
      <c r="Q567" s="266"/>
      <c r="R567" s="266"/>
    </row>
    <row r="568" spans="1:21" ht="27.75" customHeight="1">
      <c r="A568" s="241" t="str">
        <f>IF(ISBLANK(D568)," ",457-COUNTBLANK($D$6:D568))</f>
        <v xml:space="preserve"> </v>
      </c>
      <c r="J568" s="264"/>
      <c r="K568" s="265"/>
      <c r="L568" s="266"/>
      <c r="M568" s="266"/>
      <c r="N568" s="266"/>
      <c r="O568" s="266"/>
      <c r="P568" s="266"/>
      <c r="Q568" s="266"/>
      <c r="R568" s="266"/>
    </row>
    <row r="569" spans="1:21" ht="27.75" customHeight="1">
      <c r="A569" s="241" t="str">
        <f>IF(ISBLANK(D569)," ",458-COUNTBLANK($D$6:D569))</f>
        <v xml:space="preserve"> </v>
      </c>
      <c r="J569" s="264"/>
      <c r="K569" s="265"/>
      <c r="L569" s="266"/>
      <c r="M569" s="266"/>
      <c r="N569" s="266"/>
      <c r="O569" s="266"/>
      <c r="P569" s="266"/>
      <c r="Q569" s="266"/>
      <c r="R569" s="266"/>
    </row>
    <row r="570" spans="1:21" ht="27.75" customHeight="1">
      <c r="A570" s="241" t="str">
        <f>IF(ISBLANK(D570)," ",459-COUNTBLANK($D$6:D570))</f>
        <v xml:space="preserve"> </v>
      </c>
      <c r="J570" s="264"/>
      <c r="K570" s="265"/>
      <c r="L570" s="266"/>
      <c r="M570" s="266"/>
      <c r="N570" s="266"/>
      <c r="O570" s="266"/>
      <c r="P570" s="266"/>
      <c r="Q570" s="266"/>
      <c r="R570" s="266"/>
    </row>
    <row r="571" spans="1:21" ht="27.75" customHeight="1">
      <c r="A571" s="241" t="str">
        <f>IF(ISBLANK(D571)," ",460-COUNTBLANK($D$6:D571))</f>
        <v xml:space="preserve"> </v>
      </c>
      <c r="J571" s="264"/>
      <c r="K571" s="267"/>
      <c r="L571" s="266"/>
      <c r="M571" s="266"/>
      <c r="N571" s="266"/>
      <c r="O571" s="266"/>
      <c r="P571" s="266"/>
      <c r="Q571" s="266"/>
      <c r="R571" s="268"/>
    </row>
    <row r="572" spans="1:21" ht="27.75" customHeight="1">
      <c r="A572" s="241" t="str">
        <f>IF(ISBLANK(D572)," ",461-COUNTBLANK($D$6:D572))</f>
        <v xml:space="preserve"> </v>
      </c>
      <c r="J572" s="264"/>
      <c r="K572" s="267"/>
      <c r="L572" s="266"/>
      <c r="M572" s="266"/>
      <c r="N572" s="266"/>
      <c r="O572" s="266"/>
      <c r="P572" s="266"/>
      <c r="Q572" s="266"/>
      <c r="R572" s="268"/>
    </row>
    <row r="573" spans="1:21" ht="27.75" customHeight="1">
      <c r="A573" s="241" t="s">
        <v>58</v>
      </c>
      <c r="F573" s="313">
        <f>SUM(F553:F572)</f>
        <v>0</v>
      </c>
      <c r="J573" s="264"/>
      <c r="K573" s="267"/>
      <c r="L573" s="266"/>
      <c r="M573" s="266"/>
      <c r="N573" s="266"/>
      <c r="O573" s="266"/>
      <c r="P573" s="266"/>
      <c r="Q573" s="266"/>
      <c r="R573" s="268"/>
    </row>
    <row r="574" spans="1:21" ht="27.75" customHeight="1">
      <c r="A574" s="241" t="str">
        <f>IF(ISBLANK(D574)," ",463-COUNTBLANK($D$6:D574))</f>
        <v xml:space="preserve"> </v>
      </c>
      <c r="J574" s="264"/>
      <c r="K574" s="267"/>
      <c r="L574" s="266"/>
      <c r="M574" s="266"/>
      <c r="N574" s="266"/>
      <c r="O574" s="266"/>
      <c r="P574" s="266"/>
      <c r="Q574" s="266"/>
      <c r="R574" s="268"/>
    </row>
    <row r="575" spans="1:21" ht="27.75" customHeight="1">
      <c r="A575" s="241" t="str">
        <f>IF(ISBLANK(D575)," ",464-COUNTBLANK($D$6:D575))</f>
        <v xml:space="preserve"> </v>
      </c>
      <c r="J575" s="264"/>
      <c r="K575" s="265"/>
      <c r="L575" s="266"/>
      <c r="M575" s="266"/>
      <c r="N575" s="266"/>
      <c r="O575" s="266"/>
      <c r="P575" s="266"/>
      <c r="Q575" s="266"/>
      <c r="R575" s="288"/>
      <c r="S575" s="266"/>
      <c r="T575" s="266"/>
      <c r="U575" s="266"/>
    </row>
    <row r="576" spans="1:21" ht="27.75" customHeight="1">
      <c r="A576" s="241" t="str">
        <f>IF(ISBLANK(D576)," ",465-COUNTBLANK($D$6:D576))</f>
        <v xml:space="preserve"> </v>
      </c>
      <c r="J576" s="264"/>
      <c r="K576" s="267"/>
      <c r="L576" s="266"/>
      <c r="M576" s="266"/>
      <c r="N576" s="266"/>
      <c r="O576" s="266"/>
      <c r="P576" s="266"/>
      <c r="Q576" s="266"/>
      <c r="R576" s="288"/>
      <c r="S576" s="266"/>
      <c r="T576" s="266"/>
      <c r="U576" s="266"/>
    </row>
    <row r="577" spans="1:18" ht="27.75" customHeight="1">
      <c r="A577" s="241" t="str">
        <f>IF(ISBLANK(D577)," ",466-COUNTBLANK($D$6:D577))</f>
        <v xml:space="preserve"> </v>
      </c>
      <c r="J577" s="264"/>
      <c r="K577" s="265"/>
      <c r="L577" s="266"/>
      <c r="M577" s="266"/>
      <c r="N577" s="266"/>
      <c r="O577" s="266"/>
      <c r="P577" s="266"/>
      <c r="Q577" s="266"/>
      <c r="R577" s="266"/>
    </row>
    <row r="578" spans="1:18" ht="27.75" customHeight="1">
      <c r="A578" s="241" t="str">
        <f>IF(ISBLANK(D578)," ",467-COUNTBLANK($D$6:D578))</f>
        <v xml:space="preserve"> </v>
      </c>
      <c r="J578" s="264"/>
      <c r="K578" s="265"/>
      <c r="L578" s="266"/>
      <c r="M578" s="266"/>
      <c r="N578" s="266"/>
      <c r="O578" s="266"/>
      <c r="P578" s="266"/>
      <c r="Q578" s="266"/>
      <c r="R578" s="266"/>
    </row>
    <row r="579" spans="1:18" ht="27.75" customHeight="1">
      <c r="A579" s="241" t="str">
        <f>IF(ISBLANK(D579)," ",468-COUNTBLANK($D$6:D579))</f>
        <v xml:space="preserve"> </v>
      </c>
      <c r="J579" s="264"/>
      <c r="K579" s="265"/>
      <c r="L579" s="266"/>
      <c r="M579" s="266"/>
      <c r="N579" s="266"/>
      <c r="O579" s="266"/>
      <c r="P579" s="266"/>
      <c r="Q579" s="266"/>
      <c r="R579" s="266"/>
    </row>
    <row r="580" spans="1:18" ht="27.75" customHeight="1">
      <c r="A580" s="241" t="str">
        <f>IF(ISBLANK(D580)," ",469-COUNTBLANK($D$6:D580))</f>
        <v xml:space="preserve"> </v>
      </c>
      <c r="J580" s="264"/>
      <c r="K580" s="265"/>
      <c r="L580" s="266"/>
      <c r="M580" s="266"/>
      <c r="N580" s="266"/>
      <c r="O580" s="266"/>
      <c r="P580" s="266"/>
      <c r="Q580" s="266"/>
      <c r="R580" s="266"/>
    </row>
    <row r="581" spans="1:18" ht="27.75" customHeight="1">
      <c r="A581" s="241" t="str">
        <f>IF(ISBLANK(D581)," ",470-COUNTBLANK($D$6:D581))</f>
        <v xml:space="preserve"> </v>
      </c>
      <c r="J581" s="264"/>
      <c r="K581" s="265"/>
      <c r="L581" s="266"/>
      <c r="M581" s="266"/>
      <c r="N581" s="266"/>
      <c r="O581" s="266"/>
      <c r="P581" s="266"/>
      <c r="Q581" s="266"/>
      <c r="R581" s="266"/>
    </row>
    <row r="582" spans="1:18" ht="27.75" customHeight="1">
      <c r="A582" s="241" t="str">
        <f>IF(ISBLANK(D582)," ",471-COUNTBLANK($D$6:D582))</f>
        <v xml:space="preserve"> </v>
      </c>
      <c r="J582" s="264"/>
      <c r="K582" s="265"/>
      <c r="L582" s="266"/>
      <c r="M582" s="266"/>
      <c r="N582" s="266"/>
      <c r="O582" s="266"/>
      <c r="P582" s="266"/>
      <c r="Q582" s="266"/>
      <c r="R582" s="266"/>
    </row>
    <row r="583" spans="1:18" ht="27.75" customHeight="1">
      <c r="A583" s="241" t="str">
        <f>IF(ISBLANK(D583)," ",472-COUNTBLANK($D$6:D583))</f>
        <v xml:space="preserve"> </v>
      </c>
      <c r="J583" s="264"/>
      <c r="K583" s="265"/>
      <c r="L583" s="266"/>
      <c r="M583" s="266"/>
      <c r="N583" s="266"/>
      <c r="O583" s="266"/>
      <c r="P583" s="266"/>
      <c r="Q583" s="266"/>
      <c r="R583" s="266"/>
    </row>
    <row r="584" spans="1:18" ht="27.75" customHeight="1">
      <c r="A584" s="241" t="str">
        <f>IF(ISBLANK(D584)," ",473-COUNTBLANK($D$6:D584))</f>
        <v xml:space="preserve"> </v>
      </c>
      <c r="J584" s="264"/>
      <c r="K584" s="265"/>
      <c r="L584" s="266"/>
      <c r="M584" s="266"/>
      <c r="N584" s="266"/>
      <c r="O584" s="266"/>
      <c r="P584" s="266"/>
      <c r="Q584" s="266"/>
      <c r="R584" s="266"/>
    </row>
    <row r="585" spans="1:18" ht="27.75" customHeight="1">
      <c r="A585" s="241" t="str">
        <f>IF(ISBLANK(D585)," ",474-COUNTBLANK($D$6:D585))</f>
        <v xml:space="preserve"> </v>
      </c>
      <c r="J585" s="264"/>
      <c r="K585" s="265"/>
      <c r="L585" s="266"/>
      <c r="M585" s="266"/>
      <c r="N585" s="266"/>
      <c r="O585" s="266"/>
      <c r="P585" s="266"/>
      <c r="Q585" s="266"/>
      <c r="R585" s="266"/>
    </row>
    <row r="586" spans="1:18" ht="27.75" customHeight="1">
      <c r="A586" s="241" t="str">
        <f>IF(ISBLANK(D586)," ",475-COUNTBLANK($D$6:D586))</f>
        <v xml:space="preserve"> </v>
      </c>
      <c r="J586" s="264"/>
      <c r="K586" s="265"/>
      <c r="L586" s="266"/>
      <c r="M586" s="266"/>
      <c r="N586" s="266"/>
      <c r="O586" s="266"/>
      <c r="P586" s="266"/>
      <c r="Q586" s="266"/>
      <c r="R586" s="266"/>
    </row>
    <row r="587" spans="1:18" ht="27.75" customHeight="1">
      <c r="A587" s="241" t="str">
        <f>IF(ISBLANK(D587)," ",476-COUNTBLANK($D$6:D587))</f>
        <v xml:space="preserve"> </v>
      </c>
      <c r="J587" s="264"/>
      <c r="K587" s="265"/>
      <c r="L587" s="266"/>
      <c r="M587" s="266"/>
      <c r="N587" s="266"/>
      <c r="O587" s="266"/>
      <c r="P587" s="266"/>
      <c r="Q587" s="266"/>
      <c r="R587" s="266"/>
    </row>
    <row r="588" spans="1:18" ht="27.75" customHeight="1">
      <c r="A588" s="241" t="str">
        <f>IF(ISBLANK(D588)," ",477-COUNTBLANK($D$6:D588))</f>
        <v xml:space="preserve"> </v>
      </c>
      <c r="J588" s="264"/>
      <c r="K588" s="265"/>
      <c r="L588" s="266"/>
      <c r="M588" s="266"/>
      <c r="N588" s="266"/>
      <c r="O588" s="266"/>
      <c r="P588" s="266"/>
      <c r="Q588" s="266"/>
      <c r="R588" s="266"/>
    </row>
    <row r="589" spans="1:18" ht="27.75" customHeight="1">
      <c r="A589" s="241" t="str">
        <f>IF(ISBLANK(D589)," ",478-COUNTBLANK($D$6:D589))</f>
        <v xml:space="preserve"> </v>
      </c>
      <c r="J589" s="264"/>
      <c r="K589" s="265"/>
      <c r="L589" s="266"/>
      <c r="M589" s="266"/>
      <c r="N589" s="266"/>
      <c r="O589" s="266"/>
      <c r="P589" s="266"/>
      <c r="Q589" s="266"/>
      <c r="R589" s="266"/>
    </row>
    <row r="590" spans="1:18" ht="27.75" customHeight="1">
      <c r="A590" s="241" t="str">
        <f>IF(ISBLANK(D590)," ",479-COUNTBLANK($D$6:D590))</f>
        <v xml:space="preserve"> </v>
      </c>
      <c r="J590" s="264"/>
      <c r="K590" s="265"/>
      <c r="L590" s="266"/>
      <c r="M590" s="266"/>
      <c r="N590" s="266"/>
      <c r="O590" s="266"/>
      <c r="P590" s="266"/>
      <c r="Q590" s="266"/>
      <c r="R590" s="266"/>
    </row>
    <row r="591" spans="1:18" ht="27.75" customHeight="1">
      <c r="A591" s="241" t="str">
        <f>IF(ISBLANK(D591)," ",480-COUNTBLANK($D$6:D591))</f>
        <v xml:space="preserve"> </v>
      </c>
      <c r="J591" s="264"/>
      <c r="K591" s="265"/>
      <c r="L591" s="266"/>
      <c r="M591" s="266"/>
      <c r="N591" s="266"/>
      <c r="O591" s="266"/>
      <c r="P591" s="266"/>
      <c r="Q591" s="266"/>
      <c r="R591" s="266"/>
    </row>
    <row r="592" spans="1:18" ht="27.75" customHeight="1">
      <c r="A592" s="241" t="str">
        <f>IF(ISBLANK(D592)," ",481-COUNTBLANK($D$6:D592))</f>
        <v xml:space="preserve"> </v>
      </c>
      <c r="J592" s="264"/>
      <c r="K592" s="267"/>
      <c r="L592" s="266"/>
      <c r="M592" s="266"/>
      <c r="N592" s="266"/>
      <c r="O592" s="266"/>
      <c r="P592" s="266"/>
      <c r="Q592" s="266"/>
      <c r="R592" s="268"/>
    </row>
    <row r="593" spans="1:21" ht="27.75" customHeight="1">
      <c r="A593" s="241" t="str">
        <f>IF(ISBLANK(D593)," ",482-COUNTBLANK($D$6:D593))</f>
        <v xml:space="preserve"> </v>
      </c>
      <c r="J593" s="264"/>
      <c r="K593" s="267"/>
      <c r="L593" s="266"/>
      <c r="M593" s="266"/>
      <c r="N593" s="266"/>
      <c r="O593" s="266"/>
      <c r="P593" s="266"/>
      <c r="Q593" s="266"/>
      <c r="R593" s="268"/>
    </row>
    <row r="594" spans="1:21" ht="27.75" customHeight="1">
      <c r="A594" s="241" t="s">
        <v>58</v>
      </c>
      <c r="F594" s="313">
        <f>SUM(F574:F593)</f>
        <v>0</v>
      </c>
      <c r="J594" s="264"/>
      <c r="K594" s="267"/>
      <c r="L594" s="266"/>
      <c r="M594" s="266"/>
      <c r="N594" s="266"/>
      <c r="O594" s="266"/>
      <c r="P594" s="266"/>
      <c r="Q594" s="266"/>
      <c r="R594" s="268"/>
    </row>
    <row r="595" spans="1:21" ht="27.75" customHeight="1">
      <c r="A595" s="241" t="str">
        <f>IF(ISBLANK(D595)," ",484-COUNTBLANK($D$6:D595))</f>
        <v xml:space="preserve"> </v>
      </c>
      <c r="J595" s="264"/>
      <c r="K595" s="267"/>
      <c r="L595" s="266"/>
      <c r="M595" s="266"/>
      <c r="N595" s="266"/>
      <c r="O595" s="266"/>
      <c r="P595" s="266"/>
      <c r="Q595" s="266"/>
      <c r="R595" s="268"/>
    </row>
    <row r="596" spans="1:21" ht="27.75" customHeight="1">
      <c r="A596" s="241" t="str">
        <f>IF(ISBLANK(D596)," ",485-COUNTBLANK($D$6:D596))</f>
        <v xml:space="preserve"> </v>
      </c>
      <c r="J596" s="264"/>
      <c r="K596" s="265"/>
      <c r="L596" s="266"/>
      <c r="M596" s="266"/>
      <c r="N596" s="266"/>
      <c r="O596" s="266"/>
      <c r="P596" s="266"/>
      <c r="Q596" s="266"/>
      <c r="R596" s="288"/>
      <c r="S596" s="266"/>
      <c r="T596" s="266"/>
      <c r="U596" s="266"/>
    </row>
    <row r="597" spans="1:21" ht="27.75" customHeight="1">
      <c r="A597" s="241" t="str">
        <f>IF(ISBLANK(D597)," ",486-COUNTBLANK($D$6:D597))</f>
        <v xml:space="preserve"> </v>
      </c>
      <c r="J597" s="264"/>
      <c r="K597" s="267"/>
      <c r="L597" s="266"/>
      <c r="M597" s="266"/>
      <c r="N597" s="266"/>
      <c r="O597" s="266"/>
      <c r="P597" s="266"/>
      <c r="Q597" s="266"/>
      <c r="R597" s="288"/>
      <c r="S597" s="266"/>
      <c r="T597" s="266"/>
      <c r="U597" s="266"/>
    </row>
    <row r="598" spans="1:21">
      <c r="A598" s="241" t="str">
        <f>IF(ISBLANK(D598)," ",487-COUNTBLANK($D$6:D598))</f>
        <v xml:space="preserve"> </v>
      </c>
      <c r="K598" s="316"/>
      <c r="L598" s="315"/>
      <c r="M598" s="315"/>
      <c r="N598" s="315"/>
      <c r="O598" s="315"/>
      <c r="P598" s="315"/>
      <c r="Q598" s="315"/>
      <c r="R598" s="315"/>
    </row>
    <row r="599" spans="1:21">
      <c r="A599" s="241" t="str">
        <f>IF(ISBLANK(D599)," ",488-COUNTBLANK($D$6:D599))</f>
        <v xml:space="preserve"> </v>
      </c>
      <c r="K599" s="316"/>
      <c r="L599" s="315"/>
      <c r="M599" s="315"/>
      <c r="N599" s="315"/>
      <c r="O599" s="315"/>
      <c r="P599" s="315"/>
      <c r="Q599" s="315"/>
      <c r="R599" s="315"/>
    </row>
    <row r="600" spans="1:21">
      <c r="A600" s="241" t="str">
        <f>IF(ISBLANK(D600)," ",489-COUNTBLANK($D$6:D600))</f>
        <v xml:space="preserve"> </v>
      </c>
    </row>
    <row r="601" spans="1:21">
      <c r="A601" s="241" t="str">
        <f>IF(ISBLANK(D601)," ",490-COUNTBLANK($D$6:D601))</f>
        <v xml:space="preserve"> </v>
      </c>
    </row>
    <row r="602" spans="1:21">
      <c r="A602" s="241" t="str">
        <f>IF(ISBLANK(D602)," ",491-COUNTBLANK($D$6:D602))</f>
        <v xml:space="preserve"> </v>
      </c>
    </row>
    <row r="603" spans="1:21">
      <c r="A603" s="241" t="str">
        <f>IF(ISBLANK(D603)," ",492-COUNTBLANK($D$6:D603))</f>
        <v xml:space="preserve"> </v>
      </c>
    </row>
    <row r="604" spans="1:21">
      <c r="A604" s="241" t="str">
        <f>IF(ISBLANK(D604)," ",493-COUNTBLANK($D$6:D604))</f>
        <v xml:space="preserve"> </v>
      </c>
    </row>
    <row r="605" spans="1:21">
      <c r="A605" s="241" t="str">
        <f>IF(ISBLANK(D605)," ",494-COUNTBLANK($D$6:D605))</f>
        <v xml:space="preserve"> </v>
      </c>
    </row>
    <row r="606" spans="1:21">
      <c r="A606" s="241" t="str">
        <f>IF(ISBLANK(D606)," ",495-COUNTBLANK($D$6:D606))</f>
        <v xml:space="preserve"> </v>
      </c>
    </row>
    <row r="607" spans="1:21">
      <c r="A607" s="241" t="str">
        <f>IF(ISBLANK(D607)," ",496-COUNTBLANK($D$6:D607))</f>
        <v xml:space="preserve"> </v>
      </c>
    </row>
    <row r="608" spans="1:21">
      <c r="A608" s="241" t="str">
        <f>IF(ISBLANK(D608)," ",497-COUNTBLANK($D$6:D608))</f>
        <v xml:space="preserve"> </v>
      </c>
    </row>
    <row r="609" spans="1:6">
      <c r="A609" s="241" t="str">
        <f>IF(ISBLANK(D609)," ",498-COUNTBLANK($D$6:D609))</f>
        <v xml:space="preserve"> </v>
      </c>
    </row>
    <row r="610" spans="1:6">
      <c r="A610" s="241" t="str">
        <f>IF(ISBLANK(D610)," ",499-COUNTBLANK($D$6:D610))</f>
        <v xml:space="preserve"> </v>
      </c>
    </row>
    <row r="611" spans="1:6">
      <c r="A611" s="241" t="str">
        <f>IF(ISBLANK(D611)," ",500-COUNTBLANK($D$6:D611))</f>
        <v xml:space="preserve"> </v>
      </c>
    </row>
    <row r="612" spans="1:6">
      <c r="A612" s="241" t="str">
        <f>IF(ISBLANK(D612)," ",501-COUNTBLANK($D$6:D612))</f>
        <v xml:space="preserve"> </v>
      </c>
    </row>
    <row r="613" spans="1:6">
      <c r="A613" s="241" t="str">
        <f>IF(ISBLANK(D613)," ",502-COUNTBLANK($D$6:D613))</f>
        <v xml:space="preserve"> </v>
      </c>
    </row>
    <row r="614" spans="1:6">
      <c r="A614" s="241" t="str">
        <f>IF(ISBLANK(D614)," ",503-COUNTBLANK($D$6:D614))</f>
        <v xml:space="preserve"> </v>
      </c>
    </row>
    <row r="615" spans="1:6">
      <c r="A615" s="241" t="s">
        <v>58</v>
      </c>
      <c r="F615" s="313">
        <f>SUM(F595:F614)</f>
        <v>0</v>
      </c>
    </row>
    <row r="616" spans="1:6">
      <c r="A616" s="241" t="str">
        <f>IF(ISBLANK(D616)," ",505-COUNTBLANK($D$6:D616))</f>
        <v xml:space="preserve"> </v>
      </c>
    </row>
    <row r="617" spans="1:6">
      <c r="A617" s="241" t="str">
        <f>IF(ISBLANK(D617)," ",506-COUNTBLANK($D$6:D617))</f>
        <v xml:space="preserve"> </v>
      </c>
    </row>
    <row r="618" spans="1:6">
      <c r="A618" s="241" t="str">
        <f>IF(ISBLANK(D618)," ",507-COUNTBLANK($D$6:D618))</f>
        <v xml:space="preserve"> </v>
      </c>
    </row>
    <row r="619" spans="1:6">
      <c r="A619" s="241" t="str">
        <f>IF(ISBLANK(D619)," ",508-COUNTBLANK($D$6:D619))</f>
        <v xml:space="preserve"> </v>
      </c>
    </row>
    <row r="620" spans="1:6">
      <c r="A620" s="241" t="str">
        <f>IF(ISBLANK(D620)," ",509-COUNTBLANK($D$6:D620))</f>
        <v xml:space="preserve"> </v>
      </c>
    </row>
    <row r="621" spans="1:6">
      <c r="A621" s="241" t="str">
        <f>IF(ISBLANK(D621)," ",510-COUNTBLANK($D$6:D621))</f>
        <v xml:space="preserve"> </v>
      </c>
    </row>
    <row r="622" spans="1:6">
      <c r="A622" s="241" t="str">
        <f>IF(ISBLANK(D622)," ",511-COUNTBLANK($D$6:D622))</f>
        <v xml:space="preserve"> </v>
      </c>
    </row>
    <row r="623" spans="1:6">
      <c r="A623" s="241" t="str">
        <f>IF(ISBLANK(D623)," ",512-COUNTBLANK($D$6:D623))</f>
        <v xml:space="preserve"> </v>
      </c>
    </row>
    <row r="624" spans="1:6">
      <c r="A624" s="241" t="str">
        <f>IF(ISBLANK(D624)," ",513-COUNTBLANK($D$6:D624))</f>
        <v xml:space="preserve"> </v>
      </c>
    </row>
    <row r="625" spans="1:6">
      <c r="A625" s="241" t="str">
        <f>IF(ISBLANK(D625)," ",514-COUNTBLANK($D$6:D625))</f>
        <v xml:space="preserve"> </v>
      </c>
    </row>
    <row r="626" spans="1:6">
      <c r="A626" s="241" t="str">
        <f>IF(ISBLANK(D626)," ",515-COUNTBLANK($D$6:D626))</f>
        <v xml:space="preserve"> </v>
      </c>
    </row>
    <row r="627" spans="1:6">
      <c r="A627" s="241" t="str">
        <f>IF(ISBLANK(D627)," ",516-COUNTBLANK($D$6:D627))</f>
        <v xml:space="preserve"> </v>
      </c>
    </row>
    <row r="628" spans="1:6">
      <c r="A628" s="241" t="str">
        <f>IF(ISBLANK(D628)," ",517-COUNTBLANK($D$6:D628))</f>
        <v xml:space="preserve"> </v>
      </c>
    </row>
    <row r="629" spans="1:6">
      <c r="A629" s="241" t="str">
        <f>IF(ISBLANK(D629)," ",518-COUNTBLANK($D$6:D629))</f>
        <v xml:space="preserve"> </v>
      </c>
    </row>
    <row r="630" spans="1:6">
      <c r="A630" s="241" t="str">
        <f>IF(ISBLANK(D630)," ",519-COUNTBLANK($D$6:D630))</f>
        <v xml:space="preserve"> </v>
      </c>
    </row>
    <row r="631" spans="1:6">
      <c r="A631" s="241" t="str">
        <f>IF(ISBLANK(D631)," ",520-COUNTBLANK($D$6:D631))</f>
        <v xml:space="preserve"> </v>
      </c>
    </row>
    <row r="632" spans="1:6">
      <c r="A632" s="241" t="str">
        <f>IF(ISBLANK(D632)," ",521-COUNTBLANK($D$6:D632))</f>
        <v xml:space="preserve"> </v>
      </c>
    </row>
    <row r="633" spans="1:6">
      <c r="A633" s="241" t="str">
        <f>IF(ISBLANK(D633)," ",522-COUNTBLANK($D$6:D633))</f>
        <v xml:space="preserve"> </v>
      </c>
    </row>
    <row r="634" spans="1:6">
      <c r="A634" s="241" t="str">
        <f>IF(ISBLANK(D634)," ",523-COUNTBLANK($D$6:D634))</f>
        <v xml:space="preserve"> </v>
      </c>
    </row>
    <row r="635" spans="1:6">
      <c r="A635" s="241" t="str">
        <f>IF(ISBLANK(D635)," ",524-COUNTBLANK($D$6:D635))</f>
        <v xml:space="preserve"> </v>
      </c>
    </row>
    <row r="636" spans="1:6">
      <c r="A636" s="241" t="s">
        <v>58</v>
      </c>
      <c r="F636" s="313">
        <f>SUM(F616:F635)</f>
        <v>0</v>
      </c>
    </row>
  </sheetData>
  <mergeCells count="6">
    <mergeCell ref="J4:J5"/>
    <mergeCell ref="K4:K5"/>
    <mergeCell ref="B4:C4"/>
    <mergeCell ref="D4:D5"/>
    <mergeCell ref="G4:H4"/>
    <mergeCell ref="I4:I5"/>
  </mergeCells>
  <phoneticPr fontId="5" type="noConversion"/>
  <printOptions horizontalCentered="1"/>
  <pageMargins left="0.19685039370078741" right="0.19685039370078741" top="1.3779527559055118" bottom="0.59055118110236227" header="0.59055118110236227" footer="0.19685039370078741"/>
  <pageSetup paperSize="9" fitToHeight="100" orientation="portrait" horizontalDpi="4294967293" r:id="rId1"/>
  <headerFooter alignWithMargins="0"/>
  <rowBreaks count="6" manualBreakCount="6">
    <brk id="25" max="11" man="1"/>
    <brk id="45" max="11" man="1"/>
    <brk id="65" max="14" man="1"/>
    <brk id="85" max="11" man="1"/>
    <brk id="105" max="11" man="1"/>
    <brk id="125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U598"/>
  <sheetViews>
    <sheetView showGridLines="0" showZeros="0" view="pageBreakPreview" zoomScale="115" zoomScaleNormal="55" zoomScaleSheetLayoutView="115" workbookViewId="0">
      <selection activeCell="E9" sqref="E9"/>
    </sheetView>
  </sheetViews>
  <sheetFormatPr defaultRowHeight="11.25"/>
  <cols>
    <col min="1" max="1" width="4.33203125" style="241" customWidth="1"/>
    <col min="2" max="3" width="6.33203125" style="311" customWidth="1"/>
    <col min="4" max="4" width="3.77734375" style="241" customWidth="1"/>
    <col min="5" max="5" width="7.77734375" style="312" customWidth="1"/>
    <col min="6" max="6" width="7.77734375" style="313" customWidth="1"/>
    <col min="7" max="7" width="8.33203125" style="314" customWidth="1"/>
    <col min="8" max="8" width="17.44140625" style="241" customWidth="1"/>
    <col min="9" max="9" width="6.77734375" style="241" customWidth="1"/>
    <col min="10" max="10" width="20.77734375" style="315" customWidth="1"/>
    <col min="11" max="11" width="9.77734375" style="317" customWidth="1"/>
    <col min="12" max="17" width="9.77734375" style="241" customWidth="1"/>
    <col min="18" max="18" width="10.77734375" style="241" customWidth="1"/>
    <col min="19" max="16384" width="8.88671875" style="241"/>
  </cols>
  <sheetData>
    <row r="1" spans="1:18" ht="30" customHeight="1">
      <c r="A1" s="232" t="s">
        <v>64</v>
      </c>
      <c r="B1" s="233"/>
      <c r="C1" s="233"/>
      <c r="D1" s="234"/>
      <c r="E1" s="235"/>
      <c r="F1" s="236"/>
      <c r="G1" s="234"/>
      <c r="H1" s="234"/>
      <c r="I1" s="237"/>
      <c r="J1" s="238"/>
      <c r="K1" s="239"/>
      <c r="L1" s="240"/>
      <c r="M1" s="240"/>
      <c r="N1" s="240"/>
      <c r="O1" s="240"/>
      <c r="P1" s="240"/>
      <c r="Q1" s="240"/>
      <c r="R1" s="240"/>
    </row>
    <row r="2" spans="1:18" ht="19.899999999999999" customHeight="1">
      <c r="A2" s="242"/>
      <c r="B2" s="243"/>
      <c r="C2" s="243"/>
      <c r="D2" s="240"/>
      <c r="E2" s="244"/>
      <c r="F2" s="245"/>
      <c r="G2" s="246"/>
      <c r="H2" s="247"/>
      <c r="I2" s="250"/>
      <c r="J2" s="246"/>
      <c r="K2" s="239"/>
      <c r="L2" s="240"/>
      <c r="M2" s="240"/>
      <c r="N2" s="240"/>
      <c r="O2" s="240"/>
      <c r="P2" s="240"/>
      <c r="Q2" s="240"/>
      <c r="R2" s="240"/>
    </row>
    <row r="3" spans="1:18" ht="10.15" customHeight="1">
      <c r="A3" s="251"/>
      <c r="B3" s="252"/>
      <c r="C3" s="252"/>
      <c r="D3" s="253"/>
      <c r="E3" s="254"/>
      <c r="F3" s="255"/>
      <c r="G3" s="256"/>
      <c r="H3" s="253"/>
      <c r="I3" s="257"/>
      <c r="J3" s="258"/>
      <c r="K3" s="239"/>
      <c r="L3" s="240"/>
      <c r="M3" s="240"/>
      <c r="N3" s="240"/>
      <c r="O3" s="240"/>
      <c r="P3" s="240"/>
      <c r="Q3" s="240"/>
      <c r="R3" s="240"/>
    </row>
    <row r="4" spans="1:18" ht="30" customHeight="1">
      <c r="A4" s="107" t="s">
        <v>45</v>
      </c>
      <c r="B4" s="367" t="s">
        <v>46</v>
      </c>
      <c r="C4" s="368"/>
      <c r="D4" s="369" t="s">
        <v>47</v>
      </c>
      <c r="E4" s="206" t="s">
        <v>48</v>
      </c>
      <c r="F4" s="323" t="s">
        <v>49</v>
      </c>
      <c r="G4" s="367" t="s">
        <v>296</v>
      </c>
      <c r="H4" s="368"/>
      <c r="I4" s="371" t="s">
        <v>37</v>
      </c>
      <c r="J4" s="363" t="s">
        <v>37</v>
      </c>
      <c r="K4" s="365" t="s">
        <v>76</v>
      </c>
      <c r="L4" s="240"/>
      <c r="M4" s="259"/>
      <c r="N4" s="259"/>
      <c r="O4" s="259"/>
      <c r="P4" s="259"/>
      <c r="Q4" s="259"/>
      <c r="R4" s="259"/>
    </row>
    <row r="5" spans="1:18" ht="30" customHeight="1">
      <c r="A5" s="62" t="s">
        <v>53</v>
      </c>
      <c r="B5" s="65" t="s">
        <v>301</v>
      </c>
      <c r="C5" s="65" t="s">
        <v>302</v>
      </c>
      <c r="D5" s="370"/>
      <c r="E5" s="208" t="s">
        <v>65</v>
      </c>
      <c r="F5" s="65" t="s">
        <v>293</v>
      </c>
      <c r="G5" s="65" t="s">
        <v>55</v>
      </c>
      <c r="H5" s="64" t="s">
        <v>56</v>
      </c>
      <c r="I5" s="372"/>
      <c r="J5" s="364"/>
      <c r="K5" s="366"/>
      <c r="L5" s="259"/>
      <c r="M5" s="260"/>
      <c r="N5" s="260"/>
      <c r="O5" s="260"/>
      <c r="P5" s="260"/>
      <c r="Q5" s="260"/>
      <c r="R5" s="240"/>
    </row>
    <row r="6" spans="1:18" ht="30" customHeight="1">
      <c r="A6" s="204">
        <v>1</v>
      </c>
      <c r="B6" s="202" t="s">
        <v>837</v>
      </c>
      <c r="C6" s="202"/>
      <c r="D6" s="202" t="s">
        <v>382</v>
      </c>
      <c r="E6" s="304">
        <v>5</v>
      </c>
      <c r="F6" s="211">
        <v>5</v>
      </c>
      <c r="G6" s="203" t="s">
        <v>308</v>
      </c>
      <c r="H6" s="203" t="s">
        <v>838</v>
      </c>
      <c r="I6" s="280"/>
      <c r="J6" s="264" t="str">
        <f>CONCATENATE(D6,G6)</f>
        <v>유국</v>
      </c>
      <c r="K6" s="265"/>
      <c r="L6" s="266"/>
      <c r="M6" s="266"/>
      <c r="N6" s="266"/>
      <c r="O6" s="266"/>
      <c r="P6" s="266"/>
      <c r="Q6" s="266"/>
      <c r="R6" s="266"/>
    </row>
    <row r="7" spans="1:18" ht="30" customHeight="1">
      <c r="A7" s="204">
        <v>2</v>
      </c>
      <c r="B7" s="202" t="s">
        <v>383</v>
      </c>
      <c r="C7" s="202"/>
      <c r="D7" s="202" t="s">
        <v>307</v>
      </c>
      <c r="E7" s="304">
        <v>1514</v>
      </c>
      <c r="F7" s="211">
        <v>1514</v>
      </c>
      <c r="G7" s="203" t="s">
        <v>994</v>
      </c>
      <c r="H7" s="203" t="s">
        <v>995</v>
      </c>
      <c r="I7" s="280"/>
      <c r="J7" s="264" t="str">
        <f t="shared" ref="J7:J70" si="0">CONCATENATE(D7,G7)</f>
        <v>전공</v>
      </c>
      <c r="K7" s="265">
        <v>8550</v>
      </c>
      <c r="L7" s="266"/>
      <c r="M7" s="266"/>
      <c r="N7" s="266"/>
      <c r="O7" s="266"/>
      <c r="P7" s="266"/>
      <c r="Q7" s="266"/>
      <c r="R7" s="266"/>
    </row>
    <row r="8" spans="1:18" ht="30" customHeight="1">
      <c r="A8" s="204">
        <v>3</v>
      </c>
      <c r="B8" s="202" t="s">
        <v>839</v>
      </c>
      <c r="C8" s="202"/>
      <c r="D8" s="202" t="s">
        <v>840</v>
      </c>
      <c r="E8" s="304">
        <v>1084</v>
      </c>
      <c r="F8" s="211">
        <v>694</v>
      </c>
      <c r="G8" s="203" t="s">
        <v>384</v>
      </c>
      <c r="H8" s="203" t="s">
        <v>100</v>
      </c>
      <c r="I8" s="280"/>
      <c r="J8" s="264" t="str">
        <f t="shared" si="0"/>
        <v>임김완예</v>
      </c>
      <c r="K8" s="265">
        <v>8550</v>
      </c>
      <c r="L8" s="266"/>
      <c r="M8" s="266"/>
      <c r="N8" s="266"/>
      <c r="O8" s="266"/>
      <c r="P8" s="266"/>
      <c r="Q8" s="266"/>
      <c r="R8" s="266"/>
    </row>
    <row r="9" spans="1:18" ht="30" customHeight="1">
      <c r="A9" s="204">
        <v>4</v>
      </c>
      <c r="B9" s="202" t="s">
        <v>385</v>
      </c>
      <c r="C9" s="202"/>
      <c r="D9" s="202" t="s">
        <v>135</v>
      </c>
      <c r="E9" s="304">
        <v>188</v>
      </c>
      <c r="F9" s="211">
        <v>99</v>
      </c>
      <c r="G9" s="203" t="s">
        <v>97</v>
      </c>
      <c r="H9" s="203" t="s">
        <v>7</v>
      </c>
      <c r="I9" s="280"/>
      <c r="J9" s="264" t="str">
        <f t="shared" si="0"/>
        <v>임공</v>
      </c>
      <c r="K9" s="265">
        <v>2970</v>
      </c>
      <c r="L9" s="266" t="s">
        <v>156</v>
      </c>
      <c r="M9" s="266"/>
      <c r="N9" s="266"/>
      <c r="O9" s="266"/>
      <c r="P9" s="266"/>
      <c r="Q9" s="266"/>
      <c r="R9" s="266"/>
    </row>
    <row r="10" spans="1:18" ht="30" customHeight="1">
      <c r="A10" s="204">
        <v>5</v>
      </c>
      <c r="B10" s="202" t="s">
        <v>843</v>
      </c>
      <c r="C10" s="202"/>
      <c r="D10" s="202" t="s">
        <v>840</v>
      </c>
      <c r="E10" s="304">
        <v>1222</v>
      </c>
      <c r="F10" s="211">
        <v>1222</v>
      </c>
      <c r="G10" s="203" t="s">
        <v>994</v>
      </c>
      <c r="H10" s="203" t="s">
        <v>995</v>
      </c>
      <c r="I10" s="280"/>
      <c r="J10" s="264" t="str">
        <f t="shared" si="0"/>
        <v>임공</v>
      </c>
      <c r="K10" s="265">
        <v>9520</v>
      </c>
      <c r="L10" s="266"/>
      <c r="M10" s="266"/>
      <c r="N10" s="266"/>
      <c r="O10" s="266"/>
      <c r="P10" s="266"/>
      <c r="Q10" s="266"/>
      <c r="R10" s="266"/>
    </row>
    <row r="11" spans="1:18" ht="30" customHeight="1">
      <c r="A11" s="204">
        <v>6</v>
      </c>
      <c r="B11" s="202" t="s">
        <v>386</v>
      </c>
      <c r="C11" s="202"/>
      <c r="D11" s="202" t="s">
        <v>90</v>
      </c>
      <c r="E11" s="304">
        <v>424</v>
      </c>
      <c r="F11" s="211">
        <v>424</v>
      </c>
      <c r="G11" s="203" t="s">
        <v>994</v>
      </c>
      <c r="H11" s="203" t="s">
        <v>995</v>
      </c>
      <c r="I11" s="280"/>
      <c r="J11" s="264" t="str">
        <f t="shared" si="0"/>
        <v>대공</v>
      </c>
      <c r="K11" s="267">
        <v>11800</v>
      </c>
      <c r="L11" s="266"/>
      <c r="M11" s="266"/>
      <c r="N11" s="266"/>
      <c r="O11" s="266"/>
      <c r="P11" s="266"/>
      <c r="Q11" s="266"/>
      <c r="R11" s="268"/>
    </row>
    <row r="12" spans="1:18" ht="30" customHeight="1">
      <c r="A12" s="204">
        <v>7</v>
      </c>
      <c r="B12" s="202" t="s">
        <v>844</v>
      </c>
      <c r="C12" s="202"/>
      <c r="D12" s="202" t="s">
        <v>845</v>
      </c>
      <c r="E12" s="304">
        <v>584</v>
      </c>
      <c r="F12" s="211">
        <v>584</v>
      </c>
      <c r="G12" s="203" t="s">
        <v>994</v>
      </c>
      <c r="H12" s="203" t="s">
        <v>995</v>
      </c>
      <c r="I12" s="280"/>
      <c r="J12" s="264" t="str">
        <f t="shared" si="0"/>
        <v>전공</v>
      </c>
      <c r="K12" s="267">
        <v>9830</v>
      </c>
      <c r="L12" s="266"/>
      <c r="M12" s="266"/>
      <c r="N12" s="266"/>
      <c r="O12" s="266"/>
      <c r="P12" s="266"/>
      <c r="Q12" s="266"/>
      <c r="R12" s="268"/>
    </row>
    <row r="13" spans="1:18" ht="30" customHeight="1">
      <c r="A13" s="204">
        <v>8</v>
      </c>
      <c r="B13" s="202" t="s">
        <v>387</v>
      </c>
      <c r="C13" s="202"/>
      <c r="D13" s="202" t="s">
        <v>87</v>
      </c>
      <c r="E13" s="304">
        <v>318.10000000000002</v>
      </c>
      <c r="F13" s="211">
        <v>318.10000000000002</v>
      </c>
      <c r="G13" s="203" t="s">
        <v>308</v>
      </c>
      <c r="H13" s="203" t="s">
        <v>101</v>
      </c>
      <c r="I13" s="280"/>
      <c r="J13" s="264" t="str">
        <f t="shared" si="0"/>
        <v>구국</v>
      </c>
      <c r="K13" s="267"/>
      <c r="L13" s="266"/>
      <c r="M13" s="266"/>
      <c r="N13" s="266"/>
      <c r="O13" s="266"/>
      <c r="P13" s="266"/>
      <c r="Q13" s="266"/>
      <c r="R13" s="268"/>
    </row>
    <row r="14" spans="1:18" ht="30" customHeight="1">
      <c r="A14" s="204">
        <v>9</v>
      </c>
      <c r="B14" s="202" t="s">
        <v>846</v>
      </c>
      <c r="C14" s="202"/>
      <c r="D14" s="202" t="s">
        <v>847</v>
      </c>
      <c r="E14" s="304">
        <v>2974.7</v>
      </c>
      <c r="F14" s="211">
        <v>2974.7</v>
      </c>
      <c r="G14" s="203" t="s">
        <v>97</v>
      </c>
      <c r="H14" s="203" t="s">
        <v>7</v>
      </c>
      <c r="I14" s="280"/>
      <c r="J14" s="264" t="str">
        <f t="shared" si="0"/>
        <v>답공</v>
      </c>
      <c r="K14" s="267">
        <v>9830</v>
      </c>
      <c r="L14" s="266"/>
      <c r="M14" s="266"/>
      <c r="N14" s="266"/>
      <c r="O14" s="266"/>
      <c r="P14" s="266"/>
      <c r="Q14" s="266"/>
      <c r="R14" s="268"/>
    </row>
    <row r="15" spans="1:18" ht="30" customHeight="1">
      <c r="A15" s="204">
        <v>10</v>
      </c>
      <c r="B15" s="202" t="s">
        <v>388</v>
      </c>
      <c r="C15" s="202"/>
      <c r="D15" s="202" t="s">
        <v>89</v>
      </c>
      <c r="E15" s="304">
        <v>742.6</v>
      </c>
      <c r="F15" s="211">
        <v>742.6</v>
      </c>
      <c r="G15" s="203" t="s">
        <v>994</v>
      </c>
      <c r="H15" s="203" t="s">
        <v>995</v>
      </c>
      <c r="I15" s="280"/>
      <c r="J15" s="264" t="str">
        <f t="shared" si="0"/>
        <v>답공</v>
      </c>
      <c r="K15" s="267">
        <v>9830</v>
      </c>
      <c r="L15" s="266"/>
      <c r="M15" s="266"/>
      <c r="N15" s="266"/>
      <c r="O15" s="266"/>
      <c r="P15" s="266"/>
      <c r="Q15" s="266"/>
      <c r="R15" s="268"/>
    </row>
    <row r="16" spans="1:18" ht="30" customHeight="1">
      <c r="A16" s="204">
        <v>11</v>
      </c>
      <c r="B16" s="202" t="s">
        <v>848</v>
      </c>
      <c r="C16" s="202"/>
      <c r="D16" s="202" t="s">
        <v>849</v>
      </c>
      <c r="E16" s="304">
        <v>394.1</v>
      </c>
      <c r="F16" s="211">
        <v>394.1</v>
      </c>
      <c r="G16" s="203" t="s">
        <v>308</v>
      </c>
      <c r="H16" s="203" t="s">
        <v>838</v>
      </c>
      <c r="I16" s="280"/>
      <c r="J16" s="264" t="str">
        <f t="shared" si="0"/>
        <v>도국</v>
      </c>
      <c r="K16" s="267"/>
      <c r="L16" s="266"/>
      <c r="M16" s="266"/>
      <c r="N16" s="266"/>
      <c r="O16" s="266"/>
      <c r="P16" s="266"/>
      <c r="Q16" s="266"/>
      <c r="R16" s="268"/>
    </row>
    <row r="17" spans="1:18" ht="30" customHeight="1">
      <c r="A17" s="204">
        <v>12</v>
      </c>
      <c r="B17" s="202" t="s">
        <v>390</v>
      </c>
      <c r="C17" s="202"/>
      <c r="D17" s="202" t="s">
        <v>89</v>
      </c>
      <c r="E17" s="304">
        <v>43</v>
      </c>
      <c r="F17" s="211">
        <v>5</v>
      </c>
      <c r="G17" s="203" t="s">
        <v>391</v>
      </c>
      <c r="H17" s="203" t="s">
        <v>392</v>
      </c>
      <c r="I17" s="280"/>
      <c r="J17" s="264" t="str">
        <f t="shared" si="0"/>
        <v>답김선갑
 외2인</v>
      </c>
      <c r="K17" s="267">
        <v>11000</v>
      </c>
      <c r="L17" s="266"/>
      <c r="M17" s="266"/>
      <c r="N17" s="266"/>
      <c r="O17" s="266"/>
      <c r="P17" s="266"/>
      <c r="Q17" s="266"/>
      <c r="R17" s="268"/>
    </row>
    <row r="18" spans="1:18" ht="30" customHeight="1">
      <c r="A18" s="204">
        <v>13</v>
      </c>
      <c r="B18" s="202" t="s">
        <v>850</v>
      </c>
      <c r="C18" s="202"/>
      <c r="D18" s="202" t="s">
        <v>840</v>
      </c>
      <c r="E18" s="304">
        <v>2514</v>
      </c>
      <c r="F18" s="211">
        <v>2514</v>
      </c>
      <c r="G18" s="203" t="s">
        <v>994</v>
      </c>
      <c r="H18" s="203" t="s">
        <v>995</v>
      </c>
      <c r="I18" s="280"/>
      <c r="J18" s="264" t="str">
        <f t="shared" si="0"/>
        <v>임공</v>
      </c>
      <c r="K18" s="267">
        <v>10500</v>
      </c>
      <c r="L18" s="266"/>
      <c r="M18" s="266"/>
      <c r="N18" s="266"/>
      <c r="O18" s="266"/>
      <c r="P18" s="266"/>
      <c r="Q18" s="266"/>
      <c r="R18" s="268"/>
    </row>
    <row r="19" spans="1:18" ht="30" customHeight="1">
      <c r="A19" s="204">
        <v>14</v>
      </c>
      <c r="B19" s="202" t="s">
        <v>393</v>
      </c>
      <c r="C19" s="202"/>
      <c r="D19" s="202" t="s">
        <v>307</v>
      </c>
      <c r="E19" s="304">
        <v>721</v>
      </c>
      <c r="F19" s="211">
        <v>721</v>
      </c>
      <c r="G19" s="203" t="s">
        <v>994</v>
      </c>
      <c r="H19" s="203" t="s">
        <v>995</v>
      </c>
      <c r="I19" s="280"/>
      <c r="J19" s="264" t="str">
        <f t="shared" si="0"/>
        <v>전공</v>
      </c>
      <c r="K19" s="267">
        <v>10100</v>
      </c>
      <c r="L19" s="266"/>
      <c r="M19" s="266"/>
      <c r="N19" s="266"/>
      <c r="O19" s="266"/>
      <c r="P19" s="266"/>
      <c r="Q19" s="266"/>
      <c r="R19" s="268"/>
    </row>
    <row r="20" spans="1:18" ht="30" customHeight="1">
      <c r="A20" s="204">
        <v>15</v>
      </c>
      <c r="B20" s="202" t="s">
        <v>851</v>
      </c>
      <c r="C20" s="202"/>
      <c r="D20" s="202" t="s">
        <v>845</v>
      </c>
      <c r="E20" s="304">
        <v>1146</v>
      </c>
      <c r="F20" s="211">
        <v>1146</v>
      </c>
      <c r="G20" s="203" t="s">
        <v>994</v>
      </c>
      <c r="H20" s="203" t="s">
        <v>995</v>
      </c>
      <c r="I20" s="280"/>
      <c r="J20" s="264" t="str">
        <f t="shared" si="0"/>
        <v>전공</v>
      </c>
      <c r="K20" s="267">
        <v>11300</v>
      </c>
      <c r="L20" s="266"/>
      <c r="M20" s="266"/>
      <c r="N20" s="266"/>
      <c r="O20" s="266"/>
      <c r="P20" s="266"/>
      <c r="Q20" s="266"/>
      <c r="R20" s="268"/>
    </row>
    <row r="21" spans="1:18" ht="30" customHeight="1">
      <c r="A21" s="204">
        <v>16</v>
      </c>
      <c r="B21" s="202" t="s">
        <v>394</v>
      </c>
      <c r="C21" s="202"/>
      <c r="D21" s="202" t="s">
        <v>307</v>
      </c>
      <c r="E21" s="304">
        <v>1474</v>
      </c>
      <c r="F21" s="211">
        <v>1474</v>
      </c>
      <c r="G21" s="203" t="s">
        <v>1108</v>
      </c>
      <c r="H21" s="203" t="s">
        <v>1109</v>
      </c>
      <c r="I21" s="280"/>
      <c r="J21" s="264" t="str">
        <f t="shared" si="0"/>
        <v>전이*우</v>
      </c>
      <c r="K21" s="267">
        <v>10100</v>
      </c>
      <c r="L21" s="266"/>
      <c r="M21" s="266"/>
      <c r="N21" s="266"/>
      <c r="O21" s="266"/>
      <c r="P21" s="266"/>
      <c r="Q21" s="266"/>
      <c r="R21" s="268"/>
    </row>
    <row r="22" spans="1:18" ht="30" customHeight="1">
      <c r="A22" s="204">
        <v>17</v>
      </c>
      <c r="B22" s="202" t="s">
        <v>852</v>
      </c>
      <c r="C22" s="202"/>
      <c r="D22" s="202" t="s">
        <v>840</v>
      </c>
      <c r="E22" s="304">
        <v>324</v>
      </c>
      <c r="F22" s="211">
        <v>324</v>
      </c>
      <c r="G22" s="203" t="s">
        <v>1108</v>
      </c>
      <c r="H22" s="203" t="s">
        <v>1109</v>
      </c>
      <c r="I22" s="280"/>
      <c r="J22" s="264" t="str">
        <f t="shared" si="0"/>
        <v>임이*우</v>
      </c>
      <c r="K22" s="267">
        <v>4640</v>
      </c>
      <c r="L22" s="266"/>
      <c r="M22" s="266"/>
      <c r="N22" s="266"/>
      <c r="O22" s="266"/>
      <c r="P22" s="266"/>
      <c r="Q22" s="266"/>
      <c r="R22" s="268"/>
    </row>
    <row r="23" spans="1:18" ht="30" customHeight="1">
      <c r="A23" s="204">
        <v>18</v>
      </c>
      <c r="B23" s="202" t="s">
        <v>395</v>
      </c>
      <c r="C23" s="202"/>
      <c r="D23" s="202" t="s">
        <v>89</v>
      </c>
      <c r="E23" s="304">
        <v>495</v>
      </c>
      <c r="F23" s="211">
        <v>495</v>
      </c>
      <c r="G23" s="203" t="s">
        <v>994</v>
      </c>
      <c r="H23" s="203" t="s">
        <v>995</v>
      </c>
      <c r="I23" s="280"/>
      <c r="J23" s="264" t="str">
        <f t="shared" si="0"/>
        <v>답공</v>
      </c>
      <c r="K23" s="267">
        <v>9640</v>
      </c>
      <c r="L23" s="266"/>
      <c r="M23" s="266"/>
      <c r="N23" s="266"/>
      <c r="O23" s="266"/>
      <c r="P23" s="266"/>
      <c r="Q23" s="266"/>
      <c r="R23" s="268"/>
    </row>
    <row r="24" spans="1:18" ht="30" customHeight="1">
      <c r="A24" s="204">
        <v>19</v>
      </c>
      <c r="B24" s="202" t="s">
        <v>853</v>
      </c>
      <c r="C24" s="202"/>
      <c r="D24" s="202" t="s">
        <v>845</v>
      </c>
      <c r="E24" s="304">
        <v>183</v>
      </c>
      <c r="F24" s="211">
        <v>183</v>
      </c>
      <c r="G24" s="203" t="s">
        <v>994</v>
      </c>
      <c r="H24" s="203" t="s">
        <v>995</v>
      </c>
      <c r="I24" s="280"/>
      <c r="J24" s="264" t="str">
        <f t="shared" si="0"/>
        <v>전공</v>
      </c>
      <c r="K24" s="267">
        <v>10900</v>
      </c>
      <c r="L24" s="266"/>
      <c r="M24" s="266"/>
      <c r="N24" s="266"/>
      <c r="O24" s="266"/>
      <c r="P24" s="266"/>
      <c r="Q24" s="266"/>
      <c r="R24" s="268"/>
    </row>
    <row r="25" spans="1:18" ht="30" customHeight="1">
      <c r="A25" s="204">
        <v>20</v>
      </c>
      <c r="B25" s="202" t="s">
        <v>396</v>
      </c>
      <c r="C25" s="202"/>
      <c r="D25" s="202" t="s">
        <v>307</v>
      </c>
      <c r="E25" s="304">
        <v>453</v>
      </c>
      <c r="F25" s="211">
        <v>453</v>
      </c>
      <c r="G25" s="203" t="s">
        <v>994</v>
      </c>
      <c r="H25" s="203" t="s">
        <v>995</v>
      </c>
      <c r="I25" s="280"/>
      <c r="J25" s="264" t="str">
        <f t="shared" si="0"/>
        <v>전공</v>
      </c>
      <c r="K25" s="267">
        <v>10900</v>
      </c>
      <c r="L25" s="266"/>
      <c r="M25" s="266"/>
      <c r="N25" s="266"/>
      <c r="O25" s="266"/>
      <c r="P25" s="266"/>
      <c r="Q25" s="266"/>
      <c r="R25" s="268"/>
    </row>
    <row r="26" spans="1:18" ht="30" customHeight="1">
      <c r="A26" s="204">
        <v>21</v>
      </c>
      <c r="B26" s="202" t="s">
        <v>397</v>
      </c>
      <c r="C26" s="202"/>
      <c r="D26" s="202" t="s">
        <v>307</v>
      </c>
      <c r="E26" s="304">
        <v>101</v>
      </c>
      <c r="F26" s="211">
        <v>101</v>
      </c>
      <c r="G26" s="203" t="s">
        <v>994</v>
      </c>
      <c r="H26" s="203" t="s">
        <v>995</v>
      </c>
      <c r="I26" s="280"/>
      <c r="J26" s="264" t="str">
        <f t="shared" si="0"/>
        <v>전공</v>
      </c>
      <c r="K26" s="267">
        <v>10900</v>
      </c>
      <c r="L26" s="266"/>
      <c r="M26" s="266"/>
      <c r="N26" s="266"/>
      <c r="O26" s="266"/>
      <c r="P26" s="266"/>
      <c r="Q26" s="266"/>
      <c r="R26" s="268"/>
    </row>
    <row r="27" spans="1:18" ht="30" customHeight="1">
      <c r="A27" s="204">
        <v>22</v>
      </c>
      <c r="B27" s="202" t="s">
        <v>854</v>
      </c>
      <c r="C27" s="202"/>
      <c r="D27" s="202" t="s">
        <v>840</v>
      </c>
      <c r="E27" s="304">
        <v>2841</v>
      </c>
      <c r="F27" s="211">
        <v>2841</v>
      </c>
      <c r="G27" s="203" t="s">
        <v>994</v>
      </c>
      <c r="H27" s="203" t="s">
        <v>995</v>
      </c>
      <c r="I27" s="280"/>
      <c r="J27" s="264" t="str">
        <f t="shared" si="0"/>
        <v>임공</v>
      </c>
      <c r="K27" s="267">
        <v>9390</v>
      </c>
      <c r="L27" s="266"/>
      <c r="M27" s="266"/>
      <c r="N27" s="266"/>
      <c r="O27" s="266"/>
      <c r="P27" s="266"/>
      <c r="Q27" s="266"/>
      <c r="R27" s="268"/>
    </row>
    <row r="28" spans="1:18" ht="30" customHeight="1">
      <c r="A28" s="204">
        <v>23</v>
      </c>
      <c r="B28" s="202" t="s">
        <v>398</v>
      </c>
      <c r="C28" s="202"/>
      <c r="D28" s="202" t="s">
        <v>135</v>
      </c>
      <c r="E28" s="304">
        <v>88</v>
      </c>
      <c r="F28" s="211">
        <v>88</v>
      </c>
      <c r="G28" s="203" t="s">
        <v>994</v>
      </c>
      <c r="H28" s="203" t="s">
        <v>995</v>
      </c>
      <c r="I28" s="280"/>
      <c r="J28" s="264" t="str">
        <f t="shared" si="0"/>
        <v>임공</v>
      </c>
      <c r="K28" s="267">
        <v>9330</v>
      </c>
      <c r="L28" s="266"/>
      <c r="M28" s="266"/>
      <c r="N28" s="266"/>
      <c r="O28" s="266"/>
      <c r="P28" s="266"/>
      <c r="Q28" s="266"/>
      <c r="R28" s="268"/>
    </row>
    <row r="29" spans="1:18" ht="30" customHeight="1">
      <c r="A29" s="204">
        <v>24</v>
      </c>
      <c r="B29" s="202" t="s">
        <v>857</v>
      </c>
      <c r="C29" s="202"/>
      <c r="D29" s="202" t="s">
        <v>858</v>
      </c>
      <c r="E29" s="304">
        <v>236</v>
      </c>
      <c r="F29" s="211">
        <v>236</v>
      </c>
      <c r="G29" s="203" t="s">
        <v>994</v>
      </c>
      <c r="H29" s="203" t="s">
        <v>995</v>
      </c>
      <c r="I29" s="280"/>
      <c r="J29" s="264" t="str">
        <f t="shared" si="0"/>
        <v>답공</v>
      </c>
      <c r="K29" s="267">
        <v>8260</v>
      </c>
      <c r="L29" s="266"/>
      <c r="M29" s="266"/>
      <c r="N29" s="266"/>
      <c r="O29" s="266"/>
      <c r="P29" s="266"/>
      <c r="Q29" s="266"/>
      <c r="R29" s="268"/>
    </row>
    <row r="30" spans="1:18" ht="30" customHeight="1">
      <c r="A30" s="204">
        <v>25</v>
      </c>
      <c r="B30" s="202" t="s">
        <v>399</v>
      </c>
      <c r="C30" s="202"/>
      <c r="D30" s="202" t="s">
        <v>84</v>
      </c>
      <c r="E30" s="304">
        <v>171.9</v>
      </c>
      <c r="F30" s="211">
        <v>171.9</v>
      </c>
      <c r="G30" s="203" t="s">
        <v>308</v>
      </c>
      <c r="H30" s="203" t="s">
        <v>101</v>
      </c>
      <c r="I30" s="280"/>
      <c r="J30" s="264" t="str">
        <f t="shared" si="0"/>
        <v>도국</v>
      </c>
      <c r="K30" s="267"/>
      <c r="L30" s="266"/>
      <c r="M30" s="266"/>
      <c r="N30" s="266"/>
      <c r="O30" s="266"/>
      <c r="P30" s="266"/>
      <c r="Q30" s="266"/>
      <c r="R30" s="268"/>
    </row>
    <row r="31" spans="1:18" ht="30" customHeight="1">
      <c r="A31" s="204">
        <v>26</v>
      </c>
      <c r="B31" s="202" t="s">
        <v>859</v>
      </c>
      <c r="C31" s="202"/>
      <c r="D31" s="202" t="s">
        <v>858</v>
      </c>
      <c r="E31" s="304">
        <v>2792.2</v>
      </c>
      <c r="F31" s="211">
        <v>2792.2</v>
      </c>
      <c r="G31" s="203" t="s">
        <v>994</v>
      </c>
      <c r="H31" s="203" t="s">
        <v>995</v>
      </c>
      <c r="I31" s="280"/>
      <c r="J31" s="264" t="str">
        <f t="shared" si="0"/>
        <v>답공</v>
      </c>
      <c r="K31" s="267">
        <v>8960</v>
      </c>
      <c r="L31" s="266"/>
      <c r="M31" s="266"/>
      <c r="N31" s="266"/>
      <c r="O31" s="266"/>
      <c r="P31" s="266"/>
      <c r="Q31" s="266"/>
      <c r="R31" s="268"/>
    </row>
    <row r="32" spans="1:18" ht="30" customHeight="1">
      <c r="A32" s="204">
        <v>27</v>
      </c>
      <c r="B32" s="202" t="s">
        <v>400</v>
      </c>
      <c r="C32" s="202"/>
      <c r="D32" s="202" t="s">
        <v>89</v>
      </c>
      <c r="E32" s="304">
        <v>15</v>
      </c>
      <c r="F32" s="211">
        <v>15</v>
      </c>
      <c r="G32" s="203" t="s">
        <v>994</v>
      </c>
      <c r="H32" s="203" t="s">
        <v>995</v>
      </c>
      <c r="I32" s="280"/>
      <c r="J32" s="264" t="str">
        <f t="shared" si="0"/>
        <v>답공</v>
      </c>
      <c r="K32" s="267">
        <v>8960</v>
      </c>
      <c r="L32" s="266"/>
      <c r="M32" s="266"/>
      <c r="N32" s="266"/>
      <c r="O32" s="266"/>
      <c r="P32" s="266"/>
      <c r="Q32" s="266"/>
      <c r="R32" s="268"/>
    </row>
    <row r="33" spans="1:18" ht="30" customHeight="1">
      <c r="A33" s="204">
        <v>28</v>
      </c>
      <c r="B33" s="202" t="s">
        <v>860</v>
      </c>
      <c r="C33" s="202"/>
      <c r="D33" s="202" t="s">
        <v>87</v>
      </c>
      <c r="E33" s="304">
        <v>371.4</v>
      </c>
      <c r="F33" s="211">
        <v>371.4</v>
      </c>
      <c r="G33" s="203" t="s">
        <v>308</v>
      </c>
      <c r="H33" s="203" t="s">
        <v>861</v>
      </c>
      <c r="I33" s="280"/>
      <c r="J33" s="264" t="str">
        <f t="shared" si="0"/>
        <v>구국</v>
      </c>
      <c r="K33" s="267"/>
      <c r="L33" s="266"/>
      <c r="M33" s="266"/>
      <c r="N33" s="266"/>
      <c r="O33" s="266"/>
      <c r="P33" s="266"/>
      <c r="Q33" s="266"/>
      <c r="R33" s="268"/>
    </row>
    <row r="34" spans="1:18" ht="30" customHeight="1">
      <c r="A34" s="204">
        <v>29</v>
      </c>
      <c r="B34" s="202" t="s">
        <v>401</v>
      </c>
      <c r="C34" s="202"/>
      <c r="D34" s="202" t="s">
        <v>90</v>
      </c>
      <c r="E34" s="304">
        <v>648</v>
      </c>
      <c r="F34" s="211">
        <v>648</v>
      </c>
      <c r="G34" s="203" t="s">
        <v>97</v>
      </c>
      <c r="H34" s="203" t="s">
        <v>7</v>
      </c>
      <c r="I34" s="280"/>
      <c r="J34" s="264" t="str">
        <f t="shared" si="0"/>
        <v>대공</v>
      </c>
      <c r="K34" s="267">
        <v>1200</v>
      </c>
      <c r="L34" s="266"/>
      <c r="M34" s="266"/>
      <c r="N34" s="266"/>
      <c r="O34" s="266"/>
      <c r="P34" s="266"/>
      <c r="Q34" s="266"/>
      <c r="R34" s="268"/>
    </row>
    <row r="35" spans="1:18" ht="30" customHeight="1">
      <c r="A35" s="204">
        <v>30</v>
      </c>
      <c r="B35" s="202" t="s">
        <v>862</v>
      </c>
      <c r="C35" s="202"/>
      <c r="D35" s="202" t="s">
        <v>382</v>
      </c>
      <c r="E35" s="304">
        <v>247</v>
      </c>
      <c r="F35" s="211">
        <v>247</v>
      </c>
      <c r="G35" s="203" t="s">
        <v>308</v>
      </c>
      <c r="H35" s="203" t="s">
        <v>102</v>
      </c>
      <c r="I35" s="280"/>
      <c r="J35" s="264" t="str">
        <f t="shared" si="0"/>
        <v>유국</v>
      </c>
      <c r="K35" s="267"/>
      <c r="L35" s="266"/>
      <c r="M35" s="266"/>
      <c r="N35" s="266"/>
      <c r="O35" s="266"/>
      <c r="P35" s="266"/>
      <c r="Q35" s="266"/>
      <c r="R35" s="268"/>
    </row>
    <row r="36" spans="1:18" ht="30" customHeight="1">
      <c r="A36" s="204">
        <v>31</v>
      </c>
      <c r="B36" s="202" t="s">
        <v>402</v>
      </c>
      <c r="C36" s="202"/>
      <c r="D36" s="202" t="s">
        <v>85</v>
      </c>
      <c r="E36" s="304">
        <v>123</v>
      </c>
      <c r="F36" s="211">
        <v>123</v>
      </c>
      <c r="G36" s="203" t="s">
        <v>994</v>
      </c>
      <c r="H36" s="203" t="s">
        <v>995</v>
      </c>
      <c r="I36" s="280"/>
      <c r="J36" s="264" t="str">
        <f t="shared" si="0"/>
        <v>전공</v>
      </c>
      <c r="K36" s="267">
        <v>8550</v>
      </c>
      <c r="L36" s="266"/>
      <c r="M36" s="266"/>
      <c r="N36" s="266"/>
      <c r="O36" s="266"/>
      <c r="P36" s="266"/>
      <c r="Q36" s="266"/>
      <c r="R36" s="268"/>
    </row>
    <row r="37" spans="1:18" ht="30" customHeight="1">
      <c r="A37" s="204">
        <v>32</v>
      </c>
      <c r="B37" s="202" t="s">
        <v>864</v>
      </c>
      <c r="C37" s="202"/>
      <c r="D37" s="202" t="s">
        <v>865</v>
      </c>
      <c r="E37" s="304">
        <v>99</v>
      </c>
      <c r="F37" s="211">
        <v>40</v>
      </c>
      <c r="G37" s="203" t="s">
        <v>866</v>
      </c>
      <c r="H37" s="203" t="s">
        <v>867</v>
      </c>
      <c r="I37" s="280"/>
      <c r="J37" s="264" t="str">
        <f t="shared" si="0"/>
        <v>제김양균</v>
      </c>
      <c r="K37" s="267"/>
      <c r="L37" s="266"/>
      <c r="M37" s="266"/>
      <c r="N37" s="266"/>
      <c r="O37" s="266"/>
      <c r="P37" s="266"/>
      <c r="Q37" s="266"/>
      <c r="R37" s="268"/>
    </row>
    <row r="38" spans="1:18" ht="30" customHeight="1">
      <c r="A38" s="204">
        <v>33</v>
      </c>
      <c r="B38" s="202" t="s">
        <v>403</v>
      </c>
      <c r="C38" s="202"/>
      <c r="D38" s="202" t="s">
        <v>84</v>
      </c>
      <c r="E38" s="304">
        <v>4429.1000000000004</v>
      </c>
      <c r="F38" s="211">
        <v>212</v>
      </c>
      <c r="G38" s="203" t="s">
        <v>98</v>
      </c>
      <c r="H38" s="203" t="s">
        <v>102</v>
      </c>
      <c r="I38" s="280"/>
      <c r="J38" s="264" t="str">
        <f t="shared" si="0"/>
        <v>도국</v>
      </c>
      <c r="K38" s="267"/>
      <c r="L38" s="266"/>
      <c r="M38" s="266"/>
      <c r="N38" s="266"/>
      <c r="O38" s="266"/>
      <c r="P38" s="266"/>
      <c r="Q38" s="266"/>
      <c r="R38" s="268"/>
    </row>
    <row r="39" spans="1:18" ht="30" customHeight="1">
      <c r="A39" s="204">
        <v>34</v>
      </c>
      <c r="B39" s="202" t="s">
        <v>868</v>
      </c>
      <c r="C39" s="202"/>
      <c r="D39" s="202" t="s">
        <v>87</v>
      </c>
      <c r="E39" s="304">
        <v>438.2</v>
      </c>
      <c r="F39" s="211">
        <v>438.2</v>
      </c>
      <c r="G39" s="203" t="s">
        <v>308</v>
      </c>
      <c r="H39" s="203" t="s">
        <v>870</v>
      </c>
      <c r="I39" s="280"/>
      <c r="J39" s="264" t="str">
        <f t="shared" si="0"/>
        <v>구국</v>
      </c>
      <c r="K39" s="267"/>
      <c r="L39" s="266"/>
      <c r="M39" s="266"/>
      <c r="N39" s="266"/>
      <c r="O39" s="266"/>
      <c r="P39" s="266"/>
      <c r="Q39" s="266"/>
      <c r="R39" s="268"/>
    </row>
    <row r="40" spans="1:18" ht="30" customHeight="1">
      <c r="A40" s="204">
        <v>35</v>
      </c>
      <c r="B40" s="202" t="s">
        <v>404</v>
      </c>
      <c r="C40" s="202"/>
      <c r="D40" s="202" t="s">
        <v>89</v>
      </c>
      <c r="E40" s="304">
        <v>15</v>
      </c>
      <c r="F40" s="211">
        <v>15</v>
      </c>
      <c r="G40" s="203" t="s">
        <v>1108</v>
      </c>
      <c r="H40" s="203" t="s">
        <v>1109</v>
      </c>
      <c r="I40" s="280"/>
      <c r="J40" s="264" t="str">
        <f t="shared" si="0"/>
        <v>답이*우</v>
      </c>
      <c r="K40" s="267">
        <v>9640</v>
      </c>
      <c r="L40" s="266"/>
      <c r="M40" s="266"/>
      <c r="N40" s="266"/>
      <c r="O40" s="266"/>
      <c r="P40" s="266"/>
      <c r="Q40" s="266"/>
      <c r="R40" s="268"/>
    </row>
    <row r="41" spans="1:18" ht="30" customHeight="1">
      <c r="A41" s="204">
        <v>36</v>
      </c>
      <c r="B41" s="202" t="s">
        <v>871</v>
      </c>
      <c r="C41" s="202"/>
      <c r="D41" s="202" t="s">
        <v>872</v>
      </c>
      <c r="E41" s="304">
        <v>202</v>
      </c>
      <c r="F41" s="211">
        <v>202</v>
      </c>
      <c r="G41" s="203" t="s">
        <v>97</v>
      </c>
      <c r="H41" s="203" t="s">
        <v>7</v>
      </c>
      <c r="I41" s="280"/>
      <c r="J41" s="264" t="str">
        <f t="shared" si="0"/>
        <v>전공</v>
      </c>
      <c r="K41" s="267">
        <v>10900</v>
      </c>
      <c r="L41" s="266"/>
      <c r="M41" s="266"/>
      <c r="N41" s="266"/>
      <c r="O41" s="266"/>
      <c r="P41" s="266"/>
      <c r="Q41" s="266"/>
      <c r="R41" s="268"/>
    </row>
    <row r="42" spans="1:18" ht="30" customHeight="1">
      <c r="A42" s="204">
        <v>37</v>
      </c>
      <c r="B42" s="202" t="s">
        <v>405</v>
      </c>
      <c r="C42" s="202"/>
      <c r="D42" s="202" t="s">
        <v>85</v>
      </c>
      <c r="E42" s="304">
        <v>72</v>
      </c>
      <c r="F42" s="211">
        <v>70</v>
      </c>
      <c r="G42" s="203" t="s">
        <v>97</v>
      </c>
      <c r="H42" s="203" t="s">
        <v>7</v>
      </c>
      <c r="I42" s="280"/>
      <c r="J42" s="264" t="str">
        <f t="shared" si="0"/>
        <v>전공</v>
      </c>
      <c r="K42" s="267">
        <v>10900</v>
      </c>
      <c r="L42" s="266"/>
      <c r="M42" s="266"/>
      <c r="N42" s="266"/>
      <c r="O42" s="266"/>
      <c r="P42" s="266"/>
      <c r="Q42" s="266"/>
      <c r="R42" s="268"/>
    </row>
    <row r="43" spans="1:18" ht="30" customHeight="1">
      <c r="A43" s="204">
        <v>38</v>
      </c>
      <c r="B43" s="202" t="s">
        <v>873</v>
      </c>
      <c r="C43" s="202"/>
      <c r="D43" s="202" t="s">
        <v>874</v>
      </c>
      <c r="E43" s="304">
        <v>1051</v>
      </c>
      <c r="F43" s="211">
        <v>1051</v>
      </c>
      <c r="G43" s="203" t="s">
        <v>875</v>
      </c>
      <c r="H43" s="203" t="s">
        <v>876</v>
      </c>
      <c r="I43" s="280"/>
      <c r="J43" s="264" t="str">
        <f t="shared" si="0"/>
        <v>임박행연 
외1인</v>
      </c>
      <c r="K43" s="267">
        <v>9030</v>
      </c>
      <c r="L43" s="266"/>
      <c r="M43" s="266"/>
      <c r="N43" s="266"/>
      <c r="O43" s="266"/>
      <c r="P43" s="266"/>
      <c r="Q43" s="266"/>
      <c r="R43" s="268"/>
    </row>
    <row r="44" spans="1:18" ht="30" customHeight="1">
      <c r="A44" s="204">
        <v>39</v>
      </c>
      <c r="B44" s="202" t="s">
        <v>406</v>
      </c>
      <c r="C44" s="202"/>
      <c r="D44" s="202" t="s">
        <v>87</v>
      </c>
      <c r="E44" s="304">
        <v>177.3</v>
      </c>
      <c r="F44" s="211">
        <v>177.3</v>
      </c>
      <c r="G44" s="203" t="s">
        <v>98</v>
      </c>
      <c r="H44" s="203" t="s">
        <v>101</v>
      </c>
      <c r="I44" s="280"/>
      <c r="J44" s="264" t="str">
        <f t="shared" si="0"/>
        <v>구국</v>
      </c>
      <c r="K44" s="267"/>
      <c r="L44" s="266"/>
      <c r="M44" s="266"/>
      <c r="N44" s="266"/>
      <c r="O44" s="266"/>
      <c r="P44" s="266"/>
      <c r="Q44" s="266"/>
      <c r="R44" s="268"/>
    </row>
    <row r="45" spans="1:18" ht="30" customHeight="1">
      <c r="A45" s="204">
        <v>40</v>
      </c>
      <c r="B45" s="202" t="s">
        <v>877</v>
      </c>
      <c r="C45" s="202"/>
      <c r="D45" s="202" t="s">
        <v>878</v>
      </c>
      <c r="E45" s="304">
        <v>667</v>
      </c>
      <c r="F45" s="211">
        <v>297</v>
      </c>
      <c r="G45" s="203" t="s">
        <v>855</v>
      </c>
      <c r="H45" s="203" t="s">
        <v>856</v>
      </c>
      <c r="I45" s="280"/>
      <c r="J45" s="264" t="str">
        <f t="shared" si="0"/>
        <v>전공</v>
      </c>
      <c r="K45" s="267">
        <v>9940</v>
      </c>
      <c r="L45" s="266"/>
      <c r="M45" s="266"/>
      <c r="N45" s="266"/>
      <c r="O45" s="266"/>
      <c r="P45" s="266"/>
      <c r="Q45" s="266"/>
      <c r="R45" s="268"/>
    </row>
    <row r="46" spans="1:18" ht="30" customHeight="1">
      <c r="A46" s="204">
        <v>41</v>
      </c>
      <c r="B46" s="202" t="s">
        <v>879</v>
      </c>
      <c r="C46" s="202"/>
      <c r="D46" s="202" t="s">
        <v>858</v>
      </c>
      <c r="E46" s="304">
        <v>2592</v>
      </c>
      <c r="F46" s="211">
        <v>2592</v>
      </c>
      <c r="G46" s="203" t="s">
        <v>994</v>
      </c>
      <c r="H46" s="203" t="s">
        <v>995</v>
      </c>
      <c r="I46" s="280"/>
      <c r="J46" s="264" t="str">
        <f t="shared" si="0"/>
        <v>답공</v>
      </c>
      <c r="K46" s="267">
        <v>9650</v>
      </c>
      <c r="L46" s="266"/>
      <c r="M46" s="266"/>
      <c r="N46" s="266"/>
      <c r="O46" s="266"/>
      <c r="P46" s="266"/>
      <c r="Q46" s="266"/>
      <c r="R46" s="268"/>
    </row>
    <row r="47" spans="1:18" ht="30" customHeight="1">
      <c r="A47" s="204">
        <v>42</v>
      </c>
      <c r="B47" s="202" t="s">
        <v>407</v>
      </c>
      <c r="C47" s="202"/>
      <c r="D47" s="202" t="s">
        <v>89</v>
      </c>
      <c r="E47" s="304">
        <v>1715</v>
      </c>
      <c r="F47" s="211">
        <v>1715</v>
      </c>
      <c r="G47" s="203" t="s">
        <v>994</v>
      </c>
      <c r="H47" s="203" t="s">
        <v>995</v>
      </c>
      <c r="I47" s="280"/>
      <c r="J47" s="264" t="str">
        <f t="shared" si="0"/>
        <v>답공</v>
      </c>
      <c r="K47" s="267">
        <v>9650</v>
      </c>
      <c r="L47" s="266"/>
      <c r="M47" s="266"/>
      <c r="N47" s="266"/>
      <c r="O47" s="266"/>
      <c r="P47" s="266"/>
      <c r="Q47" s="266"/>
      <c r="R47" s="268"/>
    </row>
    <row r="48" spans="1:18" ht="30" customHeight="1">
      <c r="A48" s="204">
        <v>43</v>
      </c>
      <c r="B48" s="202" t="s">
        <v>408</v>
      </c>
      <c r="C48" s="202"/>
      <c r="D48" s="202" t="s">
        <v>89</v>
      </c>
      <c r="E48" s="304">
        <v>131</v>
      </c>
      <c r="F48" s="211">
        <v>131</v>
      </c>
      <c r="G48" s="203" t="s">
        <v>994</v>
      </c>
      <c r="H48" s="203" t="s">
        <v>995</v>
      </c>
      <c r="I48" s="280"/>
      <c r="J48" s="264" t="str">
        <f t="shared" si="0"/>
        <v>답공</v>
      </c>
      <c r="K48" s="267">
        <v>8400</v>
      </c>
      <c r="L48" s="266"/>
      <c r="M48" s="266"/>
      <c r="N48" s="266"/>
      <c r="O48" s="266"/>
      <c r="P48" s="266"/>
      <c r="Q48" s="266"/>
      <c r="R48" s="268"/>
    </row>
    <row r="49" spans="1:18" ht="30" customHeight="1">
      <c r="A49" s="204">
        <v>44</v>
      </c>
      <c r="B49" s="202" t="s">
        <v>163</v>
      </c>
      <c r="C49" s="202"/>
      <c r="D49" s="202" t="s">
        <v>878</v>
      </c>
      <c r="E49" s="304">
        <v>556</v>
      </c>
      <c r="F49" s="211">
        <v>556</v>
      </c>
      <c r="G49" s="203" t="s">
        <v>994</v>
      </c>
      <c r="H49" s="203" t="s">
        <v>995</v>
      </c>
      <c r="I49" s="280"/>
      <c r="J49" s="264" t="str">
        <f t="shared" si="0"/>
        <v>전공</v>
      </c>
      <c r="K49" s="267">
        <v>11600</v>
      </c>
      <c r="L49" s="266"/>
      <c r="M49" s="266"/>
      <c r="N49" s="266"/>
      <c r="O49" s="266"/>
      <c r="P49" s="266"/>
      <c r="Q49" s="266"/>
      <c r="R49" s="268"/>
    </row>
    <row r="50" spans="1:18" ht="30" customHeight="1">
      <c r="A50" s="204">
        <v>45</v>
      </c>
      <c r="B50" s="202" t="s">
        <v>409</v>
      </c>
      <c r="C50" s="202"/>
      <c r="D50" s="202" t="s">
        <v>89</v>
      </c>
      <c r="E50" s="304">
        <v>212</v>
      </c>
      <c r="F50" s="211">
        <v>212</v>
      </c>
      <c r="G50" s="203" t="s">
        <v>994</v>
      </c>
      <c r="H50" s="203" t="s">
        <v>995</v>
      </c>
      <c r="I50" s="280"/>
      <c r="J50" s="264" t="str">
        <f t="shared" si="0"/>
        <v>답공</v>
      </c>
      <c r="K50" s="267">
        <v>8400</v>
      </c>
      <c r="L50" s="266"/>
      <c r="M50" s="266"/>
      <c r="N50" s="266"/>
      <c r="O50" s="266"/>
      <c r="P50" s="266"/>
      <c r="Q50" s="266"/>
      <c r="R50" s="268"/>
    </row>
    <row r="51" spans="1:18" ht="30" customHeight="1">
      <c r="A51" s="204">
        <v>46</v>
      </c>
      <c r="B51" s="202" t="s">
        <v>881</v>
      </c>
      <c r="C51" s="202"/>
      <c r="D51" s="202" t="s">
        <v>858</v>
      </c>
      <c r="E51" s="304">
        <v>74</v>
      </c>
      <c r="F51" s="211">
        <v>74</v>
      </c>
      <c r="G51" s="203" t="s">
        <v>994</v>
      </c>
      <c r="H51" s="203" t="s">
        <v>995</v>
      </c>
      <c r="I51" s="280"/>
      <c r="J51" s="264" t="str">
        <f t="shared" si="0"/>
        <v>답공</v>
      </c>
      <c r="K51" s="267">
        <v>8640</v>
      </c>
      <c r="L51" s="266"/>
      <c r="M51" s="266"/>
      <c r="N51" s="266"/>
      <c r="O51" s="266"/>
      <c r="P51" s="266"/>
      <c r="Q51" s="266"/>
      <c r="R51" s="268"/>
    </row>
    <row r="52" spans="1:18" ht="30" customHeight="1">
      <c r="A52" s="204">
        <v>47</v>
      </c>
      <c r="B52" s="202" t="s">
        <v>410</v>
      </c>
      <c r="C52" s="202"/>
      <c r="D52" s="202" t="s">
        <v>85</v>
      </c>
      <c r="E52" s="304">
        <v>56</v>
      </c>
      <c r="F52" s="211">
        <v>56</v>
      </c>
      <c r="G52" s="203" t="s">
        <v>994</v>
      </c>
      <c r="H52" s="203" t="s">
        <v>995</v>
      </c>
      <c r="I52" s="280"/>
      <c r="J52" s="264" t="str">
        <f t="shared" si="0"/>
        <v>전공</v>
      </c>
      <c r="K52" s="267">
        <v>11200</v>
      </c>
      <c r="L52" s="266"/>
      <c r="M52" s="266"/>
      <c r="N52" s="266"/>
      <c r="O52" s="266"/>
      <c r="P52" s="266"/>
      <c r="Q52" s="266"/>
      <c r="R52" s="268"/>
    </row>
    <row r="53" spans="1:18" ht="30" customHeight="1">
      <c r="A53" s="204">
        <v>48</v>
      </c>
      <c r="B53" s="202" t="s">
        <v>882</v>
      </c>
      <c r="C53" s="202"/>
      <c r="D53" s="202" t="s">
        <v>135</v>
      </c>
      <c r="E53" s="304">
        <v>235</v>
      </c>
      <c r="F53" s="211">
        <v>235</v>
      </c>
      <c r="G53" s="203" t="s">
        <v>994</v>
      </c>
      <c r="H53" s="203" t="s">
        <v>995</v>
      </c>
      <c r="I53" s="280"/>
      <c r="J53" s="264" t="str">
        <f t="shared" si="0"/>
        <v>임공</v>
      </c>
      <c r="K53" s="267">
        <v>10300</v>
      </c>
      <c r="L53" s="266"/>
      <c r="M53" s="266"/>
      <c r="N53" s="266"/>
      <c r="O53" s="266"/>
      <c r="P53" s="266"/>
      <c r="Q53" s="266"/>
      <c r="R53" s="268"/>
    </row>
    <row r="54" spans="1:18" ht="30" customHeight="1">
      <c r="A54" s="204">
        <v>49</v>
      </c>
      <c r="B54" s="202" t="s">
        <v>411</v>
      </c>
      <c r="C54" s="202"/>
      <c r="D54" s="202" t="s">
        <v>88</v>
      </c>
      <c r="E54" s="304">
        <v>828</v>
      </c>
      <c r="F54" s="211">
        <v>828</v>
      </c>
      <c r="G54" s="203" t="s">
        <v>97</v>
      </c>
      <c r="H54" s="203" t="s">
        <v>7</v>
      </c>
      <c r="I54" s="280"/>
      <c r="J54" s="264" t="str">
        <f t="shared" si="0"/>
        <v>임공</v>
      </c>
      <c r="K54" s="267">
        <v>9630</v>
      </c>
      <c r="L54" s="266"/>
      <c r="M54" s="266"/>
      <c r="N54" s="266"/>
      <c r="O54" s="266"/>
      <c r="P54" s="266"/>
      <c r="Q54" s="266"/>
      <c r="R54" s="268"/>
    </row>
    <row r="55" spans="1:18" ht="30" customHeight="1">
      <c r="A55" s="204">
        <v>50</v>
      </c>
      <c r="B55" s="202" t="s">
        <v>883</v>
      </c>
      <c r="C55" s="202"/>
      <c r="D55" s="202" t="s">
        <v>135</v>
      </c>
      <c r="E55" s="304">
        <v>34</v>
      </c>
      <c r="F55" s="211">
        <v>34</v>
      </c>
      <c r="G55" s="203" t="s">
        <v>994</v>
      </c>
      <c r="H55" s="203" t="s">
        <v>995</v>
      </c>
      <c r="I55" s="280"/>
      <c r="J55" s="264" t="str">
        <f t="shared" si="0"/>
        <v>임공</v>
      </c>
      <c r="K55" s="267">
        <v>9630</v>
      </c>
      <c r="L55" s="266"/>
      <c r="M55" s="266"/>
      <c r="N55" s="266"/>
      <c r="O55" s="266"/>
      <c r="P55" s="266"/>
      <c r="Q55" s="266"/>
      <c r="R55" s="268"/>
    </row>
    <row r="56" spans="1:18" ht="30" customHeight="1">
      <c r="A56" s="204">
        <v>51</v>
      </c>
      <c r="B56" s="202" t="s">
        <v>412</v>
      </c>
      <c r="C56" s="202"/>
      <c r="D56" s="202" t="s">
        <v>88</v>
      </c>
      <c r="E56" s="304">
        <v>2671</v>
      </c>
      <c r="F56" s="211">
        <v>2671</v>
      </c>
      <c r="G56" s="203" t="s">
        <v>97</v>
      </c>
      <c r="H56" s="203" t="s">
        <v>7</v>
      </c>
      <c r="I56" s="280"/>
      <c r="J56" s="264" t="str">
        <f t="shared" si="0"/>
        <v>임공</v>
      </c>
      <c r="K56" s="267">
        <v>8370</v>
      </c>
      <c r="L56" s="266"/>
      <c r="M56" s="266"/>
      <c r="N56" s="266"/>
      <c r="O56" s="266"/>
      <c r="P56" s="266"/>
      <c r="Q56" s="266"/>
      <c r="R56" s="268"/>
    </row>
    <row r="57" spans="1:18" ht="30" customHeight="1">
      <c r="A57" s="204">
        <v>52</v>
      </c>
      <c r="B57" s="202" t="s">
        <v>413</v>
      </c>
      <c r="C57" s="202"/>
      <c r="D57" s="202" t="s">
        <v>88</v>
      </c>
      <c r="E57" s="304">
        <v>375</v>
      </c>
      <c r="F57" s="211">
        <v>375</v>
      </c>
      <c r="G57" s="203" t="s">
        <v>994</v>
      </c>
      <c r="H57" s="203" t="s">
        <v>995</v>
      </c>
      <c r="I57" s="280"/>
      <c r="J57" s="264" t="str">
        <f t="shared" si="0"/>
        <v>임공</v>
      </c>
      <c r="K57" s="267">
        <v>8370</v>
      </c>
      <c r="L57" s="266"/>
      <c r="M57" s="266"/>
      <c r="N57" s="266"/>
      <c r="O57" s="266"/>
      <c r="P57" s="266"/>
      <c r="Q57" s="266"/>
      <c r="R57" s="268"/>
    </row>
    <row r="58" spans="1:18" ht="30" customHeight="1">
      <c r="A58" s="204">
        <v>53</v>
      </c>
      <c r="B58" s="202" t="s">
        <v>884</v>
      </c>
      <c r="C58" s="202"/>
      <c r="D58" s="202" t="s">
        <v>135</v>
      </c>
      <c r="E58" s="304">
        <v>160</v>
      </c>
      <c r="F58" s="211">
        <v>160</v>
      </c>
      <c r="G58" s="203" t="s">
        <v>1110</v>
      </c>
      <c r="H58" s="203" t="s">
        <v>1111</v>
      </c>
      <c r="I58" s="280"/>
      <c r="J58" s="264" t="str">
        <f t="shared" si="0"/>
        <v>임안*정</v>
      </c>
      <c r="K58" s="267">
        <v>9010</v>
      </c>
      <c r="L58" s="266"/>
      <c r="M58" s="266"/>
      <c r="N58" s="266"/>
      <c r="O58" s="266"/>
      <c r="P58" s="266"/>
      <c r="Q58" s="266"/>
      <c r="R58" s="268"/>
    </row>
    <row r="59" spans="1:18" ht="30" customHeight="1">
      <c r="A59" s="204">
        <v>54</v>
      </c>
      <c r="B59" s="202" t="s">
        <v>414</v>
      </c>
      <c r="C59" s="202"/>
      <c r="D59" s="202" t="s">
        <v>88</v>
      </c>
      <c r="E59" s="304">
        <v>2014</v>
      </c>
      <c r="F59" s="211">
        <v>2014</v>
      </c>
      <c r="G59" s="203" t="s">
        <v>994</v>
      </c>
      <c r="H59" s="203" t="s">
        <v>995</v>
      </c>
      <c r="I59" s="280"/>
      <c r="J59" s="264" t="str">
        <f t="shared" si="0"/>
        <v>임공</v>
      </c>
      <c r="K59" s="267">
        <v>9010</v>
      </c>
      <c r="L59" s="266"/>
      <c r="M59" s="266"/>
      <c r="N59" s="266"/>
      <c r="O59" s="266"/>
      <c r="P59" s="266"/>
      <c r="Q59" s="266"/>
      <c r="R59" s="268"/>
    </row>
    <row r="60" spans="1:18" ht="30" customHeight="1">
      <c r="A60" s="204">
        <v>55</v>
      </c>
      <c r="B60" s="202" t="s">
        <v>885</v>
      </c>
      <c r="C60" s="202"/>
      <c r="D60" s="202" t="s">
        <v>135</v>
      </c>
      <c r="E60" s="304">
        <v>486</v>
      </c>
      <c r="F60" s="211">
        <v>486</v>
      </c>
      <c r="G60" s="203" t="s">
        <v>994</v>
      </c>
      <c r="H60" s="203" t="s">
        <v>995</v>
      </c>
      <c r="I60" s="280"/>
      <c r="J60" s="264" t="str">
        <f t="shared" si="0"/>
        <v>임공</v>
      </c>
      <c r="K60" s="267">
        <v>4790</v>
      </c>
      <c r="L60" s="266"/>
      <c r="M60" s="266"/>
      <c r="N60" s="266"/>
      <c r="O60" s="266"/>
      <c r="P60" s="266"/>
      <c r="Q60" s="266"/>
      <c r="R60" s="268"/>
    </row>
    <row r="61" spans="1:18" ht="30" customHeight="1">
      <c r="A61" s="204">
        <v>56</v>
      </c>
      <c r="B61" s="202" t="s">
        <v>415</v>
      </c>
      <c r="C61" s="202"/>
      <c r="D61" s="202" t="s">
        <v>85</v>
      </c>
      <c r="E61" s="304">
        <v>764</v>
      </c>
      <c r="F61" s="211">
        <v>539</v>
      </c>
      <c r="G61" s="203" t="s">
        <v>97</v>
      </c>
      <c r="H61" s="203" t="s">
        <v>7</v>
      </c>
      <c r="I61" s="280"/>
      <c r="J61" s="264" t="str">
        <f t="shared" si="0"/>
        <v>전공</v>
      </c>
      <c r="K61" s="267">
        <v>10400</v>
      </c>
      <c r="L61" s="266"/>
      <c r="M61" s="266"/>
      <c r="N61" s="266"/>
      <c r="O61" s="266"/>
      <c r="P61" s="266"/>
      <c r="Q61" s="266"/>
      <c r="R61" s="268"/>
    </row>
    <row r="62" spans="1:18" ht="30" customHeight="1">
      <c r="A62" s="204">
        <v>57</v>
      </c>
      <c r="B62" s="202" t="s">
        <v>886</v>
      </c>
      <c r="C62" s="202"/>
      <c r="D62" s="202" t="s">
        <v>135</v>
      </c>
      <c r="E62" s="304">
        <v>96</v>
      </c>
      <c r="F62" s="211">
        <v>96</v>
      </c>
      <c r="G62" s="203" t="s">
        <v>994</v>
      </c>
      <c r="H62" s="203" t="s">
        <v>995</v>
      </c>
      <c r="I62" s="280"/>
      <c r="J62" s="264" t="str">
        <f t="shared" si="0"/>
        <v>임공</v>
      </c>
      <c r="K62" s="267">
        <v>9010</v>
      </c>
      <c r="L62" s="266"/>
      <c r="M62" s="266"/>
      <c r="N62" s="266"/>
      <c r="O62" s="266"/>
      <c r="P62" s="266"/>
      <c r="Q62" s="266"/>
      <c r="R62" s="268"/>
    </row>
    <row r="63" spans="1:18" ht="30" customHeight="1">
      <c r="A63" s="204">
        <v>58</v>
      </c>
      <c r="B63" s="202" t="s">
        <v>416</v>
      </c>
      <c r="C63" s="202"/>
      <c r="D63" s="202" t="s">
        <v>88</v>
      </c>
      <c r="E63" s="304">
        <v>86</v>
      </c>
      <c r="F63" s="211">
        <v>86</v>
      </c>
      <c r="G63" s="203" t="s">
        <v>994</v>
      </c>
      <c r="H63" s="203" t="s">
        <v>995</v>
      </c>
      <c r="I63" s="280"/>
      <c r="J63" s="264" t="str">
        <f t="shared" si="0"/>
        <v>임공</v>
      </c>
      <c r="K63" s="267">
        <v>8370</v>
      </c>
      <c r="L63" s="266"/>
      <c r="M63" s="266"/>
      <c r="N63" s="266"/>
      <c r="O63" s="266"/>
      <c r="P63" s="266"/>
      <c r="Q63" s="266"/>
      <c r="R63" s="268"/>
    </row>
    <row r="64" spans="1:18" ht="30" customHeight="1">
      <c r="A64" s="204">
        <v>59</v>
      </c>
      <c r="B64" s="202" t="s">
        <v>887</v>
      </c>
      <c r="C64" s="202"/>
      <c r="D64" s="202" t="s">
        <v>878</v>
      </c>
      <c r="E64" s="304">
        <v>343</v>
      </c>
      <c r="F64" s="211">
        <v>258</v>
      </c>
      <c r="G64" s="203" t="s">
        <v>994</v>
      </c>
      <c r="H64" s="203" t="s">
        <v>995</v>
      </c>
      <c r="I64" s="280"/>
      <c r="J64" s="264" t="str">
        <f t="shared" si="0"/>
        <v>전공</v>
      </c>
      <c r="K64" s="267">
        <v>10900</v>
      </c>
      <c r="L64" s="266"/>
      <c r="M64" s="266"/>
      <c r="N64" s="266"/>
      <c r="O64" s="266"/>
      <c r="P64" s="266"/>
      <c r="Q64" s="266"/>
      <c r="R64" s="268"/>
    </row>
    <row r="65" spans="1:18" ht="30" customHeight="1">
      <c r="A65" s="204">
        <v>60</v>
      </c>
      <c r="B65" s="202" t="s">
        <v>417</v>
      </c>
      <c r="C65" s="202"/>
      <c r="D65" s="202" t="s">
        <v>90</v>
      </c>
      <c r="E65" s="304">
        <v>8</v>
      </c>
      <c r="F65" s="211">
        <v>8</v>
      </c>
      <c r="G65" s="203" t="s">
        <v>994</v>
      </c>
      <c r="H65" s="203" t="s">
        <v>995</v>
      </c>
      <c r="I65" s="280"/>
      <c r="J65" s="264" t="str">
        <f t="shared" si="0"/>
        <v>대공</v>
      </c>
      <c r="K65" s="267">
        <v>13800</v>
      </c>
      <c r="L65" s="266"/>
      <c r="M65" s="266"/>
      <c r="N65" s="266"/>
      <c r="O65" s="266"/>
      <c r="P65" s="266"/>
      <c r="Q65" s="266"/>
      <c r="R65" s="268"/>
    </row>
    <row r="66" spans="1:18" ht="30" customHeight="1">
      <c r="A66" s="204">
        <v>61</v>
      </c>
      <c r="B66" s="202" t="s">
        <v>418</v>
      </c>
      <c r="C66" s="202"/>
      <c r="D66" s="202" t="s">
        <v>85</v>
      </c>
      <c r="E66" s="304">
        <v>476</v>
      </c>
      <c r="F66" s="211">
        <v>244</v>
      </c>
      <c r="G66" s="203" t="s">
        <v>994</v>
      </c>
      <c r="H66" s="203" t="s">
        <v>995</v>
      </c>
      <c r="I66" s="280"/>
      <c r="J66" s="264" t="str">
        <f t="shared" si="0"/>
        <v>전공</v>
      </c>
      <c r="K66" s="267">
        <v>10400</v>
      </c>
      <c r="L66" s="266"/>
      <c r="M66" s="266"/>
      <c r="N66" s="266"/>
      <c r="O66" s="266"/>
      <c r="P66" s="266"/>
      <c r="Q66" s="266"/>
      <c r="R66" s="268"/>
    </row>
    <row r="67" spans="1:18" ht="30" customHeight="1">
      <c r="A67" s="204">
        <v>62</v>
      </c>
      <c r="B67" s="202" t="s">
        <v>888</v>
      </c>
      <c r="C67" s="202"/>
      <c r="D67" s="202" t="s">
        <v>878</v>
      </c>
      <c r="E67" s="304">
        <v>726</v>
      </c>
      <c r="F67" s="211">
        <v>726</v>
      </c>
      <c r="G67" s="203" t="s">
        <v>994</v>
      </c>
      <c r="H67" s="203" t="s">
        <v>995</v>
      </c>
      <c r="I67" s="280"/>
      <c r="J67" s="264" t="str">
        <f t="shared" si="0"/>
        <v>전공</v>
      </c>
      <c r="K67" s="267">
        <v>11200</v>
      </c>
      <c r="L67" s="266"/>
      <c r="M67" s="266"/>
      <c r="N67" s="266"/>
      <c r="O67" s="266"/>
      <c r="P67" s="266"/>
      <c r="Q67" s="266"/>
      <c r="R67" s="268"/>
    </row>
    <row r="68" spans="1:18" ht="30" customHeight="1">
      <c r="A68" s="204">
        <v>63</v>
      </c>
      <c r="B68" s="202" t="s">
        <v>419</v>
      </c>
      <c r="C68" s="202"/>
      <c r="D68" s="202" t="s">
        <v>85</v>
      </c>
      <c r="E68" s="304">
        <v>274</v>
      </c>
      <c r="F68" s="211">
        <v>119</v>
      </c>
      <c r="G68" s="203" t="s">
        <v>994</v>
      </c>
      <c r="H68" s="203" t="s">
        <v>995</v>
      </c>
      <c r="I68" s="280"/>
      <c r="J68" s="264" t="str">
        <f t="shared" si="0"/>
        <v>전공</v>
      </c>
      <c r="K68" s="267">
        <v>11200</v>
      </c>
      <c r="L68" s="266"/>
      <c r="M68" s="266"/>
      <c r="N68" s="266"/>
      <c r="O68" s="266"/>
      <c r="P68" s="266"/>
      <c r="Q68" s="266"/>
      <c r="R68" s="268"/>
    </row>
    <row r="69" spans="1:18" ht="30" customHeight="1">
      <c r="A69" s="204">
        <v>64</v>
      </c>
      <c r="B69" s="202" t="s">
        <v>889</v>
      </c>
      <c r="C69" s="202"/>
      <c r="D69" s="202" t="s">
        <v>135</v>
      </c>
      <c r="E69" s="304">
        <v>1122</v>
      </c>
      <c r="F69" s="211">
        <v>1122</v>
      </c>
      <c r="G69" s="203" t="s">
        <v>994</v>
      </c>
      <c r="H69" s="203" t="s">
        <v>995</v>
      </c>
      <c r="I69" s="280"/>
      <c r="J69" s="264" t="str">
        <f t="shared" si="0"/>
        <v>임공</v>
      </c>
      <c r="K69" s="267">
        <v>8370</v>
      </c>
      <c r="L69" s="266"/>
      <c r="M69" s="266"/>
      <c r="N69" s="266"/>
      <c r="O69" s="266"/>
      <c r="P69" s="266"/>
      <c r="Q69" s="266"/>
      <c r="R69" s="268"/>
    </row>
    <row r="70" spans="1:18" ht="30" customHeight="1">
      <c r="A70" s="204">
        <v>65</v>
      </c>
      <c r="B70" s="202" t="s">
        <v>420</v>
      </c>
      <c r="C70" s="202"/>
      <c r="D70" s="202" t="s">
        <v>88</v>
      </c>
      <c r="E70" s="304">
        <v>1044</v>
      </c>
      <c r="F70" s="211">
        <v>1044</v>
      </c>
      <c r="G70" s="203" t="s">
        <v>97</v>
      </c>
      <c r="H70" s="203" t="s">
        <v>7</v>
      </c>
      <c r="I70" s="280"/>
      <c r="J70" s="264" t="str">
        <f t="shared" si="0"/>
        <v>임공</v>
      </c>
      <c r="K70" s="267">
        <v>11300</v>
      </c>
      <c r="L70" s="266"/>
      <c r="M70" s="266"/>
      <c r="N70" s="266"/>
      <c r="O70" s="266"/>
      <c r="P70" s="266"/>
      <c r="Q70" s="266"/>
      <c r="R70" s="268"/>
    </row>
    <row r="71" spans="1:18" ht="30" customHeight="1">
      <c r="A71" s="204">
        <v>66</v>
      </c>
      <c r="B71" s="202" t="s">
        <v>890</v>
      </c>
      <c r="C71" s="202"/>
      <c r="D71" s="202" t="s">
        <v>87</v>
      </c>
      <c r="E71" s="304">
        <v>841.3</v>
      </c>
      <c r="F71" s="211">
        <v>841.3</v>
      </c>
      <c r="G71" s="203" t="s">
        <v>308</v>
      </c>
      <c r="H71" s="203" t="s">
        <v>861</v>
      </c>
      <c r="I71" s="280"/>
      <c r="J71" s="264" t="str">
        <f t="shared" ref="J71:J134" si="1">CONCATENATE(D71,G71)</f>
        <v>구국</v>
      </c>
      <c r="K71" s="267"/>
      <c r="L71" s="266"/>
      <c r="M71" s="266"/>
      <c r="N71" s="266"/>
      <c r="O71" s="266"/>
      <c r="P71" s="266"/>
      <c r="Q71" s="266"/>
      <c r="R71" s="268"/>
    </row>
    <row r="72" spans="1:18" ht="30" customHeight="1">
      <c r="A72" s="204">
        <v>67</v>
      </c>
      <c r="B72" s="202" t="s">
        <v>92</v>
      </c>
      <c r="C72" s="202"/>
      <c r="D72" s="202" t="s">
        <v>85</v>
      </c>
      <c r="E72" s="304">
        <v>317</v>
      </c>
      <c r="F72" s="211">
        <v>317</v>
      </c>
      <c r="G72" s="203" t="s">
        <v>97</v>
      </c>
      <c r="H72" s="203" t="s">
        <v>7</v>
      </c>
      <c r="I72" s="280"/>
      <c r="J72" s="264" t="str">
        <f t="shared" si="1"/>
        <v>전공</v>
      </c>
      <c r="K72" s="267">
        <v>10000</v>
      </c>
      <c r="L72" s="266"/>
      <c r="M72" s="266"/>
      <c r="N72" s="266"/>
      <c r="O72" s="266"/>
      <c r="P72" s="266"/>
      <c r="Q72" s="266"/>
      <c r="R72" s="268"/>
    </row>
    <row r="73" spans="1:18" ht="30" customHeight="1">
      <c r="A73" s="204">
        <v>68</v>
      </c>
      <c r="B73" s="202" t="s">
        <v>891</v>
      </c>
      <c r="C73" s="202"/>
      <c r="D73" s="202" t="s">
        <v>135</v>
      </c>
      <c r="E73" s="304">
        <v>257</v>
      </c>
      <c r="F73" s="211">
        <v>257</v>
      </c>
      <c r="G73" s="203" t="s">
        <v>994</v>
      </c>
      <c r="H73" s="203" t="s">
        <v>995</v>
      </c>
      <c r="I73" s="280"/>
      <c r="J73" s="264" t="str">
        <f t="shared" si="1"/>
        <v>임공</v>
      </c>
      <c r="K73" s="267">
        <v>11300</v>
      </c>
      <c r="L73" s="266" t="s">
        <v>155</v>
      </c>
      <c r="M73" s="266"/>
      <c r="N73" s="266"/>
      <c r="O73" s="266"/>
      <c r="P73" s="266"/>
      <c r="Q73" s="266"/>
      <c r="R73" s="268"/>
    </row>
    <row r="74" spans="1:18" ht="30" customHeight="1">
      <c r="A74" s="204">
        <v>69</v>
      </c>
      <c r="B74" s="202" t="s">
        <v>421</v>
      </c>
      <c r="C74" s="202"/>
      <c r="D74" s="202" t="s">
        <v>88</v>
      </c>
      <c r="E74" s="304">
        <v>39</v>
      </c>
      <c r="F74" s="211">
        <v>39</v>
      </c>
      <c r="G74" s="203" t="s">
        <v>994</v>
      </c>
      <c r="H74" s="203" t="s">
        <v>995</v>
      </c>
      <c r="I74" s="280"/>
      <c r="J74" s="264" t="str">
        <f t="shared" si="1"/>
        <v>임공</v>
      </c>
      <c r="K74" s="267">
        <v>11300</v>
      </c>
      <c r="L74" s="266"/>
      <c r="M74" s="266"/>
      <c r="N74" s="266"/>
      <c r="O74" s="266"/>
      <c r="P74" s="266"/>
      <c r="Q74" s="266"/>
      <c r="R74" s="268"/>
    </row>
    <row r="75" spans="1:18" ht="30" customHeight="1">
      <c r="A75" s="204">
        <v>70</v>
      </c>
      <c r="B75" s="202" t="s">
        <v>892</v>
      </c>
      <c r="C75" s="202"/>
      <c r="D75" s="202" t="s">
        <v>90</v>
      </c>
      <c r="E75" s="304">
        <v>77</v>
      </c>
      <c r="F75" s="211">
        <v>77</v>
      </c>
      <c r="G75" s="203" t="s">
        <v>855</v>
      </c>
      <c r="H75" s="203" t="s">
        <v>856</v>
      </c>
      <c r="I75" s="280"/>
      <c r="J75" s="264" t="str">
        <f t="shared" si="1"/>
        <v>대공</v>
      </c>
      <c r="K75" s="267">
        <v>4120</v>
      </c>
      <c r="L75" s="266"/>
      <c r="M75" s="266"/>
      <c r="N75" s="266"/>
      <c r="O75" s="266"/>
      <c r="P75" s="266"/>
      <c r="Q75" s="266"/>
      <c r="R75" s="268"/>
    </row>
    <row r="76" spans="1:18" ht="30" customHeight="1">
      <c r="A76" s="204">
        <v>71</v>
      </c>
      <c r="B76" s="202" t="s">
        <v>422</v>
      </c>
      <c r="C76" s="202"/>
      <c r="D76" s="202" t="s">
        <v>90</v>
      </c>
      <c r="E76" s="304">
        <v>72</v>
      </c>
      <c r="F76" s="211">
        <v>72</v>
      </c>
      <c r="G76" s="203" t="s">
        <v>994</v>
      </c>
      <c r="H76" s="203" t="s">
        <v>995</v>
      </c>
      <c r="I76" s="280"/>
      <c r="J76" s="264" t="str">
        <f t="shared" si="1"/>
        <v>대공</v>
      </c>
      <c r="K76" s="267">
        <v>14900</v>
      </c>
      <c r="L76" s="266"/>
      <c r="M76" s="266"/>
      <c r="N76" s="266"/>
      <c r="O76" s="266"/>
      <c r="P76" s="266"/>
      <c r="Q76" s="266"/>
      <c r="R76" s="268"/>
    </row>
    <row r="77" spans="1:18" ht="30" customHeight="1">
      <c r="A77" s="204">
        <v>72</v>
      </c>
      <c r="B77" s="202" t="s">
        <v>893</v>
      </c>
      <c r="C77" s="202"/>
      <c r="D77" s="202" t="s">
        <v>878</v>
      </c>
      <c r="E77" s="304">
        <v>218</v>
      </c>
      <c r="F77" s="211">
        <v>218</v>
      </c>
      <c r="G77" s="203" t="s">
        <v>994</v>
      </c>
      <c r="H77" s="203" t="s">
        <v>995</v>
      </c>
      <c r="I77" s="280"/>
      <c r="J77" s="264" t="str">
        <f t="shared" si="1"/>
        <v>전공</v>
      </c>
      <c r="K77" s="267">
        <v>14200</v>
      </c>
      <c r="L77" s="266"/>
      <c r="M77" s="266"/>
      <c r="N77" s="266"/>
      <c r="O77" s="266"/>
      <c r="P77" s="266"/>
      <c r="Q77" s="266"/>
      <c r="R77" s="268"/>
    </row>
    <row r="78" spans="1:18" ht="30" customHeight="1">
      <c r="A78" s="204">
        <v>73</v>
      </c>
      <c r="B78" s="202" t="s">
        <v>95</v>
      </c>
      <c r="C78" s="202"/>
      <c r="D78" s="202" t="s">
        <v>85</v>
      </c>
      <c r="E78" s="304">
        <v>132</v>
      </c>
      <c r="F78" s="211">
        <v>132</v>
      </c>
      <c r="G78" s="203" t="s">
        <v>0</v>
      </c>
      <c r="H78" s="203" t="s">
        <v>7</v>
      </c>
      <c r="I78" s="280"/>
      <c r="J78" s="264" t="str">
        <f t="shared" si="1"/>
        <v>전공</v>
      </c>
      <c r="K78" s="267">
        <v>14200</v>
      </c>
      <c r="L78" s="266"/>
      <c r="M78" s="266"/>
      <c r="N78" s="266"/>
      <c r="O78" s="266"/>
      <c r="P78" s="266"/>
      <c r="Q78" s="266"/>
      <c r="R78" s="268"/>
    </row>
    <row r="79" spans="1:18" ht="30" customHeight="1">
      <c r="A79" s="204">
        <v>74</v>
      </c>
      <c r="B79" s="202" t="s">
        <v>894</v>
      </c>
      <c r="C79" s="202"/>
      <c r="D79" s="202" t="s">
        <v>87</v>
      </c>
      <c r="E79" s="304">
        <v>811.2</v>
      </c>
      <c r="F79" s="211">
        <v>811.2</v>
      </c>
      <c r="G79" s="203" t="s">
        <v>308</v>
      </c>
      <c r="H79" s="203" t="s">
        <v>861</v>
      </c>
      <c r="I79" s="280"/>
      <c r="J79" s="264" t="str">
        <f t="shared" si="1"/>
        <v>구국</v>
      </c>
      <c r="K79" s="267"/>
      <c r="L79" s="266"/>
      <c r="M79" s="266"/>
      <c r="N79" s="266"/>
      <c r="O79" s="266"/>
      <c r="P79" s="266"/>
      <c r="Q79" s="266"/>
      <c r="R79" s="268"/>
    </row>
    <row r="80" spans="1:18" ht="30" customHeight="1">
      <c r="A80" s="204">
        <v>75</v>
      </c>
      <c r="B80" s="202" t="s">
        <v>423</v>
      </c>
      <c r="C80" s="202"/>
      <c r="D80" s="202" t="s">
        <v>89</v>
      </c>
      <c r="E80" s="304">
        <v>68.7</v>
      </c>
      <c r="F80" s="211">
        <v>68.7</v>
      </c>
      <c r="G80" s="203" t="s">
        <v>994</v>
      </c>
      <c r="H80" s="203" t="s">
        <v>995</v>
      </c>
      <c r="I80" s="280"/>
      <c r="J80" s="264" t="str">
        <f t="shared" si="1"/>
        <v>답공</v>
      </c>
      <c r="K80" s="267">
        <v>10100</v>
      </c>
      <c r="L80" s="266"/>
      <c r="M80" s="266"/>
      <c r="N80" s="266"/>
      <c r="O80" s="266"/>
      <c r="P80" s="266"/>
      <c r="Q80" s="266"/>
      <c r="R80" s="268"/>
    </row>
    <row r="81" spans="1:18" ht="30" customHeight="1">
      <c r="A81" s="204">
        <v>76</v>
      </c>
      <c r="B81" s="202" t="s">
        <v>895</v>
      </c>
      <c r="C81" s="202"/>
      <c r="D81" s="202" t="s">
        <v>858</v>
      </c>
      <c r="E81" s="304">
        <v>1825.5</v>
      </c>
      <c r="F81" s="211">
        <v>1825.5</v>
      </c>
      <c r="G81" s="203" t="s">
        <v>994</v>
      </c>
      <c r="H81" s="203" t="s">
        <v>995</v>
      </c>
      <c r="I81" s="280"/>
      <c r="J81" s="264" t="str">
        <f t="shared" si="1"/>
        <v>답공</v>
      </c>
      <c r="K81" s="267">
        <v>10600</v>
      </c>
      <c r="L81" s="266"/>
      <c r="M81" s="266"/>
      <c r="N81" s="266"/>
      <c r="O81" s="266"/>
      <c r="P81" s="266"/>
      <c r="Q81" s="266"/>
      <c r="R81" s="268"/>
    </row>
    <row r="82" spans="1:18" ht="30" customHeight="1">
      <c r="A82" s="204">
        <v>77</v>
      </c>
      <c r="B82" s="202" t="s">
        <v>424</v>
      </c>
      <c r="C82" s="202"/>
      <c r="D82" s="202" t="s">
        <v>84</v>
      </c>
      <c r="E82" s="304">
        <v>216.7</v>
      </c>
      <c r="F82" s="211">
        <v>216.7</v>
      </c>
      <c r="G82" s="203" t="s">
        <v>98</v>
      </c>
      <c r="H82" s="203" t="s">
        <v>101</v>
      </c>
      <c r="I82" s="280"/>
      <c r="J82" s="264" t="str">
        <f t="shared" si="1"/>
        <v>도국</v>
      </c>
      <c r="K82" s="267"/>
      <c r="L82" s="266"/>
      <c r="M82" s="266"/>
      <c r="N82" s="266"/>
      <c r="O82" s="266"/>
      <c r="P82" s="266"/>
      <c r="Q82" s="266"/>
      <c r="R82" s="268"/>
    </row>
    <row r="83" spans="1:18" ht="30" customHeight="1">
      <c r="A83" s="204">
        <v>78</v>
      </c>
      <c r="B83" s="202" t="s">
        <v>896</v>
      </c>
      <c r="C83" s="202"/>
      <c r="D83" s="202" t="s">
        <v>87</v>
      </c>
      <c r="E83" s="304">
        <v>182.8</v>
      </c>
      <c r="F83" s="211">
        <v>182.8</v>
      </c>
      <c r="G83" s="203" t="s">
        <v>308</v>
      </c>
      <c r="H83" s="203" t="s">
        <v>861</v>
      </c>
      <c r="I83" s="280"/>
      <c r="J83" s="264" t="str">
        <f t="shared" si="1"/>
        <v>구국</v>
      </c>
      <c r="K83" s="267"/>
      <c r="L83" s="266"/>
      <c r="M83" s="266"/>
      <c r="N83" s="266"/>
      <c r="O83" s="266"/>
      <c r="P83" s="266"/>
      <c r="Q83" s="266"/>
      <c r="R83" s="268"/>
    </row>
    <row r="84" spans="1:18" ht="30" customHeight="1">
      <c r="A84" s="204">
        <v>79</v>
      </c>
      <c r="B84" s="202" t="s">
        <v>425</v>
      </c>
      <c r="C84" s="202"/>
      <c r="D84" s="202" t="s">
        <v>85</v>
      </c>
      <c r="E84" s="304">
        <v>75</v>
      </c>
      <c r="F84" s="211">
        <v>75</v>
      </c>
      <c r="G84" s="203" t="s">
        <v>994</v>
      </c>
      <c r="H84" s="203" t="s">
        <v>995</v>
      </c>
      <c r="I84" s="280"/>
      <c r="J84" s="264" t="str">
        <f t="shared" si="1"/>
        <v>전공</v>
      </c>
      <c r="K84" s="267">
        <v>9310</v>
      </c>
      <c r="L84" s="266"/>
      <c r="M84" s="266"/>
      <c r="N84" s="266"/>
      <c r="O84" s="266"/>
      <c r="P84" s="266"/>
      <c r="Q84" s="266"/>
      <c r="R84" s="268"/>
    </row>
    <row r="85" spans="1:18" ht="30" customHeight="1">
      <c r="A85" s="204">
        <v>80</v>
      </c>
      <c r="B85" s="202" t="s">
        <v>897</v>
      </c>
      <c r="C85" s="202"/>
      <c r="D85" s="202" t="s">
        <v>858</v>
      </c>
      <c r="E85" s="304">
        <v>47</v>
      </c>
      <c r="F85" s="211">
        <v>47</v>
      </c>
      <c r="G85" s="203" t="s">
        <v>855</v>
      </c>
      <c r="H85" s="203" t="s">
        <v>856</v>
      </c>
      <c r="I85" s="280"/>
      <c r="J85" s="264" t="str">
        <f t="shared" si="1"/>
        <v>답공</v>
      </c>
      <c r="K85" s="267">
        <v>10100</v>
      </c>
      <c r="L85" s="266"/>
      <c r="M85" s="266"/>
      <c r="N85" s="266"/>
      <c r="O85" s="266"/>
      <c r="P85" s="266"/>
      <c r="Q85" s="266"/>
      <c r="R85" s="268"/>
    </row>
    <row r="86" spans="1:18" ht="30" customHeight="1">
      <c r="A86" s="204">
        <v>81</v>
      </c>
      <c r="B86" s="202" t="s">
        <v>898</v>
      </c>
      <c r="C86" s="202"/>
      <c r="D86" s="202" t="s">
        <v>878</v>
      </c>
      <c r="E86" s="304">
        <v>309</v>
      </c>
      <c r="F86" s="211">
        <v>273</v>
      </c>
      <c r="G86" s="203" t="s">
        <v>855</v>
      </c>
      <c r="H86" s="203" t="s">
        <v>856</v>
      </c>
      <c r="I86" s="280"/>
      <c r="J86" s="264" t="str">
        <f t="shared" si="1"/>
        <v>전공</v>
      </c>
      <c r="K86" s="267">
        <v>10600</v>
      </c>
      <c r="L86" s="266"/>
      <c r="M86" s="266"/>
      <c r="N86" s="266"/>
      <c r="O86" s="266"/>
      <c r="P86" s="266"/>
      <c r="Q86" s="266"/>
      <c r="R86" s="268"/>
    </row>
    <row r="87" spans="1:18" ht="30" customHeight="1">
      <c r="A87" s="204">
        <v>82</v>
      </c>
      <c r="B87" s="202" t="s">
        <v>426</v>
      </c>
      <c r="C87" s="202"/>
      <c r="D87" s="202" t="s">
        <v>90</v>
      </c>
      <c r="E87" s="304">
        <v>107</v>
      </c>
      <c r="F87" s="211">
        <v>107</v>
      </c>
      <c r="G87" s="203" t="s">
        <v>994</v>
      </c>
      <c r="H87" s="203" t="s">
        <v>995</v>
      </c>
      <c r="I87" s="280"/>
      <c r="J87" s="264" t="str">
        <f t="shared" si="1"/>
        <v>대공</v>
      </c>
      <c r="K87" s="267">
        <v>13800</v>
      </c>
      <c r="L87" s="266"/>
      <c r="M87" s="266"/>
      <c r="N87" s="266"/>
      <c r="O87" s="266"/>
      <c r="P87" s="266"/>
      <c r="Q87" s="266"/>
      <c r="R87" s="268"/>
    </row>
    <row r="88" spans="1:18" ht="30" customHeight="1">
      <c r="A88" s="204">
        <v>83</v>
      </c>
      <c r="B88" s="202" t="s">
        <v>899</v>
      </c>
      <c r="C88" s="202"/>
      <c r="D88" s="202" t="s">
        <v>858</v>
      </c>
      <c r="E88" s="304">
        <v>7</v>
      </c>
      <c r="F88" s="211">
        <v>7</v>
      </c>
      <c r="G88" s="203" t="s">
        <v>855</v>
      </c>
      <c r="H88" s="203" t="s">
        <v>856</v>
      </c>
      <c r="I88" s="280"/>
      <c r="J88" s="264" t="str">
        <f t="shared" si="1"/>
        <v>답공</v>
      </c>
      <c r="K88" s="267">
        <v>8500</v>
      </c>
      <c r="L88" s="266"/>
      <c r="M88" s="266"/>
      <c r="N88" s="266"/>
      <c r="O88" s="266"/>
      <c r="P88" s="266"/>
      <c r="Q88" s="266"/>
      <c r="R88" s="268"/>
    </row>
    <row r="89" spans="1:18" ht="30" customHeight="1">
      <c r="A89" s="204">
        <v>84</v>
      </c>
      <c r="B89" s="202" t="s">
        <v>427</v>
      </c>
      <c r="C89" s="202"/>
      <c r="D89" s="202" t="s">
        <v>89</v>
      </c>
      <c r="E89" s="304">
        <v>131</v>
      </c>
      <c r="F89" s="211">
        <v>131</v>
      </c>
      <c r="G89" s="203" t="s">
        <v>97</v>
      </c>
      <c r="H89" s="203" t="s">
        <v>7</v>
      </c>
      <c r="I89" s="280"/>
      <c r="J89" s="264" t="str">
        <f t="shared" si="1"/>
        <v>답공</v>
      </c>
      <c r="K89" s="267">
        <v>9330</v>
      </c>
      <c r="L89" s="266"/>
      <c r="M89" s="266"/>
      <c r="N89" s="266"/>
      <c r="O89" s="266"/>
      <c r="P89" s="266"/>
      <c r="Q89" s="266"/>
      <c r="R89" s="268"/>
    </row>
    <row r="90" spans="1:18" ht="30" customHeight="1">
      <c r="A90" s="204">
        <v>85</v>
      </c>
      <c r="B90" s="202" t="s">
        <v>900</v>
      </c>
      <c r="C90" s="202"/>
      <c r="D90" s="202" t="s">
        <v>87</v>
      </c>
      <c r="E90" s="304">
        <v>1858</v>
      </c>
      <c r="F90" s="211">
        <v>372</v>
      </c>
      <c r="G90" s="203" t="s">
        <v>308</v>
      </c>
      <c r="H90" s="203" t="s">
        <v>861</v>
      </c>
      <c r="I90" s="280"/>
      <c r="J90" s="264" t="str">
        <f t="shared" si="1"/>
        <v>구국</v>
      </c>
      <c r="K90" s="267"/>
      <c r="L90" s="266"/>
      <c r="M90" s="266"/>
      <c r="N90" s="266"/>
      <c r="O90" s="266"/>
      <c r="P90" s="266"/>
      <c r="Q90" s="266"/>
      <c r="R90" s="268"/>
    </row>
    <row r="91" spans="1:18" ht="30" customHeight="1">
      <c r="A91" s="204">
        <v>86</v>
      </c>
      <c r="B91" s="202" t="s">
        <v>428</v>
      </c>
      <c r="C91" s="202"/>
      <c r="D91" s="202" t="s">
        <v>89</v>
      </c>
      <c r="E91" s="304">
        <v>1038</v>
      </c>
      <c r="F91" s="211">
        <v>236</v>
      </c>
      <c r="G91" s="203" t="s">
        <v>97</v>
      </c>
      <c r="H91" s="203" t="s">
        <v>7</v>
      </c>
      <c r="I91" s="280"/>
      <c r="J91" s="264" t="str">
        <f t="shared" si="1"/>
        <v>답공</v>
      </c>
      <c r="K91" s="267">
        <v>9650</v>
      </c>
      <c r="L91" s="266"/>
      <c r="M91" s="266"/>
      <c r="N91" s="266"/>
      <c r="O91" s="266"/>
      <c r="P91" s="266"/>
      <c r="Q91" s="266"/>
      <c r="R91" s="268"/>
    </row>
    <row r="92" spans="1:18" ht="30" customHeight="1">
      <c r="A92" s="204">
        <v>87</v>
      </c>
      <c r="B92" s="202" t="s">
        <v>901</v>
      </c>
      <c r="C92" s="202"/>
      <c r="D92" s="202" t="s">
        <v>902</v>
      </c>
      <c r="E92" s="304">
        <v>4069.5</v>
      </c>
      <c r="F92" s="211">
        <v>456</v>
      </c>
      <c r="G92" s="203" t="s">
        <v>308</v>
      </c>
      <c r="H92" s="203" t="s">
        <v>861</v>
      </c>
      <c r="I92" s="280"/>
      <c r="J92" s="264" t="str">
        <f t="shared" si="1"/>
        <v>도국</v>
      </c>
      <c r="K92" s="267"/>
      <c r="L92" s="266"/>
      <c r="M92" s="266"/>
      <c r="N92" s="266"/>
      <c r="O92" s="266"/>
      <c r="P92" s="266"/>
      <c r="Q92" s="266"/>
      <c r="R92" s="268"/>
    </row>
    <row r="93" spans="1:18" ht="30" customHeight="1">
      <c r="A93" s="204">
        <v>88</v>
      </c>
      <c r="B93" s="202" t="s">
        <v>429</v>
      </c>
      <c r="C93" s="202"/>
      <c r="D93" s="202" t="s">
        <v>87</v>
      </c>
      <c r="E93" s="304">
        <v>979.2</v>
      </c>
      <c r="F93" s="211">
        <v>489</v>
      </c>
      <c r="G93" s="203" t="s">
        <v>98</v>
      </c>
      <c r="H93" s="203" t="s">
        <v>101</v>
      </c>
      <c r="I93" s="280"/>
      <c r="J93" s="264" t="str">
        <f t="shared" si="1"/>
        <v>구국</v>
      </c>
      <c r="K93" s="267"/>
      <c r="L93" s="266"/>
      <c r="M93" s="266"/>
      <c r="N93" s="266"/>
      <c r="O93" s="266"/>
      <c r="P93" s="266"/>
      <c r="Q93" s="266"/>
      <c r="R93" s="268"/>
    </row>
    <row r="94" spans="1:18" ht="30" customHeight="1">
      <c r="A94" s="204">
        <v>89</v>
      </c>
      <c r="B94" s="202" t="s">
        <v>903</v>
      </c>
      <c r="C94" s="202"/>
      <c r="D94" s="202" t="s">
        <v>865</v>
      </c>
      <c r="E94" s="304">
        <v>575</v>
      </c>
      <c r="F94" s="211">
        <v>18</v>
      </c>
      <c r="G94" s="203" t="s">
        <v>308</v>
      </c>
      <c r="H94" s="203" t="s">
        <v>102</v>
      </c>
      <c r="I94" s="280"/>
      <c r="J94" s="264" t="str">
        <f t="shared" si="1"/>
        <v>제국</v>
      </c>
      <c r="K94" s="267"/>
      <c r="L94" s="266"/>
      <c r="M94" s="266"/>
      <c r="N94" s="266"/>
      <c r="O94" s="266"/>
      <c r="P94" s="266"/>
      <c r="Q94" s="266"/>
      <c r="R94" s="268"/>
    </row>
    <row r="95" spans="1:18" ht="30" customHeight="1">
      <c r="A95" s="204">
        <v>90</v>
      </c>
      <c r="B95" s="202" t="s">
        <v>430</v>
      </c>
      <c r="C95" s="202"/>
      <c r="D95" s="202" t="s">
        <v>88</v>
      </c>
      <c r="E95" s="304">
        <v>4</v>
      </c>
      <c r="F95" s="211">
        <v>4</v>
      </c>
      <c r="G95" s="203" t="s">
        <v>994</v>
      </c>
      <c r="H95" s="203" t="s">
        <v>995</v>
      </c>
      <c r="I95" s="280"/>
      <c r="J95" s="264" t="str">
        <f t="shared" si="1"/>
        <v>임공</v>
      </c>
      <c r="K95" s="267">
        <v>9010</v>
      </c>
      <c r="L95" s="266"/>
      <c r="M95" s="266"/>
      <c r="N95" s="266"/>
      <c r="O95" s="266"/>
      <c r="P95" s="266"/>
      <c r="Q95" s="266"/>
      <c r="R95" s="268"/>
    </row>
    <row r="96" spans="1:18" ht="30" customHeight="1">
      <c r="A96" s="204">
        <v>91</v>
      </c>
      <c r="B96" s="202" t="s">
        <v>904</v>
      </c>
      <c r="C96" s="202"/>
      <c r="D96" s="202" t="s">
        <v>878</v>
      </c>
      <c r="E96" s="304">
        <v>192</v>
      </c>
      <c r="F96" s="211">
        <v>192</v>
      </c>
      <c r="G96" s="203" t="s">
        <v>994</v>
      </c>
      <c r="H96" s="203" t="s">
        <v>995</v>
      </c>
      <c r="I96" s="280"/>
      <c r="J96" s="264" t="str">
        <f t="shared" si="1"/>
        <v>전공</v>
      </c>
      <c r="K96" s="267">
        <v>10400</v>
      </c>
      <c r="L96" s="266"/>
      <c r="M96" s="266"/>
      <c r="N96" s="266"/>
      <c r="O96" s="266"/>
      <c r="P96" s="266"/>
      <c r="Q96" s="266"/>
      <c r="R96" s="268"/>
    </row>
    <row r="97" spans="1:18" ht="30" customHeight="1">
      <c r="A97" s="204">
        <v>92</v>
      </c>
      <c r="B97" s="202" t="s">
        <v>431</v>
      </c>
      <c r="C97" s="202"/>
      <c r="D97" s="202" t="s">
        <v>88</v>
      </c>
      <c r="E97" s="304">
        <v>754</v>
      </c>
      <c r="F97" s="211">
        <v>754</v>
      </c>
      <c r="G97" s="203" t="s">
        <v>994</v>
      </c>
      <c r="H97" s="203" t="s">
        <v>995</v>
      </c>
      <c r="I97" s="280"/>
      <c r="J97" s="264" t="str">
        <f t="shared" si="1"/>
        <v>임공</v>
      </c>
      <c r="K97" s="267">
        <v>9010</v>
      </c>
      <c r="L97" s="266"/>
      <c r="M97" s="266"/>
      <c r="N97" s="266"/>
      <c r="O97" s="266"/>
      <c r="P97" s="266"/>
      <c r="Q97" s="266"/>
      <c r="R97" s="268"/>
    </row>
    <row r="98" spans="1:18" ht="30" customHeight="1">
      <c r="A98" s="204">
        <v>93</v>
      </c>
      <c r="B98" s="202" t="s">
        <v>905</v>
      </c>
      <c r="C98" s="202"/>
      <c r="D98" s="202" t="s">
        <v>135</v>
      </c>
      <c r="E98" s="304">
        <v>162</v>
      </c>
      <c r="F98" s="211">
        <v>162</v>
      </c>
      <c r="G98" s="203" t="s">
        <v>994</v>
      </c>
      <c r="H98" s="203" t="s">
        <v>995</v>
      </c>
      <c r="I98" s="280"/>
      <c r="J98" s="264" t="str">
        <f t="shared" si="1"/>
        <v>임공</v>
      </c>
      <c r="K98" s="267">
        <v>6100</v>
      </c>
      <c r="L98" s="266"/>
      <c r="M98" s="266"/>
      <c r="N98" s="266"/>
      <c r="O98" s="266"/>
      <c r="P98" s="266"/>
      <c r="Q98" s="266"/>
      <c r="R98" s="268"/>
    </row>
    <row r="99" spans="1:18" ht="30" customHeight="1">
      <c r="A99" s="204">
        <v>94</v>
      </c>
      <c r="B99" s="202" t="s">
        <v>432</v>
      </c>
      <c r="C99" s="202"/>
      <c r="D99" s="202" t="s">
        <v>89</v>
      </c>
      <c r="E99" s="304">
        <v>48.3</v>
      </c>
      <c r="F99" s="211">
        <v>48.3</v>
      </c>
      <c r="G99" s="203" t="s">
        <v>994</v>
      </c>
      <c r="H99" s="203" t="s">
        <v>995</v>
      </c>
      <c r="I99" s="280"/>
      <c r="J99" s="264" t="str">
        <f t="shared" si="1"/>
        <v>답공</v>
      </c>
      <c r="K99" s="267">
        <v>8800</v>
      </c>
      <c r="L99" s="266"/>
      <c r="M99" s="266"/>
      <c r="N99" s="266"/>
      <c r="O99" s="266"/>
      <c r="P99" s="266"/>
      <c r="Q99" s="266"/>
      <c r="R99" s="268"/>
    </row>
    <row r="100" spans="1:18" ht="30" customHeight="1">
      <c r="A100" s="204">
        <v>95</v>
      </c>
      <c r="B100" s="202" t="s">
        <v>906</v>
      </c>
      <c r="C100" s="202"/>
      <c r="D100" s="202" t="s">
        <v>858</v>
      </c>
      <c r="E100" s="304">
        <v>302</v>
      </c>
      <c r="F100" s="211">
        <v>302</v>
      </c>
      <c r="G100" s="203" t="s">
        <v>994</v>
      </c>
      <c r="H100" s="203" t="s">
        <v>995</v>
      </c>
      <c r="I100" s="280"/>
      <c r="J100" s="264" t="str">
        <f t="shared" si="1"/>
        <v>답공</v>
      </c>
      <c r="K100" s="267">
        <v>8800</v>
      </c>
      <c r="L100" s="266"/>
      <c r="M100" s="266"/>
      <c r="N100" s="266"/>
      <c r="O100" s="266"/>
      <c r="P100" s="266"/>
      <c r="Q100" s="266"/>
      <c r="R100" s="268"/>
    </row>
    <row r="101" spans="1:18" ht="30" customHeight="1">
      <c r="A101" s="204">
        <v>96</v>
      </c>
      <c r="B101" s="202" t="s">
        <v>433</v>
      </c>
      <c r="C101" s="202"/>
      <c r="D101" s="202" t="s">
        <v>89</v>
      </c>
      <c r="E101" s="304">
        <v>118.6</v>
      </c>
      <c r="F101" s="211">
        <v>118.6</v>
      </c>
      <c r="G101" s="203" t="s">
        <v>994</v>
      </c>
      <c r="H101" s="203" t="s">
        <v>995</v>
      </c>
      <c r="I101" s="280"/>
      <c r="J101" s="264" t="str">
        <f t="shared" si="1"/>
        <v>답공</v>
      </c>
      <c r="K101" s="267">
        <v>8800</v>
      </c>
      <c r="L101" s="266"/>
      <c r="M101" s="266"/>
      <c r="N101" s="266"/>
      <c r="O101" s="266"/>
      <c r="P101" s="266"/>
      <c r="Q101" s="266"/>
      <c r="R101" s="268"/>
    </row>
    <row r="102" spans="1:18" ht="30" customHeight="1">
      <c r="A102" s="204">
        <v>97</v>
      </c>
      <c r="B102" s="202" t="s">
        <v>907</v>
      </c>
      <c r="C102" s="202"/>
      <c r="D102" s="202" t="s">
        <v>858</v>
      </c>
      <c r="E102" s="304">
        <v>570.20000000000005</v>
      </c>
      <c r="F102" s="211">
        <v>570.20000000000005</v>
      </c>
      <c r="G102" s="203" t="s">
        <v>994</v>
      </c>
      <c r="H102" s="203" t="s">
        <v>995</v>
      </c>
      <c r="I102" s="280"/>
      <c r="J102" s="264" t="str">
        <f t="shared" si="1"/>
        <v>답공</v>
      </c>
      <c r="K102" s="267">
        <v>8800</v>
      </c>
      <c r="L102" s="266"/>
      <c r="M102" s="266"/>
      <c r="N102" s="266"/>
      <c r="O102" s="266"/>
      <c r="P102" s="266"/>
      <c r="Q102" s="266"/>
      <c r="R102" s="268"/>
    </row>
    <row r="103" spans="1:18" ht="30" customHeight="1">
      <c r="A103" s="204">
        <v>98</v>
      </c>
      <c r="B103" s="202" t="s">
        <v>434</v>
      </c>
      <c r="C103" s="202"/>
      <c r="D103" s="202" t="s">
        <v>89</v>
      </c>
      <c r="E103" s="304">
        <v>218.3</v>
      </c>
      <c r="F103" s="211">
        <v>218.3</v>
      </c>
      <c r="G103" s="203" t="s">
        <v>994</v>
      </c>
      <c r="H103" s="203" t="s">
        <v>995</v>
      </c>
      <c r="I103" s="280"/>
      <c r="J103" s="264" t="str">
        <f t="shared" si="1"/>
        <v>답공</v>
      </c>
      <c r="K103" s="267">
        <v>8800</v>
      </c>
      <c r="L103" s="266"/>
      <c r="M103" s="266"/>
      <c r="N103" s="266"/>
      <c r="O103" s="266"/>
      <c r="P103" s="266"/>
      <c r="Q103" s="266"/>
      <c r="R103" s="268"/>
    </row>
    <row r="104" spans="1:18" ht="30" customHeight="1">
      <c r="A104" s="204">
        <v>99</v>
      </c>
      <c r="B104" s="202" t="s">
        <v>908</v>
      </c>
      <c r="C104" s="202"/>
      <c r="D104" s="202" t="s">
        <v>858</v>
      </c>
      <c r="E104" s="304">
        <v>417.9</v>
      </c>
      <c r="F104" s="211">
        <v>417.9</v>
      </c>
      <c r="G104" s="203" t="s">
        <v>994</v>
      </c>
      <c r="H104" s="203" t="s">
        <v>995</v>
      </c>
      <c r="I104" s="280"/>
      <c r="J104" s="264" t="str">
        <f t="shared" si="1"/>
        <v>답공</v>
      </c>
      <c r="K104" s="267">
        <v>8800</v>
      </c>
      <c r="L104" s="266"/>
      <c r="M104" s="266"/>
      <c r="N104" s="266"/>
      <c r="O104" s="266"/>
      <c r="P104" s="266"/>
      <c r="Q104" s="266"/>
      <c r="R104" s="268"/>
    </row>
    <row r="105" spans="1:18" ht="30" customHeight="1">
      <c r="A105" s="204">
        <v>100</v>
      </c>
      <c r="B105" s="202" t="s">
        <v>737</v>
      </c>
      <c r="C105" s="202"/>
      <c r="D105" s="202" t="s">
        <v>87</v>
      </c>
      <c r="E105" s="304">
        <v>3940.7</v>
      </c>
      <c r="F105" s="211">
        <v>398</v>
      </c>
      <c r="G105" s="203" t="s">
        <v>98</v>
      </c>
      <c r="H105" s="203" t="s">
        <v>101</v>
      </c>
      <c r="I105" s="280"/>
      <c r="J105" s="264" t="str">
        <f t="shared" si="1"/>
        <v>구국</v>
      </c>
      <c r="K105" s="267"/>
      <c r="L105" s="266"/>
      <c r="M105" s="266"/>
      <c r="N105" s="266"/>
      <c r="O105" s="266"/>
      <c r="P105" s="266"/>
      <c r="Q105" s="266"/>
      <c r="R105" s="268"/>
    </row>
    <row r="106" spans="1:18" ht="30" customHeight="1">
      <c r="A106" s="204">
        <v>101</v>
      </c>
      <c r="B106" s="202" t="s">
        <v>435</v>
      </c>
      <c r="C106" s="202"/>
      <c r="D106" s="202" t="s">
        <v>84</v>
      </c>
      <c r="E106" s="304">
        <v>715.2</v>
      </c>
      <c r="F106" s="211">
        <v>715.2</v>
      </c>
      <c r="G106" s="203" t="s">
        <v>98</v>
      </c>
      <c r="H106" s="203" t="s">
        <v>101</v>
      </c>
      <c r="I106" s="280"/>
      <c r="J106" s="264" t="str">
        <f t="shared" si="1"/>
        <v>도국</v>
      </c>
      <c r="K106" s="265"/>
      <c r="L106" s="266"/>
      <c r="M106" s="266"/>
      <c r="N106" s="266"/>
      <c r="O106" s="266"/>
      <c r="P106" s="266"/>
      <c r="Q106" s="266"/>
      <c r="R106" s="266"/>
    </row>
    <row r="107" spans="1:18" ht="30" customHeight="1">
      <c r="A107" s="204">
        <v>102</v>
      </c>
      <c r="B107" s="202" t="s">
        <v>909</v>
      </c>
      <c r="C107" s="202"/>
      <c r="D107" s="202" t="s">
        <v>858</v>
      </c>
      <c r="E107" s="304">
        <v>146.6</v>
      </c>
      <c r="F107" s="211">
        <v>146.6</v>
      </c>
      <c r="G107" s="203" t="s">
        <v>994</v>
      </c>
      <c r="H107" s="203" t="s">
        <v>995</v>
      </c>
      <c r="I107" s="280"/>
      <c r="J107" s="264" t="str">
        <f t="shared" si="1"/>
        <v>답공</v>
      </c>
      <c r="K107" s="265">
        <v>8830</v>
      </c>
      <c r="L107" s="266"/>
      <c r="M107" s="266"/>
      <c r="N107" s="266"/>
      <c r="O107" s="266"/>
      <c r="P107" s="266"/>
      <c r="Q107" s="266"/>
      <c r="R107" s="266"/>
    </row>
    <row r="108" spans="1:18" ht="30" customHeight="1">
      <c r="A108" s="204">
        <v>103</v>
      </c>
      <c r="B108" s="202" t="s">
        <v>436</v>
      </c>
      <c r="C108" s="202"/>
      <c r="D108" s="202" t="s">
        <v>85</v>
      </c>
      <c r="E108" s="304">
        <v>55</v>
      </c>
      <c r="F108" s="211">
        <v>55</v>
      </c>
      <c r="G108" s="203" t="s">
        <v>994</v>
      </c>
      <c r="H108" s="203" t="s">
        <v>995</v>
      </c>
      <c r="I108" s="280"/>
      <c r="J108" s="264" t="str">
        <f t="shared" si="1"/>
        <v>전공</v>
      </c>
      <c r="K108" s="265">
        <v>11100</v>
      </c>
      <c r="L108" s="266"/>
      <c r="M108" s="266"/>
      <c r="N108" s="266"/>
      <c r="O108" s="266"/>
      <c r="P108" s="266"/>
      <c r="Q108" s="266"/>
      <c r="R108" s="266"/>
    </row>
    <row r="109" spans="1:18" ht="30" customHeight="1">
      <c r="A109" s="204">
        <v>104</v>
      </c>
      <c r="B109" s="202" t="s">
        <v>910</v>
      </c>
      <c r="C109" s="202"/>
      <c r="D109" s="202" t="s">
        <v>878</v>
      </c>
      <c r="E109" s="304">
        <v>19</v>
      </c>
      <c r="F109" s="211">
        <v>19</v>
      </c>
      <c r="G109" s="203" t="s">
        <v>994</v>
      </c>
      <c r="H109" s="203" t="s">
        <v>995</v>
      </c>
      <c r="I109" s="280"/>
      <c r="J109" s="264" t="str">
        <f t="shared" si="1"/>
        <v>전공</v>
      </c>
      <c r="K109" s="265">
        <v>11100</v>
      </c>
      <c r="L109" s="266"/>
      <c r="M109" s="266"/>
      <c r="N109" s="266"/>
      <c r="O109" s="266"/>
      <c r="P109" s="266"/>
      <c r="Q109" s="266"/>
      <c r="R109" s="266"/>
    </row>
    <row r="110" spans="1:18" ht="30" customHeight="1">
      <c r="A110" s="204">
        <v>105</v>
      </c>
      <c r="B110" s="202" t="s">
        <v>437</v>
      </c>
      <c r="C110" s="202"/>
      <c r="D110" s="202" t="s">
        <v>85</v>
      </c>
      <c r="E110" s="304">
        <v>11</v>
      </c>
      <c r="F110" s="211">
        <v>11</v>
      </c>
      <c r="G110" s="203" t="s">
        <v>994</v>
      </c>
      <c r="H110" s="203" t="s">
        <v>995</v>
      </c>
      <c r="I110" s="280"/>
      <c r="J110" s="264" t="str">
        <f t="shared" si="1"/>
        <v>전공</v>
      </c>
      <c r="K110" s="265">
        <v>11400</v>
      </c>
      <c r="L110" s="266"/>
      <c r="M110" s="266"/>
      <c r="N110" s="266"/>
      <c r="O110" s="266"/>
      <c r="P110" s="266"/>
      <c r="Q110" s="266"/>
      <c r="R110" s="266"/>
    </row>
    <row r="111" spans="1:18" ht="30" customHeight="1">
      <c r="A111" s="204">
        <v>106</v>
      </c>
      <c r="B111" s="202" t="s">
        <v>911</v>
      </c>
      <c r="C111" s="202"/>
      <c r="D111" s="202" t="s">
        <v>858</v>
      </c>
      <c r="E111" s="304">
        <v>41</v>
      </c>
      <c r="F111" s="211">
        <v>41</v>
      </c>
      <c r="G111" s="203" t="s">
        <v>994</v>
      </c>
      <c r="H111" s="203" t="s">
        <v>995</v>
      </c>
      <c r="I111" s="280"/>
      <c r="J111" s="264" t="str">
        <f t="shared" si="1"/>
        <v>답공</v>
      </c>
      <c r="K111" s="265">
        <v>10100</v>
      </c>
      <c r="L111" s="266"/>
      <c r="M111" s="266"/>
      <c r="N111" s="266"/>
      <c r="O111" s="266"/>
      <c r="P111" s="266"/>
      <c r="Q111" s="266"/>
      <c r="R111" s="266"/>
    </row>
    <row r="112" spans="1:18" ht="30" customHeight="1">
      <c r="A112" s="204">
        <v>107</v>
      </c>
      <c r="B112" s="202" t="s">
        <v>438</v>
      </c>
      <c r="C112" s="202"/>
      <c r="D112" s="202" t="s">
        <v>85</v>
      </c>
      <c r="E112" s="304">
        <v>140</v>
      </c>
      <c r="F112" s="211">
        <v>140</v>
      </c>
      <c r="G112" s="203" t="s">
        <v>994</v>
      </c>
      <c r="H112" s="203" t="s">
        <v>995</v>
      </c>
      <c r="I112" s="280"/>
      <c r="J112" s="264" t="str">
        <f t="shared" si="1"/>
        <v>전공</v>
      </c>
      <c r="K112" s="265">
        <v>11400</v>
      </c>
      <c r="L112" s="266"/>
      <c r="M112" s="266"/>
      <c r="N112" s="266"/>
      <c r="O112" s="266"/>
      <c r="P112" s="266"/>
      <c r="Q112" s="266"/>
      <c r="R112" s="266"/>
    </row>
    <row r="113" spans="1:21" ht="30" customHeight="1">
      <c r="A113" s="204">
        <v>108</v>
      </c>
      <c r="B113" s="202" t="s">
        <v>912</v>
      </c>
      <c r="C113" s="202"/>
      <c r="D113" s="202" t="s">
        <v>902</v>
      </c>
      <c r="E113" s="304">
        <v>30</v>
      </c>
      <c r="F113" s="211">
        <v>26</v>
      </c>
      <c r="G113" s="203" t="s">
        <v>855</v>
      </c>
      <c r="H113" s="203" t="s">
        <v>856</v>
      </c>
      <c r="I113" s="280"/>
      <c r="J113" s="264" t="str">
        <f t="shared" si="1"/>
        <v>도공</v>
      </c>
      <c r="K113" s="265"/>
      <c r="L113" s="266"/>
      <c r="M113" s="266"/>
      <c r="N113" s="266"/>
      <c r="O113" s="266"/>
      <c r="P113" s="266"/>
      <c r="Q113" s="266"/>
      <c r="R113" s="266"/>
    </row>
    <row r="114" spans="1:21" ht="30" customHeight="1">
      <c r="A114" s="204">
        <v>109</v>
      </c>
      <c r="B114" s="202" t="s">
        <v>93</v>
      </c>
      <c r="C114" s="202"/>
      <c r="D114" s="202" t="s">
        <v>84</v>
      </c>
      <c r="E114" s="304">
        <v>3</v>
      </c>
      <c r="F114" s="211">
        <v>3</v>
      </c>
      <c r="G114" s="203" t="s">
        <v>439</v>
      </c>
      <c r="H114" s="203">
        <v>347</v>
      </c>
      <c r="I114" s="280"/>
      <c r="J114" s="264" t="str">
        <f t="shared" si="1"/>
        <v>도이종식</v>
      </c>
      <c r="K114" s="265"/>
      <c r="L114" s="266"/>
      <c r="M114" s="266"/>
      <c r="N114" s="266"/>
      <c r="O114" s="266"/>
      <c r="P114" s="266"/>
      <c r="Q114" s="266"/>
      <c r="R114" s="266"/>
    </row>
    <row r="115" spans="1:21" ht="30" customHeight="1">
      <c r="A115" s="204">
        <v>110</v>
      </c>
      <c r="B115" s="202" t="s">
        <v>913</v>
      </c>
      <c r="C115" s="202"/>
      <c r="D115" s="202" t="s">
        <v>878</v>
      </c>
      <c r="E115" s="304">
        <v>29</v>
      </c>
      <c r="F115" s="211">
        <v>29</v>
      </c>
      <c r="G115" s="203" t="s">
        <v>855</v>
      </c>
      <c r="H115" s="203" t="s">
        <v>914</v>
      </c>
      <c r="I115" s="280"/>
      <c r="J115" s="264" t="str">
        <f t="shared" si="1"/>
        <v>전공</v>
      </c>
      <c r="K115" s="265">
        <v>3130</v>
      </c>
      <c r="L115" s="266"/>
      <c r="M115" s="266"/>
      <c r="N115" s="266"/>
      <c r="O115" s="266"/>
      <c r="P115" s="266"/>
      <c r="Q115" s="266"/>
      <c r="R115" s="266"/>
    </row>
    <row r="116" spans="1:21" ht="30" customHeight="1">
      <c r="A116" s="204">
        <v>111</v>
      </c>
      <c r="B116" s="202" t="s">
        <v>288</v>
      </c>
      <c r="C116" s="202"/>
      <c r="D116" s="202" t="s">
        <v>84</v>
      </c>
      <c r="E116" s="304">
        <v>149</v>
      </c>
      <c r="F116" s="211">
        <v>131</v>
      </c>
      <c r="G116" s="203" t="s">
        <v>273</v>
      </c>
      <c r="H116" s="203" t="s">
        <v>440</v>
      </c>
      <c r="I116" s="280"/>
      <c r="J116" s="264" t="str">
        <f t="shared" si="1"/>
        <v>도이능학</v>
      </c>
      <c r="K116" s="265"/>
      <c r="L116" s="266"/>
      <c r="M116" s="266"/>
      <c r="N116" s="266"/>
      <c r="O116" s="266"/>
      <c r="P116" s="266"/>
      <c r="Q116" s="266"/>
      <c r="R116" s="266"/>
    </row>
    <row r="117" spans="1:21" ht="30" customHeight="1">
      <c r="A117" s="204">
        <v>112</v>
      </c>
      <c r="B117" s="202" t="s">
        <v>915</v>
      </c>
      <c r="C117" s="202"/>
      <c r="D117" s="202" t="s">
        <v>902</v>
      </c>
      <c r="E117" s="304">
        <v>70</v>
      </c>
      <c r="F117" s="211">
        <v>70</v>
      </c>
      <c r="G117" s="203" t="s">
        <v>855</v>
      </c>
      <c r="H117" s="203" t="s">
        <v>856</v>
      </c>
      <c r="I117" s="280"/>
      <c r="J117" s="264" t="str">
        <f t="shared" si="1"/>
        <v>도공</v>
      </c>
      <c r="K117" s="265"/>
      <c r="L117" s="266"/>
      <c r="M117" s="266"/>
      <c r="N117" s="266"/>
      <c r="O117" s="266"/>
      <c r="P117" s="266"/>
      <c r="Q117" s="266"/>
      <c r="R117" s="266"/>
    </row>
    <row r="118" spans="1:21" ht="30" customHeight="1">
      <c r="A118" s="204">
        <v>113</v>
      </c>
      <c r="B118" s="202" t="s">
        <v>441</v>
      </c>
      <c r="C118" s="202"/>
      <c r="D118" s="202" t="s">
        <v>85</v>
      </c>
      <c r="E118" s="304">
        <v>58</v>
      </c>
      <c r="F118" s="211">
        <v>58</v>
      </c>
      <c r="G118" s="203" t="s">
        <v>994</v>
      </c>
      <c r="H118" s="203" t="s">
        <v>995</v>
      </c>
      <c r="I118" s="280"/>
      <c r="J118" s="264" t="str">
        <f t="shared" si="1"/>
        <v>전공</v>
      </c>
      <c r="K118" s="265">
        <v>13200</v>
      </c>
      <c r="L118" s="266"/>
      <c r="M118" s="266"/>
      <c r="N118" s="266"/>
      <c r="O118" s="266"/>
      <c r="P118" s="266"/>
      <c r="Q118" s="266"/>
      <c r="R118" s="266"/>
    </row>
    <row r="119" spans="1:21" ht="30" customHeight="1">
      <c r="A119" s="204">
        <v>114</v>
      </c>
      <c r="B119" s="202" t="s">
        <v>916</v>
      </c>
      <c r="C119" s="202"/>
      <c r="D119" s="202" t="s">
        <v>902</v>
      </c>
      <c r="E119" s="304">
        <v>57</v>
      </c>
      <c r="F119" s="211">
        <v>57</v>
      </c>
      <c r="G119" s="203" t="s">
        <v>855</v>
      </c>
      <c r="H119" s="203" t="s">
        <v>856</v>
      </c>
      <c r="I119" s="280"/>
      <c r="J119" s="264" t="str">
        <f t="shared" si="1"/>
        <v>도공</v>
      </c>
      <c r="K119" s="265"/>
      <c r="L119" s="266"/>
      <c r="M119" s="266"/>
      <c r="N119" s="266"/>
      <c r="O119" s="266"/>
      <c r="P119" s="266"/>
      <c r="Q119" s="266"/>
      <c r="R119" s="266"/>
    </row>
    <row r="120" spans="1:21" ht="30" customHeight="1">
      <c r="A120" s="204">
        <v>115</v>
      </c>
      <c r="B120" s="202" t="s">
        <v>705</v>
      </c>
      <c r="C120" s="202"/>
      <c r="D120" s="202" t="s">
        <v>84</v>
      </c>
      <c r="E120" s="304">
        <v>43</v>
      </c>
      <c r="F120" s="211">
        <v>43</v>
      </c>
      <c r="G120" s="203" t="s">
        <v>273</v>
      </c>
      <c r="H120" s="203" t="s">
        <v>440</v>
      </c>
      <c r="I120" s="280"/>
      <c r="J120" s="264" t="str">
        <f t="shared" si="1"/>
        <v>도이능학</v>
      </c>
      <c r="K120" s="265"/>
      <c r="L120" s="266"/>
      <c r="M120" s="266"/>
      <c r="N120" s="266"/>
      <c r="O120" s="266"/>
      <c r="P120" s="266"/>
      <c r="Q120" s="266"/>
      <c r="R120" s="266"/>
    </row>
    <row r="121" spans="1:21" ht="30" customHeight="1">
      <c r="A121" s="204">
        <v>116</v>
      </c>
      <c r="B121" s="202" t="s">
        <v>917</v>
      </c>
      <c r="C121" s="202"/>
      <c r="D121" s="202" t="s">
        <v>878</v>
      </c>
      <c r="E121" s="304">
        <v>217</v>
      </c>
      <c r="F121" s="211">
        <v>54</v>
      </c>
      <c r="G121" s="203" t="s">
        <v>855</v>
      </c>
      <c r="H121" s="203" t="s">
        <v>914</v>
      </c>
      <c r="I121" s="280"/>
      <c r="J121" s="264" t="str">
        <f t="shared" si="1"/>
        <v>전공</v>
      </c>
      <c r="K121" s="267">
        <v>3300</v>
      </c>
      <c r="L121" s="266"/>
      <c r="M121" s="266"/>
      <c r="N121" s="266"/>
      <c r="O121" s="266"/>
      <c r="P121" s="266"/>
      <c r="Q121" s="266"/>
      <c r="R121" s="268"/>
    </row>
    <row r="122" spans="1:21" ht="30" customHeight="1">
      <c r="A122" s="204">
        <v>117</v>
      </c>
      <c r="B122" s="202" t="s">
        <v>442</v>
      </c>
      <c r="C122" s="202"/>
      <c r="D122" s="202" t="s">
        <v>85</v>
      </c>
      <c r="E122" s="304">
        <v>75</v>
      </c>
      <c r="F122" s="211">
        <v>75</v>
      </c>
      <c r="G122" s="203" t="s">
        <v>0</v>
      </c>
      <c r="H122" s="203" t="s">
        <v>99</v>
      </c>
      <c r="I122" s="280"/>
      <c r="J122" s="264" t="str">
        <f t="shared" si="1"/>
        <v>전공</v>
      </c>
      <c r="K122" s="267">
        <v>2900</v>
      </c>
      <c r="L122" s="266"/>
      <c r="M122" s="266"/>
      <c r="N122" s="266"/>
      <c r="O122" s="266"/>
      <c r="P122" s="266"/>
      <c r="Q122" s="266"/>
      <c r="R122" s="268"/>
    </row>
    <row r="123" spans="1:21" ht="30" customHeight="1">
      <c r="A123" s="204">
        <v>118</v>
      </c>
      <c r="B123" s="202" t="s">
        <v>918</v>
      </c>
      <c r="C123" s="202"/>
      <c r="D123" s="202" t="s">
        <v>902</v>
      </c>
      <c r="E123" s="304">
        <v>208</v>
      </c>
      <c r="F123" s="211">
        <v>102</v>
      </c>
      <c r="G123" s="203" t="s">
        <v>919</v>
      </c>
      <c r="H123" s="203"/>
      <c r="I123" s="280"/>
      <c r="J123" s="264" t="str">
        <f t="shared" si="1"/>
        <v>도지종희</v>
      </c>
      <c r="K123" s="267"/>
      <c r="L123" s="266"/>
      <c r="M123" s="266"/>
      <c r="N123" s="266"/>
      <c r="O123" s="266"/>
      <c r="P123" s="266"/>
      <c r="Q123" s="266"/>
      <c r="R123" s="268"/>
    </row>
    <row r="124" spans="1:21" ht="30" customHeight="1">
      <c r="A124" s="204">
        <v>119</v>
      </c>
      <c r="B124" s="202" t="s">
        <v>443</v>
      </c>
      <c r="C124" s="202"/>
      <c r="D124" s="202" t="s">
        <v>90</v>
      </c>
      <c r="E124" s="304">
        <v>5</v>
      </c>
      <c r="F124" s="211">
        <v>5</v>
      </c>
      <c r="G124" s="203" t="s">
        <v>994</v>
      </c>
      <c r="H124" s="203" t="s">
        <v>995</v>
      </c>
      <c r="I124" s="280"/>
      <c r="J124" s="264" t="str">
        <f t="shared" si="1"/>
        <v>대공</v>
      </c>
      <c r="K124" s="267">
        <v>1350</v>
      </c>
      <c r="L124" s="266"/>
      <c r="M124" s="266"/>
      <c r="N124" s="266"/>
      <c r="O124" s="266"/>
      <c r="P124" s="266"/>
      <c r="Q124" s="266"/>
      <c r="R124" s="268"/>
    </row>
    <row r="125" spans="1:21" ht="30" customHeight="1">
      <c r="A125" s="204">
        <v>120</v>
      </c>
      <c r="B125" s="202" t="s">
        <v>920</v>
      </c>
      <c r="C125" s="202"/>
      <c r="D125" s="202" t="s">
        <v>90</v>
      </c>
      <c r="E125" s="304">
        <v>53</v>
      </c>
      <c r="F125" s="211">
        <v>53</v>
      </c>
      <c r="G125" s="203" t="s">
        <v>994</v>
      </c>
      <c r="H125" s="203" t="s">
        <v>995</v>
      </c>
      <c r="I125" s="280"/>
      <c r="J125" s="264" t="str">
        <f t="shared" si="1"/>
        <v>대공</v>
      </c>
      <c r="K125" s="265">
        <v>18300</v>
      </c>
      <c r="L125" s="266"/>
      <c r="M125" s="266"/>
      <c r="N125" s="266"/>
      <c r="O125" s="266"/>
      <c r="P125" s="266"/>
      <c r="Q125" s="266"/>
      <c r="R125" s="288"/>
      <c r="S125" s="266"/>
      <c r="T125" s="266"/>
      <c r="U125" s="266"/>
    </row>
    <row r="126" spans="1:21" ht="30" customHeight="1">
      <c r="A126" s="204">
        <v>121</v>
      </c>
      <c r="B126" s="202" t="s">
        <v>921</v>
      </c>
      <c r="C126" s="202"/>
      <c r="D126" s="202" t="s">
        <v>858</v>
      </c>
      <c r="E126" s="304">
        <v>221</v>
      </c>
      <c r="F126" s="211">
        <v>154</v>
      </c>
      <c r="G126" s="203" t="s">
        <v>855</v>
      </c>
      <c r="H126" s="203" t="s">
        <v>914</v>
      </c>
      <c r="I126" s="280"/>
      <c r="J126" s="264" t="str">
        <f t="shared" si="1"/>
        <v>답공</v>
      </c>
      <c r="K126" s="265">
        <v>2900</v>
      </c>
      <c r="L126" s="266"/>
      <c r="M126" s="266"/>
      <c r="N126" s="266"/>
      <c r="O126" s="266"/>
      <c r="P126" s="266"/>
      <c r="Q126" s="266"/>
      <c r="R126" s="266"/>
    </row>
    <row r="127" spans="1:21" ht="30" customHeight="1">
      <c r="A127" s="204">
        <v>122</v>
      </c>
      <c r="B127" s="202" t="s">
        <v>444</v>
      </c>
      <c r="C127" s="202"/>
      <c r="D127" s="202" t="s">
        <v>89</v>
      </c>
      <c r="E127" s="304">
        <v>46</v>
      </c>
      <c r="F127" s="211">
        <v>46</v>
      </c>
      <c r="G127" s="203" t="s">
        <v>994</v>
      </c>
      <c r="H127" s="203" t="s">
        <v>995</v>
      </c>
      <c r="I127" s="280"/>
      <c r="J127" s="264" t="str">
        <f t="shared" si="1"/>
        <v>답공</v>
      </c>
      <c r="K127" s="265">
        <v>10100</v>
      </c>
      <c r="L127" s="266"/>
      <c r="M127" s="266"/>
      <c r="N127" s="266"/>
      <c r="O127" s="266"/>
      <c r="P127" s="266"/>
      <c r="Q127" s="266"/>
      <c r="R127" s="266"/>
    </row>
    <row r="128" spans="1:21" ht="30" customHeight="1">
      <c r="A128" s="204">
        <v>123</v>
      </c>
      <c r="B128" s="202" t="s">
        <v>922</v>
      </c>
      <c r="C128" s="202"/>
      <c r="D128" s="202" t="s">
        <v>923</v>
      </c>
      <c r="E128" s="304">
        <v>16</v>
      </c>
      <c r="F128" s="211">
        <v>16</v>
      </c>
      <c r="G128" s="203" t="s">
        <v>994</v>
      </c>
      <c r="H128" s="203" t="s">
        <v>995</v>
      </c>
      <c r="I128" s="280"/>
      <c r="J128" s="264" t="str">
        <f t="shared" si="1"/>
        <v>창공</v>
      </c>
      <c r="K128" s="265">
        <v>14800</v>
      </c>
      <c r="L128" s="266"/>
      <c r="M128" s="266"/>
      <c r="N128" s="266"/>
      <c r="O128" s="266"/>
      <c r="P128" s="266"/>
      <c r="Q128" s="266"/>
      <c r="R128" s="266"/>
    </row>
    <row r="129" spans="1:18" ht="30" customHeight="1">
      <c r="A129" s="204">
        <v>124</v>
      </c>
      <c r="B129" s="202" t="s">
        <v>94</v>
      </c>
      <c r="C129" s="202"/>
      <c r="D129" s="202" t="s">
        <v>89</v>
      </c>
      <c r="E129" s="304">
        <v>111</v>
      </c>
      <c r="F129" s="211">
        <v>111</v>
      </c>
      <c r="G129" s="203" t="s">
        <v>994</v>
      </c>
      <c r="H129" s="203" t="s">
        <v>995</v>
      </c>
      <c r="I129" s="280"/>
      <c r="J129" s="264" t="str">
        <f t="shared" si="1"/>
        <v>답공</v>
      </c>
      <c r="K129" s="265">
        <v>9920</v>
      </c>
      <c r="L129" s="266"/>
      <c r="M129" s="266"/>
      <c r="N129" s="266"/>
      <c r="O129" s="266"/>
      <c r="P129" s="266"/>
      <c r="Q129" s="266"/>
      <c r="R129" s="266"/>
    </row>
    <row r="130" spans="1:18" ht="30" customHeight="1">
      <c r="A130" s="204">
        <v>125</v>
      </c>
      <c r="B130" s="202" t="s">
        <v>924</v>
      </c>
      <c r="C130" s="202"/>
      <c r="D130" s="202" t="s">
        <v>878</v>
      </c>
      <c r="E130" s="304">
        <v>100</v>
      </c>
      <c r="F130" s="211">
        <v>100</v>
      </c>
      <c r="G130" s="203" t="s">
        <v>994</v>
      </c>
      <c r="H130" s="203" t="s">
        <v>995</v>
      </c>
      <c r="I130" s="280"/>
      <c r="J130" s="264" t="str">
        <f t="shared" si="1"/>
        <v>전공</v>
      </c>
      <c r="K130" s="265">
        <v>9920</v>
      </c>
      <c r="L130" s="266"/>
      <c r="M130" s="266"/>
      <c r="N130" s="266"/>
      <c r="O130" s="266"/>
      <c r="P130" s="266"/>
      <c r="Q130" s="266"/>
      <c r="R130" s="266"/>
    </row>
    <row r="131" spans="1:18" ht="30" customHeight="1">
      <c r="A131" s="204">
        <v>126</v>
      </c>
      <c r="B131" s="202" t="s">
        <v>445</v>
      </c>
      <c r="C131" s="202"/>
      <c r="D131" s="202" t="s">
        <v>85</v>
      </c>
      <c r="E131" s="304">
        <v>72</v>
      </c>
      <c r="F131" s="211">
        <v>72</v>
      </c>
      <c r="G131" s="203" t="s">
        <v>994</v>
      </c>
      <c r="H131" s="203" t="s">
        <v>995</v>
      </c>
      <c r="I131" s="280"/>
      <c r="J131" s="264" t="str">
        <f t="shared" si="1"/>
        <v>전공</v>
      </c>
      <c r="K131" s="265">
        <v>9920</v>
      </c>
      <c r="L131" s="266"/>
      <c r="M131" s="266"/>
      <c r="N131" s="266"/>
      <c r="O131" s="266"/>
      <c r="P131" s="266"/>
      <c r="Q131" s="266"/>
      <c r="R131" s="266"/>
    </row>
    <row r="132" spans="1:18" ht="30" customHeight="1">
      <c r="A132" s="204">
        <v>127</v>
      </c>
      <c r="B132" s="202" t="s">
        <v>925</v>
      </c>
      <c r="C132" s="202"/>
      <c r="D132" s="202" t="s">
        <v>878</v>
      </c>
      <c r="E132" s="304">
        <v>496</v>
      </c>
      <c r="F132" s="211">
        <v>496</v>
      </c>
      <c r="G132" s="203" t="s">
        <v>994</v>
      </c>
      <c r="H132" s="203" t="s">
        <v>995</v>
      </c>
      <c r="I132" s="280"/>
      <c r="J132" s="264" t="str">
        <f t="shared" si="1"/>
        <v>전공</v>
      </c>
      <c r="K132" s="265">
        <v>9920</v>
      </c>
      <c r="L132" s="266"/>
      <c r="M132" s="266"/>
      <c r="N132" s="266"/>
      <c r="O132" s="266"/>
      <c r="P132" s="266"/>
      <c r="Q132" s="266"/>
      <c r="R132" s="266"/>
    </row>
    <row r="133" spans="1:18" ht="30" customHeight="1">
      <c r="A133" s="204">
        <v>128</v>
      </c>
      <c r="B133" s="202" t="s">
        <v>446</v>
      </c>
      <c r="C133" s="202"/>
      <c r="D133" s="202" t="s">
        <v>85</v>
      </c>
      <c r="E133" s="304">
        <v>118</v>
      </c>
      <c r="F133" s="211">
        <v>118</v>
      </c>
      <c r="G133" s="203" t="s">
        <v>994</v>
      </c>
      <c r="H133" s="203" t="s">
        <v>995</v>
      </c>
      <c r="I133" s="280"/>
      <c r="J133" s="264" t="str">
        <f t="shared" si="1"/>
        <v>전공</v>
      </c>
      <c r="K133" s="265">
        <v>9650</v>
      </c>
      <c r="L133" s="266"/>
      <c r="M133" s="266"/>
      <c r="N133" s="266"/>
      <c r="O133" s="266"/>
      <c r="P133" s="266"/>
      <c r="Q133" s="266"/>
      <c r="R133" s="266"/>
    </row>
    <row r="134" spans="1:18" ht="30" customHeight="1">
      <c r="A134" s="204">
        <v>129</v>
      </c>
      <c r="B134" s="202" t="s">
        <v>926</v>
      </c>
      <c r="C134" s="202"/>
      <c r="D134" s="202" t="s">
        <v>878</v>
      </c>
      <c r="E134" s="304">
        <v>972</v>
      </c>
      <c r="F134" s="211">
        <v>972</v>
      </c>
      <c r="G134" s="203" t="s">
        <v>994</v>
      </c>
      <c r="H134" s="203" t="s">
        <v>995</v>
      </c>
      <c r="I134" s="280"/>
      <c r="J134" s="264" t="str">
        <f t="shared" si="1"/>
        <v>전공</v>
      </c>
      <c r="K134" s="265">
        <v>11400</v>
      </c>
      <c r="L134" s="266"/>
      <c r="M134" s="266"/>
      <c r="N134" s="266"/>
      <c r="O134" s="266"/>
      <c r="P134" s="266"/>
      <c r="Q134" s="266"/>
      <c r="R134" s="266"/>
    </row>
    <row r="135" spans="1:18" ht="30" customHeight="1">
      <c r="A135" s="204">
        <v>130</v>
      </c>
      <c r="B135" s="202" t="s">
        <v>447</v>
      </c>
      <c r="C135" s="202"/>
      <c r="D135" s="202" t="s">
        <v>307</v>
      </c>
      <c r="E135" s="304">
        <v>238</v>
      </c>
      <c r="F135" s="211">
        <v>238</v>
      </c>
      <c r="G135" s="203" t="s">
        <v>994</v>
      </c>
      <c r="H135" s="203" t="s">
        <v>995</v>
      </c>
      <c r="I135" s="280"/>
      <c r="J135" s="264" t="str">
        <f t="shared" ref="J135:J198" si="2">CONCATENATE(D135,G135)</f>
        <v>전공</v>
      </c>
      <c r="K135" s="265">
        <v>8440</v>
      </c>
      <c r="L135" s="266"/>
      <c r="M135" s="266"/>
      <c r="N135" s="266"/>
      <c r="O135" s="266"/>
      <c r="P135" s="266"/>
      <c r="Q135" s="266"/>
      <c r="R135" s="266"/>
    </row>
    <row r="136" spans="1:18" ht="30" customHeight="1">
      <c r="A136" s="204">
        <v>131</v>
      </c>
      <c r="B136" s="202" t="s">
        <v>927</v>
      </c>
      <c r="C136" s="202"/>
      <c r="D136" s="202" t="s">
        <v>135</v>
      </c>
      <c r="E136" s="304">
        <v>2901</v>
      </c>
      <c r="F136" s="211">
        <v>2901</v>
      </c>
      <c r="G136" s="203" t="s">
        <v>855</v>
      </c>
      <c r="H136" s="203" t="s">
        <v>856</v>
      </c>
      <c r="I136" s="280"/>
      <c r="J136" s="264" t="str">
        <f t="shared" si="2"/>
        <v>임공</v>
      </c>
      <c r="K136" s="265">
        <v>7690</v>
      </c>
      <c r="L136" s="266"/>
      <c r="M136" s="266"/>
      <c r="N136" s="266"/>
      <c r="O136" s="266"/>
      <c r="P136" s="266"/>
      <c r="Q136" s="266"/>
      <c r="R136" s="266"/>
    </row>
    <row r="137" spans="1:18" ht="30" customHeight="1">
      <c r="A137" s="204">
        <v>132</v>
      </c>
      <c r="B137" s="202" t="s">
        <v>448</v>
      </c>
      <c r="C137" s="202"/>
      <c r="D137" s="202" t="s">
        <v>88</v>
      </c>
      <c r="E137" s="304">
        <v>389</v>
      </c>
      <c r="F137" s="211">
        <v>389</v>
      </c>
      <c r="G137" s="203" t="s">
        <v>994</v>
      </c>
      <c r="H137" s="203" t="s">
        <v>995</v>
      </c>
      <c r="I137" s="280"/>
      <c r="J137" s="264" t="str">
        <f t="shared" si="2"/>
        <v>임공</v>
      </c>
      <c r="K137" s="265">
        <v>7690</v>
      </c>
      <c r="L137" s="266"/>
      <c r="M137" s="266"/>
      <c r="N137" s="266"/>
      <c r="O137" s="266"/>
      <c r="P137" s="266"/>
      <c r="Q137" s="266"/>
      <c r="R137" s="266"/>
    </row>
    <row r="138" spans="1:18" ht="30" customHeight="1">
      <c r="A138" s="204">
        <v>133</v>
      </c>
      <c r="B138" s="202" t="s">
        <v>928</v>
      </c>
      <c r="C138" s="202"/>
      <c r="D138" s="202" t="s">
        <v>858</v>
      </c>
      <c r="E138" s="304">
        <v>517.29999999999995</v>
      </c>
      <c r="F138" s="211">
        <v>517.29999999999995</v>
      </c>
      <c r="G138" s="203" t="s">
        <v>994</v>
      </c>
      <c r="H138" s="203" t="s">
        <v>995</v>
      </c>
      <c r="I138" s="280"/>
      <c r="J138" s="264" t="str">
        <f t="shared" si="2"/>
        <v>답공</v>
      </c>
      <c r="K138" s="265">
        <v>8830</v>
      </c>
      <c r="L138" s="266"/>
      <c r="M138" s="266"/>
      <c r="N138" s="266"/>
      <c r="O138" s="266"/>
      <c r="P138" s="266"/>
      <c r="Q138" s="266"/>
      <c r="R138" s="266"/>
    </row>
    <row r="139" spans="1:18" ht="30" customHeight="1">
      <c r="A139" s="204">
        <v>134</v>
      </c>
      <c r="B139" s="202" t="s">
        <v>449</v>
      </c>
      <c r="C139" s="202"/>
      <c r="D139" s="202" t="s">
        <v>89</v>
      </c>
      <c r="E139" s="304">
        <v>1404.5</v>
      </c>
      <c r="F139" s="211">
        <v>1404.5</v>
      </c>
      <c r="G139" s="203" t="s">
        <v>994</v>
      </c>
      <c r="H139" s="203" t="s">
        <v>995</v>
      </c>
      <c r="I139" s="280"/>
      <c r="J139" s="264" t="str">
        <f t="shared" si="2"/>
        <v>답공</v>
      </c>
      <c r="K139" s="265">
        <v>8830</v>
      </c>
      <c r="L139" s="266"/>
      <c r="M139" s="266"/>
      <c r="N139" s="266"/>
      <c r="O139" s="266"/>
      <c r="P139" s="266"/>
      <c r="Q139" s="266"/>
      <c r="R139" s="266"/>
    </row>
    <row r="140" spans="1:18" ht="30" customHeight="1">
      <c r="A140" s="204">
        <v>135</v>
      </c>
      <c r="B140" s="202" t="s">
        <v>929</v>
      </c>
      <c r="C140" s="202"/>
      <c r="D140" s="202" t="s">
        <v>902</v>
      </c>
      <c r="E140" s="304">
        <v>125</v>
      </c>
      <c r="F140" s="211">
        <v>125</v>
      </c>
      <c r="G140" s="203" t="s">
        <v>308</v>
      </c>
      <c r="H140" s="203" t="s">
        <v>861</v>
      </c>
      <c r="I140" s="280"/>
      <c r="J140" s="264" t="str">
        <f t="shared" si="2"/>
        <v>도국</v>
      </c>
      <c r="K140" s="265"/>
      <c r="L140" s="266"/>
      <c r="M140" s="266"/>
      <c r="N140" s="266"/>
      <c r="O140" s="266"/>
      <c r="P140" s="266"/>
      <c r="Q140" s="266"/>
      <c r="R140" s="266"/>
    </row>
    <row r="141" spans="1:18" ht="30" customHeight="1">
      <c r="A141" s="204">
        <v>136</v>
      </c>
      <c r="B141" s="202" t="s">
        <v>450</v>
      </c>
      <c r="C141" s="202"/>
      <c r="D141" s="202" t="s">
        <v>87</v>
      </c>
      <c r="E141" s="304">
        <v>113.9</v>
      </c>
      <c r="F141" s="211">
        <v>113.9</v>
      </c>
      <c r="G141" s="203" t="s">
        <v>98</v>
      </c>
      <c r="H141" s="203" t="s">
        <v>101</v>
      </c>
      <c r="I141" s="280"/>
      <c r="J141" s="264" t="str">
        <f t="shared" si="2"/>
        <v>구국</v>
      </c>
      <c r="K141" s="267"/>
      <c r="L141" s="266"/>
      <c r="M141" s="266"/>
      <c r="N141" s="266"/>
      <c r="O141" s="266"/>
      <c r="P141" s="266"/>
      <c r="Q141" s="266"/>
      <c r="R141" s="268"/>
    </row>
    <row r="142" spans="1:18" ht="30" customHeight="1">
      <c r="A142" s="204">
        <v>137</v>
      </c>
      <c r="B142" s="202" t="s">
        <v>930</v>
      </c>
      <c r="C142" s="202"/>
      <c r="D142" s="202" t="s">
        <v>878</v>
      </c>
      <c r="E142" s="304">
        <v>441</v>
      </c>
      <c r="F142" s="211">
        <v>441</v>
      </c>
      <c r="G142" s="203" t="s">
        <v>994</v>
      </c>
      <c r="H142" s="203" t="s">
        <v>995</v>
      </c>
      <c r="I142" s="280"/>
      <c r="J142" s="264" t="str">
        <f t="shared" si="2"/>
        <v>전공</v>
      </c>
      <c r="K142" s="267">
        <v>10600</v>
      </c>
      <c r="L142" s="266"/>
      <c r="M142" s="266"/>
      <c r="N142" s="266"/>
      <c r="O142" s="266"/>
      <c r="P142" s="266"/>
      <c r="Q142" s="266"/>
      <c r="R142" s="268"/>
    </row>
    <row r="143" spans="1:18" ht="30" customHeight="1">
      <c r="A143" s="204">
        <v>138</v>
      </c>
      <c r="B143" s="202" t="s">
        <v>451</v>
      </c>
      <c r="C143" s="202"/>
      <c r="D143" s="202" t="s">
        <v>88</v>
      </c>
      <c r="E143" s="304">
        <v>90</v>
      </c>
      <c r="F143" s="211">
        <v>90</v>
      </c>
      <c r="G143" s="203" t="s">
        <v>994</v>
      </c>
      <c r="H143" s="203" t="s">
        <v>995</v>
      </c>
      <c r="I143" s="280"/>
      <c r="J143" s="264" t="str">
        <f t="shared" si="2"/>
        <v>임공</v>
      </c>
      <c r="K143" s="267">
        <v>7690</v>
      </c>
      <c r="L143" s="266"/>
      <c r="M143" s="266"/>
      <c r="N143" s="266"/>
      <c r="O143" s="266"/>
      <c r="P143" s="266"/>
      <c r="Q143" s="266"/>
      <c r="R143" s="268"/>
    </row>
    <row r="144" spans="1:18" ht="30" customHeight="1">
      <c r="A144" s="204">
        <v>139</v>
      </c>
      <c r="B144" s="202" t="s">
        <v>931</v>
      </c>
      <c r="C144" s="202"/>
      <c r="D144" s="202" t="s">
        <v>135</v>
      </c>
      <c r="E144" s="304">
        <v>500</v>
      </c>
      <c r="F144" s="211">
        <v>500</v>
      </c>
      <c r="G144" s="203" t="s">
        <v>994</v>
      </c>
      <c r="H144" s="203" t="s">
        <v>995</v>
      </c>
      <c r="I144" s="280"/>
      <c r="J144" s="264" t="str">
        <f t="shared" si="2"/>
        <v>임공</v>
      </c>
      <c r="K144" s="267">
        <v>10800</v>
      </c>
      <c r="L144" s="266"/>
      <c r="M144" s="266"/>
      <c r="N144" s="266"/>
      <c r="O144" s="266"/>
      <c r="P144" s="266"/>
      <c r="Q144" s="266"/>
      <c r="R144" s="268"/>
    </row>
    <row r="145" spans="1:21" ht="30" customHeight="1">
      <c r="A145" s="204">
        <v>140</v>
      </c>
      <c r="B145" s="202" t="s">
        <v>512</v>
      </c>
      <c r="C145" s="202"/>
      <c r="D145" s="202" t="s">
        <v>88</v>
      </c>
      <c r="E145" s="304">
        <v>466</v>
      </c>
      <c r="F145" s="211">
        <v>466</v>
      </c>
      <c r="G145" s="203" t="s">
        <v>994</v>
      </c>
      <c r="H145" s="203" t="s">
        <v>995</v>
      </c>
      <c r="I145" s="280"/>
      <c r="J145" s="264" t="str">
        <f t="shared" si="2"/>
        <v>임공</v>
      </c>
      <c r="K145" s="265">
        <v>7780</v>
      </c>
      <c r="L145" s="266"/>
      <c r="M145" s="266"/>
      <c r="N145" s="266"/>
      <c r="O145" s="266"/>
      <c r="P145" s="266"/>
      <c r="Q145" s="266"/>
      <c r="R145" s="288"/>
      <c r="S145" s="266"/>
      <c r="T145" s="266"/>
      <c r="U145" s="266"/>
    </row>
    <row r="146" spans="1:21" ht="30" customHeight="1">
      <c r="A146" s="204">
        <v>141</v>
      </c>
      <c r="B146" s="202" t="s">
        <v>932</v>
      </c>
      <c r="C146" s="202"/>
      <c r="D146" s="202" t="s">
        <v>135</v>
      </c>
      <c r="E146" s="304">
        <v>187</v>
      </c>
      <c r="F146" s="211">
        <v>187</v>
      </c>
      <c r="G146" s="203" t="s">
        <v>994</v>
      </c>
      <c r="H146" s="203" t="s">
        <v>995</v>
      </c>
      <c r="I146" s="280"/>
      <c r="J146" s="264" t="str">
        <f t="shared" si="2"/>
        <v>임공</v>
      </c>
      <c r="K146" s="265">
        <v>8880</v>
      </c>
      <c r="L146" s="266"/>
      <c r="M146" s="266"/>
      <c r="N146" s="266"/>
      <c r="O146" s="266"/>
      <c r="P146" s="266"/>
      <c r="Q146" s="266"/>
      <c r="R146" s="266"/>
    </row>
    <row r="147" spans="1:21" ht="30" customHeight="1">
      <c r="A147" s="204">
        <v>142</v>
      </c>
      <c r="B147" s="202" t="s">
        <v>287</v>
      </c>
      <c r="C147" s="202"/>
      <c r="D147" s="202" t="s">
        <v>84</v>
      </c>
      <c r="E147" s="304">
        <v>7230</v>
      </c>
      <c r="F147" s="211">
        <v>351</v>
      </c>
      <c r="G147" s="203" t="s">
        <v>98</v>
      </c>
      <c r="H147" s="203" t="s">
        <v>102</v>
      </c>
      <c r="I147" s="280"/>
      <c r="J147" s="264" t="str">
        <f t="shared" si="2"/>
        <v>도국</v>
      </c>
      <c r="K147" s="265"/>
      <c r="L147" s="266"/>
      <c r="M147" s="266"/>
      <c r="N147" s="266"/>
      <c r="O147" s="266"/>
      <c r="P147" s="266"/>
      <c r="Q147" s="266"/>
      <c r="R147" s="266"/>
    </row>
    <row r="148" spans="1:21" ht="30" customHeight="1">
      <c r="A148" s="204">
        <v>143</v>
      </c>
      <c r="B148" s="202" t="s">
        <v>933</v>
      </c>
      <c r="C148" s="202"/>
      <c r="D148" s="202" t="s">
        <v>135</v>
      </c>
      <c r="E148" s="304">
        <v>1621</v>
      </c>
      <c r="F148" s="211">
        <v>1621</v>
      </c>
      <c r="G148" s="203" t="s">
        <v>855</v>
      </c>
      <c r="H148" s="203" t="s">
        <v>856</v>
      </c>
      <c r="I148" s="280"/>
      <c r="J148" s="264" t="str">
        <f t="shared" si="2"/>
        <v>임공</v>
      </c>
      <c r="K148" s="265">
        <v>7550</v>
      </c>
      <c r="L148" s="266"/>
      <c r="M148" s="266"/>
      <c r="N148" s="266"/>
      <c r="O148" s="266"/>
      <c r="P148" s="266"/>
      <c r="Q148" s="266"/>
      <c r="R148" s="266"/>
    </row>
    <row r="149" spans="1:21" ht="30" customHeight="1">
      <c r="A149" s="204">
        <v>144</v>
      </c>
      <c r="B149" s="202" t="s">
        <v>452</v>
      </c>
      <c r="C149" s="202"/>
      <c r="D149" s="202" t="s">
        <v>88</v>
      </c>
      <c r="E149" s="304">
        <v>282</v>
      </c>
      <c r="F149" s="211">
        <v>282</v>
      </c>
      <c r="G149" s="203" t="s">
        <v>994</v>
      </c>
      <c r="H149" s="203" t="s">
        <v>995</v>
      </c>
      <c r="I149" s="280"/>
      <c r="J149" s="264" t="str">
        <f t="shared" si="2"/>
        <v>임공</v>
      </c>
      <c r="K149" s="265">
        <v>6290</v>
      </c>
      <c r="L149" s="266"/>
      <c r="M149" s="266"/>
      <c r="N149" s="266"/>
      <c r="O149" s="266"/>
      <c r="P149" s="266"/>
      <c r="Q149" s="266"/>
      <c r="R149" s="266"/>
    </row>
    <row r="150" spans="1:21" ht="30" customHeight="1">
      <c r="A150" s="204">
        <v>145</v>
      </c>
      <c r="B150" s="202" t="s">
        <v>934</v>
      </c>
      <c r="C150" s="202"/>
      <c r="D150" s="202" t="s">
        <v>135</v>
      </c>
      <c r="E150" s="304">
        <v>396</v>
      </c>
      <c r="F150" s="211">
        <v>396</v>
      </c>
      <c r="G150" s="203" t="s">
        <v>994</v>
      </c>
      <c r="H150" s="203" t="s">
        <v>995</v>
      </c>
      <c r="I150" s="280"/>
      <c r="J150" s="264" t="str">
        <f t="shared" si="2"/>
        <v>임공</v>
      </c>
      <c r="K150" s="265">
        <v>7550</v>
      </c>
      <c r="L150" s="266"/>
      <c r="M150" s="266"/>
      <c r="N150" s="266"/>
      <c r="O150" s="266"/>
      <c r="P150" s="266"/>
      <c r="Q150" s="266"/>
      <c r="R150" s="266"/>
    </row>
    <row r="151" spans="1:21" ht="30" customHeight="1">
      <c r="A151" s="204">
        <v>146</v>
      </c>
      <c r="B151" s="202" t="s">
        <v>453</v>
      </c>
      <c r="C151" s="202"/>
      <c r="D151" s="202" t="s">
        <v>88</v>
      </c>
      <c r="E151" s="304">
        <v>810</v>
      </c>
      <c r="F151" s="211">
        <v>810</v>
      </c>
      <c r="G151" s="203" t="s">
        <v>994</v>
      </c>
      <c r="H151" s="203" t="s">
        <v>995</v>
      </c>
      <c r="I151" s="280"/>
      <c r="J151" s="264" t="str">
        <f t="shared" si="2"/>
        <v>임공</v>
      </c>
      <c r="K151" s="265">
        <v>7360</v>
      </c>
      <c r="L151" s="266"/>
      <c r="M151" s="266"/>
      <c r="N151" s="266"/>
      <c r="O151" s="266"/>
      <c r="P151" s="266"/>
      <c r="Q151" s="266"/>
      <c r="R151" s="266"/>
    </row>
    <row r="152" spans="1:21" ht="30" customHeight="1">
      <c r="A152" s="204">
        <v>147</v>
      </c>
      <c r="B152" s="202" t="s">
        <v>935</v>
      </c>
      <c r="C152" s="202"/>
      <c r="D152" s="202" t="s">
        <v>135</v>
      </c>
      <c r="E152" s="304">
        <v>519</v>
      </c>
      <c r="F152" s="211">
        <v>519</v>
      </c>
      <c r="G152" s="203" t="s">
        <v>994</v>
      </c>
      <c r="H152" s="203" t="s">
        <v>995</v>
      </c>
      <c r="I152" s="280"/>
      <c r="J152" s="264" t="str">
        <f t="shared" si="2"/>
        <v>임공</v>
      </c>
      <c r="K152" s="265">
        <v>7310</v>
      </c>
      <c r="L152" s="266"/>
      <c r="M152" s="266"/>
      <c r="N152" s="266"/>
      <c r="O152" s="266"/>
      <c r="P152" s="266"/>
      <c r="Q152" s="266"/>
      <c r="R152" s="266"/>
    </row>
    <row r="153" spans="1:21" ht="30" customHeight="1">
      <c r="A153" s="204">
        <v>148</v>
      </c>
      <c r="B153" s="202" t="s">
        <v>153</v>
      </c>
      <c r="C153" s="202"/>
      <c r="D153" s="202" t="s">
        <v>146</v>
      </c>
      <c r="E153" s="304">
        <v>54</v>
      </c>
      <c r="F153" s="211">
        <v>54</v>
      </c>
      <c r="G153" s="203" t="s">
        <v>994</v>
      </c>
      <c r="H153" s="203" t="s">
        <v>995</v>
      </c>
      <c r="I153" s="280"/>
      <c r="J153" s="264" t="str">
        <f t="shared" si="2"/>
        <v>임공</v>
      </c>
      <c r="K153" s="265">
        <v>7550</v>
      </c>
      <c r="L153" s="266"/>
      <c r="M153" s="266"/>
      <c r="N153" s="266"/>
      <c r="O153" s="266"/>
      <c r="P153" s="266"/>
      <c r="Q153" s="266"/>
      <c r="R153" s="266"/>
    </row>
    <row r="154" spans="1:21" ht="30" customHeight="1">
      <c r="A154" s="204">
        <v>149</v>
      </c>
      <c r="B154" s="202" t="s">
        <v>936</v>
      </c>
      <c r="C154" s="202"/>
      <c r="D154" s="202" t="s">
        <v>135</v>
      </c>
      <c r="E154" s="304">
        <v>208</v>
      </c>
      <c r="F154" s="211">
        <v>208</v>
      </c>
      <c r="G154" s="203" t="s">
        <v>994</v>
      </c>
      <c r="H154" s="203" t="s">
        <v>995</v>
      </c>
      <c r="I154" s="280"/>
      <c r="J154" s="264" t="str">
        <f t="shared" si="2"/>
        <v>임공</v>
      </c>
      <c r="K154" s="265">
        <v>7550</v>
      </c>
      <c r="L154" s="266"/>
      <c r="M154" s="266"/>
      <c r="N154" s="266"/>
      <c r="O154" s="266"/>
      <c r="P154" s="266"/>
      <c r="Q154" s="266"/>
      <c r="R154" s="266"/>
    </row>
    <row r="155" spans="1:21" ht="30" customHeight="1">
      <c r="A155" s="204">
        <v>150</v>
      </c>
      <c r="B155" s="202" t="s">
        <v>152</v>
      </c>
      <c r="C155" s="202"/>
      <c r="D155" s="202" t="s">
        <v>146</v>
      </c>
      <c r="E155" s="304">
        <v>227</v>
      </c>
      <c r="F155" s="211">
        <v>227</v>
      </c>
      <c r="G155" s="203" t="s">
        <v>151</v>
      </c>
      <c r="H155" s="203" t="s">
        <v>150</v>
      </c>
      <c r="I155" s="280"/>
      <c r="J155" s="264" t="str">
        <f t="shared" si="2"/>
        <v>임박재원</v>
      </c>
      <c r="K155" s="265">
        <v>10500</v>
      </c>
      <c r="L155" s="266"/>
      <c r="M155" s="266"/>
      <c r="N155" s="266"/>
      <c r="O155" s="266"/>
      <c r="P155" s="266"/>
      <c r="Q155" s="266"/>
      <c r="R155" s="266"/>
    </row>
    <row r="156" spans="1:21" ht="30" customHeight="1">
      <c r="A156" s="204">
        <v>151</v>
      </c>
      <c r="B156" s="202" t="s">
        <v>937</v>
      </c>
      <c r="C156" s="202"/>
      <c r="D156" s="202" t="s">
        <v>135</v>
      </c>
      <c r="E156" s="304">
        <v>813</v>
      </c>
      <c r="F156" s="211">
        <v>813</v>
      </c>
      <c r="G156" s="203" t="s">
        <v>1112</v>
      </c>
      <c r="H156" s="203" t="s">
        <v>1113</v>
      </c>
      <c r="I156" s="280"/>
      <c r="J156" s="264" t="str">
        <f t="shared" si="2"/>
        <v>임이*무</v>
      </c>
      <c r="K156" s="265">
        <v>11200</v>
      </c>
      <c r="L156" s="266"/>
      <c r="M156" s="266"/>
      <c r="N156" s="266"/>
      <c r="O156" s="266"/>
      <c r="P156" s="266"/>
      <c r="Q156" s="266"/>
      <c r="R156" s="266"/>
    </row>
    <row r="157" spans="1:21" ht="30" customHeight="1">
      <c r="A157" s="204">
        <v>152</v>
      </c>
      <c r="B157" s="202" t="s">
        <v>149</v>
      </c>
      <c r="C157" s="202"/>
      <c r="D157" s="202" t="s">
        <v>146</v>
      </c>
      <c r="E157" s="304">
        <v>641</v>
      </c>
      <c r="F157" s="211">
        <v>641</v>
      </c>
      <c r="G157" s="203" t="s">
        <v>148</v>
      </c>
      <c r="H157" s="203" t="s">
        <v>147</v>
      </c>
      <c r="I157" s="280"/>
      <c r="J157" s="264" t="str">
        <f t="shared" si="2"/>
        <v>임이종철</v>
      </c>
      <c r="K157" s="265">
        <v>11200</v>
      </c>
      <c r="L157" s="266"/>
      <c r="M157" s="266"/>
      <c r="N157" s="266"/>
      <c r="O157" s="266"/>
      <c r="P157" s="266"/>
      <c r="Q157" s="266"/>
      <c r="R157" s="266"/>
    </row>
    <row r="158" spans="1:21" ht="30" customHeight="1">
      <c r="A158" s="204">
        <v>153</v>
      </c>
      <c r="B158" s="202" t="s">
        <v>938</v>
      </c>
      <c r="C158" s="202"/>
      <c r="D158" s="202" t="s">
        <v>135</v>
      </c>
      <c r="E158" s="304">
        <v>423</v>
      </c>
      <c r="F158" s="211">
        <v>423</v>
      </c>
      <c r="G158" s="203" t="s">
        <v>1114</v>
      </c>
      <c r="H158" s="203" t="s">
        <v>1115</v>
      </c>
      <c r="I158" s="280"/>
      <c r="J158" s="264" t="str">
        <f t="shared" si="2"/>
        <v>임이*영</v>
      </c>
      <c r="K158" s="265">
        <v>7540</v>
      </c>
      <c r="L158" s="266"/>
      <c r="M158" s="266"/>
      <c r="N158" s="266"/>
      <c r="O158" s="266"/>
      <c r="P158" s="266"/>
      <c r="Q158" s="266"/>
      <c r="R158" s="266"/>
    </row>
    <row r="159" spans="1:21" ht="30" customHeight="1">
      <c r="A159" s="204">
        <v>154</v>
      </c>
      <c r="B159" s="202" t="s">
        <v>216</v>
      </c>
      <c r="C159" s="202"/>
      <c r="D159" s="202" t="s">
        <v>85</v>
      </c>
      <c r="E159" s="304">
        <v>42</v>
      </c>
      <c r="F159" s="211">
        <v>33</v>
      </c>
      <c r="G159" s="203" t="s">
        <v>97</v>
      </c>
      <c r="H159" s="203" t="s">
        <v>7</v>
      </c>
      <c r="I159" s="280"/>
      <c r="J159" s="264" t="str">
        <f t="shared" si="2"/>
        <v>전공</v>
      </c>
      <c r="K159" s="265"/>
      <c r="L159" s="266"/>
      <c r="M159" s="266"/>
      <c r="N159" s="266"/>
      <c r="O159" s="266"/>
      <c r="P159" s="266"/>
      <c r="Q159" s="266"/>
      <c r="R159" s="266"/>
    </row>
    <row r="160" spans="1:21" ht="30" customHeight="1">
      <c r="A160" s="204">
        <v>155</v>
      </c>
      <c r="B160" s="202" t="s">
        <v>939</v>
      </c>
      <c r="C160" s="202"/>
      <c r="D160" s="202" t="s">
        <v>902</v>
      </c>
      <c r="E160" s="304">
        <v>128</v>
      </c>
      <c r="F160" s="211">
        <v>23</v>
      </c>
      <c r="G160" s="203" t="s">
        <v>855</v>
      </c>
      <c r="H160" s="203" t="s">
        <v>856</v>
      </c>
      <c r="I160" s="280"/>
      <c r="J160" s="264" t="str">
        <f t="shared" si="2"/>
        <v>도공</v>
      </c>
      <c r="K160" s="265"/>
      <c r="L160" s="266"/>
      <c r="M160" s="266"/>
      <c r="N160" s="266"/>
      <c r="O160" s="266"/>
      <c r="P160" s="266"/>
      <c r="Q160" s="266"/>
      <c r="R160" s="266"/>
    </row>
    <row r="161" spans="1:21" ht="30" customHeight="1">
      <c r="A161" s="204">
        <v>156</v>
      </c>
      <c r="B161" s="202" t="s">
        <v>217</v>
      </c>
      <c r="C161" s="202"/>
      <c r="D161" s="202" t="s">
        <v>84</v>
      </c>
      <c r="E161" s="304">
        <v>8</v>
      </c>
      <c r="F161" s="211">
        <v>8</v>
      </c>
      <c r="G161" s="203" t="s">
        <v>97</v>
      </c>
      <c r="H161" s="203" t="s">
        <v>7</v>
      </c>
      <c r="I161" s="280"/>
      <c r="J161" s="264" t="str">
        <f t="shared" si="2"/>
        <v>도공</v>
      </c>
      <c r="K161" s="267"/>
      <c r="L161" s="266"/>
      <c r="M161" s="266"/>
      <c r="N161" s="266"/>
      <c r="O161" s="266"/>
      <c r="P161" s="266"/>
      <c r="Q161" s="266"/>
      <c r="R161" s="268"/>
    </row>
    <row r="162" spans="1:21" ht="30" customHeight="1">
      <c r="A162" s="204">
        <v>157</v>
      </c>
      <c r="B162" s="202" t="s">
        <v>940</v>
      </c>
      <c r="C162" s="202"/>
      <c r="D162" s="202" t="s">
        <v>90</v>
      </c>
      <c r="E162" s="304">
        <v>55</v>
      </c>
      <c r="F162" s="211">
        <v>55</v>
      </c>
      <c r="G162" s="203" t="s">
        <v>855</v>
      </c>
      <c r="H162" s="203" t="s">
        <v>914</v>
      </c>
      <c r="I162" s="280"/>
      <c r="J162" s="264" t="str">
        <f t="shared" si="2"/>
        <v>대공</v>
      </c>
      <c r="K162" s="267"/>
      <c r="L162" s="266"/>
      <c r="M162" s="266"/>
      <c r="N162" s="266"/>
      <c r="O162" s="266"/>
      <c r="P162" s="266"/>
      <c r="Q162" s="266"/>
      <c r="R162" s="268"/>
    </row>
    <row r="163" spans="1:21" ht="30" customHeight="1">
      <c r="A163" s="204">
        <v>158</v>
      </c>
      <c r="B163" s="202" t="s">
        <v>218</v>
      </c>
      <c r="C163" s="202"/>
      <c r="D163" s="202" t="s">
        <v>88</v>
      </c>
      <c r="E163" s="304">
        <v>1060</v>
      </c>
      <c r="F163" s="211">
        <v>316</v>
      </c>
      <c r="G163" s="203" t="s">
        <v>97</v>
      </c>
      <c r="H163" s="203" t="s">
        <v>99</v>
      </c>
      <c r="I163" s="280"/>
      <c r="J163" s="264" t="str">
        <f t="shared" si="2"/>
        <v>임공</v>
      </c>
      <c r="K163" s="267"/>
      <c r="L163" s="266"/>
      <c r="M163" s="266"/>
      <c r="N163" s="266"/>
      <c r="O163" s="266"/>
      <c r="P163" s="266"/>
      <c r="Q163" s="266"/>
      <c r="R163" s="268"/>
    </row>
    <row r="164" spans="1:21" ht="30" customHeight="1">
      <c r="A164" s="204">
        <v>159</v>
      </c>
      <c r="B164" s="202" t="s">
        <v>941</v>
      </c>
      <c r="C164" s="202"/>
      <c r="D164" s="202" t="s">
        <v>902</v>
      </c>
      <c r="E164" s="304">
        <v>1242</v>
      </c>
      <c r="F164" s="211">
        <v>267</v>
      </c>
      <c r="G164" s="203" t="s">
        <v>308</v>
      </c>
      <c r="H164" s="203" t="s">
        <v>102</v>
      </c>
      <c r="I164" s="280"/>
      <c r="J164" s="264" t="str">
        <f t="shared" si="2"/>
        <v>도국</v>
      </c>
      <c r="K164" s="267"/>
      <c r="L164" s="266"/>
      <c r="M164" s="266"/>
      <c r="N164" s="266"/>
      <c r="O164" s="266"/>
      <c r="P164" s="266"/>
      <c r="Q164" s="266"/>
      <c r="R164" s="268"/>
    </row>
    <row r="165" spans="1:21" ht="30" customHeight="1">
      <c r="A165" s="204">
        <v>160</v>
      </c>
      <c r="B165" s="202" t="s">
        <v>743</v>
      </c>
      <c r="C165" s="202"/>
      <c r="D165" s="202" t="s">
        <v>88</v>
      </c>
      <c r="E165" s="304">
        <v>355</v>
      </c>
      <c r="F165" s="211">
        <v>355</v>
      </c>
      <c r="G165" s="203" t="s">
        <v>97</v>
      </c>
      <c r="H165" s="203" t="s">
        <v>7</v>
      </c>
      <c r="I165" s="280"/>
      <c r="J165" s="264" t="str">
        <f t="shared" si="2"/>
        <v>임공</v>
      </c>
      <c r="K165" s="265"/>
      <c r="L165" s="266"/>
      <c r="M165" s="266"/>
      <c r="N165" s="266"/>
      <c r="O165" s="266"/>
      <c r="P165" s="266"/>
      <c r="Q165" s="266"/>
      <c r="R165" s="288"/>
      <c r="S165" s="266"/>
      <c r="T165" s="266"/>
      <c r="U165" s="266"/>
    </row>
    <row r="166" spans="1:21" ht="30" customHeight="1">
      <c r="A166" s="204">
        <v>161</v>
      </c>
      <c r="B166" s="202" t="s">
        <v>219</v>
      </c>
      <c r="C166" s="202"/>
      <c r="D166" s="202" t="s">
        <v>84</v>
      </c>
      <c r="E166" s="304">
        <v>287</v>
      </c>
      <c r="F166" s="211">
        <v>287</v>
      </c>
      <c r="G166" s="203" t="s">
        <v>97</v>
      </c>
      <c r="H166" s="203" t="s">
        <v>7</v>
      </c>
      <c r="I166" s="280"/>
      <c r="J166" s="264" t="str">
        <f t="shared" si="2"/>
        <v>도공</v>
      </c>
      <c r="K166" s="265"/>
      <c r="L166" s="266"/>
      <c r="M166" s="266"/>
      <c r="N166" s="266"/>
      <c r="O166" s="266"/>
      <c r="P166" s="266"/>
      <c r="Q166" s="266"/>
      <c r="R166" s="266"/>
    </row>
    <row r="167" spans="1:21" ht="30" customHeight="1">
      <c r="A167" s="204">
        <v>162</v>
      </c>
      <c r="B167" s="202" t="s">
        <v>942</v>
      </c>
      <c r="C167" s="202"/>
      <c r="D167" s="202" t="s">
        <v>135</v>
      </c>
      <c r="E167" s="304">
        <v>63</v>
      </c>
      <c r="F167" s="211">
        <v>63</v>
      </c>
      <c r="G167" s="203" t="s">
        <v>855</v>
      </c>
      <c r="H167" s="203" t="s">
        <v>856</v>
      </c>
      <c r="I167" s="280"/>
      <c r="J167" s="264" t="str">
        <f t="shared" si="2"/>
        <v>임공</v>
      </c>
      <c r="K167" s="265"/>
      <c r="L167" s="266"/>
      <c r="M167" s="266"/>
      <c r="N167" s="266"/>
      <c r="O167" s="266"/>
      <c r="P167" s="266"/>
      <c r="Q167" s="266"/>
      <c r="R167" s="266"/>
    </row>
    <row r="168" spans="1:21" ht="30" customHeight="1">
      <c r="A168" s="204">
        <v>163</v>
      </c>
      <c r="B168" s="202" t="s">
        <v>220</v>
      </c>
      <c r="C168" s="202"/>
      <c r="D168" s="202" t="s">
        <v>85</v>
      </c>
      <c r="E168" s="304">
        <v>136</v>
      </c>
      <c r="F168" s="211">
        <v>136</v>
      </c>
      <c r="G168" s="203" t="s">
        <v>97</v>
      </c>
      <c r="H168" s="203" t="s">
        <v>7</v>
      </c>
      <c r="I168" s="280"/>
      <c r="J168" s="264" t="str">
        <f t="shared" si="2"/>
        <v>전공</v>
      </c>
      <c r="K168" s="265"/>
      <c r="L168" s="266"/>
      <c r="M168" s="266"/>
      <c r="N168" s="266"/>
      <c r="O168" s="266"/>
      <c r="P168" s="266"/>
      <c r="Q168" s="266"/>
      <c r="R168" s="266"/>
    </row>
    <row r="169" spans="1:21" ht="30" customHeight="1">
      <c r="A169" s="204">
        <v>164</v>
      </c>
      <c r="B169" s="202" t="s">
        <v>680</v>
      </c>
      <c r="C169" s="202"/>
      <c r="D169" s="202" t="s">
        <v>902</v>
      </c>
      <c r="E169" s="304">
        <v>46</v>
      </c>
      <c r="F169" s="211">
        <v>46</v>
      </c>
      <c r="G169" s="203" t="s">
        <v>855</v>
      </c>
      <c r="H169" s="203" t="s">
        <v>856</v>
      </c>
      <c r="I169" s="280"/>
      <c r="J169" s="264" t="str">
        <f t="shared" si="2"/>
        <v>도공</v>
      </c>
      <c r="K169" s="265"/>
      <c r="L169" s="266"/>
      <c r="M169" s="266"/>
      <c r="N169" s="266"/>
      <c r="O169" s="266"/>
      <c r="P169" s="266"/>
      <c r="Q169" s="266"/>
      <c r="R169" s="266"/>
    </row>
    <row r="170" spans="1:21" ht="30" customHeight="1">
      <c r="A170" s="204">
        <v>165</v>
      </c>
      <c r="B170" s="202" t="s">
        <v>86</v>
      </c>
      <c r="C170" s="202"/>
      <c r="D170" s="202" t="s">
        <v>84</v>
      </c>
      <c r="E170" s="304">
        <v>7</v>
      </c>
      <c r="F170" s="211">
        <v>7</v>
      </c>
      <c r="G170" s="203" t="s">
        <v>98</v>
      </c>
      <c r="H170" s="203" t="s">
        <v>102</v>
      </c>
      <c r="I170" s="280"/>
      <c r="J170" s="264" t="str">
        <f t="shared" si="2"/>
        <v>도국</v>
      </c>
      <c r="K170" s="265"/>
      <c r="L170" s="266"/>
      <c r="M170" s="266"/>
      <c r="N170" s="266"/>
      <c r="O170" s="266"/>
      <c r="P170" s="266"/>
      <c r="Q170" s="266"/>
      <c r="R170" s="266"/>
    </row>
    <row r="171" spans="1:21" ht="30" customHeight="1">
      <c r="A171" s="204">
        <v>166</v>
      </c>
      <c r="B171" s="202" t="s">
        <v>944</v>
      </c>
      <c r="C171" s="202"/>
      <c r="D171" s="202" t="s">
        <v>902</v>
      </c>
      <c r="E171" s="304">
        <v>1068</v>
      </c>
      <c r="F171" s="211">
        <v>1102</v>
      </c>
      <c r="G171" s="203" t="s">
        <v>855</v>
      </c>
      <c r="H171" s="203" t="s">
        <v>856</v>
      </c>
      <c r="I171" s="280"/>
      <c r="J171" s="264" t="str">
        <f t="shared" si="2"/>
        <v>도공</v>
      </c>
      <c r="K171" s="265"/>
      <c r="L171" s="266"/>
      <c r="M171" s="266"/>
      <c r="N171" s="266"/>
      <c r="O171" s="266"/>
      <c r="P171" s="266"/>
      <c r="Q171" s="266"/>
      <c r="R171" s="266"/>
    </row>
    <row r="172" spans="1:21" ht="30" customHeight="1">
      <c r="A172" s="204">
        <v>167</v>
      </c>
      <c r="B172" s="202" t="s">
        <v>221</v>
      </c>
      <c r="C172" s="202"/>
      <c r="D172" s="202" t="s">
        <v>84</v>
      </c>
      <c r="E172" s="304">
        <v>472</v>
      </c>
      <c r="F172" s="211">
        <v>219</v>
      </c>
      <c r="G172" s="203" t="s">
        <v>98</v>
      </c>
      <c r="H172" s="203" t="s">
        <v>102</v>
      </c>
      <c r="I172" s="280"/>
      <c r="J172" s="264" t="str">
        <f t="shared" si="2"/>
        <v>도국</v>
      </c>
      <c r="K172" s="265"/>
      <c r="L172" s="266"/>
      <c r="M172" s="266"/>
      <c r="N172" s="266"/>
      <c r="O172" s="266"/>
      <c r="P172" s="266"/>
      <c r="Q172" s="266"/>
      <c r="R172" s="266"/>
    </row>
    <row r="173" spans="1:21" ht="30" customHeight="1">
      <c r="A173" s="204">
        <v>168</v>
      </c>
      <c r="B173" s="202" t="s">
        <v>945</v>
      </c>
      <c r="C173" s="202"/>
      <c r="D173" s="202" t="s">
        <v>902</v>
      </c>
      <c r="E173" s="304">
        <v>416</v>
      </c>
      <c r="F173" s="211">
        <v>59</v>
      </c>
      <c r="G173" s="203" t="s">
        <v>855</v>
      </c>
      <c r="H173" s="203" t="s">
        <v>856</v>
      </c>
      <c r="I173" s="280"/>
      <c r="J173" s="264" t="str">
        <f t="shared" si="2"/>
        <v>도공</v>
      </c>
      <c r="K173" s="265"/>
      <c r="L173" s="266"/>
      <c r="M173" s="266"/>
      <c r="N173" s="266"/>
      <c r="O173" s="266"/>
      <c r="P173" s="266"/>
      <c r="Q173" s="266"/>
      <c r="R173" s="266"/>
    </row>
    <row r="174" spans="1:21" ht="30" customHeight="1">
      <c r="A174" s="204">
        <v>169</v>
      </c>
      <c r="B174" s="202" t="s">
        <v>222</v>
      </c>
      <c r="C174" s="202"/>
      <c r="D174" s="202" t="s">
        <v>84</v>
      </c>
      <c r="E174" s="304">
        <v>191</v>
      </c>
      <c r="F174" s="211">
        <v>43</v>
      </c>
      <c r="G174" s="203" t="s">
        <v>97</v>
      </c>
      <c r="H174" s="203" t="s">
        <v>7</v>
      </c>
      <c r="I174" s="280"/>
      <c r="J174" s="264" t="str">
        <f t="shared" si="2"/>
        <v>도공</v>
      </c>
      <c r="K174" s="265"/>
      <c r="L174" s="266"/>
      <c r="M174" s="266"/>
      <c r="N174" s="266"/>
      <c r="O174" s="266"/>
      <c r="P174" s="266"/>
      <c r="Q174" s="266"/>
      <c r="R174" s="266"/>
    </row>
    <row r="175" spans="1:21" ht="30" customHeight="1">
      <c r="A175" s="204">
        <v>170</v>
      </c>
      <c r="B175" s="202" t="s">
        <v>946</v>
      </c>
      <c r="C175" s="202"/>
      <c r="D175" s="202" t="s">
        <v>902</v>
      </c>
      <c r="E175" s="304">
        <v>210</v>
      </c>
      <c r="F175" s="211">
        <v>210</v>
      </c>
      <c r="G175" s="203" t="s">
        <v>855</v>
      </c>
      <c r="H175" s="203" t="s">
        <v>856</v>
      </c>
      <c r="I175" s="280"/>
      <c r="J175" s="264" t="str">
        <f t="shared" si="2"/>
        <v>도공</v>
      </c>
      <c r="K175" s="265"/>
      <c r="L175" s="266"/>
      <c r="M175" s="266"/>
      <c r="N175" s="266"/>
      <c r="O175" s="266"/>
      <c r="P175" s="266"/>
      <c r="Q175" s="266"/>
      <c r="R175" s="266"/>
    </row>
    <row r="176" spans="1:21" ht="30" customHeight="1">
      <c r="A176" s="204">
        <v>171</v>
      </c>
      <c r="B176" s="202" t="s">
        <v>223</v>
      </c>
      <c r="C176" s="202"/>
      <c r="D176" s="202" t="s">
        <v>88</v>
      </c>
      <c r="E176" s="304">
        <v>12</v>
      </c>
      <c r="F176" s="211">
        <v>12</v>
      </c>
      <c r="G176" s="203" t="s">
        <v>97</v>
      </c>
      <c r="H176" s="203" t="s">
        <v>7</v>
      </c>
      <c r="I176" s="280"/>
      <c r="J176" s="264" t="str">
        <f t="shared" si="2"/>
        <v>임공</v>
      </c>
      <c r="K176" s="265"/>
      <c r="L176" s="266"/>
      <c r="M176" s="266"/>
      <c r="N176" s="266"/>
      <c r="O176" s="266"/>
      <c r="P176" s="266"/>
      <c r="Q176" s="266"/>
      <c r="R176" s="266"/>
    </row>
    <row r="177" spans="1:21" ht="30" customHeight="1">
      <c r="A177" s="204">
        <v>172</v>
      </c>
      <c r="B177" s="202" t="s">
        <v>947</v>
      </c>
      <c r="C177" s="202"/>
      <c r="D177" s="202" t="s">
        <v>902</v>
      </c>
      <c r="E177" s="304">
        <v>60</v>
      </c>
      <c r="F177" s="211">
        <v>60</v>
      </c>
      <c r="G177" s="203" t="s">
        <v>308</v>
      </c>
      <c r="H177" s="203" t="s">
        <v>102</v>
      </c>
      <c r="I177" s="280"/>
      <c r="J177" s="264" t="str">
        <f t="shared" si="2"/>
        <v>도국</v>
      </c>
      <c r="K177" s="265"/>
      <c r="L177" s="266"/>
      <c r="M177" s="266"/>
      <c r="N177" s="266"/>
      <c r="O177" s="266"/>
      <c r="P177" s="266"/>
      <c r="Q177" s="266"/>
      <c r="R177" s="266"/>
    </row>
    <row r="178" spans="1:21" ht="30" customHeight="1">
      <c r="A178" s="204">
        <v>173</v>
      </c>
      <c r="B178" s="202" t="s">
        <v>224</v>
      </c>
      <c r="C178" s="202"/>
      <c r="D178" s="202" t="s">
        <v>85</v>
      </c>
      <c r="E178" s="304">
        <v>56</v>
      </c>
      <c r="F178" s="211">
        <v>56</v>
      </c>
      <c r="G178" s="203" t="s">
        <v>97</v>
      </c>
      <c r="H178" s="203" t="s">
        <v>7</v>
      </c>
      <c r="I178" s="280"/>
      <c r="J178" s="264" t="str">
        <f t="shared" si="2"/>
        <v>전공</v>
      </c>
      <c r="K178" s="265"/>
      <c r="L178" s="266"/>
      <c r="M178" s="266"/>
      <c r="N178" s="266"/>
      <c r="O178" s="266"/>
      <c r="P178" s="266"/>
      <c r="Q178" s="266"/>
      <c r="R178" s="266"/>
    </row>
    <row r="179" spans="1:21" ht="30" customHeight="1">
      <c r="A179" s="204">
        <v>174</v>
      </c>
      <c r="B179" s="202" t="s">
        <v>948</v>
      </c>
      <c r="C179" s="202"/>
      <c r="D179" s="202" t="s">
        <v>902</v>
      </c>
      <c r="E179" s="304">
        <v>236</v>
      </c>
      <c r="F179" s="211">
        <v>236</v>
      </c>
      <c r="G179" s="203" t="s">
        <v>855</v>
      </c>
      <c r="H179" s="203" t="s">
        <v>856</v>
      </c>
      <c r="I179" s="280"/>
      <c r="J179" s="264" t="str">
        <f t="shared" si="2"/>
        <v>도공</v>
      </c>
      <c r="K179" s="265"/>
      <c r="L179" s="266"/>
      <c r="M179" s="266"/>
      <c r="N179" s="266"/>
      <c r="O179" s="266"/>
      <c r="P179" s="266"/>
      <c r="Q179" s="266"/>
      <c r="R179" s="266"/>
    </row>
    <row r="180" spans="1:21" ht="30" customHeight="1">
      <c r="A180" s="204">
        <v>175</v>
      </c>
      <c r="B180" s="202" t="s">
        <v>225</v>
      </c>
      <c r="C180" s="202"/>
      <c r="D180" s="202" t="s">
        <v>84</v>
      </c>
      <c r="E180" s="304">
        <v>53</v>
      </c>
      <c r="F180" s="211">
        <v>53</v>
      </c>
      <c r="G180" s="203" t="s">
        <v>98</v>
      </c>
      <c r="H180" s="203" t="s">
        <v>102</v>
      </c>
      <c r="I180" s="280"/>
      <c r="J180" s="264" t="str">
        <f t="shared" si="2"/>
        <v>도국</v>
      </c>
      <c r="K180" s="265"/>
      <c r="L180" s="266"/>
      <c r="M180" s="266"/>
      <c r="N180" s="266"/>
      <c r="O180" s="266"/>
      <c r="P180" s="266"/>
      <c r="Q180" s="266"/>
      <c r="R180" s="266"/>
    </row>
    <row r="181" spans="1:21" ht="30" customHeight="1">
      <c r="A181" s="204">
        <v>176</v>
      </c>
      <c r="B181" s="202" t="s">
        <v>949</v>
      </c>
      <c r="C181" s="202"/>
      <c r="D181" s="202" t="s">
        <v>902</v>
      </c>
      <c r="E181" s="304">
        <v>13</v>
      </c>
      <c r="F181" s="211">
        <v>13</v>
      </c>
      <c r="G181" s="203" t="s">
        <v>855</v>
      </c>
      <c r="H181" s="203" t="s">
        <v>856</v>
      </c>
      <c r="I181" s="280"/>
      <c r="J181" s="264" t="str">
        <f t="shared" si="2"/>
        <v>도공</v>
      </c>
      <c r="K181" s="267"/>
      <c r="L181" s="266"/>
      <c r="M181" s="266"/>
      <c r="N181" s="266"/>
      <c r="O181" s="266"/>
      <c r="P181" s="266"/>
      <c r="Q181" s="266"/>
      <c r="R181" s="268"/>
    </row>
    <row r="182" spans="1:21" ht="30" customHeight="1">
      <c r="A182" s="204">
        <v>177</v>
      </c>
      <c r="B182" s="202" t="s">
        <v>226</v>
      </c>
      <c r="C182" s="202"/>
      <c r="D182" s="202" t="s">
        <v>84</v>
      </c>
      <c r="E182" s="304">
        <v>64</v>
      </c>
      <c r="F182" s="211">
        <v>64</v>
      </c>
      <c r="G182" s="203" t="s">
        <v>97</v>
      </c>
      <c r="H182" s="203" t="s">
        <v>7</v>
      </c>
      <c r="I182" s="280"/>
      <c r="J182" s="264" t="str">
        <f t="shared" si="2"/>
        <v>도공</v>
      </c>
      <c r="K182" s="267"/>
      <c r="L182" s="266"/>
      <c r="M182" s="266"/>
      <c r="N182" s="266"/>
      <c r="O182" s="266"/>
      <c r="P182" s="266"/>
      <c r="Q182" s="266"/>
      <c r="R182" s="268"/>
    </row>
    <row r="183" spans="1:21" ht="30" customHeight="1">
      <c r="A183" s="204">
        <v>178</v>
      </c>
      <c r="B183" s="202" t="s">
        <v>737</v>
      </c>
      <c r="C183" s="202"/>
      <c r="D183" s="202" t="s">
        <v>87</v>
      </c>
      <c r="E183" s="304">
        <v>3940.7</v>
      </c>
      <c r="F183" s="211">
        <v>139</v>
      </c>
      <c r="G183" s="203" t="s">
        <v>308</v>
      </c>
      <c r="H183" s="203" t="s">
        <v>861</v>
      </c>
      <c r="I183" s="280"/>
      <c r="J183" s="264" t="str">
        <f t="shared" si="2"/>
        <v>구국</v>
      </c>
      <c r="K183" s="267"/>
      <c r="L183" s="266"/>
      <c r="M183" s="266"/>
      <c r="N183" s="266"/>
      <c r="O183" s="266"/>
      <c r="P183" s="266"/>
      <c r="Q183" s="266"/>
      <c r="R183" s="268"/>
    </row>
    <row r="184" spans="1:21" ht="30" customHeight="1">
      <c r="A184" s="204">
        <v>179</v>
      </c>
      <c r="B184" s="202" t="s">
        <v>227</v>
      </c>
      <c r="C184" s="202"/>
      <c r="D184" s="202" t="s">
        <v>84</v>
      </c>
      <c r="E184" s="304">
        <v>420</v>
      </c>
      <c r="F184" s="211">
        <v>375</v>
      </c>
      <c r="G184" s="203" t="s">
        <v>98</v>
      </c>
      <c r="H184" s="203" t="s">
        <v>102</v>
      </c>
      <c r="I184" s="280"/>
      <c r="J184" s="264" t="str">
        <f t="shared" si="2"/>
        <v>도국</v>
      </c>
      <c r="K184" s="267"/>
      <c r="L184" s="266"/>
      <c r="M184" s="266"/>
      <c r="N184" s="266"/>
      <c r="O184" s="266"/>
      <c r="P184" s="266"/>
      <c r="Q184" s="266"/>
      <c r="R184" s="268"/>
    </row>
    <row r="185" spans="1:21" ht="30" customHeight="1">
      <c r="A185" s="204">
        <v>180</v>
      </c>
      <c r="B185" s="202" t="s">
        <v>951</v>
      </c>
      <c r="C185" s="202"/>
      <c r="D185" s="202" t="s">
        <v>902</v>
      </c>
      <c r="E185" s="304">
        <v>17</v>
      </c>
      <c r="F185" s="211">
        <v>17</v>
      </c>
      <c r="G185" s="203" t="s">
        <v>308</v>
      </c>
      <c r="H185" s="203" t="s">
        <v>102</v>
      </c>
      <c r="I185" s="280"/>
      <c r="J185" s="264" t="str">
        <f t="shared" si="2"/>
        <v>도국</v>
      </c>
      <c r="K185" s="265"/>
      <c r="L185" s="266"/>
      <c r="M185" s="266"/>
      <c r="N185" s="266"/>
      <c r="O185" s="266"/>
      <c r="P185" s="266"/>
      <c r="Q185" s="266"/>
      <c r="R185" s="288"/>
      <c r="S185" s="266"/>
      <c r="T185" s="266"/>
      <c r="U185" s="266"/>
    </row>
    <row r="186" spans="1:21" ht="30" customHeight="1">
      <c r="A186" s="204">
        <v>181</v>
      </c>
      <c r="B186" s="202" t="s">
        <v>952</v>
      </c>
      <c r="C186" s="202"/>
      <c r="D186" s="202" t="s">
        <v>902</v>
      </c>
      <c r="E186" s="304">
        <v>17</v>
      </c>
      <c r="F186" s="211">
        <v>17</v>
      </c>
      <c r="G186" s="203" t="s">
        <v>308</v>
      </c>
      <c r="H186" s="203" t="s">
        <v>102</v>
      </c>
      <c r="I186" s="280"/>
      <c r="J186" s="264" t="str">
        <f t="shared" si="2"/>
        <v>도국</v>
      </c>
      <c r="K186" s="265"/>
      <c r="L186" s="266"/>
      <c r="M186" s="266"/>
      <c r="N186" s="266"/>
      <c r="O186" s="266"/>
      <c r="P186" s="266"/>
      <c r="Q186" s="266"/>
      <c r="R186" s="266"/>
    </row>
    <row r="187" spans="1:21" ht="30" customHeight="1">
      <c r="A187" s="204">
        <v>182</v>
      </c>
      <c r="B187" s="202" t="s">
        <v>228</v>
      </c>
      <c r="C187" s="202"/>
      <c r="D187" s="202" t="s">
        <v>84</v>
      </c>
      <c r="E187" s="304">
        <v>409</v>
      </c>
      <c r="F187" s="211">
        <v>409</v>
      </c>
      <c r="G187" s="203" t="s">
        <v>98</v>
      </c>
      <c r="H187" s="203" t="s">
        <v>102</v>
      </c>
      <c r="I187" s="280"/>
      <c r="J187" s="264" t="str">
        <f t="shared" si="2"/>
        <v>도국</v>
      </c>
      <c r="K187" s="265"/>
      <c r="L187" s="266"/>
      <c r="M187" s="266"/>
      <c r="N187" s="266"/>
      <c r="O187" s="266"/>
      <c r="P187" s="266"/>
      <c r="Q187" s="266"/>
      <c r="R187" s="266"/>
    </row>
    <row r="188" spans="1:21" ht="30" customHeight="1">
      <c r="A188" s="204">
        <v>183</v>
      </c>
      <c r="B188" s="202" t="s">
        <v>953</v>
      </c>
      <c r="C188" s="202"/>
      <c r="D188" s="202" t="s">
        <v>902</v>
      </c>
      <c r="E188" s="304">
        <v>979</v>
      </c>
      <c r="F188" s="211">
        <v>783</v>
      </c>
      <c r="G188" s="203" t="s">
        <v>954</v>
      </c>
      <c r="H188" s="203" t="s">
        <v>955</v>
      </c>
      <c r="I188" s="280"/>
      <c r="J188" s="264" t="str">
        <f t="shared" si="2"/>
        <v>도지한국</v>
      </c>
      <c r="K188" s="265"/>
      <c r="L188" s="266"/>
      <c r="M188" s="266"/>
      <c r="N188" s="266"/>
      <c r="O188" s="266"/>
      <c r="P188" s="266"/>
      <c r="Q188" s="266"/>
      <c r="R188" s="266"/>
    </row>
    <row r="189" spans="1:21" ht="30" customHeight="1">
      <c r="A189" s="204">
        <v>184</v>
      </c>
      <c r="B189" s="202" t="s">
        <v>229</v>
      </c>
      <c r="C189" s="202"/>
      <c r="D189" s="202" t="s">
        <v>84</v>
      </c>
      <c r="E189" s="304">
        <v>1124</v>
      </c>
      <c r="F189" s="211">
        <v>370</v>
      </c>
      <c r="G189" s="203" t="s">
        <v>97</v>
      </c>
      <c r="H189" s="203" t="s">
        <v>7</v>
      </c>
      <c r="I189" s="280"/>
      <c r="J189" s="264" t="str">
        <f t="shared" si="2"/>
        <v>도공</v>
      </c>
      <c r="K189" s="265"/>
      <c r="L189" s="266"/>
      <c r="M189" s="266"/>
      <c r="N189" s="266"/>
      <c r="O189" s="266"/>
      <c r="P189" s="266"/>
      <c r="Q189" s="266"/>
      <c r="R189" s="266"/>
    </row>
    <row r="190" spans="1:21" ht="30" customHeight="1">
      <c r="A190" s="204">
        <v>185</v>
      </c>
      <c r="B190" s="202" t="s">
        <v>956</v>
      </c>
      <c r="C190" s="202"/>
      <c r="D190" s="202" t="s">
        <v>902</v>
      </c>
      <c r="E190" s="304">
        <v>66</v>
      </c>
      <c r="F190" s="211">
        <v>66</v>
      </c>
      <c r="G190" s="203" t="s">
        <v>308</v>
      </c>
      <c r="H190" s="203" t="s">
        <v>102</v>
      </c>
      <c r="I190" s="280"/>
      <c r="J190" s="264" t="str">
        <f t="shared" si="2"/>
        <v>도국</v>
      </c>
      <c r="K190" s="265"/>
      <c r="L190" s="266"/>
      <c r="M190" s="266"/>
      <c r="N190" s="266"/>
      <c r="O190" s="266"/>
      <c r="P190" s="266"/>
      <c r="Q190" s="266"/>
      <c r="R190" s="266"/>
    </row>
    <row r="191" spans="1:21" ht="30" customHeight="1">
      <c r="A191" s="204">
        <v>186</v>
      </c>
      <c r="B191" s="202" t="s">
        <v>230</v>
      </c>
      <c r="C191" s="202"/>
      <c r="D191" s="202" t="s">
        <v>84</v>
      </c>
      <c r="E191" s="304">
        <v>67</v>
      </c>
      <c r="F191" s="211">
        <v>67</v>
      </c>
      <c r="G191" s="203" t="s">
        <v>97</v>
      </c>
      <c r="H191" s="203" t="s">
        <v>7</v>
      </c>
      <c r="I191" s="280"/>
      <c r="J191" s="264" t="str">
        <f t="shared" si="2"/>
        <v>도공</v>
      </c>
      <c r="K191" s="265"/>
      <c r="L191" s="266"/>
      <c r="M191" s="266"/>
      <c r="N191" s="266"/>
      <c r="O191" s="266"/>
      <c r="P191" s="266"/>
      <c r="Q191" s="266"/>
      <c r="R191" s="266"/>
    </row>
    <row r="192" spans="1:21" ht="30" customHeight="1">
      <c r="A192" s="204">
        <v>187</v>
      </c>
      <c r="B192" s="202" t="s">
        <v>957</v>
      </c>
      <c r="C192" s="202"/>
      <c r="D192" s="202" t="s">
        <v>902</v>
      </c>
      <c r="E192" s="304">
        <v>23</v>
      </c>
      <c r="F192" s="211">
        <v>23</v>
      </c>
      <c r="G192" s="203" t="s">
        <v>308</v>
      </c>
      <c r="H192" s="203" t="s">
        <v>102</v>
      </c>
      <c r="I192" s="280"/>
      <c r="J192" s="264" t="str">
        <f t="shared" si="2"/>
        <v>도국</v>
      </c>
      <c r="K192" s="265"/>
      <c r="L192" s="266"/>
      <c r="M192" s="266"/>
      <c r="N192" s="266"/>
      <c r="O192" s="266"/>
      <c r="P192" s="266"/>
      <c r="Q192" s="266"/>
      <c r="R192" s="266"/>
    </row>
    <row r="193" spans="1:21" ht="30" customHeight="1">
      <c r="A193" s="204">
        <v>188</v>
      </c>
      <c r="B193" s="202" t="s">
        <v>231</v>
      </c>
      <c r="C193" s="202"/>
      <c r="D193" s="202" t="s">
        <v>84</v>
      </c>
      <c r="E193" s="304">
        <v>127</v>
      </c>
      <c r="F193" s="211">
        <v>127</v>
      </c>
      <c r="G193" s="203" t="s">
        <v>97</v>
      </c>
      <c r="H193" s="203" t="s">
        <v>7</v>
      </c>
      <c r="I193" s="280"/>
      <c r="J193" s="264" t="str">
        <f t="shared" si="2"/>
        <v>도공</v>
      </c>
      <c r="K193" s="265"/>
      <c r="L193" s="266"/>
      <c r="M193" s="266"/>
      <c r="N193" s="266"/>
      <c r="O193" s="266"/>
      <c r="P193" s="266"/>
      <c r="Q193" s="266"/>
      <c r="R193" s="266"/>
    </row>
    <row r="194" spans="1:21" ht="30" customHeight="1">
      <c r="A194" s="204">
        <v>189</v>
      </c>
      <c r="B194" s="202" t="s">
        <v>958</v>
      </c>
      <c r="C194" s="202"/>
      <c r="D194" s="202" t="s">
        <v>902</v>
      </c>
      <c r="E194" s="304">
        <v>3</v>
      </c>
      <c r="F194" s="211">
        <v>3</v>
      </c>
      <c r="G194" s="203" t="s">
        <v>855</v>
      </c>
      <c r="H194" s="203" t="s">
        <v>856</v>
      </c>
      <c r="I194" s="280"/>
      <c r="J194" s="264" t="str">
        <f t="shared" si="2"/>
        <v>도공</v>
      </c>
      <c r="K194" s="265"/>
      <c r="L194" s="266"/>
      <c r="M194" s="266"/>
      <c r="N194" s="266"/>
      <c r="O194" s="266"/>
      <c r="P194" s="266"/>
      <c r="Q194" s="266"/>
      <c r="R194" s="266"/>
    </row>
    <row r="195" spans="1:21" ht="30" customHeight="1">
      <c r="A195" s="204">
        <v>190</v>
      </c>
      <c r="B195" s="202" t="s">
        <v>232</v>
      </c>
      <c r="C195" s="202"/>
      <c r="D195" s="202" t="s">
        <v>84</v>
      </c>
      <c r="E195" s="304">
        <v>225</v>
      </c>
      <c r="F195" s="211">
        <v>225</v>
      </c>
      <c r="G195" s="203" t="s">
        <v>97</v>
      </c>
      <c r="H195" s="203" t="s">
        <v>7</v>
      </c>
      <c r="I195" s="280"/>
      <c r="J195" s="264" t="str">
        <f t="shared" si="2"/>
        <v>도공</v>
      </c>
      <c r="K195" s="265"/>
      <c r="L195" s="266"/>
      <c r="M195" s="266"/>
      <c r="N195" s="266"/>
      <c r="O195" s="266"/>
      <c r="P195" s="266"/>
      <c r="Q195" s="266"/>
      <c r="R195" s="266"/>
    </row>
    <row r="196" spans="1:21" ht="30" customHeight="1">
      <c r="A196" s="204">
        <v>191</v>
      </c>
      <c r="B196" s="202" t="s">
        <v>959</v>
      </c>
      <c r="C196" s="202"/>
      <c r="D196" s="202" t="s">
        <v>902</v>
      </c>
      <c r="E196" s="304">
        <v>433</v>
      </c>
      <c r="F196" s="211">
        <v>423</v>
      </c>
      <c r="G196" s="203" t="s">
        <v>855</v>
      </c>
      <c r="H196" s="203" t="s">
        <v>960</v>
      </c>
      <c r="I196" s="280"/>
      <c r="J196" s="264" t="str">
        <f t="shared" si="2"/>
        <v>도공</v>
      </c>
      <c r="K196" s="265"/>
      <c r="L196" s="266"/>
      <c r="M196" s="266"/>
      <c r="N196" s="266"/>
      <c r="O196" s="266"/>
      <c r="P196" s="266"/>
      <c r="Q196" s="266"/>
      <c r="R196" s="266"/>
    </row>
    <row r="197" spans="1:21" ht="30" customHeight="1">
      <c r="A197" s="204">
        <v>192</v>
      </c>
      <c r="B197" s="202" t="s">
        <v>233</v>
      </c>
      <c r="C197" s="202"/>
      <c r="D197" s="202" t="s">
        <v>84</v>
      </c>
      <c r="E197" s="304">
        <v>116</v>
      </c>
      <c r="F197" s="211">
        <v>70</v>
      </c>
      <c r="G197" s="203" t="s">
        <v>97</v>
      </c>
      <c r="H197" s="203" t="s">
        <v>7</v>
      </c>
      <c r="I197" s="280"/>
      <c r="J197" s="264" t="str">
        <f t="shared" si="2"/>
        <v>도공</v>
      </c>
      <c r="K197" s="265"/>
      <c r="L197" s="266"/>
      <c r="M197" s="266"/>
      <c r="N197" s="266"/>
      <c r="O197" s="266"/>
      <c r="P197" s="266"/>
      <c r="Q197" s="266"/>
      <c r="R197" s="266"/>
    </row>
    <row r="198" spans="1:21" ht="30" customHeight="1">
      <c r="A198" s="204">
        <v>193</v>
      </c>
      <c r="B198" s="202" t="s">
        <v>362</v>
      </c>
      <c r="C198" s="202"/>
      <c r="D198" s="202" t="s">
        <v>902</v>
      </c>
      <c r="E198" s="304">
        <v>724</v>
      </c>
      <c r="F198" s="211">
        <v>724</v>
      </c>
      <c r="G198" s="203" t="s">
        <v>308</v>
      </c>
      <c r="H198" s="203" t="s">
        <v>102</v>
      </c>
      <c r="I198" s="280"/>
      <c r="J198" s="264" t="str">
        <f t="shared" si="2"/>
        <v>도국</v>
      </c>
      <c r="K198" s="265"/>
      <c r="L198" s="266"/>
      <c r="M198" s="266"/>
      <c r="N198" s="266"/>
      <c r="O198" s="266"/>
      <c r="P198" s="266"/>
      <c r="Q198" s="266"/>
      <c r="R198" s="266"/>
    </row>
    <row r="199" spans="1:21" ht="30" customHeight="1">
      <c r="A199" s="204">
        <v>194</v>
      </c>
      <c r="B199" s="202" t="s">
        <v>234</v>
      </c>
      <c r="C199" s="202"/>
      <c r="D199" s="202" t="s">
        <v>84</v>
      </c>
      <c r="E199" s="304">
        <v>35</v>
      </c>
      <c r="F199" s="211">
        <v>35</v>
      </c>
      <c r="G199" s="203" t="s">
        <v>97</v>
      </c>
      <c r="H199" s="203" t="s">
        <v>7</v>
      </c>
      <c r="I199" s="280"/>
      <c r="J199" s="264" t="str">
        <f t="shared" ref="J199:J232" si="3">CONCATENATE(D199,G199)</f>
        <v>도공</v>
      </c>
      <c r="K199" s="265"/>
      <c r="L199" s="266"/>
      <c r="M199" s="266"/>
      <c r="N199" s="266"/>
      <c r="O199" s="266"/>
      <c r="P199" s="266"/>
      <c r="Q199" s="266"/>
      <c r="R199" s="266"/>
    </row>
    <row r="200" spans="1:21" ht="30" customHeight="1">
      <c r="A200" s="204">
        <v>195</v>
      </c>
      <c r="B200" s="202" t="s">
        <v>912</v>
      </c>
      <c r="C200" s="202"/>
      <c r="D200" s="202" t="s">
        <v>902</v>
      </c>
      <c r="E200" s="304">
        <v>30</v>
      </c>
      <c r="F200" s="211">
        <v>4</v>
      </c>
      <c r="G200" s="203" t="s">
        <v>855</v>
      </c>
      <c r="H200" s="203" t="s">
        <v>856</v>
      </c>
      <c r="I200" s="280"/>
      <c r="J200" s="264" t="str">
        <f t="shared" si="3"/>
        <v>도공</v>
      </c>
      <c r="K200" s="265"/>
      <c r="L200" s="266"/>
      <c r="M200" s="266"/>
      <c r="N200" s="266"/>
      <c r="O200" s="266"/>
      <c r="P200" s="266"/>
      <c r="Q200" s="266"/>
      <c r="R200" s="266"/>
    </row>
    <row r="201" spans="1:21" ht="30" customHeight="1">
      <c r="A201" s="204">
        <v>196</v>
      </c>
      <c r="B201" s="202" t="s">
        <v>288</v>
      </c>
      <c r="C201" s="202"/>
      <c r="D201" s="202" t="s">
        <v>84</v>
      </c>
      <c r="E201" s="304">
        <v>149</v>
      </c>
      <c r="F201" s="211">
        <v>18</v>
      </c>
      <c r="G201" s="203" t="s">
        <v>273</v>
      </c>
      <c r="H201" s="203" t="s">
        <v>274</v>
      </c>
      <c r="I201" s="280"/>
      <c r="J201" s="264" t="str">
        <f t="shared" si="3"/>
        <v>도이능학</v>
      </c>
      <c r="K201" s="267"/>
      <c r="L201" s="266"/>
      <c r="M201" s="266"/>
      <c r="N201" s="266"/>
      <c r="O201" s="266"/>
      <c r="P201" s="266"/>
      <c r="Q201" s="266"/>
      <c r="R201" s="268"/>
    </row>
    <row r="202" spans="1:21" ht="30" customHeight="1">
      <c r="A202" s="204">
        <v>197</v>
      </c>
      <c r="B202" s="202" t="s">
        <v>962</v>
      </c>
      <c r="C202" s="202"/>
      <c r="D202" s="202" t="s">
        <v>902</v>
      </c>
      <c r="E202" s="304">
        <v>20</v>
      </c>
      <c r="F202" s="211">
        <v>20</v>
      </c>
      <c r="G202" s="203" t="s">
        <v>273</v>
      </c>
      <c r="H202" s="203" t="s">
        <v>963</v>
      </c>
      <c r="I202" s="280"/>
      <c r="J202" s="264" t="str">
        <f t="shared" si="3"/>
        <v>도이능학</v>
      </c>
      <c r="K202" s="267"/>
      <c r="L202" s="266"/>
      <c r="M202" s="266"/>
      <c r="N202" s="266"/>
      <c r="O202" s="266"/>
      <c r="P202" s="266"/>
      <c r="Q202" s="266"/>
      <c r="R202" s="268"/>
    </row>
    <row r="203" spans="1:21" ht="30" customHeight="1">
      <c r="A203" s="204">
        <v>198</v>
      </c>
      <c r="B203" s="202" t="s">
        <v>235</v>
      </c>
      <c r="C203" s="202"/>
      <c r="D203" s="202" t="s">
        <v>84</v>
      </c>
      <c r="E203" s="304">
        <v>374</v>
      </c>
      <c r="F203" s="211">
        <v>219</v>
      </c>
      <c r="G203" s="203" t="s">
        <v>98</v>
      </c>
      <c r="H203" s="203" t="s">
        <v>102</v>
      </c>
      <c r="I203" s="280"/>
      <c r="J203" s="264" t="str">
        <f t="shared" si="3"/>
        <v>도국</v>
      </c>
      <c r="K203" s="267"/>
      <c r="L203" s="266"/>
      <c r="M203" s="266"/>
      <c r="N203" s="266"/>
      <c r="O203" s="266"/>
      <c r="P203" s="266"/>
      <c r="Q203" s="266"/>
      <c r="R203" s="268"/>
    </row>
    <row r="204" spans="1:21" ht="30" customHeight="1">
      <c r="A204" s="204">
        <v>199</v>
      </c>
      <c r="B204" s="202" t="s">
        <v>964</v>
      </c>
      <c r="C204" s="202"/>
      <c r="D204" s="202" t="s">
        <v>902</v>
      </c>
      <c r="E204" s="304">
        <v>43</v>
      </c>
      <c r="F204" s="211">
        <v>43</v>
      </c>
      <c r="G204" s="203" t="s">
        <v>308</v>
      </c>
      <c r="H204" s="203" t="s">
        <v>102</v>
      </c>
      <c r="I204" s="280"/>
      <c r="J204" s="264" t="str">
        <f t="shared" si="3"/>
        <v>도국</v>
      </c>
      <c r="K204" s="267"/>
      <c r="L204" s="266"/>
      <c r="M204" s="266"/>
      <c r="N204" s="266"/>
      <c r="O204" s="266"/>
      <c r="P204" s="266"/>
      <c r="Q204" s="266"/>
      <c r="R204" s="268"/>
    </row>
    <row r="205" spans="1:21" ht="30" customHeight="1">
      <c r="A205" s="204">
        <v>200</v>
      </c>
      <c r="B205" s="202" t="s">
        <v>704</v>
      </c>
      <c r="C205" s="202"/>
      <c r="D205" s="202" t="s">
        <v>84</v>
      </c>
      <c r="E205" s="304">
        <v>688</v>
      </c>
      <c r="F205" s="211">
        <v>688</v>
      </c>
      <c r="G205" s="203" t="s">
        <v>97</v>
      </c>
      <c r="H205" s="203" t="s">
        <v>7</v>
      </c>
      <c r="I205" s="280"/>
      <c r="J205" s="264" t="str">
        <f t="shared" si="3"/>
        <v>도공</v>
      </c>
      <c r="K205" s="265"/>
      <c r="L205" s="266"/>
      <c r="M205" s="266"/>
      <c r="N205" s="266"/>
      <c r="O205" s="266"/>
      <c r="P205" s="266"/>
      <c r="Q205" s="266"/>
      <c r="R205" s="288"/>
      <c r="S205" s="266"/>
      <c r="T205" s="266"/>
      <c r="U205" s="266"/>
    </row>
    <row r="206" spans="1:21" ht="30" customHeight="1">
      <c r="A206" s="204">
        <v>201</v>
      </c>
      <c r="B206" s="202" t="s">
        <v>236</v>
      </c>
      <c r="C206" s="202"/>
      <c r="D206" s="202" t="s">
        <v>84</v>
      </c>
      <c r="E206" s="304">
        <v>21</v>
      </c>
      <c r="F206" s="211">
        <v>14</v>
      </c>
      <c r="G206" s="203" t="s">
        <v>97</v>
      </c>
      <c r="H206" s="203" t="s">
        <v>7</v>
      </c>
      <c r="I206" s="280"/>
      <c r="J206" s="264" t="str">
        <f t="shared" si="3"/>
        <v>도공</v>
      </c>
      <c r="K206" s="265"/>
      <c r="L206" s="266"/>
      <c r="M206" s="266"/>
      <c r="N206" s="266"/>
      <c r="O206" s="266"/>
      <c r="P206" s="266"/>
      <c r="Q206" s="266"/>
      <c r="R206" s="266"/>
    </row>
    <row r="207" spans="1:21" ht="30" customHeight="1">
      <c r="A207" s="204">
        <v>202</v>
      </c>
      <c r="B207" s="202" t="s">
        <v>965</v>
      </c>
      <c r="C207" s="202"/>
      <c r="D207" s="202" t="s">
        <v>902</v>
      </c>
      <c r="E207" s="304">
        <v>696</v>
      </c>
      <c r="F207" s="211">
        <v>438</v>
      </c>
      <c r="G207" s="203" t="s">
        <v>308</v>
      </c>
      <c r="H207" s="203" t="s">
        <v>102</v>
      </c>
      <c r="I207" s="280"/>
      <c r="J207" s="264" t="str">
        <f t="shared" si="3"/>
        <v>도국</v>
      </c>
      <c r="K207" s="265"/>
      <c r="L207" s="266"/>
      <c r="M207" s="266"/>
      <c r="N207" s="266"/>
      <c r="O207" s="266"/>
      <c r="P207" s="266"/>
      <c r="Q207" s="266"/>
      <c r="R207" s="266"/>
    </row>
    <row r="208" spans="1:21" ht="30" customHeight="1">
      <c r="A208" s="204">
        <v>203</v>
      </c>
      <c r="B208" s="202" t="s">
        <v>237</v>
      </c>
      <c r="C208" s="202"/>
      <c r="D208" s="202" t="s">
        <v>84</v>
      </c>
      <c r="E208" s="304">
        <v>87</v>
      </c>
      <c r="F208" s="211">
        <v>87</v>
      </c>
      <c r="G208" s="203" t="s">
        <v>97</v>
      </c>
      <c r="H208" s="203" t="s">
        <v>7</v>
      </c>
      <c r="I208" s="280"/>
      <c r="J208" s="264" t="str">
        <f t="shared" si="3"/>
        <v>도공</v>
      </c>
      <c r="K208" s="265"/>
      <c r="L208" s="266"/>
      <c r="M208" s="266"/>
      <c r="N208" s="266"/>
      <c r="O208" s="266"/>
      <c r="P208" s="266"/>
      <c r="Q208" s="266"/>
      <c r="R208" s="266"/>
    </row>
    <row r="209" spans="1:18" ht="30" customHeight="1">
      <c r="A209" s="204">
        <v>204</v>
      </c>
      <c r="B209" s="202" t="s">
        <v>966</v>
      </c>
      <c r="C209" s="202"/>
      <c r="D209" s="202" t="s">
        <v>902</v>
      </c>
      <c r="E209" s="304">
        <v>37</v>
      </c>
      <c r="F209" s="211">
        <v>37</v>
      </c>
      <c r="G209" s="203" t="s">
        <v>855</v>
      </c>
      <c r="H209" s="203" t="s">
        <v>856</v>
      </c>
      <c r="I209" s="280"/>
      <c r="J209" s="264" t="str">
        <f t="shared" si="3"/>
        <v>도공</v>
      </c>
      <c r="K209" s="265"/>
      <c r="L209" s="266"/>
      <c r="M209" s="266"/>
      <c r="N209" s="266"/>
      <c r="O209" s="266"/>
      <c r="P209" s="266"/>
      <c r="Q209" s="266"/>
      <c r="R209" s="266"/>
    </row>
    <row r="210" spans="1:18" ht="30" customHeight="1">
      <c r="A210" s="204">
        <v>205</v>
      </c>
      <c r="B210" s="202" t="s">
        <v>291</v>
      </c>
      <c r="C210" s="202"/>
      <c r="D210" s="202" t="s">
        <v>84</v>
      </c>
      <c r="E210" s="304">
        <v>380</v>
      </c>
      <c r="F210" s="211">
        <v>380</v>
      </c>
      <c r="G210" s="203" t="s">
        <v>98</v>
      </c>
      <c r="H210" s="203" t="s">
        <v>102</v>
      </c>
      <c r="I210" s="280"/>
      <c r="J210" s="264" t="str">
        <f t="shared" si="3"/>
        <v>도국</v>
      </c>
      <c r="K210" s="265"/>
      <c r="L210" s="266"/>
      <c r="M210" s="266"/>
      <c r="N210" s="266"/>
      <c r="O210" s="266"/>
      <c r="P210" s="266"/>
      <c r="Q210" s="266"/>
      <c r="R210" s="266"/>
    </row>
    <row r="211" spans="1:18" ht="30" customHeight="1">
      <c r="A211" s="204">
        <v>206</v>
      </c>
      <c r="B211" s="202" t="s">
        <v>967</v>
      </c>
      <c r="C211" s="202"/>
      <c r="D211" s="202" t="s">
        <v>902</v>
      </c>
      <c r="E211" s="304">
        <v>23</v>
      </c>
      <c r="F211" s="211">
        <v>23</v>
      </c>
      <c r="G211" s="203" t="s">
        <v>855</v>
      </c>
      <c r="H211" s="203" t="s">
        <v>856</v>
      </c>
      <c r="I211" s="280"/>
      <c r="J211" s="264" t="str">
        <f t="shared" si="3"/>
        <v>도공</v>
      </c>
      <c r="K211" s="265"/>
      <c r="L211" s="266"/>
      <c r="M211" s="266"/>
      <c r="N211" s="266"/>
      <c r="O211" s="266"/>
      <c r="P211" s="266"/>
      <c r="Q211" s="266"/>
      <c r="R211" s="266"/>
    </row>
    <row r="212" spans="1:18" ht="30" customHeight="1">
      <c r="A212" s="204">
        <v>207</v>
      </c>
      <c r="B212" s="202" t="s">
        <v>238</v>
      </c>
      <c r="C212" s="202"/>
      <c r="D212" s="202" t="s">
        <v>84</v>
      </c>
      <c r="E212" s="304">
        <v>301</v>
      </c>
      <c r="F212" s="211">
        <v>294</v>
      </c>
      <c r="G212" s="203" t="s">
        <v>98</v>
      </c>
      <c r="H212" s="203" t="s">
        <v>102</v>
      </c>
      <c r="I212" s="280"/>
      <c r="J212" s="264" t="str">
        <f t="shared" si="3"/>
        <v>도국</v>
      </c>
      <c r="K212" s="265"/>
      <c r="L212" s="266"/>
      <c r="M212" s="266"/>
      <c r="N212" s="266"/>
      <c r="O212" s="266"/>
      <c r="P212" s="266"/>
      <c r="Q212" s="266"/>
      <c r="R212" s="266"/>
    </row>
    <row r="213" spans="1:18" ht="30" customHeight="1">
      <c r="A213" s="204">
        <v>208</v>
      </c>
      <c r="B213" s="202" t="s">
        <v>968</v>
      </c>
      <c r="C213" s="202"/>
      <c r="D213" s="202" t="s">
        <v>902</v>
      </c>
      <c r="E213" s="304">
        <v>144</v>
      </c>
      <c r="F213" s="211">
        <v>144</v>
      </c>
      <c r="G213" s="203" t="s">
        <v>855</v>
      </c>
      <c r="H213" s="203" t="s">
        <v>856</v>
      </c>
      <c r="I213" s="280"/>
      <c r="J213" s="264" t="str">
        <f t="shared" si="3"/>
        <v>도공</v>
      </c>
      <c r="K213" s="265"/>
      <c r="L213" s="266"/>
      <c r="M213" s="266"/>
      <c r="N213" s="266"/>
      <c r="O213" s="266"/>
      <c r="P213" s="266"/>
      <c r="Q213" s="266"/>
      <c r="R213" s="266"/>
    </row>
    <row r="214" spans="1:18" ht="30" customHeight="1">
      <c r="A214" s="204">
        <v>209</v>
      </c>
      <c r="B214" s="202" t="s">
        <v>239</v>
      </c>
      <c r="C214" s="202"/>
      <c r="D214" s="202" t="s">
        <v>84</v>
      </c>
      <c r="E214" s="304">
        <v>43</v>
      </c>
      <c r="F214" s="211">
        <v>27</v>
      </c>
      <c r="G214" s="203" t="s">
        <v>98</v>
      </c>
      <c r="H214" s="203" t="s">
        <v>102</v>
      </c>
      <c r="I214" s="280"/>
      <c r="J214" s="264" t="str">
        <f t="shared" si="3"/>
        <v>도국</v>
      </c>
      <c r="K214" s="265"/>
      <c r="L214" s="266"/>
      <c r="M214" s="266"/>
      <c r="N214" s="266"/>
      <c r="O214" s="266"/>
      <c r="P214" s="266"/>
      <c r="Q214" s="266"/>
      <c r="R214" s="266"/>
    </row>
    <row r="215" spans="1:18" ht="30" customHeight="1">
      <c r="A215" s="204">
        <v>210</v>
      </c>
      <c r="B215" s="202" t="s">
        <v>969</v>
      </c>
      <c r="C215" s="202"/>
      <c r="D215" s="202" t="s">
        <v>902</v>
      </c>
      <c r="E215" s="304">
        <v>48</v>
      </c>
      <c r="F215" s="211">
        <v>48</v>
      </c>
      <c r="G215" s="203" t="s">
        <v>855</v>
      </c>
      <c r="H215" s="203" t="s">
        <v>856</v>
      </c>
      <c r="I215" s="280"/>
      <c r="J215" s="264" t="str">
        <f t="shared" si="3"/>
        <v>도공</v>
      </c>
      <c r="K215" s="265"/>
      <c r="L215" s="266"/>
      <c r="M215" s="266"/>
      <c r="N215" s="266"/>
      <c r="O215" s="266"/>
      <c r="P215" s="266"/>
      <c r="Q215" s="266"/>
      <c r="R215" s="266"/>
    </row>
    <row r="216" spans="1:18" ht="30" customHeight="1">
      <c r="A216" s="204">
        <v>211</v>
      </c>
      <c r="B216" s="202" t="s">
        <v>240</v>
      </c>
      <c r="C216" s="202"/>
      <c r="D216" s="202" t="s">
        <v>84</v>
      </c>
      <c r="E216" s="304">
        <v>240</v>
      </c>
      <c r="F216" s="211">
        <v>204</v>
      </c>
      <c r="G216" s="203" t="s">
        <v>97</v>
      </c>
      <c r="H216" s="203" t="s">
        <v>7</v>
      </c>
      <c r="I216" s="280"/>
      <c r="J216" s="264" t="str">
        <f t="shared" si="3"/>
        <v>도공</v>
      </c>
      <c r="K216" s="265"/>
      <c r="L216" s="266"/>
      <c r="M216" s="266"/>
      <c r="N216" s="266"/>
      <c r="O216" s="266"/>
      <c r="P216" s="266"/>
      <c r="Q216" s="266"/>
      <c r="R216" s="266"/>
    </row>
    <row r="217" spans="1:18" ht="30" customHeight="1">
      <c r="A217" s="204">
        <v>212</v>
      </c>
      <c r="B217" s="202" t="s">
        <v>970</v>
      </c>
      <c r="C217" s="202"/>
      <c r="D217" s="202" t="s">
        <v>902</v>
      </c>
      <c r="E217" s="304">
        <v>485</v>
      </c>
      <c r="F217" s="211">
        <v>553</v>
      </c>
      <c r="G217" s="203" t="s">
        <v>855</v>
      </c>
      <c r="H217" s="203" t="s">
        <v>856</v>
      </c>
      <c r="I217" s="280"/>
      <c r="J217" s="264" t="str">
        <f t="shared" si="3"/>
        <v>도공</v>
      </c>
      <c r="K217" s="265"/>
      <c r="L217" s="266"/>
      <c r="M217" s="266"/>
      <c r="N217" s="266"/>
      <c r="O217" s="266"/>
      <c r="P217" s="266"/>
      <c r="Q217" s="266"/>
      <c r="R217" s="266"/>
    </row>
    <row r="218" spans="1:18" ht="30" customHeight="1">
      <c r="A218" s="204">
        <v>213</v>
      </c>
      <c r="B218" s="202" t="s">
        <v>241</v>
      </c>
      <c r="C218" s="202"/>
      <c r="D218" s="202" t="s">
        <v>84</v>
      </c>
      <c r="E218" s="304">
        <v>1806</v>
      </c>
      <c r="F218" s="211">
        <v>272</v>
      </c>
      <c r="G218" s="203" t="s">
        <v>97</v>
      </c>
      <c r="H218" s="203" t="s">
        <v>7</v>
      </c>
      <c r="I218" s="280"/>
      <c r="J218" s="264" t="str">
        <f t="shared" si="3"/>
        <v>도공</v>
      </c>
      <c r="K218" s="265"/>
      <c r="L218" s="266"/>
      <c r="M218" s="266"/>
      <c r="N218" s="266"/>
      <c r="O218" s="266"/>
      <c r="P218" s="266"/>
      <c r="Q218" s="266"/>
      <c r="R218" s="266"/>
    </row>
    <row r="219" spans="1:18" ht="30" customHeight="1">
      <c r="A219" s="204">
        <v>214</v>
      </c>
      <c r="B219" s="202" t="s">
        <v>971</v>
      </c>
      <c r="C219" s="202"/>
      <c r="D219" s="202" t="s">
        <v>902</v>
      </c>
      <c r="E219" s="304">
        <v>1631</v>
      </c>
      <c r="F219" s="211">
        <v>1499</v>
      </c>
      <c r="G219" s="203" t="s">
        <v>855</v>
      </c>
      <c r="H219" s="203" t="s">
        <v>856</v>
      </c>
      <c r="I219" s="280"/>
      <c r="J219" s="264" t="str">
        <f t="shared" si="3"/>
        <v>도공</v>
      </c>
      <c r="K219" s="265"/>
      <c r="L219" s="266"/>
      <c r="M219" s="266"/>
      <c r="N219" s="266"/>
      <c r="O219" s="266"/>
      <c r="P219" s="266"/>
      <c r="Q219" s="266"/>
      <c r="R219" s="266"/>
    </row>
    <row r="220" spans="1:18" ht="30" customHeight="1">
      <c r="A220" s="204">
        <v>215</v>
      </c>
      <c r="B220" s="202" t="s">
        <v>242</v>
      </c>
      <c r="C220" s="202"/>
      <c r="D220" s="202" t="s">
        <v>84</v>
      </c>
      <c r="E220" s="304">
        <v>1617</v>
      </c>
      <c r="F220" s="211">
        <v>1387</v>
      </c>
      <c r="G220" s="203" t="s">
        <v>97</v>
      </c>
      <c r="H220" s="203" t="s">
        <v>7</v>
      </c>
      <c r="I220" s="280"/>
      <c r="J220" s="264" t="str">
        <f t="shared" si="3"/>
        <v>도공</v>
      </c>
      <c r="K220" s="265"/>
      <c r="L220" s="266"/>
      <c r="M220" s="266"/>
      <c r="N220" s="266"/>
      <c r="O220" s="266"/>
      <c r="P220" s="266"/>
      <c r="Q220" s="266"/>
      <c r="R220" s="266"/>
    </row>
    <row r="221" spans="1:18" ht="30" customHeight="1">
      <c r="A221" s="204">
        <v>216</v>
      </c>
      <c r="B221" s="202" t="s">
        <v>972</v>
      </c>
      <c r="C221" s="202"/>
      <c r="D221" s="202" t="s">
        <v>902</v>
      </c>
      <c r="E221" s="304">
        <v>1357</v>
      </c>
      <c r="F221" s="211">
        <v>1028</v>
      </c>
      <c r="G221" s="203" t="s">
        <v>855</v>
      </c>
      <c r="H221" s="203" t="s">
        <v>856</v>
      </c>
      <c r="I221" s="280"/>
      <c r="J221" s="264" t="str">
        <f t="shared" si="3"/>
        <v>도공</v>
      </c>
      <c r="K221" s="267"/>
      <c r="L221" s="266"/>
      <c r="M221" s="266"/>
      <c r="N221" s="266"/>
      <c r="O221" s="266"/>
      <c r="P221" s="266"/>
      <c r="Q221" s="266"/>
      <c r="R221" s="268"/>
    </row>
    <row r="222" spans="1:18" ht="30" customHeight="1">
      <c r="A222" s="204">
        <v>217</v>
      </c>
      <c r="B222" s="202" t="s">
        <v>243</v>
      </c>
      <c r="C222" s="202"/>
      <c r="D222" s="202" t="s">
        <v>84</v>
      </c>
      <c r="E222" s="304">
        <v>161</v>
      </c>
      <c r="F222" s="211">
        <v>91</v>
      </c>
      <c r="G222" s="203" t="s">
        <v>97</v>
      </c>
      <c r="H222" s="203" t="s">
        <v>7</v>
      </c>
      <c r="I222" s="280"/>
      <c r="J222" s="264" t="str">
        <f t="shared" si="3"/>
        <v>도공</v>
      </c>
      <c r="K222" s="267"/>
      <c r="L222" s="266"/>
      <c r="M222" s="266"/>
      <c r="N222" s="266"/>
      <c r="O222" s="266"/>
      <c r="P222" s="266"/>
      <c r="Q222" s="266"/>
      <c r="R222" s="268"/>
    </row>
    <row r="223" spans="1:18" ht="30" customHeight="1">
      <c r="A223" s="204">
        <v>218</v>
      </c>
      <c r="B223" s="202" t="s">
        <v>973</v>
      </c>
      <c r="C223" s="202"/>
      <c r="D223" s="202" t="s">
        <v>902</v>
      </c>
      <c r="E223" s="304">
        <v>265</v>
      </c>
      <c r="F223" s="211">
        <v>265</v>
      </c>
      <c r="G223" s="203" t="s">
        <v>855</v>
      </c>
      <c r="H223" s="203" t="s">
        <v>856</v>
      </c>
      <c r="I223" s="280"/>
      <c r="J223" s="264" t="str">
        <f t="shared" si="3"/>
        <v>도공</v>
      </c>
      <c r="K223" s="267"/>
      <c r="L223" s="266"/>
      <c r="M223" s="266"/>
      <c r="N223" s="266"/>
      <c r="O223" s="266"/>
      <c r="P223" s="266"/>
      <c r="Q223" s="266"/>
      <c r="R223" s="268"/>
    </row>
    <row r="224" spans="1:18" ht="30" customHeight="1">
      <c r="A224" s="204">
        <v>219</v>
      </c>
      <c r="B224" s="202" t="s">
        <v>244</v>
      </c>
      <c r="C224" s="202"/>
      <c r="D224" s="202" t="s">
        <v>84</v>
      </c>
      <c r="E224" s="304">
        <v>362</v>
      </c>
      <c r="F224" s="211">
        <v>223</v>
      </c>
      <c r="G224" s="203" t="s">
        <v>97</v>
      </c>
      <c r="H224" s="203" t="s">
        <v>7</v>
      </c>
      <c r="I224" s="280"/>
      <c r="J224" s="264" t="str">
        <f t="shared" si="3"/>
        <v>도공</v>
      </c>
      <c r="K224" s="267"/>
      <c r="L224" s="266"/>
      <c r="M224" s="266"/>
      <c r="N224" s="266"/>
      <c r="O224" s="266"/>
      <c r="P224" s="266"/>
      <c r="Q224" s="266"/>
      <c r="R224" s="268"/>
    </row>
    <row r="225" spans="1:21" ht="30" customHeight="1">
      <c r="A225" s="204">
        <v>220</v>
      </c>
      <c r="B225" s="202" t="s">
        <v>287</v>
      </c>
      <c r="C225" s="202"/>
      <c r="D225" s="202" t="s">
        <v>902</v>
      </c>
      <c r="E225" s="304">
        <v>7230</v>
      </c>
      <c r="F225" s="211">
        <v>2355</v>
      </c>
      <c r="G225" s="203" t="s">
        <v>308</v>
      </c>
      <c r="H225" s="203" t="s">
        <v>102</v>
      </c>
      <c r="I225" s="280"/>
      <c r="J225" s="264" t="str">
        <f t="shared" si="3"/>
        <v>도국</v>
      </c>
      <c r="K225" s="265"/>
      <c r="L225" s="266"/>
      <c r="M225" s="266"/>
      <c r="N225" s="266"/>
      <c r="O225" s="266"/>
      <c r="P225" s="266"/>
      <c r="Q225" s="266"/>
      <c r="R225" s="288"/>
      <c r="S225" s="266"/>
      <c r="T225" s="266"/>
      <c r="U225" s="266"/>
    </row>
    <row r="226" spans="1:21" ht="30" customHeight="1">
      <c r="A226" s="204">
        <v>221</v>
      </c>
      <c r="B226" s="202" t="s">
        <v>974</v>
      </c>
      <c r="C226" s="202"/>
      <c r="D226" s="202" t="s">
        <v>902</v>
      </c>
      <c r="E226" s="304">
        <v>2302</v>
      </c>
      <c r="F226" s="211">
        <v>1634</v>
      </c>
      <c r="G226" s="203" t="s">
        <v>855</v>
      </c>
      <c r="H226" s="203" t="s">
        <v>856</v>
      </c>
      <c r="I226" s="280"/>
      <c r="J226" s="264" t="str">
        <f t="shared" si="3"/>
        <v>도공</v>
      </c>
      <c r="K226" s="265"/>
      <c r="L226" s="266"/>
      <c r="M226" s="266"/>
      <c r="N226" s="266"/>
      <c r="O226" s="266"/>
      <c r="P226" s="266"/>
      <c r="Q226" s="266"/>
      <c r="R226" s="266"/>
    </row>
    <row r="227" spans="1:21" ht="30" customHeight="1">
      <c r="A227" s="204">
        <v>222</v>
      </c>
      <c r="B227" s="202" t="s">
        <v>245</v>
      </c>
      <c r="C227" s="202"/>
      <c r="D227" s="202" t="s">
        <v>84</v>
      </c>
      <c r="E227" s="304">
        <v>48</v>
      </c>
      <c r="F227" s="211">
        <v>48</v>
      </c>
      <c r="G227" s="203" t="s">
        <v>97</v>
      </c>
      <c r="H227" s="203" t="s">
        <v>7</v>
      </c>
      <c r="I227" s="280"/>
      <c r="J227" s="264" t="str">
        <f t="shared" si="3"/>
        <v>도공</v>
      </c>
      <c r="K227" s="265"/>
      <c r="L227" s="266"/>
      <c r="M227" s="266"/>
      <c r="N227" s="266"/>
      <c r="O227" s="266"/>
      <c r="P227" s="266"/>
      <c r="Q227" s="266"/>
      <c r="R227" s="266"/>
    </row>
    <row r="228" spans="1:21" ht="30" customHeight="1">
      <c r="A228" s="204">
        <v>223</v>
      </c>
      <c r="B228" s="202" t="s">
        <v>975</v>
      </c>
      <c r="C228" s="202"/>
      <c r="D228" s="202" t="s">
        <v>902</v>
      </c>
      <c r="E228" s="304">
        <v>165</v>
      </c>
      <c r="F228" s="211">
        <v>105</v>
      </c>
      <c r="G228" s="203" t="s">
        <v>308</v>
      </c>
      <c r="H228" s="203" t="s">
        <v>102</v>
      </c>
      <c r="I228" s="280"/>
      <c r="J228" s="264" t="str">
        <f t="shared" si="3"/>
        <v>도국</v>
      </c>
      <c r="K228" s="265"/>
      <c r="L228" s="266"/>
      <c r="M228" s="266"/>
      <c r="N228" s="266"/>
      <c r="O228" s="266"/>
      <c r="P228" s="266"/>
      <c r="Q228" s="266"/>
      <c r="R228" s="266"/>
    </row>
    <row r="229" spans="1:21" ht="30" customHeight="1">
      <c r="A229" s="204">
        <v>224</v>
      </c>
      <c r="B229" s="202" t="s">
        <v>246</v>
      </c>
      <c r="C229" s="202"/>
      <c r="D229" s="202" t="s">
        <v>84</v>
      </c>
      <c r="E229" s="304">
        <v>204</v>
      </c>
      <c r="F229" s="211">
        <v>79</v>
      </c>
      <c r="G229" s="203" t="s">
        <v>97</v>
      </c>
      <c r="H229" s="203" t="s">
        <v>7</v>
      </c>
      <c r="I229" s="280"/>
      <c r="J229" s="264" t="str">
        <f t="shared" si="3"/>
        <v>도공</v>
      </c>
      <c r="K229" s="265"/>
      <c r="L229" s="266"/>
      <c r="M229" s="266"/>
      <c r="N229" s="266"/>
      <c r="O229" s="266"/>
      <c r="P229" s="266"/>
      <c r="Q229" s="266"/>
      <c r="R229" s="266"/>
    </row>
    <row r="230" spans="1:21" ht="30" customHeight="1">
      <c r="A230" s="204">
        <v>225</v>
      </c>
      <c r="B230" s="202" t="s">
        <v>976</v>
      </c>
      <c r="C230" s="202"/>
      <c r="D230" s="202" t="s">
        <v>902</v>
      </c>
      <c r="E230" s="304">
        <v>87</v>
      </c>
      <c r="F230" s="211">
        <v>30</v>
      </c>
      <c r="G230" s="203" t="s">
        <v>855</v>
      </c>
      <c r="H230" s="203" t="s">
        <v>856</v>
      </c>
      <c r="I230" s="280"/>
      <c r="J230" s="264" t="str">
        <f t="shared" si="3"/>
        <v>도공</v>
      </c>
      <c r="K230" s="265"/>
      <c r="L230" s="266"/>
      <c r="M230" s="266"/>
      <c r="N230" s="266"/>
      <c r="O230" s="266"/>
      <c r="P230" s="266"/>
      <c r="Q230" s="266"/>
      <c r="R230" s="266"/>
    </row>
    <row r="231" spans="1:21" ht="30" customHeight="1">
      <c r="A231" s="204">
        <v>226</v>
      </c>
      <c r="B231" s="202" t="s">
        <v>247</v>
      </c>
      <c r="C231" s="202"/>
      <c r="D231" s="202" t="s">
        <v>84</v>
      </c>
      <c r="E231" s="304">
        <v>162</v>
      </c>
      <c r="F231" s="211">
        <v>48</v>
      </c>
      <c r="G231" s="203" t="s">
        <v>97</v>
      </c>
      <c r="H231" s="203" t="s">
        <v>7</v>
      </c>
      <c r="I231" s="280"/>
      <c r="J231" s="264" t="str">
        <f t="shared" si="3"/>
        <v>도공</v>
      </c>
      <c r="K231" s="265"/>
      <c r="L231" s="266"/>
      <c r="M231" s="266"/>
      <c r="N231" s="266"/>
      <c r="O231" s="266"/>
      <c r="P231" s="266"/>
      <c r="Q231" s="266"/>
      <c r="R231" s="266"/>
    </row>
    <row r="232" spans="1:21" ht="30" customHeight="1">
      <c r="A232" s="204">
        <v>227</v>
      </c>
      <c r="B232" s="202" t="s">
        <v>977</v>
      </c>
      <c r="C232" s="202"/>
      <c r="D232" s="202" t="s">
        <v>902</v>
      </c>
      <c r="E232" s="304">
        <v>196</v>
      </c>
      <c r="F232" s="211">
        <v>111</v>
      </c>
      <c r="G232" s="203" t="s">
        <v>855</v>
      </c>
      <c r="H232" s="203" t="s">
        <v>856</v>
      </c>
      <c r="I232" s="280"/>
      <c r="J232" s="264" t="str">
        <f t="shared" si="3"/>
        <v>도공</v>
      </c>
      <c r="K232" s="265"/>
      <c r="L232" s="266"/>
      <c r="M232" s="266"/>
      <c r="N232" s="266"/>
      <c r="O232" s="266"/>
      <c r="P232" s="266"/>
      <c r="Q232" s="266"/>
      <c r="R232" s="266"/>
    </row>
    <row r="233" spans="1:21" ht="30" customHeight="1">
      <c r="A233" s="204"/>
      <c r="B233" s="202"/>
      <c r="C233" s="202"/>
      <c r="D233" s="202"/>
      <c r="E233" s="304"/>
      <c r="F233" s="211"/>
      <c r="G233" s="203"/>
      <c r="H233" s="203"/>
      <c r="I233" s="280"/>
      <c r="J233" s="264"/>
      <c r="K233" s="265"/>
      <c r="L233" s="266"/>
      <c r="M233" s="266"/>
      <c r="N233" s="266"/>
      <c r="O233" s="266"/>
      <c r="P233" s="266"/>
      <c r="Q233" s="266"/>
      <c r="R233" s="266"/>
    </row>
    <row r="234" spans="1:21" ht="30" customHeight="1">
      <c r="A234" s="204"/>
      <c r="B234" s="202"/>
      <c r="C234" s="202"/>
      <c r="D234" s="202"/>
      <c r="E234" s="304"/>
      <c r="F234" s="211"/>
      <c r="G234" s="203"/>
      <c r="H234" s="203"/>
      <c r="I234" s="280"/>
      <c r="J234" s="264"/>
      <c r="K234" s="265"/>
      <c r="L234" s="266"/>
      <c r="M234" s="266"/>
      <c r="N234" s="266"/>
      <c r="O234" s="266"/>
      <c r="P234" s="266"/>
      <c r="Q234" s="266"/>
      <c r="R234" s="266"/>
    </row>
    <row r="235" spans="1:21" ht="30" customHeight="1">
      <c r="A235" s="204"/>
      <c r="B235" s="202"/>
      <c r="C235" s="202"/>
      <c r="D235" s="202"/>
      <c r="E235" s="304"/>
      <c r="F235" s="211"/>
      <c r="G235" s="203"/>
      <c r="H235" s="203"/>
      <c r="I235" s="280"/>
      <c r="J235" s="264"/>
      <c r="K235" s="265"/>
      <c r="L235" s="266"/>
      <c r="M235" s="266"/>
      <c r="N235" s="266"/>
      <c r="O235" s="266"/>
      <c r="P235" s="266"/>
      <c r="Q235" s="266"/>
      <c r="R235" s="266"/>
    </row>
    <row r="236" spans="1:21" ht="30" customHeight="1">
      <c r="A236" s="204"/>
      <c r="B236" s="202"/>
      <c r="C236" s="202"/>
      <c r="D236" s="202"/>
      <c r="E236" s="304"/>
      <c r="F236" s="211"/>
      <c r="G236" s="203"/>
      <c r="H236" s="203"/>
      <c r="I236" s="280"/>
      <c r="J236" s="264"/>
      <c r="K236" s="265"/>
      <c r="L236" s="266"/>
      <c r="M236" s="266"/>
      <c r="N236" s="266"/>
      <c r="O236" s="266"/>
      <c r="P236" s="266"/>
      <c r="Q236" s="266"/>
      <c r="R236" s="266"/>
    </row>
    <row r="237" spans="1:21" ht="30" customHeight="1">
      <c r="A237" s="204" t="str">
        <f>IF(ISBLANK(D237)," ",213-COUNTBLANK($D$6:D237))</f>
        <v xml:space="preserve"> </v>
      </c>
      <c r="B237" s="202"/>
      <c r="C237" s="202"/>
      <c r="D237" s="202"/>
      <c r="E237" s="304"/>
      <c r="F237" s="211"/>
      <c r="G237" s="203"/>
      <c r="H237" s="203"/>
      <c r="I237" s="280"/>
      <c r="J237" s="264"/>
      <c r="K237" s="265"/>
      <c r="L237" s="266"/>
      <c r="M237" s="266"/>
      <c r="N237" s="266"/>
      <c r="O237" s="266"/>
      <c r="P237" s="266"/>
      <c r="Q237" s="266"/>
      <c r="R237" s="266"/>
    </row>
    <row r="238" spans="1:21" ht="30" customHeight="1">
      <c r="A238" s="204" t="str">
        <f>IF(ISBLANK(D238)," ",214-COUNTBLANK($D$6:D238))</f>
        <v xml:space="preserve"> </v>
      </c>
      <c r="B238" s="202"/>
      <c r="C238" s="202"/>
      <c r="D238" s="202"/>
      <c r="E238" s="304"/>
      <c r="F238" s="211"/>
      <c r="G238" s="203"/>
      <c r="H238" s="203"/>
      <c r="I238" s="280"/>
      <c r="J238" s="264"/>
      <c r="K238" s="265"/>
      <c r="L238" s="266"/>
      <c r="M238" s="266"/>
      <c r="N238" s="266"/>
      <c r="O238" s="266"/>
      <c r="P238" s="266"/>
      <c r="Q238" s="266"/>
      <c r="R238" s="266"/>
    </row>
    <row r="239" spans="1:21" ht="30" customHeight="1">
      <c r="A239" s="274" t="s">
        <v>286</v>
      </c>
      <c r="B239" s="275"/>
      <c r="C239" s="275"/>
      <c r="D239" s="275"/>
      <c r="E239" s="276"/>
      <c r="F239" s="276">
        <f>SUM(F5:F238)</f>
        <v>90907.5</v>
      </c>
      <c r="G239" s="286"/>
      <c r="H239" s="286"/>
      <c r="I239" s="287"/>
      <c r="J239" s="264"/>
      <c r="K239" s="267"/>
      <c r="L239" s="266"/>
      <c r="M239" s="266"/>
      <c r="N239" s="266"/>
      <c r="O239" s="266"/>
      <c r="P239" s="266"/>
      <c r="Q239" s="266"/>
      <c r="R239" s="288"/>
      <c r="S239" s="266"/>
      <c r="T239" s="266"/>
      <c r="U239" s="266"/>
    </row>
    <row r="240" spans="1:21" ht="30" customHeight="1">
      <c r="A240" s="204" t="str">
        <f>IF(ISBLANK(D240)," ",232-COUNTBLANK($D$6:D240))</f>
        <v xml:space="preserve"> </v>
      </c>
      <c r="B240" s="202"/>
      <c r="C240" s="202"/>
      <c r="D240" s="202"/>
      <c r="E240" s="304"/>
      <c r="F240" s="211"/>
      <c r="G240" s="203"/>
      <c r="H240" s="203"/>
      <c r="I240" s="295"/>
      <c r="J240" s="264"/>
      <c r="K240" s="265"/>
      <c r="L240" s="266"/>
      <c r="M240" s="266"/>
      <c r="N240" s="266"/>
      <c r="O240" s="266"/>
      <c r="P240" s="266"/>
      <c r="Q240" s="266"/>
      <c r="R240" s="266"/>
    </row>
    <row r="241" spans="1:18" ht="30" customHeight="1">
      <c r="A241" s="204" t="str">
        <f>IF(ISBLANK(D241)," ",233-COUNTBLANK($D$6:D241))</f>
        <v xml:space="preserve"> </v>
      </c>
      <c r="B241" s="202"/>
      <c r="C241" s="202"/>
      <c r="D241" s="202"/>
      <c r="E241" s="304"/>
      <c r="F241" s="211"/>
      <c r="G241" s="203"/>
      <c r="H241" s="203"/>
      <c r="I241" s="295"/>
      <c r="J241" s="264"/>
      <c r="K241" s="265"/>
      <c r="L241" s="266"/>
      <c r="M241" s="266"/>
      <c r="N241" s="266"/>
      <c r="O241" s="266"/>
      <c r="P241" s="266"/>
      <c r="Q241" s="266"/>
      <c r="R241" s="266"/>
    </row>
    <row r="242" spans="1:18" ht="30" customHeight="1">
      <c r="A242" s="204" t="str">
        <f>IF(ISBLANK(D242)," ",234-COUNTBLANK($D$6:D242))</f>
        <v xml:space="preserve"> </v>
      </c>
      <c r="B242" s="202"/>
      <c r="C242" s="202"/>
      <c r="D242" s="202"/>
      <c r="E242" s="304"/>
      <c r="F242" s="211"/>
      <c r="G242" s="203"/>
      <c r="H242" s="203"/>
      <c r="I242" s="295"/>
      <c r="J242" s="264"/>
      <c r="K242" s="265"/>
      <c r="L242" s="266"/>
      <c r="M242" s="266"/>
      <c r="N242" s="266"/>
      <c r="O242" s="266"/>
      <c r="P242" s="266"/>
      <c r="Q242" s="266"/>
      <c r="R242" s="266"/>
    </row>
    <row r="243" spans="1:18" ht="30" customHeight="1">
      <c r="A243" s="204" t="str">
        <f>IF(ISBLANK(D243)," ",235-COUNTBLANK($D$6:D243))</f>
        <v xml:space="preserve"> </v>
      </c>
      <c r="B243" s="202"/>
      <c r="C243" s="202"/>
      <c r="D243" s="202"/>
      <c r="E243" s="304"/>
      <c r="F243" s="211"/>
      <c r="G243" s="203"/>
      <c r="H243" s="203"/>
      <c r="I243" s="295"/>
      <c r="J243" s="264"/>
      <c r="K243" s="265"/>
      <c r="L243" s="266"/>
      <c r="M243" s="266"/>
      <c r="N243" s="266"/>
      <c r="O243" s="266"/>
      <c r="P243" s="266"/>
      <c r="Q243" s="266"/>
      <c r="R243" s="266"/>
    </row>
    <row r="244" spans="1:18" ht="30" customHeight="1">
      <c r="A244" s="204" t="str">
        <f>IF(ISBLANK(D244)," ",236-COUNTBLANK($D$6:D244))</f>
        <v xml:space="preserve"> </v>
      </c>
      <c r="B244" s="202"/>
      <c r="C244" s="202"/>
      <c r="D244" s="202"/>
      <c r="E244" s="304"/>
      <c r="F244" s="211"/>
      <c r="G244" s="203"/>
      <c r="H244" s="203"/>
      <c r="I244" s="295"/>
      <c r="J244" s="264"/>
      <c r="K244" s="265"/>
      <c r="L244" s="266"/>
      <c r="M244" s="266"/>
      <c r="N244" s="266"/>
      <c r="O244" s="266"/>
      <c r="P244" s="266"/>
      <c r="Q244" s="266"/>
      <c r="R244" s="266"/>
    </row>
    <row r="245" spans="1:18" ht="30" customHeight="1">
      <c r="A245" s="204" t="str">
        <f>IF(ISBLANK(D245)," ",237-COUNTBLANK($D$6:D245))</f>
        <v xml:space="preserve"> </v>
      </c>
      <c r="B245" s="202"/>
      <c r="C245" s="202"/>
      <c r="D245" s="202"/>
      <c r="E245" s="304"/>
      <c r="F245" s="211"/>
      <c r="G245" s="203"/>
      <c r="H245" s="203"/>
      <c r="I245" s="295"/>
      <c r="J245" s="264"/>
      <c r="K245" s="265"/>
      <c r="L245" s="266"/>
      <c r="M245" s="266"/>
      <c r="N245" s="266"/>
      <c r="O245" s="266"/>
      <c r="P245" s="266"/>
      <c r="Q245" s="266"/>
      <c r="R245" s="266"/>
    </row>
    <row r="246" spans="1:18" ht="30" customHeight="1">
      <c r="A246" s="204" t="str">
        <f>IF(ISBLANK(D246)," ",238-COUNTBLANK($D$6:D246))</f>
        <v xml:space="preserve"> </v>
      </c>
      <c r="B246" s="202"/>
      <c r="C246" s="202"/>
      <c r="D246" s="202"/>
      <c r="E246" s="304"/>
      <c r="F246" s="211"/>
      <c r="G246" s="203"/>
      <c r="H246" s="203"/>
      <c r="I246" s="295"/>
      <c r="J246" s="264"/>
      <c r="K246" s="265"/>
      <c r="L246" s="266"/>
      <c r="M246" s="266"/>
      <c r="N246" s="266"/>
      <c r="O246" s="266"/>
      <c r="P246" s="266"/>
      <c r="Q246" s="266"/>
      <c r="R246" s="266"/>
    </row>
    <row r="247" spans="1:18" ht="30" customHeight="1">
      <c r="A247" s="204" t="str">
        <f>IF(ISBLANK(D247)," ",239-COUNTBLANK($D$6:D247))</f>
        <v xml:space="preserve"> </v>
      </c>
      <c r="B247" s="202"/>
      <c r="C247" s="202"/>
      <c r="D247" s="202"/>
      <c r="E247" s="304"/>
      <c r="F247" s="211"/>
      <c r="G247" s="203"/>
      <c r="H247" s="203"/>
      <c r="I247" s="295"/>
      <c r="J247" s="264"/>
      <c r="K247" s="265"/>
      <c r="L247" s="266"/>
      <c r="M247" s="266"/>
      <c r="N247" s="266"/>
      <c r="O247" s="266"/>
      <c r="P247" s="266"/>
      <c r="Q247" s="266"/>
      <c r="R247" s="266"/>
    </row>
    <row r="248" spans="1:18" ht="30" customHeight="1">
      <c r="A248" s="204" t="str">
        <f>IF(ISBLANK(D248)," ",240-COUNTBLANK($D$6:D248))</f>
        <v xml:space="preserve"> </v>
      </c>
      <c r="B248" s="202"/>
      <c r="C248" s="202"/>
      <c r="D248" s="202"/>
      <c r="E248" s="304"/>
      <c r="F248" s="211"/>
      <c r="G248" s="203"/>
      <c r="H248" s="203"/>
      <c r="I248" s="295"/>
      <c r="J248" s="264"/>
      <c r="K248" s="265"/>
      <c r="L248" s="266"/>
      <c r="M248" s="266"/>
      <c r="N248" s="266"/>
      <c r="O248" s="266"/>
      <c r="P248" s="266"/>
      <c r="Q248" s="266"/>
      <c r="R248" s="266"/>
    </row>
    <row r="249" spans="1:18" ht="30" customHeight="1">
      <c r="A249" s="204" t="str">
        <f>IF(ISBLANK(D249)," ",241-COUNTBLANK($D$6:D249))</f>
        <v xml:space="preserve"> </v>
      </c>
      <c r="B249" s="202"/>
      <c r="C249" s="202"/>
      <c r="D249" s="202"/>
      <c r="E249" s="304"/>
      <c r="F249" s="211"/>
      <c r="G249" s="203"/>
      <c r="H249" s="203"/>
      <c r="I249" s="295"/>
      <c r="J249" s="264"/>
      <c r="K249" s="265"/>
      <c r="L249" s="266"/>
      <c r="M249" s="266"/>
      <c r="N249" s="266"/>
      <c r="O249" s="266"/>
      <c r="P249" s="266"/>
      <c r="Q249" s="266"/>
      <c r="R249" s="266"/>
    </row>
    <row r="250" spans="1:18" ht="30" customHeight="1">
      <c r="A250" s="204" t="str">
        <f>IF(ISBLANK(D250)," ",242-COUNTBLANK($D$6:D250))</f>
        <v xml:space="preserve"> </v>
      </c>
      <c r="B250" s="202"/>
      <c r="C250" s="202"/>
      <c r="D250" s="202"/>
      <c r="E250" s="304"/>
      <c r="F250" s="211"/>
      <c r="G250" s="203"/>
      <c r="H250" s="203"/>
      <c r="I250" s="295"/>
      <c r="J250" s="264"/>
      <c r="K250" s="265"/>
      <c r="L250" s="266"/>
      <c r="M250" s="266"/>
      <c r="N250" s="266"/>
      <c r="O250" s="266"/>
      <c r="P250" s="266"/>
      <c r="Q250" s="266"/>
      <c r="R250" s="266"/>
    </row>
    <row r="251" spans="1:18" ht="30" customHeight="1">
      <c r="A251" s="204" t="str">
        <f>IF(ISBLANK(D251)," ",243-COUNTBLANK($D$6:D251))</f>
        <v xml:space="preserve"> </v>
      </c>
      <c r="B251" s="202"/>
      <c r="C251" s="202"/>
      <c r="D251" s="202"/>
      <c r="E251" s="304"/>
      <c r="F251" s="211"/>
      <c r="G251" s="203"/>
      <c r="H251" s="203"/>
      <c r="I251" s="295"/>
      <c r="J251" s="264"/>
      <c r="K251" s="265"/>
      <c r="L251" s="266"/>
      <c r="M251" s="266"/>
      <c r="N251" s="266"/>
      <c r="O251" s="266"/>
      <c r="P251" s="266"/>
      <c r="Q251" s="266"/>
      <c r="R251" s="266"/>
    </row>
    <row r="252" spans="1:18" ht="30" customHeight="1">
      <c r="A252" s="204" t="str">
        <f>IF(ISBLANK(D252)," ",244-COUNTBLANK($D$6:D252))</f>
        <v xml:space="preserve"> </v>
      </c>
      <c r="B252" s="202"/>
      <c r="C252" s="202"/>
      <c r="D252" s="202"/>
      <c r="E252" s="304"/>
      <c r="F252" s="211"/>
      <c r="G252" s="203"/>
      <c r="H252" s="203"/>
      <c r="I252" s="295"/>
      <c r="J252" s="264"/>
      <c r="K252" s="265"/>
      <c r="L252" s="266"/>
      <c r="M252" s="266"/>
      <c r="N252" s="266"/>
      <c r="O252" s="266"/>
      <c r="P252" s="266"/>
      <c r="Q252" s="266"/>
      <c r="R252" s="266"/>
    </row>
    <row r="253" spans="1:18" ht="30" customHeight="1">
      <c r="A253" s="204" t="str">
        <f>IF(ISBLANK(D253)," ",245-COUNTBLANK($D$6:D253))</f>
        <v xml:space="preserve"> </v>
      </c>
      <c r="B253" s="202"/>
      <c r="C253" s="202"/>
      <c r="D253" s="202"/>
      <c r="E253" s="304"/>
      <c r="F253" s="211"/>
      <c r="G253" s="203"/>
      <c r="H253" s="203"/>
      <c r="I253" s="295"/>
      <c r="J253" s="264"/>
      <c r="K253" s="265"/>
      <c r="L253" s="266"/>
      <c r="M253" s="266"/>
      <c r="N253" s="266"/>
      <c r="O253" s="266"/>
      <c r="P253" s="266"/>
      <c r="Q253" s="266"/>
      <c r="R253" s="266"/>
    </row>
    <row r="254" spans="1:18" ht="30" customHeight="1">
      <c r="A254" s="204" t="str">
        <f>IF(ISBLANK(D254)," ",246-COUNTBLANK($D$6:D254))</f>
        <v xml:space="preserve"> </v>
      </c>
      <c r="B254" s="202"/>
      <c r="C254" s="202"/>
      <c r="D254" s="202"/>
      <c r="E254" s="304"/>
      <c r="F254" s="211"/>
      <c r="G254" s="203"/>
      <c r="H254" s="203"/>
      <c r="I254" s="295"/>
      <c r="J254" s="264"/>
      <c r="K254" s="265"/>
      <c r="L254" s="266"/>
      <c r="M254" s="266"/>
      <c r="N254" s="266"/>
      <c r="O254" s="266"/>
      <c r="P254" s="266"/>
      <c r="Q254" s="266"/>
      <c r="R254" s="266"/>
    </row>
    <row r="255" spans="1:18" ht="30" customHeight="1">
      <c r="A255" s="204" t="str">
        <f>IF(ISBLANK(D255)," ",247-COUNTBLANK($D$6:D255))</f>
        <v xml:space="preserve"> </v>
      </c>
      <c r="B255" s="202"/>
      <c r="C255" s="202"/>
      <c r="D255" s="202"/>
      <c r="E255" s="304"/>
      <c r="F255" s="211"/>
      <c r="G255" s="203"/>
      <c r="H255" s="203"/>
      <c r="I255" s="295"/>
      <c r="J255" s="264"/>
      <c r="K255" s="267"/>
      <c r="L255" s="266"/>
      <c r="M255" s="266"/>
      <c r="N255" s="266"/>
      <c r="O255" s="266"/>
      <c r="P255" s="266"/>
      <c r="Q255" s="266"/>
      <c r="R255" s="268"/>
    </row>
    <row r="256" spans="1:18" ht="30" customHeight="1">
      <c r="A256" s="204" t="str">
        <f>IF(ISBLANK(D256)," ",248-COUNTBLANK($D$6:D256))</f>
        <v xml:space="preserve"> </v>
      </c>
      <c r="B256" s="202"/>
      <c r="C256" s="202"/>
      <c r="D256" s="202"/>
      <c r="E256" s="304"/>
      <c r="F256" s="211"/>
      <c r="G256" s="203"/>
      <c r="H256" s="203"/>
      <c r="I256" s="295"/>
      <c r="J256" s="264"/>
      <c r="K256" s="267"/>
      <c r="L256" s="266"/>
      <c r="M256" s="266"/>
      <c r="N256" s="266"/>
      <c r="O256" s="266"/>
      <c r="P256" s="266"/>
      <c r="Q256" s="266"/>
      <c r="R256" s="268"/>
    </row>
    <row r="257" spans="1:21" ht="30" customHeight="1">
      <c r="A257" s="204" t="str">
        <f>IF(ISBLANK(D257)," ",249-COUNTBLANK($D$6:D257))</f>
        <v xml:space="preserve"> </v>
      </c>
      <c r="B257" s="202"/>
      <c r="C257" s="202"/>
      <c r="D257" s="202"/>
      <c r="E257" s="304"/>
      <c r="F257" s="211"/>
      <c r="G257" s="203"/>
      <c r="H257" s="203"/>
      <c r="I257" s="295"/>
      <c r="J257" s="264"/>
      <c r="K257" s="267"/>
      <c r="L257" s="266"/>
      <c r="M257" s="266"/>
      <c r="N257" s="266"/>
      <c r="O257" s="266"/>
      <c r="P257" s="266"/>
      <c r="Q257" s="266"/>
      <c r="R257" s="268"/>
    </row>
    <row r="258" spans="1:21" ht="30" customHeight="1">
      <c r="A258" s="204" t="str">
        <f>IF(ISBLANK(D258)," ",250-COUNTBLANK($D$6:D258))</f>
        <v xml:space="preserve"> </v>
      </c>
      <c r="B258" s="202"/>
      <c r="C258" s="202"/>
      <c r="D258" s="202"/>
      <c r="E258" s="304"/>
      <c r="F258" s="211"/>
      <c r="G258" s="203"/>
      <c r="H258" s="203"/>
      <c r="I258" s="295"/>
      <c r="J258" s="264"/>
      <c r="K258" s="267"/>
      <c r="L258" s="266"/>
      <c r="M258" s="266"/>
      <c r="N258" s="266"/>
      <c r="O258" s="266"/>
      <c r="P258" s="266"/>
      <c r="Q258" s="266"/>
      <c r="R258" s="268"/>
    </row>
    <row r="259" spans="1:21" ht="30" customHeight="1">
      <c r="A259" s="308" t="str">
        <f>IF(ISBLANK(D259)," ",251-COUNTBLANK($D$6:D259))</f>
        <v xml:space="preserve"> </v>
      </c>
      <c r="B259" s="300"/>
      <c r="C259" s="309"/>
      <c r="D259" s="310"/>
      <c r="E259" s="301"/>
      <c r="F259" s="302"/>
      <c r="G259" s="286"/>
      <c r="H259" s="286"/>
      <c r="I259" s="307"/>
      <c r="J259" s="264"/>
      <c r="K259" s="265"/>
      <c r="L259" s="266"/>
      <c r="M259" s="266"/>
      <c r="N259" s="266"/>
      <c r="O259" s="266"/>
      <c r="P259" s="266"/>
      <c r="Q259" s="266"/>
      <c r="R259" s="288"/>
      <c r="S259" s="266"/>
      <c r="T259" s="266"/>
      <c r="U259" s="266"/>
    </row>
    <row r="260" spans="1:21" ht="30" customHeight="1">
      <c r="A260" s="261" t="s">
        <v>58</v>
      </c>
      <c r="B260" s="200"/>
      <c r="C260" s="200"/>
      <c r="D260" s="200"/>
      <c r="E260" s="303"/>
      <c r="F260" s="210">
        <f>SUM(F240:F259)</f>
        <v>0</v>
      </c>
      <c r="G260" s="201"/>
      <c r="H260" s="201"/>
      <c r="I260" s="295"/>
      <c r="J260" s="264"/>
      <c r="K260" s="267"/>
      <c r="L260" s="266"/>
      <c r="M260" s="266"/>
      <c r="N260" s="266"/>
      <c r="O260" s="266"/>
      <c r="P260" s="266"/>
      <c r="Q260" s="266"/>
      <c r="R260" s="288"/>
      <c r="S260" s="266"/>
      <c r="T260" s="266"/>
      <c r="U260" s="266"/>
    </row>
    <row r="261" spans="1:21" ht="30" customHeight="1">
      <c r="A261" s="204" t="str">
        <f>IF(ISBLANK(D261)," ",253-COUNTBLANK($D$6:D261))</f>
        <v xml:space="preserve"> </v>
      </c>
      <c r="B261" s="202"/>
      <c r="C261" s="202"/>
      <c r="D261" s="202"/>
      <c r="E261" s="304"/>
      <c r="F261" s="211"/>
      <c r="G261" s="203"/>
      <c r="H261" s="203"/>
      <c r="I261" s="295"/>
      <c r="J261" s="264"/>
      <c r="K261" s="265"/>
      <c r="L261" s="266"/>
      <c r="M261" s="266"/>
      <c r="N261" s="266"/>
      <c r="O261" s="266"/>
      <c r="P261" s="266"/>
      <c r="Q261" s="266"/>
      <c r="R261" s="266"/>
    </row>
    <row r="262" spans="1:21" ht="30" customHeight="1">
      <c r="A262" s="204" t="str">
        <f>IF(ISBLANK(D262)," ",254-COUNTBLANK($D$6:D262))</f>
        <v xml:space="preserve"> </v>
      </c>
      <c r="B262" s="202"/>
      <c r="C262" s="202"/>
      <c r="D262" s="202"/>
      <c r="E262" s="304"/>
      <c r="F262" s="211"/>
      <c r="G262" s="203"/>
      <c r="H262" s="203"/>
      <c r="I262" s="295"/>
      <c r="J262" s="264"/>
      <c r="K262" s="265"/>
      <c r="L262" s="266"/>
      <c r="M262" s="266"/>
      <c r="N262" s="266"/>
      <c r="O262" s="266"/>
      <c r="P262" s="266"/>
      <c r="Q262" s="266"/>
      <c r="R262" s="266"/>
    </row>
    <row r="263" spans="1:21" ht="30" customHeight="1">
      <c r="A263" s="204" t="str">
        <f>IF(ISBLANK(D263)," ",255-COUNTBLANK($D$6:D263))</f>
        <v xml:space="preserve"> </v>
      </c>
      <c r="B263" s="202"/>
      <c r="C263" s="202"/>
      <c r="D263" s="202"/>
      <c r="E263" s="304"/>
      <c r="F263" s="211"/>
      <c r="G263" s="203"/>
      <c r="H263" s="203"/>
      <c r="I263" s="295"/>
      <c r="J263" s="264"/>
      <c r="K263" s="265"/>
      <c r="L263" s="266"/>
      <c r="M263" s="266"/>
      <c r="N263" s="266"/>
      <c r="O263" s="266"/>
      <c r="P263" s="266"/>
      <c r="Q263" s="266"/>
      <c r="R263" s="266"/>
    </row>
    <row r="264" spans="1:21" ht="30" customHeight="1">
      <c r="A264" s="204" t="str">
        <f>IF(ISBLANK(D264)," ",256-COUNTBLANK($D$6:D264))</f>
        <v xml:space="preserve"> </v>
      </c>
      <c r="B264" s="202"/>
      <c r="C264" s="202"/>
      <c r="D264" s="202"/>
      <c r="E264" s="304"/>
      <c r="F264" s="211"/>
      <c r="G264" s="203"/>
      <c r="H264" s="203"/>
      <c r="I264" s="295"/>
      <c r="J264" s="264"/>
      <c r="K264" s="265"/>
      <c r="L264" s="266"/>
      <c r="M264" s="266"/>
      <c r="N264" s="266"/>
      <c r="O264" s="266"/>
      <c r="P264" s="266"/>
      <c r="Q264" s="266"/>
      <c r="R264" s="266"/>
    </row>
    <row r="265" spans="1:21" ht="30" customHeight="1">
      <c r="A265" s="204" t="str">
        <f>IF(ISBLANK(D265)," ",257-COUNTBLANK($D$6:D265))</f>
        <v xml:space="preserve"> </v>
      </c>
      <c r="B265" s="202"/>
      <c r="C265" s="202"/>
      <c r="D265" s="202"/>
      <c r="E265" s="304"/>
      <c r="F265" s="211"/>
      <c r="G265" s="203"/>
      <c r="H265" s="203"/>
      <c r="I265" s="295"/>
      <c r="J265" s="264"/>
      <c r="K265" s="265"/>
      <c r="L265" s="266"/>
      <c r="M265" s="266"/>
      <c r="N265" s="266"/>
      <c r="O265" s="266"/>
      <c r="P265" s="266"/>
      <c r="Q265" s="266"/>
      <c r="R265" s="266"/>
    </row>
    <row r="266" spans="1:21" ht="30" customHeight="1">
      <c r="A266" s="204" t="str">
        <f>IF(ISBLANK(D266)," ",258-COUNTBLANK($D$6:D266))</f>
        <v xml:space="preserve"> </v>
      </c>
      <c r="B266" s="202"/>
      <c r="C266" s="202"/>
      <c r="D266" s="202"/>
      <c r="E266" s="304"/>
      <c r="F266" s="211"/>
      <c r="G266" s="203"/>
      <c r="H266" s="203"/>
      <c r="I266" s="295"/>
      <c r="J266" s="264"/>
      <c r="K266" s="265"/>
      <c r="L266" s="266"/>
      <c r="M266" s="266"/>
      <c r="N266" s="266"/>
      <c r="O266" s="266"/>
      <c r="P266" s="266"/>
      <c r="Q266" s="266"/>
      <c r="R266" s="266"/>
    </row>
    <row r="267" spans="1:21" ht="30" customHeight="1">
      <c r="A267" s="204" t="str">
        <f>IF(ISBLANK(D267)," ",259-COUNTBLANK($D$6:D267))</f>
        <v xml:space="preserve"> </v>
      </c>
      <c r="B267" s="202"/>
      <c r="C267" s="202"/>
      <c r="D267" s="202"/>
      <c r="E267" s="304"/>
      <c r="F267" s="211"/>
      <c r="G267" s="203"/>
      <c r="H267" s="203"/>
      <c r="I267" s="295"/>
      <c r="J267" s="264"/>
      <c r="K267" s="265"/>
      <c r="L267" s="266"/>
      <c r="M267" s="266"/>
      <c r="N267" s="266"/>
      <c r="O267" s="266"/>
      <c r="P267" s="266"/>
      <c r="Q267" s="266"/>
      <c r="R267" s="266"/>
    </row>
    <row r="268" spans="1:21" ht="30" customHeight="1">
      <c r="A268" s="204" t="str">
        <f>IF(ISBLANK(D268)," ",260-COUNTBLANK($D$6:D268))</f>
        <v xml:space="preserve"> </v>
      </c>
      <c r="B268" s="202"/>
      <c r="C268" s="202"/>
      <c r="D268" s="202"/>
      <c r="E268" s="304"/>
      <c r="F268" s="211"/>
      <c r="G268" s="203"/>
      <c r="H268" s="203"/>
      <c r="I268" s="295"/>
      <c r="J268" s="264"/>
      <c r="K268" s="265"/>
      <c r="L268" s="266"/>
      <c r="M268" s="266"/>
      <c r="N268" s="266"/>
      <c r="O268" s="266"/>
      <c r="P268" s="266"/>
      <c r="Q268" s="266"/>
      <c r="R268" s="266"/>
    </row>
    <row r="269" spans="1:21" ht="30" customHeight="1">
      <c r="A269" s="204" t="str">
        <f>IF(ISBLANK(D269)," ",261-COUNTBLANK($D$6:D269))</f>
        <v xml:space="preserve"> </v>
      </c>
      <c r="B269" s="202"/>
      <c r="C269" s="202"/>
      <c r="D269" s="202"/>
      <c r="E269" s="304"/>
      <c r="F269" s="211"/>
      <c r="G269" s="203"/>
      <c r="H269" s="203"/>
      <c r="I269" s="295"/>
      <c r="J269" s="264"/>
      <c r="K269" s="265"/>
      <c r="L269" s="266"/>
      <c r="M269" s="266"/>
      <c r="N269" s="266"/>
      <c r="O269" s="266"/>
      <c r="P269" s="266"/>
      <c r="Q269" s="266"/>
      <c r="R269" s="266"/>
    </row>
    <row r="270" spans="1:21" ht="30" customHeight="1">
      <c r="A270" s="204" t="str">
        <f>IF(ISBLANK(D270)," ",262-COUNTBLANK($D$6:D270))</f>
        <v xml:space="preserve"> </v>
      </c>
      <c r="B270" s="202"/>
      <c r="C270" s="202"/>
      <c r="D270" s="202"/>
      <c r="E270" s="304"/>
      <c r="F270" s="211"/>
      <c r="G270" s="203"/>
      <c r="H270" s="203"/>
      <c r="I270" s="295"/>
      <c r="J270" s="264"/>
      <c r="K270" s="265"/>
      <c r="L270" s="266"/>
      <c r="M270" s="266"/>
      <c r="N270" s="266"/>
      <c r="O270" s="266"/>
      <c r="P270" s="266"/>
      <c r="Q270" s="266"/>
      <c r="R270" s="266"/>
    </row>
    <row r="271" spans="1:21" ht="30" customHeight="1">
      <c r="A271" s="204" t="str">
        <f>IF(ISBLANK(D271)," ",263-COUNTBLANK($D$6:D271))</f>
        <v xml:space="preserve"> </v>
      </c>
      <c r="B271" s="202"/>
      <c r="C271" s="202"/>
      <c r="D271" s="202"/>
      <c r="E271" s="304"/>
      <c r="F271" s="211"/>
      <c r="G271" s="203"/>
      <c r="H271" s="203"/>
      <c r="I271" s="295"/>
      <c r="J271" s="264"/>
      <c r="K271" s="265"/>
      <c r="L271" s="266"/>
      <c r="M271" s="266"/>
      <c r="N271" s="266"/>
      <c r="O271" s="266"/>
      <c r="P271" s="266"/>
      <c r="Q271" s="266"/>
      <c r="R271" s="266"/>
    </row>
    <row r="272" spans="1:21" ht="30" customHeight="1">
      <c r="A272" s="204" t="str">
        <f>IF(ISBLANK(D272)," ",264-COUNTBLANK($D$6:D272))</f>
        <v xml:space="preserve"> </v>
      </c>
      <c r="B272" s="202"/>
      <c r="C272" s="202"/>
      <c r="D272" s="202"/>
      <c r="E272" s="304"/>
      <c r="F272" s="211"/>
      <c r="G272" s="203"/>
      <c r="H272" s="203"/>
      <c r="I272" s="295"/>
      <c r="J272" s="264"/>
      <c r="K272" s="265"/>
      <c r="L272" s="266"/>
      <c r="M272" s="266"/>
      <c r="N272" s="266"/>
      <c r="O272" s="266"/>
      <c r="P272" s="266"/>
      <c r="Q272" s="266"/>
      <c r="R272" s="266"/>
    </row>
    <row r="273" spans="1:21" ht="30" customHeight="1">
      <c r="A273" s="204" t="str">
        <f>IF(ISBLANK(D273)," ",265-COUNTBLANK($D$6:D273))</f>
        <v xml:space="preserve"> </v>
      </c>
      <c r="B273" s="202"/>
      <c r="C273" s="202"/>
      <c r="D273" s="202"/>
      <c r="E273" s="304"/>
      <c r="F273" s="211"/>
      <c r="G273" s="203"/>
      <c r="H273" s="203"/>
      <c r="I273" s="295"/>
      <c r="J273" s="264"/>
      <c r="K273" s="265"/>
      <c r="L273" s="266"/>
      <c r="M273" s="266"/>
      <c r="N273" s="266"/>
      <c r="O273" s="266"/>
      <c r="P273" s="266"/>
      <c r="Q273" s="266"/>
      <c r="R273" s="266"/>
    </row>
    <row r="274" spans="1:21" ht="30" customHeight="1">
      <c r="A274" s="204" t="str">
        <f>IF(ISBLANK(D274)," ",266-COUNTBLANK($D$6:D274))</f>
        <v xml:space="preserve"> </v>
      </c>
      <c r="B274" s="202"/>
      <c r="C274" s="202"/>
      <c r="D274" s="202"/>
      <c r="E274" s="304"/>
      <c r="F274" s="211"/>
      <c r="G274" s="203"/>
      <c r="H274" s="203"/>
      <c r="I274" s="295"/>
      <c r="J274" s="264"/>
      <c r="K274" s="265"/>
      <c r="L274" s="266"/>
      <c r="M274" s="266"/>
      <c r="N274" s="266"/>
      <c r="O274" s="266"/>
      <c r="P274" s="266"/>
      <c r="Q274" s="266"/>
      <c r="R274" s="266"/>
    </row>
    <row r="275" spans="1:21" ht="30" customHeight="1">
      <c r="A275" s="204" t="str">
        <f>IF(ISBLANK(D275)," ",267-COUNTBLANK($D$6:D275))</f>
        <v xml:space="preserve"> </v>
      </c>
      <c r="B275" s="202"/>
      <c r="C275" s="202"/>
      <c r="D275" s="202"/>
      <c r="E275" s="304"/>
      <c r="F275" s="211"/>
      <c r="G275" s="203"/>
      <c r="H275" s="203"/>
      <c r="I275" s="295"/>
      <c r="J275" s="264"/>
      <c r="K275" s="265"/>
      <c r="L275" s="266"/>
      <c r="M275" s="266"/>
      <c r="N275" s="266"/>
      <c r="O275" s="266"/>
      <c r="P275" s="266"/>
      <c r="Q275" s="266"/>
      <c r="R275" s="266"/>
    </row>
    <row r="276" spans="1:21" ht="30" customHeight="1">
      <c r="A276" s="204" t="str">
        <f>IF(ISBLANK(D276)," ",268-COUNTBLANK($D$6:D276))</f>
        <v xml:space="preserve"> </v>
      </c>
      <c r="B276" s="202"/>
      <c r="C276" s="202"/>
      <c r="D276" s="202"/>
      <c r="E276" s="304"/>
      <c r="F276" s="211"/>
      <c r="G276" s="203"/>
      <c r="H276" s="203"/>
      <c r="I276" s="295"/>
      <c r="J276" s="264"/>
      <c r="K276" s="267"/>
      <c r="L276" s="266"/>
      <c r="M276" s="266"/>
      <c r="N276" s="266"/>
      <c r="O276" s="266"/>
      <c r="P276" s="266"/>
      <c r="Q276" s="266"/>
      <c r="R276" s="268"/>
    </row>
    <row r="277" spans="1:21" ht="30" customHeight="1">
      <c r="A277" s="204" t="str">
        <f>IF(ISBLANK(D277)," ",269-COUNTBLANK($D$6:D277))</f>
        <v xml:space="preserve"> </v>
      </c>
      <c r="B277" s="202"/>
      <c r="C277" s="202"/>
      <c r="D277" s="202"/>
      <c r="E277" s="304"/>
      <c r="F277" s="211"/>
      <c r="G277" s="203"/>
      <c r="H277" s="203"/>
      <c r="I277" s="295"/>
      <c r="J277" s="264"/>
      <c r="K277" s="267"/>
      <c r="L277" s="266"/>
      <c r="M277" s="266"/>
      <c r="N277" s="266"/>
      <c r="O277" s="266"/>
      <c r="P277" s="266"/>
      <c r="Q277" s="266"/>
      <c r="R277" s="268"/>
    </row>
    <row r="278" spans="1:21" ht="30" customHeight="1">
      <c r="A278" s="204" t="str">
        <f>IF(ISBLANK(D278)," ",270-COUNTBLANK($D$6:D278))</f>
        <v xml:space="preserve"> </v>
      </c>
      <c r="B278" s="202"/>
      <c r="C278" s="202"/>
      <c r="D278" s="202"/>
      <c r="E278" s="304"/>
      <c r="F278" s="211"/>
      <c r="G278" s="203"/>
      <c r="H278" s="203"/>
      <c r="I278" s="295"/>
      <c r="J278" s="264"/>
      <c r="K278" s="267"/>
      <c r="L278" s="266"/>
      <c r="M278" s="266"/>
      <c r="N278" s="266"/>
      <c r="O278" s="266"/>
      <c r="P278" s="266"/>
      <c r="Q278" s="266"/>
      <c r="R278" s="268"/>
    </row>
    <row r="279" spans="1:21" ht="30" customHeight="1">
      <c r="A279" s="204" t="str">
        <f>IF(ISBLANK(D279)," ",271-COUNTBLANK($D$6:D279))</f>
        <v xml:space="preserve"> </v>
      </c>
      <c r="B279" s="202"/>
      <c r="C279" s="202"/>
      <c r="D279" s="202"/>
      <c r="E279" s="304"/>
      <c r="F279" s="211"/>
      <c r="G279" s="203"/>
      <c r="H279" s="203"/>
      <c r="I279" s="295"/>
      <c r="J279" s="264"/>
      <c r="K279" s="267"/>
      <c r="L279" s="266"/>
      <c r="M279" s="266"/>
      <c r="N279" s="266"/>
      <c r="O279" s="266"/>
      <c r="P279" s="266"/>
      <c r="Q279" s="266"/>
      <c r="R279" s="268"/>
    </row>
    <row r="280" spans="1:21" ht="30" customHeight="1">
      <c r="A280" s="308" t="str">
        <f>IF(ISBLANK(D280)," ",272-COUNTBLANK($D$6:D280))</f>
        <v xml:space="preserve"> </v>
      </c>
      <c r="B280" s="300"/>
      <c r="C280" s="309"/>
      <c r="D280" s="310"/>
      <c r="E280" s="301"/>
      <c r="F280" s="302"/>
      <c r="G280" s="286"/>
      <c r="H280" s="286"/>
      <c r="I280" s="307"/>
      <c r="J280" s="264"/>
      <c r="K280" s="265"/>
      <c r="L280" s="266"/>
      <c r="M280" s="266"/>
      <c r="N280" s="266"/>
      <c r="O280" s="266"/>
      <c r="P280" s="266"/>
      <c r="Q280" s="266"/>
      <c r="R280" s="288"/>
      <c r="S280" s="266"/>
      <c r="T280" s="266"/>
      <c r="U280" s="266"/>
    </row>
    <row r="281" spans="1:21" ht="30" customHeight="1">
      <c r="A281" s="261" t="s">
        <v>58</v>
      </c>
      <c r="B281" s="200"/>
      <c r="C281" s="200"/>
      <c r="D281" s="200"/>
      <c r="E281" s="303"/>
      <c r="F281" s="210">
        <f>SUM(F261:F280)</f>
        <v>0</v>
      </c>
      <c r="G281" s="201"/>
      <c r="H281" s="201"/>
      <c r="I281" s="295"/>
      <c r="J281" s="264"/>
      <c r="K281" s="267"/>
      <c r="L281" s="266"/>
      <c r="M281" s="266"/>
      <c r="N281" s="266"/>
      <c r="O281" s="266"/>
      <c r="P281" s="266"/>
      <c r="Q281" s="266"/>
      <c r="R281" s="288"/>
      <c r="S281" s="266"/>
      <c r="T281" s="266"/>
      <c r="U281" s="266"/>
    </row>
    <row r="282" spans="1:21" ht="30" customHeight="1">
      <c r="A282" s="204" t="str">
        <f>IF(ISBLANK(D282)," ",274-COUNTBLANK($D$6:D282))</f>
        <v xml:space="preserve"> </v>
      </c>
      <c r="B282" s="202"/>
      <c r="C282" s="202"/>
      <c r="D282" s="202"/>
      <c r="E282" s="304"/>
      <c r="F282" s="211"/>
      <c r="G282" s="203"/>
      <c r="H282" s="203"/>
      <c r="I282" s="295"/>
      <c r="J282" s="264"/>
      <c r="K282" s="265"/>
      <c r="L282" s="266"/>
      <c r="M282" s="266"/>
      <c r="N282" s="266"/>
      <c r="O282" s="266"/>
      <c r="P282" s="266"/>
      <c r="Q282" s="266"/>
      <c r="R282" s="266"/>
    </row>
    <row r="283" spans="1:21" ht="30" customHeight="1">
      <c r="A283" s="204" t="str">
        <f>IF(ISBLANK(D283)," ",275-COUNTBLANK($D$6:D283))</f>
        <v xml:space="preserve"> </v>
      </c>
      <c r="B283" s="202"/>
      <c r="C283" s="202"/>
      <c r="D283" s="202"/>
      <c r="E283" s="304"/>
      <c r="F283" s="211"/>
      <c r="G283" s="203"/>
      <c r="H283" s="203"/>
      <c r="I283" s="295"/>
      <c r="J283" s="264"/>
      <c r="K283" s="265"/>
      <c r="L283" s="266"/>
      <c r="M283" s="266"/>
      <c r="N283" s="266"/>
      <c r="O283" s="266"/>
      <c r="P283" s="266"/>
      <c r="Q283" s="266"/>
      <c r="R283" s="266"/>
    </row>
    <row r="284" spans="1:21" ht="30" customHeight="1">
      <c r="A284" s="204" t="str">
        <f>IF(ISBLANK(D284)," ",276-COUNTBLANK($D$6:D284))</f>
        <v xml:space="preserve"> </v>
      </c>
      <c r="B284" s="202"/>
      <c r="C284" s="202"/>
      <c r="D284" s="202"/>
      <c r="E284" s="304"/>
      <c r="F284" s="211"/>
      <c r="G284" s="203"/>
      <c r="H284" s="203"/>
      <c r="I284" s="295"/>
      <c r="J284" s="264"/>
      <c r="K284" s="265"/>
      <c r="L284" s="266"/>
      <c r="M284" s="266"/>
      <c r="N284" s="266"/>
      <c r="O284" s="266"/>
      <c r="P284" s="266"/>
      <c r="Q284" s="266"/>
      <c r="R284" s="266"/>
    </row>
    <row r="285" spans="1:21" ht="30" customHeight="1">
      <c r="A285" s="204" t="str">
        <f>IF(ISBLANK(D285)," ",277-COUNTBLANK($D$6:D285))</f>
        <v xml:space="preserve"> </v>
      </c>
      <c r="B285" s="202"/>
      <c r="C285" s="202"/>
      <c r="D285" s="202"/>
      <c r="E285" s="304"/>
      <c r="F285" s="211"/>
      <c r="G285" s="203"/>
      <c r="H285" s="203"/>
      <c r="I285" s="295"/>
      <c r="J285" s="264"/>
      <c r="K285" s="265"/>
      <c r="L285" s="266"/>
      <c r="M285" s="266"/>
      <c r="N285" s="266"/>
      <c r="O285" s="266"/>
      <c r="P285" s="266"/>
      <c r="Q285" s="266"/>
      <c r="R285" s="266"/>
    </row>
    <row r="286" spans="1:21" ht="30" customHeight="1">
      <c r="A286" s="204" t="str">
        <f>IF(ISBLANK(D286)," ",278-COUNTBLANK($D$6:D286))</f>
        <v xml:space="preserve"> </v>
      </c>
      <c r="B286" s="202"/>
      <c r="C286" s="202"/>
      <c r="D286" s="202"/>
      <c r="E286" s="304"/>
      <c r="F286" s="211"/>
      <c r="G286" s="203"/>
      <c r="H286" s="203"/>
      <c r="I286" s="295"/>
      <c r="J286" s="264"/>
      <c r="K286" s="265"/>
      <c r="L286" s="266"/>
      <c r="M286" s="266"/>
      <c r="N286" s="266"/>
      <c r="O286" s="266"/>
      <c r="P286" s="266"/>
      <c r="Q286" s="266"/>
      <c r="R286" s="266"/>
    </row>
    <row r="287" spans="1:21" ht="30" customHeight="1">
      <c r="A287" s="204" t="str">
        <f>IF(ISBLANK(D287)," ",279-COUNTBLANK($D$6:D287))</f>
        <v xml:space="preserve"> </v>
      </c>
      <c r="B287" s="202"/>
      <c r="C287" s="202"/>
      <c r="D287" s="202"/>
      <c r="E287" s="304"/>
      <c r="F287" s="211"/>
      <c r="G287" s="203"/>
      <c r="H287" s="203"/>
      <c r="I287" s="295"/>
      <c r="J287" s="264"/>
      <c r="K287" s="265"/>
      <c r="L287" s="266"/>
      <c r="M287" s="266"/>
      <c r="N287" s="266"/>
      <c r="O287" s="266"/>
      <c r="P287" s="266"/>
      <c r="Q287" s="266"/>
      <c r="R287" s="266"/>
    </row>
    <row r="288" spans="1:21" ht="30" customHeight="1">
      <c r="A288" s="204" t="str">
        <f>IF(ISBLANK(D288)," ",280-COUNTBLANK($D$6:D288))</f>
        <v xml:space="preserve"> </v>
      </c>
      <c r="B288" s="202"/>
      <c r="C288" s="202"/>
      <c r="D288" s="202"/>
      <c r="E288" s="304"/>
      <c r="F288" s="211"/>
      <c r="G288" s="203"/>
      <c r="H288" s="203"/>
      <c r="I288" s="295"/>
      <c r="J288" s="264"/>
      <c r="K288" s="265"/>
      <c r="L288" s="266"/>
      <c r="M288" s="266"/>
      <c r="N288" s="266"/>
      <c r="O288" s="266"/>
      <c r="P288" s="266"/>
      <c r="Q288" s="266"/>
      <c r="R288" s="266"/>
    </row>
    <row r="289" spans="1:21" ht="30" customHeight="1">
      <c r="A289" s="204" t="str">
        <f>IF(ISBLANK(D289)," ",281-COUNTBLANK($D$6:D289))</f>
        <v xml:space="preserve"> </v>
      </c>
      <c r="B289" s="202"/>
      <c r="C289" s="202"/>
      <c r="D289" s="202"/>
      <c r="E289" s="304"/>
      <c r="F289" s="211"/>
      <c r="G289" s="203"/>
      <c r="H289" s="203"/>
      <c r="I289" s="295"/>
      <c r="J289" s="264"/>
      <c r="K289" s="265"/>
      <c r="L289" s="266"/>
      <c r="M289" s="266"/>
      <c r="N289" s="266"/>
      <c r="O289" s="266"/>
      <c r="P289" s="266"/>
      <c r="Q289" s="266"/>
      <c r="R289" s="266"/>
    </row>
    <row r="290" spans="1:21" ht="30" customHeight="1">
      <c r="A290" s="204" t="str">
        <f>IF(ISBLANK(D290)," ",282-COUNTBLANK($D$6:D290))</f>
        <v xml:space="preserve"> </v>
      </c>
      <c r="B290" s="202"/>
      <c r="C290" s="202"/>
      <c r="D290" s="202"/>
      <c r="E290" s="304"/>
      <c r="F290" s="211"/>
      <c r="G290" s="203"/>
      <c r="H290" s="203"/>
      <c r="I290" s="295"/>
      <c r="J290" s="264"/>
      <c r="K290" s="265"/>
      <c r="L290" s="266"/>
      <c r="M290" s="266"/>
      <c r="N290" s="266"/>
      <c r="O290" s="266"/>
      <c r="P290" s="266"/>
      <c r="Q290" s="266"/>
      <c r="R290" s="266"/>
    </row>
    <row r="291" spans="1:21" ht="30" customHeight="1">
      <c r="A291" s="204" t="str">
        <f>IF(ISBLANK(D291)," ",283-COUNTBLANK($D$6:D291))</f>
        <v xml:space="preserve"> </v>
      </c>
      <c r="B291" s="202"/>
      <c r="C291" s="202"/>
      <c r="D291" s="202"/>
      <c r="E291" s="304"/>
      <c r="F291" s="211"/>
      <c r="G291" s="203"/>
      <c r="H291" s="203"/>
      <c r="I291" s="295"/>
      <c r="J291" s="264"/>
      <c r="K291" s="265"/>
      <c r="L291" s="266"/>
      <c r="M291" s="266"/>
      <c r="N291" s="266"/>
      <c r="O291" s="266"/>
      <c r="P291" s="266"/>
      <c r="Q291" s="266"/>
      <c r="R291" s="266"/>
    </row>
    <row r="292" spans="1:21" ht="30" customHeight="1">
      <c r="A292" s="204" t="str">
        <f>IF(ISBLANK(D292)," ",284-COUNTBLANK($D$6:D292))</f>
        <v xml:space="preserve"> </v>
      </c>
      <c r="B292" s="202"/>
      <c r="C292" s="202"/>
      <c r="D292" s="202"/>
      <c r="E292" s="304"/>
      <c r="F292" s="211"/>
      <c r="G292" s="203"/>
      <c r="H292" s="203"/>
      <c r="I292" s="295"/>
      <c r="J292" s="264"/>
      <c r="K292" s="265"/>
      <c r="L292" s="266"/>
      <c r="M292" s="266"/>
      <c r="N292" s="266"/>
      <c r="O292" s="266"/>
      <c r="P292" s="266"/>
      <c r="Q292" s="266"/>
      <c r="R292" s="266"/>
    </row>
    <row r="293" spans="1:21" ht="30" customHeight="1">
      <c r="A293" s="204" t="str">
        <f>IF(ISBLANK(D293)," ",285-COUNTBLANK($D$6:D293))</f>
        <v xml:space="preserve"> </v>
      </c>
      <c r="B293" s="202"/>
      <c r="C293" s="202"/>
      <c r="D293" s="202"/>
      <c r="E293" s="304"/>
      <c r="F293" s="211"/>
      <c r="G293" s="203"/>
      <c r="H293" s="203"/>
      <c r="I293" s="295"/>
      <c r="J293" s="264"/>
      <c r="K293" s="265"/>
      <c r="L293" s="266"/>
      <c r="M293" s="266"/>
      <c r="N293" s="266"/>
      <c r="O293" s="266"/>
      <c r="P293" s="266"/>
      <c r="Q293" s="266"/>
      <c r="R293" s="266"/>
    </row>
    <row r="294" spans="1:21" ht="30" customHeight="1">
      <c r="A294" s="204" t="str">
        <f>IF(ISBLANK(D294)," ",286-COUNTBLANK($D$6:D294))</f>
        <v xml:space="preserve"> </v>
      </c>
      <c r="B294" s="202"/>
      <c r="C294" s="202"/>
      <c r="D294" s="202"/>
      <c r="E294" s="304"/>
      <c r="F294" s="211"/>
      <c r="G294" s="203"/>
      <c r="H294" s="203"/>
      <c r="I294" s="295"/>
      <c r="J294" s="264"/>
      <c r="K294" s="265"/>
      <c r="L294" s="266"/>
      <c r="M294" s="266"/>
      <c r="N294" s="266"/>
      <c r="O294" s="266"/>
      <c r="P294" s="266"/>
      <c r="Q294" s="266"/>
      <c r="R294" s="266"/>
    </row>
    <row r="295" spans="1:21" ht="30" customHeight="1">
      <c r="A295" s="204" t="str">
        <f>IF(ISBLANK(D295)," ",287-COUNTBLANK($D$6:D295))</f>
        <v xml:space="preserve"> </v>
      </c>
      <c r="B295" s="202"/>
      <c r="C295" s="202"/>
      <c r="D295" s="202"/>
      <c r="E295" s="304"/>
      <c r="F295" s="211"/>
      <c r="G295" s="203"/>
      <c r="H295" s="203"/>
      <c r="I295" s="295"/>
      <c r="J295" s="264"/>
      <c r="K295" s="265"/>
      <c r="L295" s="266"/>
      <c r="M295" s="266"/>
      <c r="N295" s="266"/>
      <c r="O295" s="266"/>
      <c r="P295" s="266"/>
      <c r="Q295" s="266"/>
      <c r="R295" s="266"/>
    </row>
    <row r="296" spans="1:21" ht="30" customHeight="1">
      <c r="A296" s="204" t="str">
        <f>IF(ISBLANK(D296)," ",288-COUNTBLANK($D$6:D296))</f>
        <v xml:space="preserve"> </v>
      </c>
      <c r="B296" s="202"/>
      <c r="C296" s="202"/>
      <c r="D296" s="202"/>
      <c r="E296" s="304"/>
      <c r="F296" s="211"/>
      <c r="G296" s="203"/>
      <c r="H296" s="203"/>
      <c r="I296" s="295"/>
      <c r="J296" s="264"/>
      <c r="K296" s="265"/>
      <c r="L296" s="266"/>
      <c r="M296" s="266"/>
      <c r="N296" s="266"/>
      <c r="O296" s="266"/>
      <c r="P296" s="266"/>
      <c r="Q296" s="266"/>
      <c r="R296" s="266"/>
    </row>
    <row r="297" spans="1:21" ht="30" customHeight="1">
      <c r="A297" s="204" t="str">
        <f>IF(ISBLANK(D297)," ",289-COUNTBLANK($D$6:D297))</f>
        <v xml:space="preserve"> </v>
      </c>
      <c r="B297" s="202"/>
      <c r="C297" s="202"/>
      <c r="D297" s="202"/>
      <c r="E297" s="304"/>
      <c r="F297" s="211"/>
      <c r="G297" s="203"/>
      <c r="H297" s="203"/>
      <c r="I297" s="295"/>
      <c r="J297" s="264"/>
      <c r="K297" s="267"/>
      <c r="L297" s="266"/>
      <c r="M297" s="266"/>
      <c r="N297" s="266"/>
      <c r="O297" s="266"/>
      <c r="P297" s="266"/>
      <c r="Q297" s="266"/>
      <c r="R297" s="268"/>
    </row>
    <row r="298" spans="1:21" ht="30" customHeight="1">
      <c r="A298" s="204" t="str">
        <f>IF(ISBLANK(D298)," ",290-COUNTBLANK($D$6:D298))</f>
        <v xml:space="preserve"> </v>
      </c>
      <c r="B298" s="202"/>
      <c r="C298" s="202"/>
      <c r="D298" s="202"/>
      <c r="E298" s="304"/>
      <c r="F298" s="211"/>
      <c r="G298" s="203"/>
      <c r="H298" s="203"/>
      <c r="I298" s="295"/>
      <c r="J298" s="264"/>
      <c r="K298" s="267"/>
      <c r="L298" s="266"/>
      <c r="M298" s="266"/>
      <c r="N298" s="266"/>
      <c r="O298" s="266"/>
      <c r="P298" s="266"/>
      <c r="Q298" s="266"/>
      <c r="R298" s="268"/>
    </row>
    <row r="299" spans="1:21" ht="30" customHeight="1">
      <c r="A299" s="204" t="str">
        <f>IF(ISBLANK(D299)," ",291-COUNTBLANK($D$6:D299))</f>
        <v xml:space="preserve"> </v>
      </c>
      <c r="B299" s="202"/>
      <c r="C299" s="202"/>
      <c r="D299" s="202"/>
      <c r="E299" s="304"/>
      <c r="F299" s="211"/>
      <c r="G299" s="203"/>
      <c r="H299" s="203"/>
      <c r="I299" s="295"/>
      <c r="J299" s="264"/>
      <c r="K299" s="267"/>
      <c r="L299" s="266"/>
      <c r="M299" s="266"/>
      <c r="N299" s="266"/>
      <c r="O299" s="266"/>
      <c r="P299" s="266"/>
      <c r="Q299" s="266"/>
      <c r="R299" s="268"/>
    </row>
    <row r="300" spans="1:21" ht="30" customHeight="1">
      <c r="A300" s="204" t="str">
        <f>IF(ISBLANK(D300)," ",292-COUNTBLANK($D$6:D300))</f>
        <v xml:space="preserve"> </v>
      </c>
      <c r="B300" s="202"/>
      <c r="C300" s="202"/>
      <c r="D300" s="202"/>
      <c r="E300" s="304"/>
      <c r="F300" s="211"/>
      <c r="G300" s="203"/>
      <c r="H300" s="203"/>
      <c r="I300" s="295"/>
      <c r="J300" s="264"/>
      <c r="K300" s="267"/>
      <c r="L300" s="266"/>
      <c r="M300" s="266"/>
      <c r="N300" s="266"/>
      <c r="O300" s="266"/>
      <c r="P300" s="266"/>
      <c r="Q300" s="266"/>
      <c r="R300" s="268"/>
    </row>
    <row r="301" spans="1:21" ht="30" customHeight="1">
      <c r="A301" s="308" t="str">
        <f>IF(ISBLANK(D301)," ",293-COUNTBLANK($D$6:D301))</f>
        <v xml:space="preserve"> </v>
      </c>
      <c r="B301" s="300"/>
      <c r="C301" s="309"/>
      <c r="D301" s="310"/>
      <c r="E301" s="301"/>
      <c r="F301" s="302"/>
      <c r="G301" s="286"/>
      <c r="H301" s="286"/>
      <c r="I301" s="307"/>
      <c r="J301" s="264"/>
      <c r="K301" s="265"/>
      <c r="L301" s="266"/>
      <c r="M301" s="266"/>
      <c r="N301" s="266"/>
      <c r="O301" s="266"/>
      <c r="P301" s="266"/>
      <c r="Q301" s="266"/>
      <c r="R301" s="288"/>
      <c r="S301" s="266"/>
      <c r="T301" s="266"/>
      <c r="U301" s="266"/>
    </row>
    <row r="302" spans="1:21" ht="30" customHeight="1">
      <c r="A302" s="261" t="s">
        <v>58</v>
      </c>
      <c r="B302" s="200"/>
      <c r="C302" s="200"/>
      <c r="D302" s="200"/>
      <c r="E302" s="303"/>
      <c r="F302" s="210">
        <f>SUM(F282:F301)</f>
        <v>0</v>
      </c>
      <c r="G302" s="201"/>
      <c r="H302" s="201"/>
      <c r="I302" s="295"/>
      <c r="J302" s="264"/>
      <c r="K302" s="267"/>
      <c r="L302" s="266"/>
      <c r="M302" s="266"/>
      <c r="N302" s="266"/>
      <c r="O302" s="266"/>
      <c r="P302" s="266"/>
      <c r="Q302" s="266"/>
      <c r="R302" s="288"/>
      <c r="S302" s="266"/>
      <c r="T302" s="266"/>
      <c r="U302" s="266"/>
    </row>
    <row r="303" spans="1:21" ht="30" customHeight="1">
      <c r="A303" s="204" t="str">
        <f>IF(ISBLANK(D303)," ",295-COUNTBLANK($D$6:D303))</f>
        <v xml:space="preserve"> </v>
      </c>
      <c r="B303" s="202"/>
      <c r="C303" s="202"/>
      <c r="D303" s="202"/>
      <c r="E303" s="304"/>
      <c r="F303" s="211"/>
      <c r="G303" s="203"/>
      <c r="H303" s="203"/>
      <c r="I303" s="295"/>
      <c r="J303" s="264"/>
      <c r="K303" s="265"/>
      <c r="L303" s="266"/>
      <c r="M303" s="266"/>
      <c r="N303" s="266"/>
      <c r="O303" s="266"/>
      <c r="P303" s="266"/>
      <c r="Q303" s="266"/>
      <c r="R303" s="266"/>
    </row>
    <row r="304" spans="1:21" ht="30" customHeight="1">
      <c r="A304" s="204" t="str">
        <f>IF(ISBLANK(D304)," ",296-COUNTBLANK($D$6:D304))</f>
        <v xml:space="preserve"> </v>
      </c>
      <c r="B304" s="202"/>
      <c r="C304" s="202"/>
      <c r="D304" s="202"/>
      <c r="E304" s="304"/>
      <c r="F304" s="211"/>
      <c r="G304" s="203"/>
      <c r="H304" s="203"/>
      <c r="I304" s="295"/>
      <c r="J304" s="264"/>
      <c r="K304" s="265"/>
      <c r="L304" s="266"/>
      <c r="M304" s="266"/>
      <c r="N304" s="266"/>
      <c r="O304" s="266"/>
      <c r="P304" s="266"/>
      <c r="Q304" s="266"/>
      <c r="R304" s="266"/>
    </row>
    <row r="305" spans="1:18" ht="30" customHeight="1">
      <c r="A305" s="204" t="str">
        <f>IF(ISBLANK(D305)," ",297-COUNTBLANK($D$6:D305))</f>
        <v xml:space="preserve"> </v>
      </c>
      <c r="B305" s="202"/>
      <c r="C305" s="202"/>
      <c r="D305" s="202"/>
      <c r="E305" s="304"/>
      <c r="F305" s="211"/>
      <c r="G305" s="203"/>
      <c r="H305" s="203"/>
      <c r="I305" s="295"/>
      <c r="J305" s="264"/>
      <c r="K305" s="265"/>
      <c r="L305" s="266"/>
      <c r="M305" s="266"/>
      <c r="N305" s="266"/>
      <c r="O305" s="266"/>
      <c r="P305" s="266"/>
      <c r="Q305" s="266"/>
      <c r="R305" s="266"/>
    </row>
    <row r="306" spans="1:18" ht="30" customHeight="1">
      <c r="A306" s="204" t="str">
        <f>IF(ISBLANK(D306)," ",298-COUNTBLANK($D$6:D306))</f>
        <v xml:space="preserve"> </v>
      </c>
      <c r="B306" s="202"/>
      <c r="C306" s="202"/>
      <c r="D306" s="202"/>
      <c r="E306" s="304"/>
      <c r="F306" s="211"/>
      <c r="G306" s="203"/>
      <c r="H306" s="203"/>
      <c r="I306" s="295"/>
      <c r="J306" s="264"/>
      <c r="K306" s="265"/>
      <c r="L306" s="266"/>
      <c r="M306" s="266"/>
      <c r="N306" s="266"/>
      <c r="O306" s="266"/>
      <c r="P306" s="266"/>
      <c r="Q306" s="266"/>
      <c r="R306" s="266"/>
    </row>
    <row r="307" spans="1:18" ht="30" customHeight="1">
      <c r="A307" s="204" t="str">
        <f>IF(ISBLANK(D307)," ",299-COUNTBLANK($D$6:D307))</f>
        <v xml:space="preserve"> </v>
      </c>
      <c r="B307" s="202"/>
      <c r="C307" s="202"/>
      <c r="D307" s="202"/>
      <c r="E307" s="304"/>
      <c r="F307" s="211"/>
      <c r="G307" s="203"/>
      <c r="H307" s="203"/>
      <c r="I307" s="295"/>
      <c r="J307" s="264"/>
      <c r="K307" s="265"/>
      <c r="L307" s="266"/>
      <c r="M307" s="266"/>
      <c r="N307" s="266"/>
      <c r="O307" s="266"/>
      <c r="P307" s="266"/>
      <c r="Q307" s="266"/>
      <c r="R307" s="266"/>
    </row>
    <row r="308" spans="1:18" ht="30" customHeight="1">
      <c r="A308" s="204" t="str">
        <f>IF(ISBLANK(D308)," ",300-COUNTBLANK($D$6:D308))</f>
        <v xml:space="preserve"> </v>
      </c>
      <c r="B308" s="202"/>
      <c r="C308" s="202"/>
      <c r="D308" s="202"/>
      <c r="E308" s="304"/>
      <c r="F308" s="211"/>
      <c r="G308" s="203"/>
      <c r="H308" s="203"/>
      <c r="I308" s="295"/>
      <c r="J308" s="264"/>
      <c r="K308" s="265"/>
      <c r="L308" s="266"/>
      <c r="M308" s="266"/>
      <c r="N308" s="266"/>
      <c r="O308" s="266"/>
      <c r="P308" s="266"/>
      <c r="Q308" s="266"/>
      <c r="R308" s="266"/>
    </row>
    <row r="309" spans="1:18" ht="30" customHeight="1">
      <c r="A309" s="204" t="str">
        <f>IF(ISBLANK(D309)," ",301-COUNTBLANK($D$6:D309))</f>
        <v xml:space="preserve"> </v>
      </c>
      <c r="B309" s="202"/>
      <c r="C309" s="202"/>
      <c r="D309" s="202"/>
      <c r="E309" s="304"/>
      <c r="F309" s="211"/>
      <c r="G309" s="203"/>
      <c r="H309" s="203"/>
      <c r="I309" s="295"/>
      <c r="J309" s="264"/>
      <c r="K309" s="265"/>
      <c r="L309" s="266"/>
      <c r="M309" s="266"/>
      <c r="N309" s="266"/>
      <c r="O309" s="266"/>
      <c r="P309" s="266"/>
      <c r="Q309" s="266"/>
      <c r="R309" s="266"/>
    </row>
    <row r="310" spans="1:18" ht="30" customHeight="1">
      <c r="A310" s="204" t="str">
        <f>IF(ISBLANK(D310)," ",302-COUNTBLANK($D$6:D310))</f>
        <v xml:space="preserve"> </v>
      </c>
      <c r="B310" s="202"/>
      <c r="C310" s="202"/>
      <c r="D310" s="202"/>
      <c r="E310" s="304"/>
      <c r="F310" s="211"/>
      <c r="G310" s="203"/>
      <c r="H310" s="203"/>
      <c r="I310" s="295"/>
      <c r="J310" s="264"/>
      <c r="K310" s="265"/>
      <c r="L310" s="266"/>
      <c r="M310" s="266"/>
      <c r="N310" s="266"/>
      <c r="O310" s="266"/>
      <c r="P310" s="266"/>
      <c r="Q310" s="266"/>
      <c r="R310" s="266"/>
    </row>
    <row r="311" spans="1:18" ht="30" customHeight="1">
      <c r="A311" s="204" t="str">
        <f>IF(ISBLANK(D311)," ",303-COUNTBLANK($D$6:D311))</f>
        <v xml:space="preserve"> </v>
      </c>
      <c r="B311" s="202"/>
      <c r="C311" s="202"/>
      <c r="D311" s="202"/>
      <c r="E311" s="304"/>
      <c r="F311" s="211"/>
      <c r="G311" s="203"/>
      <c r="H311" s="203"/>
      <c r="I311" s="295"/>
      <c r="J311" s="264"/>
      <c r="K311" s="265"/>
      <c r="L311" s="266"/>
      <c r="M311" s="266"/>
      <c r="N311" s="266"/>
      <c r="O311" s="266"/>
      <c r="P311" s="266"/>
      <c r="Q311" s="266"/>
      <c r="R311" s="266"/>
    </row>
    <row r="312" spans="1:18" ht="30" customHeight="1">
      <c r="A312" s="204" t="str">
        <f>IF(ISBLANK(D312)," ",304-COUNTBLANK($D$6:D312))</f>
        <v xml:space="preserve"> </v>
      </c>
      <c r="B312" s="202"/>
      <c r="C312" s="202"/>
      <c r="D312" s="202"/>
      <c r="E312" s="304"/>
      <c r="F312" s="211"/>
      <c r="G312" s="203"/>
      <c r="H312" s="203"/>
      <c r="I312" s="295"/>
      <c r="J312" s="264"/>
      <c r="K312" s="265"/>
      <c r="L312" s="266"/>
      <c r="M312" s="266"/>
      <c r="N312" s="266"/>
      <c r="O312" s="266"/>
      <c r="P312" s="266"/>
      <c r="Q312" s="266"/>
      <c r="R312" s="266"/>
    </row>
    <row r="313" spans="1:18" ht="30" customHeight="1">
      <c r="A313" s="204" t="str">
        <f>IF(ISBLANK(D313)," ",305-COUNTBLANK($D$6:D313))</f>
        <v xml:space="preserve"> </v>
      </c>
      <c r="B313" s="202"/>
      <c r="C313" s="202"/>
      <c r="D313" s="202"/>
      <c r="E313" s="304"/>
      <c r="F313" s="211"/>
      <c r="G313" s="203"/>
      <c r="H313" s="203"/>
      <c r="I313" s="295"/>
      <c r="J313" s="264"/>
      <c r="K313" s="265"/>
      <c r="L313" s="266"/>
      <c r="M313" s="266"/>
      <c r="N313" s="266"/>
      <c r="O313" s="266"/>
      <c r="P313" s="266"/>
      <c r="Q313" s="266"/>
      <c r="R313" s="266"/>
    </row>
    <row r="314" spans="1:18" ht="30" customHeight="1">
      <c r="A314" s="204" t="str">
        <f>IF(ISBLANK(D314)," ",306-COUNTBLANK($D$6:D314))</f>
        <v xml:space="preserve"> </v>
      </c>
      <c r="B314" s="202"/>
      <c r="C314" s="202"/>
      <c r="D314" s="202"/>
      <c r="E314" s="304"/>
      <c r="F314" s="211"/>
      <c r="G314" s="203"/>
      <c r="H314" s="203"/>
      <c r="I314" s="295"/>
      <c r="J314" s="264"/>
      <c r="K314" s="265"/>
      <c r="L314" s="266"/>
      <c r="M314" s="266"/>
      <c r="N314" s="266"/>
      <c r="O314" s="266"/>
      <c r="P314" s="266"/>
      <c r="Q314" s="266"/>
      <c r="R314" s="266"/>
    </row>
    <row r="315" spans="1:18" ht="30" customHeight="1">
      <c r="A315" s="204" t="str">
        <f>IF(ISBLANK(D315)," ",307-COUNTBLANK($D$6:D315))</f>
        <v xml:space="preserve"> </v>
      </c>
      <c r="B315" s="202"/>
      <c r="C315" s="202"/>
      <c r="D315" s="202"/>
      <c r="E315" s="304"/>
      <c r="F315" s="211"/>
      <c r="G315" s="203"/>
      <c r="H315" s="203"/>
      <c r="I315" s="295"/>
      <c r="J315" s="264"/>
      <c r="K315" s="265"/>
      <c r="L315" s="266"/>
      <c r="M315" s="266"/>
      <c r="N315" s="266"/>
      <c r="O315" s="266"/>
      <c r="P315" s="266"/>
      <c r="Q315" s="266"/>
      <c r="R315" s="266"/>
    </row>
    <row r="316" spans="1:18" ht="30" customHeight="1">
      <c r="A316" s="204" t="str">
        <f>IF(ISBLANK(D316)," ",308-COUNTBLANK($D$6:D316))</f>
        <v xml:space="preserve"> </v>
      </c>
      <c r="B316" s="202"/>
      <c r="C316" s="202"/>
      <c r="D316" s="202"/>
      <c r="E316" s="304"/>
      <c r="F316" s="211"/>
      <c r="G316" s="203"/>
      <c r="H316" s="203"/>
      <c r="I316" s="295"/>
      <c r="J316" s="264"/>
      <c r="K316" s="265"/>
      <c r="L316" s="266"/>
      <c r="M316" s="266"/>
      <c r="N316" s="266"/>
      <c r="O316" s="266"/>
      <c r="P316" s="266"/>
      <c r="Q316" s="266"/>
      <c r="R316" s="266"/>
    </row>
    <row r="317" spans="1:18" ht="30" customHeight="1">
      <c r="A317" s="204" t="str">
        <f>IF(ISBLANK(D317)," ",309-COUNTBLANK($D$6:D317))</f>
        <v xml:space="preserve"> </v>
      </c>
      <c r="B317" s="202"/>
      <c r="C317" s="202"/>
      <c r="D317" s="202"/>
      <c r="E317" s="304"/>
      <c r="F317" s="211"/>
      <c r="G317" s="203"/>
      <c r="H317" s="203"/>
      <c r="I317" s="295"/>
      <c r="J317" s="264"/>
      <c r="K317" s="265"/>
      <c r="L317" s="266"/>
      <c r="M317" s="266"/>
      <c r="N317" s="266"/>
      <c r="O317" s="266"/>
      <c r="P317" s="266"/>
      <c r="Q317" s="266"/>
      <c r="R317" s="266"/>
    </row>
    <row r="318" spans="1:18" ht="30" customHeight="1">
      <c r="A318" s="204" t="str">
        <f>IF(ISBLANK(D318)," ",310-COUNTBLANK($D$6:D318))</f>
        <v xml:space="preserve"> </v>
      </c>
      <c r="B318" s="202"/>
      <c r="C318" s="202"/>
      <c r="D318" s="202"/>
      <c r="E318" s="304"/>
      <c r="F318" s="211"/>
      <c r="G318" s="203"/>
      <c r="H318" s="203"/>
      <c r="I318" s="295"/>
      <c r="J318" s="264"/>
      <c r="K318" s="267"/>
      <c r="L318" s="266"/>
      <c r="M318" s="266"/>
      <c r="N318" s="266"/>
      <c r="O318" s="266"/>
      <c r="P318" s="266"/>
      <c r="Q318" s="266"/>
      <c r="R318" s="268"/>
    </row>
    <row r="319" spans="1:18" ht="30" customHeight="1">
      <c r="A319" s="204" t="str">
        <f>IF(ISBLANK(D319)," ",311-COUNTBLANK($D$6:D319))</f>
        <v xml:space="preserve"> </v>
      </c>
      <c r="B319" s="202"/>
      <c r="C319" s="202"/>
      <c r="D319" s="202"/>
      <c r="E319" s="304"/>
      <c r="F319" s="211"/>
      <c r="G319" s="203"/>
      <c r="H319" s="203"/>
      <c r="I319" s="295"/>
      <c r="J319" s="264"/>
      <c r="K319" s="267"/>
      <c r="L319" s="266"/>
      <c r="M319" s="266"/>
      <c r="N319" s="266"/>
      <c r="O319" s="266"/>
      <c r="P319" s="266"/>
      <c r="Q319" s="266"/>
      <c r="R319" s="268"/>
    </row>
    <row r="320" spans="1:18" ht="30" customHeight="1">
      <c r="A320" s="204" t="str">
        <f>IF(ISBLANK(D320)," ",312-COUNTBLANK($D$6:D320))</f>
        <v xml:space="preserve"> </v>
      </c>
      <c r="B320" s="202"/>
      <c r="C320" s="202"/>
      <c r="D320" s="202"/>
      <c r="E320" s="304"/>
      <c r="F320" s="211"/>
      <c r="G320" s="203"/>
      <c r="H320" s="203"/>
      <c r="I320" s="295"/>
      <c r="J320" s="264"/>
      <c r="K320" s="267"/>
      <c r="L320" s="266"/>
      <c r="M320" s="266"/>
      <c r="N320" s="266"/>
      <c r="O320" s="266"/>
      <c r="P320" s="266"/>
      <c r="Q320" s="266"/>
      <c r="R320" s="268"/>
    </row>
    <row r="321" spans="1:21" ht="30" customHeight="1">
      <c r="A321" s="204" t="str">
        <f>IF(ISBLANK(D321)," ",313-COUNTBLANK($D$6:D321))</f>
        <v xml:space="preserve"> </v>
      </c>
      <c r="B321" s="202"/>
      <c r="C321" s="202"/>
      <c r="D321" s="202"/>
      <c r="E321" s="304"/>
      <c r="F321" s="211"/>
      <c r="G321" s="203"/>
      <c r="H321" s="203"/>
      <c r="I321" s="295"/>
      <c r="J321" s="264"/>
      <c r="K321" s="267"/>
      <c r="L321" s="266"/>
      <c r="M321" s="266"/>
      <c r="N321" s="266"/>
      <c r="O321" s="266"/>
      <c r="P321" s="266"/>
      <c r="Q321" s="266"/>
      <c r="R321" s="268"/>
    </row>
    <row r="322" spans="1:21" ht="30" customHeight="1">
      <c r="A322" s="308" t="str">
        <f>IF(ISBLANK(D322)," ",314-COUNTBLANK($D$6:D322))</f>
        <v xml:space="preserve"> </v>
      </c>
      <c r="B322" s="300"/>
      <c r="C322" s="309"/>
      <c r="D322" s="310"/>
      <c r="E322" s="301"/>
      <c r="F322" s="302"/>
      <c r="G322" s="286"/>
      <c r="H322" s="286"/>
      <c r="I322" s="307"/>
      <c r="J322" s="264"/>
      <c r="K322" s="265"/>
      <c r="L322" s="266"/>
      <c r="M322" s="266"/>
      <c r="N322" s="266"/>
      <c r="O322" s="266"/>
      <c r="P322" s="266"/>
      <c r="Q322" s="266"/>
      <c r="R322" s="288"/>
      <c r="S322" s="266"/>
      <c r="T322" s="266"/>
      <c r="U322" s="266"/>
    </row>
    <row r="323" spans="1:21" ht="30" customHeight="1">
      <c r="A323" s="261" t="s">
        <v>58</v>
      </c>
      <c r="B323" s="200"/>
      <c r="C323" s="200"/>
      <c r="D323" s="200"/>
      <c r="E323" s="303"/>
      <c r="F323" s="210">
        <f>SUM(F303:F322)</f>
        <v>0</v>
      </c>
      <c r="G323" s="201"/>
      <c r="H323" s="201"/>
      <c r="I323" s="295"/>
      <c r="J323" s="264"/>
      <c r="K323" s="267"/>
      <c r="L323" s="266"/>
      <c r="M323" s="266"/>
      <c r="N323" s="266"/>
      <c r="O323" s="266"/>
      <c r="P323" s="266"/>
      <c r="Q323" s="266"/>
      <c r="R323" s="288"/>
      <c r="S323" s="266"/>
      <c r="T323" s="266"/>
      <c r="U323" s="266"/>
    </row>
    <row r="324" spans="1:21" ht="30" customHeight="1">
      <c r="A324" s="204" t="str">
        <f>IF(ISBLANK(D324)," ",316-COUNTBLANK($D$6:D324))</f>
        <v xml:space="preserve"> </v>
      </c>
      <c r="B324" s="202"/>
      <c r="C324" s="202"/>
      <c r="D324" s="202"/>
      <c r="E324" s="304"/>
      <c r="F324" s="211"/>
      <c r="G324" s="203"/>
      <c r="H324" s="203"/>
      <c r="I324" s="295"/>
      <c r="J324" s="264"/>
      <c r="K324" s="265"/>
      <c r="L324" s="266"/>
      <c r="M324" s="266"/>
      <c r="N324" s="266"/>
      <c r="O324" s="266"/>
      <c r="P324" s="266"/>
      <c r="Q324" s="266"/>
      <c r="R324" s="266"/>
    </row>
    <row r="325" spans="1:21" ht="30" customHeight="1">
      <c r="A325" s="204" t="str">
        <f>IF(ISBLANK(D325)," ",317-COUNTBLANK($D$6:D325))</f>
        <v xml:space="preserve"> </v>
      </c>
      <c r="B325" s="202"/>
      <c r="C325" s="202"/>
      <c r="D325" s="202"/>
      <c r="E325" s="304"/>
      <c r="F325" s="211"/>
      <c r="G325" s="203"/>
      <c r="H325" s="203"/>
      <c r="I325" s="295"/>
      <c r="J325" s="264"/>
      <c r="K325" s="265"/>
      <c r="L325" s="266"/>
      <c r="M325" s="266"/>
      <c r="N325" s="266"/>
      <c r="O325" s="266"/>
      <c r="P325" s="266"/>
      <c r="Q325" s="266"/>
      <c r="R325" s="266"/>
    </row>
    <row r="326" spans="1:21" ht="30" customHeight="1">
      <c r="A326" s="204" t="str">
        <f>IF(ISBLANK(D326)," ",318-COUNTBLANK($D$6:D326))</f>
        <v xml:space="preserve"> </v>
      </c>
      <c r="B326" s="202"/>
      <c r="C326" s="202"/>
      <c r="D326" s="202"/>
      <c r="E326" s="304"/>
      <c r="F326" s="211"/>
      <c r="G326" s="203"/>
      <c r="H326" s="203"/>
      <c r="I326" s="295"/>
      <c r="J326" s="264"/>
      <c r="K326" s="265"/>
      <c r="L326" s="266"/>
      <c r="M326" s="266"/>
      <c r="N326" s="266"/>
      <c r="O326" s="266"/>
      <c r="P326" s="266"/>
      <c r="Q326" s="266"/>
      <c r="R326" s="266"/>
    </row>
    <row r="327" spans="1:21" ht="30" customHeight="1">
      <c r="A327" s="204" t="str">
        <f>IF(ISBLANK(D327)," ",319-COUNTBLANK($D$6:D327))</f>
        <v xml:space="preserve"> </v>
      </c>
      <c r="B327" s="202"/>
      <c r="C327" s="202"/>
      <c r="D327" s="202"/>
      <c r="E327" s="304"/>
      <c r="F327" s="211"/>
      <c r="G327" s="203"/>
      <c r="H327" s="203"/>
      <c r="I327" s="295"/>
      <c r="J327" s="264"/>
      <c r="K327" s="265"/>
      <c r="L327" s="266"/>
      <c r="M327" s="266"/>
      <c r="N327" s="266"/>
      <c r="O327" s="266"/>
      <c r="P327" s="266"/>
      <c r="Q327" s="266"/>
      <c r="R327" s="266"/>
    </row>
    <row r="328" spans="1:21" ht="30" customHeight="1">
      <c r="A328" s="204" t="str">
        <f>IF(ISBLANK(D328)," ",320-COUNTBLANK($D$6:D328))</f>
        <v xml:space="preserve"> </v>
      </c>
      <c r="B328" s="202"/>
      <c r="C328" s="202"/>
      <c r="D328" s="202"/>
      <c r="E328" s="304"/>
      <c r="F328" s="211"/>
      <c r="G328" s="203"/>
      <c r="H328" s="203"/>
      <c r="I328" s="295"/>
      <c r="J328" s="264"/>
      <c r="K328" s="265"/>
      <c r="L328" s="266"/>
      <c r="M328" s="266"/>
      <c r="N328" s="266"/>
      <c r="O328" s="266"/>
      <c r="P328" s="266"/>
      <c r="Q328" s="266"/>
      <c r="R328" s="266"/>
    </row>
    <row r="329" spans="1:21" ht="30" customHeight="1">
      <c r="A329" s="204" t="str">
        <f>IF(ISBLANK(D329)," ",321-COUNTBLANK($D$6:D329))</f>
        <v xml:space="preserve"> </v>
      </c>
      <c r="B329" s="202"/>
      <c r="C329" s="202"/>
      <c r="D329" s="202"/>
      <c r="E329" s="304"/>
      <c r="F329" s="211"/>
      <c r="G329" s="203"/>
      <c r="H329" s="203"/>
      <c r="I329" s="295"/>
      <c r="J329" s="264"/>
      <c r="K329" s="265"/>
      <c r="L329" s="266"/>
      <c r="M329" s="266"/>
      <c r="N329" s="266"/>
      <c r="O329" s="266"/>
      <c r="P329" s="266"/>
      <c r="Q329" s="266"/>
      <c r="R329" s="266"/>
    </row>
    <row r="330" spans="1:21" ht="30" customHeight="1">
      <c r="A330" s="204" t="str">
        <f>IF(ISBLANK(D330)," ",322-COUNTBLANK($D$6:D330))</f>
        <v xml:space="preserve"> </v>
      </c>
      <c r="B330" s="202"/>
      <c r="C330" s="202"/>
      <c r="D330" s="202"/>
      <c r="E330" s="304"/>
      <c r="F330" s="211"/>
      <c r="G330" s="203"/>
      <c r="H330" s="203"/>
      <c r="I330" s="295"/>
      <c r="J330" s="264"/>
      <c r="K330" s="265"/>
      <c r="L330" s="266"/>
      <c r="M330" s="266"/>
      <c r="N330" s="266"/>
      <c r="O330" s="266"/>
      <c r="P330" s="266"/>
      <c r="Q330" s="266"/>
      <c r="R330" s="266"/>
    </row>
    <row r="331" spans="1:21" ht="30" customHeight="1">
      <c r="A331" s="204" t="str">
        <f>IF(ISBLANK(D331)," ",323-COUNTBLANK($D$6:D331))</f>
        <v xml:space="preserve"> </v>
      </c>
      <c r="B331" s="202"/>
      <c r="C331" s="202"/>
      <c r="D331" s="202"/>
      <c r="E331" s="304"/>
      <c r="F331" s="211"/>
      <c r="G331" s="203"/>
      <c r="H331" s="203"/>
      <c r="I331" s="295"/>
      <c r="J331" s="264"/>
      <c r="K331" s="265"/>
      <c r="L331" s="266"/>
      <c r="M331" s="266"/>
      <c r="N331" s="266"/>
      <c r="O331" s="266"/>
      <c r="P331" s="266"/>
      <c r="Q331" s="266"/>
      <c r="R331" s="266"/>
    </row>
    <row r="332" spans="1:21" ht="30" customHeight="1">
      <c r="A332" s="204" t="str">
        <f>IF(ISBLANK(D332)," ",324-COUNTBLANK($D$6:D332))</f>
        <v xml:space="preserve"> </v>
      </c>
      <c r="B332" s="202"/>
      <c r="C332" s="202"/>
      <c r="D332" s="202"/>
      <c r="E332" s="304"/>
      <c r="F332" s="211"/>
      <c r="G332" s="203"/>
      <c r="H332" s="203"/>
      <c r="I332" s="295"/>
      <c r="J332" s="264"/>
      <c r="K332" s="265"/>
      <c r="L332" s="266"/>
      <c r="M332" s="266"/>
      <c r="N332" s="266"/>
      <c r="O332" s="266"/>
      <c r="P332" s="266"/>
      <c r="Q332" s="266"/>
      <c r="R332" s="266"/>
    </row>
    <row r="333" spans="1:21" ht="30" customHeight="1">
      <c r="A333" s="204" t="str">
        <f>IF(ISBLANK(D333)," ",325-COUNTBLANK($D$6:D333))</f>
        <v xml:space="preserve"> </v>
      </c>
      <c r="B333" s="202"/>
      <c r="C333" s="202"/>
      <c r="D333" s="202"/>
      <c r="E333" s="304"/>
      <c r="F333" s="211"/>
      <c r="G333" s="203"/>
      <c r="H333" s="203"/>
      <c r="I333" s="295"/>
      <c r="J333" s="264"/>
      <c r="K333" s="265"/>
      <c r="L333" s="266"/>
      <c r="M333" s="266"/>
      <c r="N333" s="266"/>
      <c r="O333" s="266"/>
      <c r="P333" s="266"/>
      <c r="Q333" s="266"/>
      <c r="R333" s="266"/>
    </row>
    <row r="334" spans="1:21" ht="30" customHeight="1">
      <c r="A334" s="204" t="str">
        <f>IF(ISBLANK(D334)," ",326-COUNTBLANK($D$6:D334))</f>
        <v xml:space="preserve"> </v>
      </c>
      <c r="B334" s="202"/>
      <c r="C334" s="202"/>
      <c r="D334" s="202"/>
      <c r="E334" s="304"/>
      <c r="F334" s="211"/>
      <c r="G334" s="203"/>
      <c r="H334" s="203"/>
      <c r="I334" s="295"/>
      <c r="J334" s="264"/>
      <c r="K334" s="265"/>
      <c r="L334" s="266"/>
      <c r="M334" s="266"/>
      <c r="N334" s="266"/>
      <c r="O334" s="266"/>
      <c r="P334" s="266"/>
      <c r="Q334" s="266"/>
      <c r="R334" s="266"/>
    </row>
    <row r="335" spans="1:21" ht="30" customHeight="1">
      <c r="A335" s="204" t="str">
        <f>IF(ISBLANK(D335)," ",327-COUNTBLANK($D$6:D335))</f>
        <v xml:space="preserve"> </v>
      </c>
      <c r="B335" s="202"/>
      <c r="C335" s="202"/>
      <c r="D335" s="202"/>
      <c r="E335" s="304"/>
      <c r="F335" s="211"/>
      <c r="G335" s="203"/>
      <c r="H335" s="203"/>
      <c r="I335" s="295"/>
      <c r="J335" s="264"/>
      <c r="K335" s="265"/>
      <c r="L335" s="266"/>
      <c r="M335" s="266"/>
      <c r="N335" s="266"/>
      <c r="O335" s="266"/>
      <c r="P335" s="266"/>
      <c r="Q335" s="266"/>
      <c r="R335" s="266"/>
    </row>
    <row r="336" spans="1:21" ht="30" customHeight="1">
      <c r="A336" s="204" t="str">
        <f>IF(ISBLANK(D336)," ",328-COUNTBLANK($D$6:D336))</f>
        <v xml:space="preserve"> </v>
      </c>
      <c r="B336" s="202"/>
      <c r="C336" s="202"/>
      <c r="D336" s="202"/>
      <c r="E336" s="304"/>
      <c r="F336" s="211"/>
      <c r="G336" s="203"/>
      <c r="H336" s="203"/>
      <c r="I336" s="295"/>
      <c r="J336" s="264"/>
      <c r="K336" s="265"/>
      <c r="L336" s="266"/>
      <c r="M336" s="266"/>
      <c r="N336" s="266"/>
      <c r="O336" s="266"/>
      <c r="P336" s="266"/>
      <c r="Q336" s="266"/>
      <c r="R336" s="266"/>
    </row>
    <row r="337" spans="1:21" ht="30" customHeight="1">
      <c r="A337" s="204" t="str">
        <f>IF(ISBLANK(D337)," ",329-COUNTBLANK($D$6:D337))</f>
        <v xml:space="preserve"> </v>
      </c>
      <c r="B337" s="202"/>
      <c r="C337" s="202"/>
      <c r="D337" s="202"/>
      <c r="E337" s="304"/>
      <c r="F337" s="211"/>
      <c r="G337" s="203"/>
      <c r="H337" s="203"/>
      <c r="I337" s="295"/>
      <c r="J337" s="264"/>
      <c r="K337" s="265"/>
      <c r="L337" s="266"/>
      <c r="M337" s="266"/>
      <c r="N337" s="266"/>
      <c r="O337" s="266"/>
      <c r="P337" s="266"/>
      <c r="Q337" s="266"/>
      <c r="R337" s="266"/>
    </row>
    <row r="338" spans="1:21" ht="30" customHeight="1">
      <c r="A338" s="204" t="str">
        <f>IF(ISBLANK(D338)," ",330-COUNTBLANK($D$6:D338))</f>
        <v xml:space="preserve"> </v>
      </c>
      <c r="B338" s="202"/>
      <c r="C338" s="202"/>
      <c r="D338" s="202"/>
      <c r="E338" s="304"/>
      <c r="F338" s="211"/>
      <c r="G338" s="203"/>
      <c r="H338" s="203"/>
      <c r="I338" s="295"/>
      <c r="J338" s="264"/>
      <c r="K338" s="265"/>
      <c r="L338" s="266"/>
      <c r="M338" s="266"/>
      <c r="N338" s="266"/>
      <c r="O338" s="266"/>
      <c r="P338" s="266"/>
      <c r="Q338" s="266"/>
      <c r="R338" s="266"/>
    </row>
    <row r="339" spans="1:21" ht="30" customHeight="1">
      <c r="A339" s="204" t="str">
        <f>IF(ISBLANK(D339)," ",331-COUNTBLANK($D$6:D339))</f>
        <v xml:space="preserve"> </v>
      </c>
      <c r="B339" s="202"/>
      <c r="C339" s="202"/>
      <c r="D339" s="202"/>
      <c r="E339" s="304"/>
      <c r="F339" s="211"/>
      <c r="G339" s="203"/>
      <c r="H339" s="203"/>
      <c r="I339" s="295"/>
      <c r="J339" s="264"/>
      <c r="K339" s="267"/>
      <c r="L339" s="266"/>
      <c r="M339" s="266"/>
      <c r="N339" s="266"/>
      <c r="O339" s="266"/>
      <c r="P339" s="266"/>
      <c r="Q339" s="266"/>
      <c r="R339" s="268"/>
    </row>
    <row r="340" spans="1:21" ht="30" customHeight="1">
      <c r="A340" s="204" t="str">
        <f>IF(ISBLANK(D340)," ",332-COUNTBLANK($D$6:D340))</f>
        <v xml:space="preserve"> </v>
      </c>
      <c r="B340" s="202"/>
      <c r="C340" s="202"/>
      <c r="D340" s="202"/>
      <c r="E340" s="304"/>
      <c r="F340" s="211"/>
      <c r="G340" s="203"/>
      <c r="H340" s="203"/>
      <c r="I340" s="295"/>
      <c r="J340" s="264"/>
      <c r="K340" s="267"/>
      <c r="L340" s="266"/>
      <c r="M340" s="266"/>
      <c r="N340" s="266"/>
      <c r="O340" s="266"/>
      <c r="P340" s="266"/>
      <c r="Q340" s="266"/>
      <c r="R340" s="268"/>
    </row>
    <row r="341" spans="1:21" ht="30" customHeight="1">
      <c r="A341" s="204" t="str">
        <f>IF(ISBLANK(D341)," ",333-COUNTBLANK($D$6:D341))</f>
        <v xml:space="preserve"> </v>
      </c>
      <c r="B341" s="202"/>
      <c r="C341" s="202"/>
      <c r="D341" s="202"/>
      <c r="E341" s="304"/>
      <c r="F341" s="211"/>
      <c r="G341" s="203"/>
      <c r="H341" s="203"/>
      <c r="I341" s="295"/>
      <c r="J341" s="264"/>
      <c r="K341" s="267"/>
      <c r="L341" s="266"/>
      <c r="M341" s="266"/>
      <c r="N341" s="266"/>
      <c r="O341" s="266"/>
      <c r="P341" s="266"/>
      <c r="Q341" s="266"/>
      <c r="R341" s="268"/>
    </row>
    <row r="342" spans="1:21" ht="30" customHeight="1">
      <c r="A342" s="204" t="str">
        <f>IF(ISBLANK(D342)," ",334-COUNTBLANK($D$6:D342))</f>
        <v xml:space="preserve"> </v>
      </c>
      <c r="B342" s="202"/>
      <c r="C342" s="202"/>
      <c r="D342" s="202"/>
      <c r="E342" s="304"/>
      <c r="F342" s="211"/>
      <c r="G342" s="203"/>
      <c r="H342" s="203"/>
      <c r="I342" s="295"/>
      <c r="J342" s="264"/>
      <c r="K342" s="267"/>
      <c r="L342" s="266"/>
      <c r="M342" s="266"/>
      <c r="N342" s="266"/>
      <c r="O342" s="266"/>
      <c r="P342" s="266"/>
      <c r="Q342" s="266"/>
      <c r="R342" s="268"/>
    </row>
    <row r="343" spans="1:21" ht="30" customHeight="1">
      <c r="A343" s="308" t="str">
        <f>IF(ISBLANK(D343)," ",335-COUNTBLANK($D$6:D343))</f>
        <v xml:space="preserve"> </v>
      </c>
      <c r="B343" s="300"/>
      <c r="C343" s="309"/>
      <c r="D343" s="310"/>
      <c r="E343" s="301"/>
      <c r="F343" s="302"/>
      <c r="G343" s="286"/>
      <c r="H343" s="286"/>
      <c r="I343" s="307"/>
      <c r="J343" s="264"/>
      <c r="K343" s="265"/>
      <c r="L343" s="266"/>
      <c r="M343" s="266"/>
      <c r="N343" s="266"/>
      <c r="O343" s="266"/>
      <c r="P343" s="266"/>
      <c r="Q343" s="266"/>
      <c r="R343" s="288"/>
      <c r="S343" s="266"/>
      <c r="T343" s="266"/>
      <c r="U343" s="266"/>
    </row>
    <row r="344" spans="1:21" ht="30" customHeight="1">
      <c r="A344" s="261" t="s">
        <v>58</v>
      </c>
      <c r="B344" s="200"/>
      <c r="C344" s="200"/>
      <c r="D344" s="200"/>
      <c r="E344" s="303"/>
      <c r="F344" s="210">
        <f>SUM(F324:F343)</f>
        <v>0</v>
      </c>
      <c r="G344" s="201"/>
      <c r="H344" s="201"/>
      <c r="I344" s="295"/>
      <c r="J344" s="264"/>
      <c r="K344" s="267"/>
      <c r="L344" s="266"/>
      <c r="M344" s="266"/>
      <c r="N344" s="266"/>
      <c r="O344" s="266"/>
      <c r="P344" s="266"/>
      <c r="Q344" s="266"/>
      <c r="R344" s="288"/>
      <c r="S344" s="266"/>
      <c r="T344" s="266"/>
      <c r="U344" s="266"/>
    </row>
    <row r="345" spans="1:21" ht="30" customHeight="1">
      <c r="A345" s="204" t="str">
        <f>IF(ISBLANK(D345)," ",337-COUNTBLANK($D$6:D345))</f>
        <v xml:space="preserve"> </v>
      </c>
      <c r="B345" s="202"/>
      <c r="C345" s="202"/>
      <c r="D345" s="202"/>
      <c r="E345" s="304"/>
      <c r="F345" s="211"/>
      <c r="G345" s="203"/>
      <c r="H345" s="203"/>
      <c r="I345" s="295"/>
      <c r="J345" s="264"/>
      <c r="K345" s="265"/>
      <c r="L345" s="266"/>
      <c r="M345" s="266"/>
      <c r="N345" s="266"/>
      <c r="O345" s="266"/>
      <c r="P345" s="266"/>
      <c r="Q345" s="266"/>
      <c r="R345" s="266"/>
    </row>
    <row r="346" spans="1:21" ht="30" customHeight="1">
      <c r="A346" s="204" t="str">
        <f>IF(ISBLANK(D346)," ",338-COUNTBLANK($D$6:D346))</f>
        <v xml:space="preserve"> </v>
      </c>
      <c r="B346" s="202"/>
      <c r="C346" s="202"/>
      <c r="D346" s="202"/>
      <c r="E346" s="304"/>
      <c r="F346" s="211"/>
      <c r="G346" s="203"/>
      <c r="H346" s="203"/>
      <c r="I346" s="295"/>
      <c r="J346" s="264"/>
      <c r="K346" s="265"/>
      <c r="L346" s="266"/>
      <c r="M346" s="266"/>
      <c r="N346" s="266"/>
      <c r="O346" s="266"/>
      <c r="P346" s="266"/>
      <c r="Q346" s="266"/>
      <c r="R346" s="266"/>
    </row>
    <row r="347" spans="1:21" ht="30" customHeight="1">
      <c r="A347" s="204" t="str">
        <f>IF(ISBLANK(D347)," ",339-COUNTBLANK($D$6:D347))</f>
        <v xml:space="preserve"> </v>
      </c>
      <c r="B347" s="202"/>
      <c r="C347" s="202"/>
      <c r="D347" s="202"/>
      <c r="E347" s="304"/>
      <c r="F347" s="211"/>
      <c r="G347" s="203"/>
      <c r="H347" s="203"/>
      <c r="I347" s="295"/>
      <c r="J347" s="264"/>
      <c r="K347" s="265"/>
      <c r="L347" s="266"/>
      <c r="M347" s="266"/>
      <c r="N347" s="266"/>
      <c r="O347" s="266"/>
      <c r="P347" s="266"/>
      <c r="Q347" s="266"/>
      <c r="R347" s="266"/>
    </row>
    <row r="348" spans="1:21" ht="30" customHeight="1">
      <c r="A348" s="204" t="str">
        <f>IF(ISBLANK(D348)," ",340-COUNTBLANK($D$6:D348))</f>
        <v xml:space="preserve"> </v>
      </c>
      <c r="B348" s="202"/>
      <c r="C348" s="202"/>
      <c r="D348" s="202"/>
      <c r="E348" s="304"/>
      <c r="F348" s="211"/>
      <c r="G348" s="203"/>
      <c r="H348" s="203"/>
      <c r="I348" s="295"/>
      <c r="J348" s="264"/>
      <c r="K348" s="265"/>
      <c r="L348" s="266"/>
      <c r="M348" s="266"/>
      <c r="N348" s="266"/>
      <c r="O348" s="266"/>
      <c r="P348" s="266"/>
      <c r="Q348" s="266"/>
      <c r="R348" s="266"/>
    </row>
    <row r="349" spans="1:21" ht="30" customHeight="1">
      <c r="A349" s="204" t="str">
        <f>IF(ISBLANK(D349)," ",341-COUNTBLANK($D$6:D349))</f>
        <v xml:space="preserve"> </v>
      </c>
      <c r="B349" s="202"/>
      <c r="C349" s="202"/>
      <c r="D349" s="202"/>
      <c r="E349" s="304"/>
      <c r="F349" s="211"/>
      <c r="G349" s="203"/>
      <c r="H349" s="203"/>
      <c r="I349" s="295"/>
      <c r="J349" s="264"/>
      <c r="K349" s="265"/>
      <c r="L349" s="266"/>
      <c r="M349" s="266"/>
      <c r="N349" s="266"/>
      <c r="O349" s="266"/>
      <c r="P349" s="266"/>
      <c r="Q349" s="266"/>
      <c r="R349" s="266"/>
    </row>
    <row r="350" spans="1:21" ht="30" customHeight="1">
      <c r="A350" s="204" t="str">
        <f>IF(ISBLANK(D350)," ",342-COUNTBLANK($D$6:D350))</f>
        <v xml:space="preserve"> </v>
      </c>
      <c r="B350" s="202"/>
      <c r="C350" s="202"/>
      <c r="D350" s="202"/>
      <c r="E350" s="304"/>
      <c r="F350" s="211"/>
      <c r="G350" s="203"/>
      <c r="H350" s="203"/>
      <c r="I350" s="295"/>
      <c r="J350" s="264"/>
      <c r="K350" s="265"/>
      <c r="L350" s="266"/>
      <c r="M350" s="266"/>
      <c r="N350" s="266"/>
      <c r="O350" s="266"/>
      <c r="P350" s="266"/>
      <c r="Q350" s="266"/>
      <c r="R350" s="266"/>
    </row>
    <row r="351" spans="1:21" ht="30" customHeight="1">
      <c r="A351" s="204" t="str">
        <f>IF(ISBLANK(D351)," ",343-COUNTBLANK($D$6:D351))</f>
        <v xml:space="preserve"> </v>
      </c>
      <c r="B351" s="202"/>
      <c r="C351" s="202"/>
      <c r="D351" s="202"/>
      <c r="E351" s="304"/>
      <c r="F351" s="211"/>
      <c r="G351" s="203"/>
      <c r="H351" s="203"/>
      <c r="I351" s="295"/>
      <c r="J351" s="264"/>
      <c r="K351" s="265"/>
      <c r="L351" s="266"/>
      <c r="M351" s="266"/>
      <c r="N351" s="266"/>
      <c r="O351" s="266"/>
      <c r="P351" s="266"/>
      <c r="Q351" s="266"/>
      <c r="R351" s="266"/>
    </row>
    <row r="352" spans="1:21" ht="30" customHeight="1">
      <c r="A352" s="204" t="str">
        <f>IF(ISBLANK(D352)," ",344-COUNTBLANK($D$6:D352))</f>
        <v xml:space="preserve"> </v>
      </c>
      <c r="B352" s="202"/>
      <c r="C352" s="202"/>
      <c r="D352" s="202"/>
      <c r="E352" s="304"/>
      <c r="F352" s="211"/>
      <c r="G352" s="203"/>
      <c r="H352" s="203"/>
      <c r="I352" s="295"/>
      <c r="J352" s="264"/>
      <c r="K352" s="265"/>
      <c r="L352" s="266"/>
      <c r="M352" s="266"/>
      <c r="N352" s="266"/>
      <c r="O352" s="266"/>
      <c r="P352" s="266"/>
      <c r="Q352" s="266"/>
      <c r="R352" s="266"/>
    </row>
    <row r="353" spans="1:21" ht="30" customHeight="1">
      <c r="A353" s="204" t="str">
        <f>IF(ISBLANK(D353)," ",345-COUNTBLANK($D$6:D353))</f>
        <v xml:space="preserve"> </v>
      </c>
      <c r="B353" s="202"/>
      <c r="C353" s="202"/>
      <c r="D353" s="202"/>
      <c r="E353" s="304"/>
      <c r="F353" s="211"/>
      <c r="G353" s="203"/>
      <c r="H353" s="203"/>
      <c r="I353" s="295"/>
      <c r="J353" s="264"/>
      <c r="K353" s="265"/>
      <c r="L353" s="266"/>
      <c r="M353" s="266"/>
      <c r="N353" s="266"/>
      <c r="O353" s="266"/>
      <c r="P353" s="266"/>
      <c r="Q353" s="266"/>
      <c r="R353" s="266"/>
    </row>
    <row r="354" spans="1:21" ht="30" customHeight="1">
      <c r="A354" s="204" t="str">
        <f>IF(ISBLANK(D354)," ",346-COUNTBLANK($D$6:D354))</f>
        <v xml:space="preserve"> </v>
      </c>
      <c r="B354" s="202"/>
      <c r="C354" s="202"/>
      <c r="D354" s="202"/>
      <c r="E354" s="304"/>
      <c r="F354" s="211"/>
      <c r="G354" s="203"/>
      <c r="H354" s="203"/>
      <c r="I354" s="295"/>
      <c r="J354" s="264"/>
      <c r="K354" s="265"/>
      <c r="L354" s="266"/>
      <c r="M354" s="266"/>
      <c r="N354" s="266"/>
      <c r="O354" s="266"/>
      <c r="P354" s="266"/>
      <c r="Q354" s="266"/>
      <c r="R354" s="266"/>
    </row>
    <row r="355" spans="1:21" ht="30" customHeight="1">
      <c r="A355" s="204" t="str">
        <f>IF(ISBLANK(D355)," ",347-COUNTBLANK($D$6:D355))</f>
        <v xml:space="preserve"> </v>
      </c>
      <c r="B355" s="202"/>
      <c r="C355" s="202"/>
      <c r="D355" s="202"/>
      <c r="E355" s="304"/>
      <c r="F355" s="211"/>
      <c r="G355" s="203"/>
      <c r="H355" s="203"/>
      <c r="I355" s="295"/>
      <c r="J355" s="264"/>
      <c r="K355" s="265"/>
      <c r="L355" s="266"/>
      <c r="M355" s="266"/>
      <c r="N355" s="266"/>
      <c r="O355" s="266"/>
      <c r="P355" s="266"/>
      <c r="Q355" s="266"/>
      <c r="R355" s="266"/>
    </row>
    <row r="356" spans="1:21" ht="30" customHeight="1">
      <c r="A356" s="204" t="str">
        <f>IF(ISBLANK(D356)," ",348-COUNTBLANK($D$6:D356))</f>
        <v xml:space="preserve"> </v>
      </c>
      <c r="B356" s="202"/>
      <c r="C356" s="202"/>
      <c r="D356" s="202"/>
      <c r="E356" s="304"/>
      <c r="F356" s="211"/>
      <c r="G356" s="203"/>
      <c r="H356" s="203"/>
      <c r="I356" s="295"/>
      <c r="J356" s="264"/>
      <c r="K356" s="265"/>
      <c r="L356" s="266"/>
      <c r="M356" s="266"/>
      <c r="N356" s="266"/>
      <c r="O356" s="266"/>
      <c r="P356" s="266"/>
      <c r="Q356" s="266"/>
      <c r="R356" s="266"/>
    </row>
    <row r="357" spans="1:21" ht="30" customHeight="1">
      <c r="A357" s="204" t="str">
        <f>IF(ISBLANK(D357)," ",349-COUNTBLANK($D$6:D357))</f>
        <v xml:space="preserve"> </v>
      </c>
      <c r="B357" s="202"/>
      <c r="C357" s="202"/>
      <c r="D357" s="202"/>
      <c r="E357" s="304"/>
      <c r="F357" s="211"/>
      <c r="G357" s="203"/>
      <c r="H357" s="203"/>
      <c r="I357" s="295"/>
      <c r="J357" s="264"/>
      <c r="K357" s="265"/>
      <c r="L357" s="266"/>
      <c r="M357" s="266"/>
      <c r="N357" s="266"/>
      <c r="O357" s="266"/>
      <c r="P357" s="266"/>
      <c r="Q357" s="266"/>
      <c r="R357" s="266"/>
    </row>
    <row r="358" spans="1:21" ht="30" customHeight="1">
      <c r="A358" s="204" t="str">
        <f>IF(ISBLANK(D358)," ",350-COUNTBLANK($D$6:D358))</f>
        <v xml:space="preserve"> </v>
      </c>
      <c r="B358" s="202"/>
      <c r="C358" s="202"/>
      <c r="D358" s="202"/>
      <c r="E358" s="304"/>
      <c r="F358" s="211"/>
      <c r="G358" s="203"/>
      <c r="H358" s="203"/>
      <c r="I358" s="295"/>
      <c r="J358" s="264"/>
      <c r="K358" s="265"/>
      <c r="L358" s="266"/>
      <c r="M358" s="266"/>
      <c r="N358" s="266"/>
      <c r="O358" s="266"/>
      <c r="P358" s="266"/>
      <c r="Q358" s="266"/>
      <c r="R358" s="266"/>
    </row>
    <row r="359" spans="1:21" ht="30" customHeight="1">
      <c r="A359" s="204" t="str">
        <f>IF(ISBLANK(D359)," ",351-COUNTBLANK($D$6:D359))</f>
        <v xml:space="preserve"> </v>
      </c>
      <c r="B359" s="202"/>
      <c r="C359" s="202"/>
      <c r="D359" s="202"/>
      <c r="E359" s="304"/>
      <c r="F359" s="211"/>
      <c r="G359" s="203"/>
      <c r="H359" s="203"/>
      <c r="I359" s="295"/>
      <c r="J359" s="264"/>
      <c r="K359" s="265"/>
      <c r="L359" s="266"/>
      <c r="M359" s="266"/>
      <c r="N359" s="266"/>
      <c r="O359" s="266"/>
      <c r="P359" s="266"/>
      <c r="Q359" s="266"/>
      <c r="R359" s="266"/>
    </row>
    <row r="360" spans="1:21" ht="30" customHeight="1">
      <c r="A360" s="204" t="str">
        <f>IF(ISBLANK(D360)," ",352-COUNTBLANK($D$6:D360))</f>
        <v xml:space="preserve"> </v>
      </c>
      <c r="B360" s="202"/>
      <c r="C360" s="202"/>
      <c r="D360" s="202"/>
      <c r="E360" s="304"/>
      <c r="F360" s="211"/>
      <c r="G360" s="203"/>
      <c r="H360" s="203"/>
      <c r="I360" s="295"/>
      <c r="J360" s="264"/>
      <c r="K360" s="267"/>
      <c r="L360" s="266"/>
      <c r="M360" s="266"/>
      <c r="N360" s="266"/>
      <c r="O360" s="266"/>
      <c r="P360" s="266"/>
      <c r="Q360" s="266"/>
      <c r="R360" s="268"/>
    </row>
    <row r="361" spans="1:21" ht="30" customHeight="1">
      <c r="A361" s="204" t="str">
        <f>IF(ISBLANK(D361)," ",353-COUNTBLANK($D$6:D361))</f>
        <v xml:space="preserve"> </v>
      </c>
      <c r="B361" s="202"/>
      <c r="C361" s="202"/>
      <c r="D361" s="202"/>
      <c r="E361" s="304"/>
      <c r="F361" s="211"/>
      <c r="G361" s="203"/>
      <c r="H361" s="203"/>
      <c r="I361" s="295"/>
      <c r="J361" s="264"/>
      <c r="K361" s="267"/>
      <c r="L361" s="266"/>
      <c r="M361" s="266"/>
      <c r="N361" s="266"/>
      <c r="O361" s="266"/>
      <c r="P361" s="266"/>
      <c r="Q361" s="266"/>
      <c r="R361" s="268"/>
    </row>
    <row r="362" spans="1:21" ht="30" customHeight="1">
      <c r="A362" s="204" t="str">
        <f>IF(ISBLANK(D362)," ",354-COUNTBLANK($D$6:D362))</f>
        <v xml:space="preserve"> </v>
      </c>
      <c r="B362" s="202"/>
      <c r="C362" s="202"/>
      <c r="D362" s="202"/>
      <c r="E362" s="304"/>
      <c r="F362" s="211"/>
      <c r="G362" s="203"/>
      <c r="H362" s="203"/>
      <c r="I362" s="295"/>
      <c r="J362" s="264"/>
      <c r="K362" s="267"/>
      <c r="L362" s="266"/>
      <c r="M362" s="266"/>
      <c r="N362" s="266"/>
      <c r="O362" s="266"/>
      <c r="P362" s="266"/>
      <c r="Q362" s="266"/>
      <c r="R362" s="268"/>
    </row>
    <row r="363" spans="1:21" ht="30" customHeight="1">
      <c r="A363" s="204" t="str">
        <f>IF(ISBLANK(D363)," ",355-COUNTBLANK($D$6:D363))</f>
        <v xml:space="preserve"> </v>
      </c>
      <c r="B363" s="202"/>
      <c r="C363" s="202"/>
      <c r="D363" s="202"/>
      <c r="E363" s="304"/>
      <c r="F363" s="211"/>
      <c r="G363" s="203"/>
      <c r="H363" s="203"/>
      <c r="I363" s="295"/>
      <c r="J363" s="264"/>
      <c r="K363" s="267"/>
      <c r="L363" s="266"/>
      <c r="M363" s="266"/>
      <c r="N363" s="266"/>
      <c r="O363" s="266"/>
      <c r="P363" s="266"/>
      <c r="Q363" s="266"/>
      <c r="R363" s="268"/>
    </row>
    <row r="364" spans="1:21" ht="30" customHeight="1">
      <c r="A364" s="308" t="str">
        <f>IF(ISBLANK(D364)," ",356-COUNTBLANK($D$6:D364))</f>
        <v xml:space="preserve"> </v>
      </c>
      <c r="B364" s="300"/>
      <c r="C364" s="309"/>
      <c r="D364" s="310"/>
      <c r="E364" s="301"/>
      <c r="F364" s="302"/>
      <c r="G364" s="286"/>
      <c r="H364" s="286"/>
      <c r="I364" s="307"/>
      <c r="J364" s="264"/>
      <c r="K364" s="265"/>
      <c r="L364" s="266"/>
      <c r="M364" s="266"/>
      <c r="N364" s="266"/>
      <c r="O364" s="266"/>
      <c r="P364" s="266"/>
      <c r="Q364" s="266"/>
      <c r="R364" s="288"/>
      <c r="S364" s="266"/>
      <c r="T364" s="266"/>
      <c r="U364" s="266"/>
    </row>
    <row r="365" spans="1:21" ht="30" customHeight="1">
      <c r="A365" s="261" t="s">
        <v>58</v>
      </c>
      <c r="B365" s="200"/>
      <c r="C365" s="200"/>
      <c r="D365" s="200"/>
      <c r="E365" s="303"/>
      <c r="F365" s="210">
        <f>SUM(F345:F364)</f>
        <v>0</v>
      </c>
      <c r="G365" s="201"/>
      <c r="H365" s="201"/>
      <c r="I365" s="295"/>
      <c r="J365" s="264"/>
      <c r="K365" s="267"/>
      <c r="L365" s="266"/>
      <c r="M365" s="266"/>
      <c r="N365" s="266"/>
      <c r="O365" s="266"/>
      <c r="P365" s="266"/>
      <c r="Q365" s="266"/>
      <c r="R365" s="288"/>
      <c r="S365" s="266"/>
      <c r="T365" s="266"/>
      <c r="U365" s="266"/>
    </row>
    <row r="366" spans="1:21" ht="30" customHeight="1">
      <c r="A366" s="204" t="str">
        <f>IF(ISBLANK(D366)," ",358-COUNTBLANK($D$6:D366))</f>
        <v xml:space="preserve"> </v>
      </c>
      <c r="B366" s="202"/>
      <c r="C366" s="202"/>
      <c r="D366" s="202"/>
      <c r="E366" s="304"/>
      <c r="F366" s="211"/>
      <c r="G366" s="203"/>
      <c r="H366" s="203"/>
      <c r="I366" s="295"/>
      <c r="J366" s="264"/>
      <c r="K366" s="265"/>
      <c r="L366" s="266"/>
      <c r="M366" s="266"/>
      <c r="N366" s="266"/>
      <c r="O366" s="266"/>
      <c r="P366" s="266"/>
      <c r="Q366" s="266"/>
      <c r="R366" s="266"/>
    </row>
    <row r="367" spans="1:21" ht="30" customHeight="1">
      <c r="A367" s="204" t="str">
        <f>IF(ISBLANK(D367)," ",359-COUNTBLANK($D$6:D367))</f>
        <v xml:space="preserve"> </v>
      </c>
      <c r="B367" s="202"/>
      <c r="C367" s="202"/>
      <c r="D367" s="202"/>
      <c r="E367" s="304"/>
      <c r="F367" s="211"/>
      <c r="G367" s="203"/>
      <c r="H367" s="203"/>
      <c r="I367" s="295"/>
      <c r="J367" s="264"/>
      <c r="K367" s="265"/>
      <c r="L367" s="266"/>
      <c r="M367" s="266"/>
      <c r="N367" s="266"/>
      <c r="O367" s="266"/>
      <c r="P367" s="266"/>
      <c r="Q367" s="266"/>
      <c r="R367" s="266"/>
    </row>
    <row r="368" spans="1:21" ht="30" customHeight="1">
      <c r="A368" s="204" t="str">
        <f>IF(ISBLANK(D368)," ",360-COUNTBLANK($D$6:D368))</f>
        <v xml:space="preserve"> </v>
      </c>
      <c r="B368" s="202"/>
      <c r="C368" s="202"/>
      <c r="D368" s="202"/>
      <c r="E368" s="304"/>
      <c r="F368" s="211"/>
      <c r="G368" s="203"/>
      <c r="H368" s="203"/>
      <c r="I368" s="295"/>
      <c r="J368" s="264"/>
      <c r="K368" s="265"/>
      <c r="L368" s="266"/>
      <c r="M368" s="266"/>
      <c r="N368" s="266"/>
      <c r="O368" s="266"/>
      <c r="P368" s="266"/>
      <c r="Q368" s="266"/>
      <c r="R368" s="266"/>
    </row>
    <row r="369" spans="1:18" ht="30" customHeight="1">
      <c r="A369" s="204" t="str">
        <f>IF(ISBLANK(D369)," ",361-COUNTBLANK($D$6:D369))</f>
        <v xml:space="preserve"> </v>
      </c>
      <c r="B369" s="202"/>
      <c r="C369" s="202"/>
      <c r="D369" s="202"/>
      <c r="E369" s="304"/>
      <c r="F369" s="211"/>
      <c r="G369" s="203"/>
      <c r="H369" s="203"/>
      <c r="I369" s="295"/>
      <c r="J369" s="264"/>
      <c r="K369" s="265"/>
      <c r="L369" s="266"/>
      <c r="M369" s="266"/>
      <c r="N369" s="266"/>
      <c r="O369" s="266"/>
      <c r="P369" s="266"/>
      <c r="Q369" s="266"/>
      <c r="R369" s="266"/>
    </row>
    <row r="370" spans="1:18" ht="30" customHeight="1">
      <c r="A370" s="204" t="str">
        <f>IF(ISBLANK(D370)," ",362-COUNTBLANK($D$6:D370))</f>
        <v xml:space="preserve"> </v>
      </c>
      <c r="B370" s="202"/>
      <c r="C370" s="202"/>
      <c r="D370" s="202"/>
      <c r="E370" s="304"/>
      <c r="F370" s="211"/>
      <c r="G370" s="203"/>
      <c r="H370" s="203"/>
      <c r="I370" s="295"/>
      <c r="J370" s="264"/>
      <c r="K370" s="265"/>
      <c r="L370" s="266"/>
      <c r="M370" s="266"/>
      <c r="N370" s="266"/>
      <c r="O370" s="266"/>
      <c r="P370" s="266"/>
      <c r="Q370" s="266"/>
      <c r="R370" s="266"/>
    </row>
    <row r="371" spans="1:18" ht="30" customHeight="1">
      <c r="A371" s="204" t="str">
        <f>IF(ISBLANK(D371)," ",363-COUNTBLANK($D$6:D371))</f>
        <v xml:space="preserve"> </v>
      </c>
      <c r="B371" s="202"/>
      <c r="C371" s="202"/>
      <c r="D371" s="202"/>
      <c r="E371" s="304"/>
      <c r="F371" s="211"/>
      <c r="G371" s="203"/>
      <c r="H371" s="203"/>
      <c r="I371" s="295"/>
      <c r="J371" s="264"/>
      <c r="K371" s="265"/>
      <c r="L371" s="266"/>
      <c r="M371" s="266"/>
      <c r="N371" s="266"/>
      <c r="O371" s="266"/>
      <c r="P371" s="266"/>
      <c r="Q371" s="266"/>
      <c r="R371" s="266"/>
    </row>
    <row r="372" spans="1:18" ht="30" customHeight="1">
      <c r="A372" s="204" t="str">
        <f>IF(ISBLANK(D372)," ",364-COUNTBLANK($D$6:D372))</f>
        <v xml:space="preserve"> </v>
      </c>
      <c r="B372" s="202"/>
      <c r="C372" s="202"/>
      <c r="D372" s="202"/>
      <c r="E372" s="304"/>
      <c r="F372" s="211"/>
      <c r="G372" s="203"/>
      <c r="H372" s="203"/>
      <c r="I372" s="295"/>
      <c r="J372" s="264"/>
      <c r="K372" s="265"/>
      <c r="L372" s="266"/>
      <c r="M372" s="266"/>
      <c r="N372" s="266"/>
      <c r="O372" s="266"/>
      <c r="P372" s="266"/>
      <c r="Q372" s="266"/>
      <c r="R372" s="266"/>
    </row>
    <row r="373" spans="1:18" ht="30" customHeight="1">
      <c r="A373" s="204" t="str">
        <f>IF(ISBLANK(D373)," ",365-COUNTBLANK($D$6:D373))</f>
        <v xml:space="preserve"> </v>
      </c>
      <c r="B373" s="202"/>
      <c r="C373" s="202"/>
      <c r="D373" s="202"/>
      <c r="E373" s="304"/>
      <c r="F373" s="211"/>
      <c r="G373" s="203"/>
      <c r="H373" s="203"/>
      <c r="I373" s="295"/>
      <c r="J373" s="264"/>
      <c r="K373" s="265"/>
      <c r="L373" s="266"/>
      <c r="M373" s="266"/>
      <c r="N373" s="266"/>
      <c r="O373" s="266"/>
      <c r="P373" s="266"/>
      <c r="Q373" s="266"/>
      <c r="R373" s="266"/>
    </row>
    <row r="374" spans="1:18" ht="30" customHeight="1">
      <c r="A374" s="204" t="str">
        <f>IF(ISBLANK(D374)," ",366-COUNTBLANK($D$6:D374))</f>
        <v xml:space="preserve"> </v>
      </c>
      <c r="B374" s="202"/>
      <c r="C374" s="202"/>
      <c r="D374" s="202"/>
      <c r="E374" s="304"/>
      <c r="F374" s="211"/>
      <c r="G374" s="203"/>
      <c r="H374" s="203"/>
      <c r="I374" s="295"/>
      <c r="J374" s="264"/>
      <c r="K374" s="265"/>
      <c r="L374" s="266"/>
      <c r="M374" s="266"/>
      <c r="N374" s="266"/>
      <c r="O374" s="266"/>
      <c r="P374" s="266"/>
      <c r="Q374" s="266"/>
      <c r="R374" s="266"/>
    </row>
    <row r="375" spans="1:18" ht="30" customHeight="1">
      <c r="A375" s="204" t="str">
        <f>IF(ISBLANK(D375)," ",367-COUNTBLANK($D$6:D375))</f>
        <v xml:space="preserve"> </v>
      </c>
      <c r="B375" s="202"/>
      <c r="C375" s="202"/>
      <c r="D375" s="202"/>
      <c r="E375" s="304"/>
      <c r="F375" s="211"/>
      <c r="G375" s="203"/>
      <c r="H375" s="203"/>
      <c r="I375" s="295"/>
      <c r="J375" s="264"/>
      <c r="K375" s="265"/>
      <c r="L375" s="266"/>
      <c r="M375" s="266"/>
      <c r="N375" s="266"/>
      <c r="O375" s="266"/>
      <c r="P375" s="266"/>
      <c r="Q375" s="266"/>
      <c r="R375" s="266"/>
    </row>
    <row r="376" spans="1:18" ht="30" customHeight="1">
      <c r="A376" s="204" t="str">
        <f>IF(ISBLANK(D376)," ",368-COUNTBLANK($D$6:D376))</f>
        <v xml:space="preserve"> </v>
      </c>
      <c r="B376" s="202"/>
      <c r="C376" s="202"/>
      <c r="D376" s="202"/>
      <c r="E376" s="304"/>
      <c r="F376" s="211"/>
      <c r="G376" s="203"/>
      <c r="H376" s="203"/>
      <c r="I376" s="295"/>
      <c r="J376" s="264"/>
      <c r="K376" s="265"/>
      <c r="L376" s="266"/>
      <c r="M376" s="266"/>
      <c r="N376" s="266"/>
      <c r="O376" s="266"/>
      <c r="P376" s="266"/>
      <c r="Q376" s="266"/>
      <c r="R376" s="266"/>
    </row>
    <row r="377" spans="1:18" ht="30" customHeight="1">
      <c r="A377" s="204" t="str">
        <f>IF(ISBLANK(D377)," ",369-COUNTBLANK($D$6:D377))</f>
        <v xml:space="preserve"> </v>
      </c>
      <c r="B377" s="202"/>
      <c r="C377" s="202"/>
      <c r="D377" s="202"/>
      <c r="E377" s="304"/>
      <c r="F377" s="211"/>
      <c r="G377" s="203"/>
      <c r="H377" s="203"/>
      <c r="I377" s="295"/>
      <c r="J377" s="264"/>
      <c r="K377" s="265"/>
      <c r="L377" s="266"/>
      <c r="M377" s="266"/>
      <c r="N377" s="266"/>
      <c r="O377" s="266"/>
      <c r="P377" s="266"/>
      <c r="Q377" s="266"/>
      <c r="R377" s="266"/>
    </row>
    <row r="378" spans="1:18" ht="30" customHeight="1">
      <c r="A378" s="204" t="str">
        <f>IF(ISBLANK(D378)," ",370-COUNTBLANK($D$6:D378))</f>
        <v xml:space="preserve"> </v>
      </c>
      <c r="B378" s="202"/>
      <c r="C378" s="202"/>
      <c r="D378" s="202"/>
      <c r="E378" s="304"/>
      <c r="F378" s="211"/>
      <c r="G378" s="203"/>
      <c r="H378" s="203"/>
      <c r="I378" s="295"/>
      <c r="J378" s="264"/>
      <c r="K378" s="265"/>
      <c r="L378" s="266"/>
      <c r="M378" s="266"/>
      <c r="N378" s="266"/>
      <c r="O378" s="266"/>
      <c r="P378" s="266"/>
      <c r="Q378" s="266"/>
      <c r="R378" s="266"/>
    </row>
    <row r="379" spans="1:18" ht="30" customHeight="1">
      <c r="A379" s="204" t="str">
        <f>IF(ISBLANK(D379)," ",371-COUNTBLANK($D$6:D379))</f>
        <v xml:space="preserve"> </v>
      </c>
      <c r="B379" s="202"/>
      <c r="C379" s="202"/>
      <c r="D379" s="202"/>
      <c r="E379" s="304"/>
      <c r="F379" s="211"/>
      <c r="G379" s="203"/>
      <c r="H379" s="203"/>
      <c r="I379" s="295"/>
      <c r="J379" s="264"/>
      <c r="K379" s="265"/>
      <c r="L379" s="266"/>
      <c r="M379" s="266"/>
      <c r="N379" s="266"/>
      <c r="O379" s="266"/>
      <c r="P379" s="266"/>
      <c r="Q379" s="266"/>
      <c r="R379" s="266"/>
    </row>
    <row r="380" spans="1:18" ht="30" customHeight="1">
      <c r="A380" s="204" t="str">
        <f>IF(ISBLANK(D380)," ",372-COUNTBLANK($D$6:D380))</f>
        <v xml:space="preserve"> </v>
      </c>
      <c r="B380" s="202"/>
      <c r="C380" s="202"/>
      <c r="D380" s="202"/>
      <c r="E380" s="304"/>
      <c r="F380" s="211"/>
      <c r="G380" s="203"/>
      <c r="H380" s="203"/>
      <c r="I380" s="295"/>
      <c r="J380" s="264"/>
      <c r="K380" s="265"/>
      <c r="L380" s="266"/>
      <c r="M380" s="266"/>
      <c r="N380" s="266"/>
      <c r="O380" s="266"/>
      <c r="P380" s="266"/>
      <c r="Q380" s="266"/>
      <c r="R380" s="266"/>
    </row>
    <row r="381" spans="1:18" ht="30" customHeight="1">
      <c r="A381" s="204" t="str">
        <f>IF(ISBLANK(D381)," ",373-COUNTBLANK($D$6:D381))</f>
        <v xml:space="preserve"> </v>
      </c>
      <c r="B381" s="202"/>
      <c r="C381" s="202"/>
      <c r="D381" s="202"/>
      <c r="E381" s="304"/>
      <c r="F381" s="211"/>
      <c r="G381" s="203"/>
      <c r="H381" s="203"/>
      <c r="I381" s="295"/>
      <c r="J381" s="264"/>
      <c r="K381" s="267"/>
      <c r="L381" s="266"/>
      <c r="M381" s="266"/>
      <c r="N381" s="266"/>
      <c r="O381" s="266"/>
      <c r="P381" s="266"/>
      <c r="Q381" s="266"/>
      <c r="R381" s="268"/>
    </row>
    <row r="382" spans="1:18" ht="30" customHeight="1">
      <c r="A382" s="204" t="str">
        <f>IF(ISBLANK(D382)," ",374-COUNTBLANK($D$6:D382))</f>
        <v xml:space="preserve"> </v>
      </c>
      <c r="B382" s="202"/>
      <c r="C382" s="202"/>
      <c r="D382" s="202"/>
      <c r="E382" s="304"/>
      <c r="F382" s="211"/>
      <c r="G382" s="203"/>
      <c r="H382" s="203"/>
      <c r="I382" s="295"/>
      <c r="J382" s="264"/>
      <c r="K382" s="267"/>
      <c r="L382" s="266"/>
      <c r="M382" s="266"/>
      <c r="N382" s="266"/>
      <c r="O382" s="266"/>
      <c r="P382" s="266"/>
      <c r="Q382" s="266"/>
      <c r="R382" s="268"/>
    </row>
    <row r="383" spans="1:18" ht="30" customHeight="1">
      <c r="A383" s="204" t="str">
        <f>IF(ISBLANK(D383)," ",375-COUNTBLANK($D$6:D383))</f>
        <v xml:space="preserve"> </v>
      </c>
      <c r="B383" s="202"/>
      <c r="C383" s="202"/>
      <c r="D383" s="202"/>
      <c r="E383" s="304"/>
      <c r="F383" s="211"/>
      <c r="G383" s="203"/>
      <c r="H383" s="203"/>
      <c r="I383" s="295"/>
      <c r="J383" s="264"/>
      <c r="K383" s="267"/>
      <c r="L383" s="266"/>
      <c r="M383" s="266"/>
      <c r="N383" s="266"/>
      <c r="O383" s="266"/>
      <c r="P383" s="266"/>
      <c r="Q383" s="266"/>
      <c r="R383" s="268"/>
    </row>
    <row r="384" spans="1:18" ht="30" customHeight="1">
      <c r="A384" s="204" t="str">
        <f>IF(ISBLANK(D384)," ",376-COUNTBLANK($D$6:D384))</f>
        <v xml:space="preserve"> </v>
      </c>
      <c r="B384" s="202"/>
      <c r="C384" s="202"/>
      <c r="D384" s="202"/>
      <c r="E384" s="304"/>
      <c r="F384" s="211"/>
      <c r="G384" s="203"/>
      <c r="H384" s="203"/>
      <c r="I384" s="295"/>
      <c r="J384" s="264"/>
      <c r="K384" s="267"/>
      <c r="L384" s="266"/>
      <c r="M384" s="266"/>
      <c r="N384" s="266"/>
      <c r="O384" s="266"/>
      <c r="P384" s="266"/>
      <c r="Q384" s="266"/>
      <c r="R384" s="268"/>
    </row>
    <row r="385" spans="1:21" ht="30" customHeight="1">
      <c r="A385" s="308" t="str">
        <f>IF(ISBLANK(D385)," ",377-COUNTBLANK($D$6:D385))</f>
        <v xml:space="preserve"> </v>
      </c>
      <c r="B385" s="300"/>
      <c r="C385" s="309"/>
      <c r="D385" s="310"/>
      <c r="E385" s="301"/>
      <c r="F385" s="302"/>
      <c r="G385" s="286"/>
      <c r="H385" s="286"/>
      <c r="I385" s="307"/>
      <c r="J385" s="264"/>
      <c r="K385" s="265"/>
      <c r="L385" s="266"/>
      <c r="M385" s="266"/>
      <c r="N385" s="266"/>
      <c r="O385" s="266"/>
      <c r="P385" s="266"/>
      <c r="Q385" s="266"/>
      <c r="R385" s="288"/>
      <c r="S385" s="266"/>
      <c r="T385" s="266"/>
      <c r="U385" s="266"/>
    </row>
    <row r="386" spans="1:21" ht="30" customHeight="1">
      <c r="A386" s="261" t="s">
        <v>58</v>
      </c>
      <c r="B386" s="200"/>
      <c r="C386" s="200"/>
      <c r="D386" s="200"/>
      <c r="E386" s="303"/>
      <c r="F386" s="210">
        <f>SUM(F366:F385)</f>
        <v>0</v>
      </c>
      <c r="G386" s="201"/>
      <c r="H386" s="201"/>
      <c r="I386" s="295"/>
      <c r="J386" s="264"/>
      <c r="K386" s="267"/>
      <c r="L386" s="266"/>
      <c r="M386" s="266"/>
      <c r="N386" s="266"/>
      <c r="O386" s="266"/>
      <c r="P386" s="266"/>
      <c r="Q386" s="266"/>
      <c r="R386" s="288"/>
      <c r="S386" s="266"/>
      <c r="T386" s="266"/>
      <c r="U386" s="266"/>
    </row>
    <row r="387" spans="1:21" ht="30" customHeight="1">
      <c r="A387" s="204" t="str">
        <f>IF(ISBLANK(D387)," ",379-COUNTBLANK($D$6:D387))</f>
        <v xml:space="preserve"> </v>
      </c>
      <c r="B387" s="202"/>
      <c r="C387" s="202"/>
      <c r="D387" s="202"/>
      <c r="E387" s="304"/>
      <c r="F387" s="211"/>
      <c r="G387" s="203"/>
      <c r="H387" s="203"/>
      <c r="I387" s="295"/>
      <c r="J387" s="264"/>
      <c r="K387" s="265"/>
      <c r="L387" s="266"/>
      <c r="M387" s="266"/>
      <c r="N387" s="266"/>
      <c r="O387" s="266"/>
      <c r="P387" s="266"/>
      <c r="Q387" s="266"/>
      <c r="R387" s="266"/>
    </row>
    <row r="388" spans="1:21" ht="30" customHeight="1">
      <c r="A388" s="204" t="str">
        <f>IF(ISBLANK(D388)," ",380-COUNTBLANK($D$6:D388))</f>
        <v xml:space="preserve"> </v>
      </c>
      <c r="B388" s="202"/>
      <c r="C388" s="202"/>
      <c r="D388" s="202"/>
      <c r="E388" s="304"/>
      <c r="F388" s="211"/>
      <c r="G388" s="203"/>
      <c r="H388" s="203"/>
      <c r="I388" s="295"/>
      <c r="J388" s="264"/>
      <c r="K388" s="265"/>
      <c r="L388" s="266"/>
      <c r="M388" s="266"/>
      <c r="N388" s="266"/>
      <c r="O388" s="266"/>
      <c r="P388" s="266"/>
      <c r="Q388" s="266"/>
      <c r="R388" s="266"/>
    </row>
    <row r="389" spans="1:21" ht="30" customHeight="1">
      <c r="A389" s="204" t="str">
        <f>IF(ISBLANK(D389)," ",381-COUNTBLANK($D$6:D389))</f>
        <v xml:space="preserve"> </v>
      </c>
      <c r="B389" s="202"/>
      <c r="C389" s="202"/>
      <c r="D389" s="202"/>
      <c r="E389" s="304"/>
      <c r="F389" s="211"/>
      <c r="G389" s="203"/>
      <c r="H389" s="203"/>
      <c r="I389" s="295"/>
      <c r="J389" s="264"/>
      <c r="K389" s="265"/>
      <c r="L389" s="266"/>
      <c r="M389" s="266"/>
      <c r="N389" s="266"/>
      <c r="O389" s="266"/>
      <c r="P389" s="266"/>
      <c r="Q389" s="266"/>
      <c r="R389" s="266"/>
    </row>
    <row r="390" spans="1:21" ht="30" customHeight="1">
      <c r="A390" s="204" t="str">
        <f>IF(ISBLANK(D390)," ",382-COUNTBLANK($D$6:D390))</f>
        <v xml:space="preserve"> </v>
      </c>
      <c r="B390" s="202"/>
      <c r="C390" s="202"/>
      <c r="D390" s="202"/>
      <c r="E390" s="304"/>
      <c r="F390" s="211"/>
      <c r="G390" s="203"/>
      <c r="H390" s="203"/>
      <c r="I390" s="295"/>
      <c r="J390" s="264"/>
      <c r="K390" s="265"/>
      <c r="L390" s="266"/>
      <c r="M390" s="266"/>
      <c r="N390" s="266"/>
      <c r="O390" s="266"/>
      <c r="P390" s="266"/>
      <c r="Q390" s="266"/>
      <c r="R390" s="266"/>
    </row>
    <row r="391" spans="1:21" ht="30" customHeight="1">
      <c r="A391" s="204" t="str">
        <f>IF(ISBLANK(D391)," ",383-COUNTBLANK($D$6:D391))</f>
        <v xml:space="preserve"> </v>
      </c>
      <c r="B391" s="202"/>
      <c r="C391" s="202"/>
      <c r="D391" s="202"/>
      <c r="E391" s="304"/>
      <c r="F391" s="211"/>
      <c r="G391" s="203"/>
      <c r="H391" s="203"/>
      <c r="I391" s="295"/>
      <c r="J391" s="264"/>
      <c r="K391" s="265"/>
      <c r="L391" s="266"/>
      <c r="M391" s="266"/>
      <c r="N391" s="266"/>
      <c r="O391" s="266"/>
      <c r="P391" s="266"/>
      <c r="Q391" s="266"/>
      <c r="R391" s="266"/>
    </row>
    <row r="392" spans="1:21" ht="30" customHeight="1">
      <c r="A392" s="204" t="str">
        <f>IF(ISBLANK(D392)," ",384-COUNTBLANK($D$6:D392))</f>
        <v xml:space="preserve"> </v>
      </c>
      <c r="B392" s="202"/>
      <c r="C392" s="202"/>
      <c r="D392" s="202"/>
      <c r="E392" s="304"/>
      <c r="F392" s="211"/>
      <c r="G392" s="203"/>
      <c r="H392" s="203"/>
      <c r="I392" s="295"/>
      <c r="J392" s="264"/>
      <c r="K392" s="265"/>
      <c r="L392" s="266"/>
      <c r="M392" s="266"/>
      <c r="N392" s="266"/>
      <c r="O392" s="266"/>
      <c r="P392" s="266"/>
      <c r="Q392" s="266"/>
      <c r="R392" s="266"/>
    </row>
    <row r="393" spans="1:21" ht="30" customHeight="1">
      <c r="A393" s="204" t="str">
        <f>IF(ISBLANK(D393)," ",385-COUNTBLANK($D$6:D393))</f>
        <v xml:space="preserve"> </v>
      </c>
      <c r="B393" s="202"/>
      <c r="C393" s="202"/>
      <c r="D393" s="202"/>
      <c r="E393" s="304"/>
      <c r="F393" s="211"/>
      <c r="G393" s="203"/>
      <c r="H393" s="203"/>
      <c r="I393" s="295"/>
      <c r="J393" s="264"/>
      <c r="K393" s="265"/>
      <c r="L393" s="266"/>
      <c r="M393" s="266"/>
      <c r="N393" s="266"/>
      <c r="O393" s="266"/>
      <c r="P393" s="266"/>
      <c r="Q393" s="266"/>
      <c r="R393" s="266"/>
    </row>
    <row r="394" spans="1:21" ht="30" customHeight="1">
      <c r="A394" s="204" t="str">
        <f>IF(ISBLANK(D394)," ",386-COUNTBLANK($D$6:D394))</f>
        <v xml:space="preserve"> </v>
      </c>
      <c r="B394" s="202"/>
      <c r="C394" s="202"/>
      <c r="D394" s="202"/>
      <c r="E394" s="304"/>
      <c r="F394" s="211"/>
      <c r="G394" s="203"/>
      <c r="H394" s="203"/>
      <c r="I394" s="295"/>
      <c r="J394" s="264"/>
      <c r="K394" s="265"/>
      <c r="L394" s="266"/>
      <c r="M394" s="266"/>
      <c r="N394" s="266"/>
      <c r="O394" s="266"/>
      <c r="P394" s="266"/>
      <c r="Q394" s="266"/>
      <c r="R394" s="266"/>
    </row>
    <row r="395" spans="1:21" ht="30" customHeight="1">
      <c r="A395" s="204" t="str">
        <f>IF(ISBLANK(D395)," ",387-COUNTBLANK($D$6:D395))</f>
        <v xml:space="preserve"> </v>
      </c>
      <c r="B395" s="202"/>
      <c r="C395" s="202"/>
      <c r="D395" s="202"/>
      <c r="E395" s="304"/>
      <c r="F395" s="211"/>
      <c r="G395" s="203"/>
      <c r="H395" s="203"/>
      <c r="I395" s="295"/>
      <c r="J395" s="264"/>
      <c r="K395" s="265"/>
      <c r="L395" s="266"/>
      <c r="M395" s="266"/>
      <c r="N395" s="266"/>
      <c r="O395" s="266"/>
      <c r="P395" s="266"/>
      <c r="Q395" s="266"/>
      <c r="R395" s="266"/>
    </row>
    <row r="396" spans="1:21" ht="30" customHeight="1">
      <c r="A396" s="204" t="str">
        <f>IF(ISBLANK(D396)," ",388-COUNTBLANK($D$6:D396))</f>
        <v xml:space="preserve"> </v>
      </c>
      <c r="B396" s="202"/>
      <c r="C396" s="202"/>
      <c r="D396" s="202"/>
      <c r="E396" s="304"/>
      <c r="F396" s="211"/>
      <c r="G396" s="203"/>
      <c r="H396" s="203"/>
      <c r="I396" s="295"/>
      <c r="J396" s="264"/>
      <c r="K396" s="265"/>
      <c r="L396" s="266"/>
      <c r="M396" s="266"/>
      <c r="N396" s="266"/>
      <c r="O396" s="266"/>
      <c r="P396" s="266"/>
      <c r="Q396" s="266"/>
      <c r="R396" s="266"/>
    </row>
    <row r="397" spans="1:21" ht="30" customHeight="1">
      <c r="A397" s="204" t="str">
        <f>IF(ISBLANK(D397)," ",389-COUNTBLANK($D$6:D397))</f>
        <v xml:space="preserve"> </v>
      </c>
      <c r="B397" s="202"/>
      <c r="C397" s="202"/>
      <c r="D397" s="202"/>
      <c r="E397" s="304"/>
      <c r="F397" s="211"/>
      <c r="G397" s="203"/>
      <c r="H397" s="203"/>
      <c r="I397" s="295"/>
      <c r="J397" s="264"/>
      <c r="K397" s="265"/>
      <c r="L397" s="266"/>
      <c r="M397" s="266"/>
      <c r="N397" s="266"/>
      <c r="O397" s="266"/>
      <c r="P397" s="266"/>
      <c r="Q397" s="266"/>
      <c r="R397" s="266"/>
    </row>
    <row r="398" spans="1:21" ht="30" customHeight="1">
      <c r="A398" s="204" t="str">
        <f>IF(ISBLANK(D398)," ",390-COUNTBLANK($D$6:D398))</f>
        <v xml:space="preserve"> </v>
      </c>
      <c r="B398" s="202"/>
      <c r="C398" s="202"/>
      <c r="D398" s="202"/>
      <c r="E398" s="304"/>
      <c r="F398" s="211"/>
      <c r="G398" s="203"/>
      <c r="H398" s="203"/>
      <c r="I398" s="295"/>
      <c r="J398" s="264"/>
      <c r="K398" s="265"/>
      <c r="L398" s="266"/>
      <c r="M398" s="266"/>
      <c r="N398" s="266"/>
      <c r="O398" s="266"/>
      <c r="P398" s="266"/>
      <c r="Q398" s="266"/>
      <c r="R398" s="266"/>
    </row>
    <row r="399" spans="1:21" ht="30" customHeight="1">
      <c r="A399" s="204" t="str">
        <f>IF(ISBLANK(D399)," ",391-COUNTBLANK($D$6:D399))</f>
        <v xml:space="preserve"> </v>
      </c>
      <c r="B399" s="202"/>
      <c r="C399" s="202"/>
      <c r="D399" s="202"/>
      <c r="E399" s="304"/>
      <c r="F399" s="211"/>
      <c r="G399" s="203"/>
      <c r="H399" s="203"/>
      <c r="I399" s="295"/>
      <c r="J399" s="264"/>
      <c r="K399" s="265"/>
      <c r="L399" s="266"/>
      <c r="M399" s="266"/>
      <c r="N399" s="266"/>
      <c r="O399" s="266"/>
      <c r="P399" s="266"/>
      <c r="Q399" s="266"/>
      <c r="R399" s="266"/>
    </row>
    <row r="400" spans="1:21" ht="30" customHeight="1">
      <c r="A400" s="204" t="str">
        <f>IF(ISBLANK(D400)," ",392-COUNTBLANK($D$6:D400))</f>
        <v xml:space="preserve"> </v>
      </c>
      <c r="B400" s="202"/>
      <c r="C400" s="202"/>
      <c r="D400" s="202"/>
      <c r="E400" s="304"/>
      <c r="F400" s="211"/>
      <c r="G400" s="203"/>
      <c r="H400" s="203"/>
      <c r="I400" s="295"/>
      <c r="J400" s="264"/>
      <c r="K400" s="265"/>
      <c r="L400" s="266"/>
      <c r="M400" s="266"/>
      <c r="N400" s="266"/>
      <c r="O400" s="266"/>
      <c r="P400" s="266"/>
      <c r="Q400" s="266"/>
      <c r="R400" s="266"/>
    </row>
    <row r="401" spans="1:21" ht="30" customHeight="1">
      <c r="A401" s="204" t="str">
        <f>IF(ISBLANK(D401)," ",393-COUNTBLANK($D$6:D401))</f>
        <v xml:space="preserve"> </v>
      </c>
      <c r="B401" s="202"/>
      <c r="C401" s="202"/>
      <c r="D401" s="202"/>
      <c r="E401" s="304"/>
      <c r="F401" s="211"/>
      <c r="G401" s="203"/>
      <c r="H401" s="203"/>
      <c r="I401" s="295"/>
      <c r="J401" s="264"/>
      <c r="K401" s="265"/>
      <c r="L401" s="266"/>
      <c r="M401" s="266"/>
      <c r="N401" s="266"/>
      <c r="O401" s="266"/>
      <c r="P401" s="266"/>
      <c r="Q401" s="266"/>
      <c r="R401" s="266"/>
    </row>
    <row r="402" spans="1:21" ht="30" customHeight="1">
      <c r="A402" s="204" t="str">
        <f>IF(ISBLANK(D402)," ",394-COUNTBLANK($D$6:D402))</f>
        <v xml:space="preserve"> </v>
      </c>
      <c r="B402" s="202"/>
      <c r="C402" s="202"/>
      <c r="D402" s="202"/>
      <c r="E402" s="304"/>
      <c r="F402" s="211"/>
      <c r="G402" s="203"/>
      <c r="H402" s="203"/>
      <c r="I402" s="295"/>
      <c r="J402" s="264"/>
      <c r="K402" s="267"/>
      <c r="L402" s="266"/>
      <c r="M402" s="266"/>
      <c r="N402" s="266"/>
      <c r="O402" s="266"/>
      <c r="P402" s="266"/>
      <c r="Q402" s="266"/>
      <c r="R402" s="268"/>
    </row>
    <row r="403" spans="1:21" ht="30" customHeight="1">
      <c r="A403" s="204" t="str">
        <f>IF(ISBLANK(D403)," ",395-COUNTBLANK($D$6:D403))</f>
        <v xml:space="preserve"> </v>
      </c>
      <c r="B403" s="202"/>
      <c r="C403" s="202"/>
      <c r="D403" s="202"/>
      <c r="E403" s="304"/>
      <c r="F403" s="211"/>
      <c r="G403" s="203"/>
      <c r="H403" s="203"/>
      <c r="I403" s="295"/>
      <c r="J403" s="264"/>
      <c r="K403" s="267"/>
      <c r="L403" s="266"/>
      <c r="M403" s="266"/>
      <c r="N403" s="266"/>
      <c r="O403" s="266"/>
      <c r="P403" s="266"/>
      <c r="Q403" s="266"/>
      <c r="R403" s="268"/>
    </row>
    <row r="404" spans="1:21" ht="30" customHeight="1">
      <c r="A404" s="204" t="str">
        <f>IF(ISBLANK(D404)," ",396-COUNTBLANK($D$6:D404))</f>
        <v xml:space="preserve"> </v>
      </c>
      <c r="B404" s="202"/>
      <c r="C404" s="202"/>
      <c r="D404" s="202"/>
      <c r="E404" s="304"/>
      <c r="F404" s="211"/>
      <c r="G404" s="203"/>
      <c r="H404" s="203"/>
      <c r="I404" s="295"/>
      <c r="J404" s="264"/>
      <c r="K404" s="267"/>
      <c r="L404" s="266"/>
      <c r="M404" s="266"/>
      <c r="N404" s="266"/>
      <c r="O404" s="266"/>
      <c r="P404" s="266"/>
      <c r="Q404" s="266"/>
      <c r="R404" s="268"/>
    </row>
    <row r="405" spans="1:21" ht="30" customHeight="1">
      <c r="A405" s="204" t="str">
        <f>IF(ISBLANK(D405)," ",397-COUNTBLANK($D$6:D405))</f>
        <v xml:space="preserve"> </v>
      </c>
      <c r="B405" s="202"/>
      <c r="C405" s="202"/>
      <c r="D405" s="202"/>
      <c r="E405" s="304"/>
      <c r="F405" s="211"/>
      <c r="G405" s="203"/>
      <c r="H405" s="203"/>
      <c r="I405" s="295"/>
      <c r="J405" s="264"/>
      <c r="K405" s="267"/>
      <c r="L405" s="266"/>
      <c r="M405" s="266"/>
      <c r="N405" s="266"/>
      <c r="O405" s="266"/>
      <c r="P405" s="266"/>
      <c r="Q405" s="266"/>
      <c r="R405" s="268"/>
    </row>
    <row r="406" spans="1:21" ht="30" customHeight="1">
      <c r="A406" s="308" t="str">
        <f>IF(ISBLANK(D406)," ",398-COUNTBLANK($D$6:D406))</f>
        <v xml:space="preserve"> </v>
      </c>
      <c r="B406" s="300"/>
      <c r="C406" s="309"/>
      <c r="D406" s="310"/>
      <c r="E406" s="301"/>
      <c r="F406" s="302"/>
      <c r="G406" s="286"/>
      <c r="H406" s="286"/>
      <c r="I406" s="307"/>
      <c r="J406" s="264"/>
      <c r="K406" s="265"/>
      <c r="L406" s="266"/>
      <c r="M406" s="266"/>
      <c r="N406" s="266"/>
      <c r="O406" s="266"/>
      <c r="P406" s="266"/>
      <c r="Q406" s="266"/>
      <c r="R406" s="288"/>
      <c r="S406" s="266"/>
      <c r="T406" s="266"/>
      <c r="U406" s="266"/>
    </row>
    <row r="407" spans="1:21" ht="30" customHeight="1">
      <c r="A407" s="261" t="s">
        <v>58</v>
      </c>
      <c r="B407" s="200"/>
      <c r="C407" s="200"/>
      <c r="D407" s="200"/>
      <c r="E407" s="303"/>
      <c r="F407" s="210">
        <f>SUM(F387:F406)</f>
        <v>0</v>
      </c>
      <c r="G407" s="201"/>
      <c r="H407" s="201"/>
      <c r="I407" s="295"/>
      <c r="J407" s="264"/>
      <c r="K407" s="267"/>
      <c r="L407" s="266"/>
      <c r="M407" s="266"/>
      <c r="N407" s="266"/>
      <c r="O407" s="266"/>
      <c r="P407" s="266"/>
      <c r="Q407" s="266"/>
      <c r="R407" s="288"/>
      <c r="S407" s="266"/>
      <c r="T407" s="266"/>
      <c r="U407" s="266"/>
    </row>
    <row r="408" spans="1:21" ht="30" customHeight="1">
      <c r="A408" s="204" t="str">
        <f>IF(ISBLANK(D408)," ",400-COUNTBLANK($D$6:D408))</f>
        <v xml:space="preserve"> </v>
      </c>
      <c r="B408" s="202"/>
      <c r="C408" s="202"/>
      <c r="D408" s="202"/>
      <c r="E408" s="304"/>
      <c r="F408" s="211"/>
      <c r="G408" s="203"/>
      <c r="H408" s="203"/>
      <c r="I408" s="295"/>
      <c r="J408" s="264"/>
      <c r="K408" s="265"/>
      <c r="L408" s="266"/>
      <c r="M408" s="266"/>
      <c r="N408" s="266"/>
      <c r="O408" s="266"/>
      <c r="P408" s="266"/>
      <c r="Q408" s="266"/>
      <c r="R408" s="266"/>
    </row>
    <row r="409" spans="1:21" ht="30" customHeight="1">
      <c r="A409" s="204" t="str">
        <f>IF(ISBLANK(D409)," ",401-COUNTBLANK($D$6:D409))</f>
        <v xml:space="preserve"> </v>
      </c>
      <c r="B409" s="202"/>
      <c r="C409" s="202"/>
      <c r="D409" s="202"/>
      <c r="E409" s="304"/>
      <c r="F409" s="211"/>
      <c r="G409" s="203"/>
      <c r="H409" s="203"/>
      <c r="I409" s="295"/>
      <c r="J409" s="264"/>
      <c r="K409" s="265"/>
      <c r="L409" s="266"/>
      <c r="M409" s="266"/>
      <c r="N409" s="266"/>
      <c r="O409" s="266"/>
      <c r="P409" s="266"/>
      <c r="Q409" s="266"/>
      <c r="R409" s="266"/>
    </row>
    <row r="410" spans="1:21" ht="30" customHeight="1">
      <c r="A410" s="204" t="str">
        <f>IF(ISBLANK(D410)," ",402-COUNTBLANK($D$6:D410))</f>
        <v xml:space="preserve"> </v>
      </c>
      <c r="B410" s="202"/>
      <c r="C410" s="202"/>
      <c r="D410" s="202"/>
      <c r="E410" s="304"/>
      <c r="F410" s="211"/>
      <c r="G410" s="203"/>
      <c r="H410" s="203"/>
      <c r="I410" s="295"/>
      <c r="J410" s="264"/>
      <c r="K410" s="265"/>
      <c r="L410" s="266"/>
      <c r="M410" s="266"/>
      <c r="N410" s="266"/>
      <c r="O410" s="266"/>
      <c r="P410" s="266"/>
      <c r="Q410" s="266"/>
      <c r="R410" s="266"/>
    </row>
    <row r="411" spans="1:21" ht="30" customHeight="1">
      <c r="A411" s="204" t="str">
        <f>IF(ISBLANK(D411)," ",403-COUNTBLANK($D$6:D411))</f>
        <v xml:space="preserve"> </v>
      </c>
      <c r="B411" s="202"/>
      <c r="C411" s="202"/>
      <c r="D411" s="202"/>
      <c r="E411" s="304"/>
      <c r="F411" s="211"/>
      <c r="G411" s="203"/>
      <c r="H411" s="203"/>
      <c r="I411" s="295"/>
      <c r="J411" s="264"/>
      <c r="K411" s="265"/>
      <c r="L411" s="266"/>
      <c r="M411" s="266"/>
      <c r="N411" s="266"/>
      <c r="O411" s="266"/>
      <c r="P411" s="266"/>
      <c r="Q411" s="266"/>
      <c r="R411" s="266"/>
    </row>
    <row r="412" spans="1:21" ht="30" customHeight="1">
      <c r="A412" s="204" t="str">
        <f>IF(ISBLANK(D412)," ",404-COUNTBLANK($D$6:D412))</f>
        <v xml:space="preserve"> </v>
      </c>
      <c r="B412" s="202"/>
      <c r="C412" s="202"/>
      <c r="D412" s="202"/>
      <c r="E412" s="304"/>
      <c r="F412" s="211"/>
      <c r="G412" s="203"/>
      <c r="H412" s="203"/>
      <c r="I412" s="295"/>
      <c r="J412" s="264"/>
      <c r="K412" s="265"/>
      <c r="L412" s="266"/>
      <c r="M412" s="266"/>
      <c r="N412" s="266"/>
      <c r="O412" s="266"/>
      <c r="P412" s="266"/>
      <c r="Q412" s="266"/>
      <c r="R412" s="266"/>
    </row>
    <row r="413" spans="1:21" ht="30" customHeight="1">
      <c r="A413" s="204" t="str">
        <f>IF(ISBLANK(D413)," ",405-COUNTBLANK($D$6:D413))</f>
        <v xml:space="preserve"> </v>
      </c>
      <c r="B413" s="202"/>
      <c r="C413" s="202"/>
      <c r="D413" s="202"/>
      <c r="E413" s="304"/>
      <c r="F413" s="211"/>
      <c r="G413" s="203"/>
      <c r="H413" s="203"/>
      <c r="I413" s="295"/>
      <c r="J413" s="264"/>
      <c r="K413" s="265"/>
      <c r="L413" s="266"/>
      <c r="M413" s="266"/>
      <c r="N413" s="266"/>
      <c r="O413" s="266"/>
      <c r="P413" s="266"/>
      <c r="Q413" s="266"/>
      <c r="R413" s="266"/>
    </row>
    <row r="414" spans="1:21" ht="30" customHeight="1">
      <c r="A414" s="204" t="str">
        <f>IF(ISBLANK(D414)," ",406-COUNTBLANK($D$6:D414))</f>
        <v xml:space="preserve"> </v>
      </c>
      <c r="B414" s="202"/>
      <c r="C414" s="202"/>
      <c r="D414" s="202"/>
      <c r="E414" s="304"/>
      <c r="F414" s="211"/>
      <c r="G414" s="203"/>
      <c r="H414" s="203"/>
      <c r="I414" s="295"/>
      <c r="J414" s="264"/>
      <c r="K414" s="265"/>
      <c r="L414" s="266"/>
      <c r="M414" s="266"/>
      <c r="N414" s="266"/>
      <c r="O414" s="266"/>
      <c r="P414" s="266"/>
      <c r="Q414" s="266"/>
      <c r="R414" s="266"/>
    </row>
    <row r="415" spans="1:21" ht="30" customHeight="1">
      <c r="A415" s="204" t="str">
        <f>IF(ISBLANK(D415)," ",407-COUNTBLANK($D$6:D415))</f>
        <v xml:space="preserve"> </v>
      </c>
      <c r="B415" s="202"/>
      <c r="C415" s="202"/>
      <c r="D415" s="202"/>
      <c r="E415" s="304"/>
      <c r="F415" s="211"/>
      <c r="G415" s="203"/>
      <c r="H415" s="203"/>
      <c r="I415" s="295"/>
      <c r="J415" s="264"/>
      <c r="K415" s="265"/>
      <c r="L415" s="266"/>
      <c r="M415" s="266"/>
      <c r="N415" s="266"/>
      <c r="O415" s="266"/>
      <c r="P415" s="266"/>
      <c r="Q415" s="266"/>
      <c r="R415" s="266"/>
    </row>
    <row r="416" spans="1:21" ht="30" customHeight="1">
      <c r="A416" s="204" t="str">
        <f>IF(ISBLANK(D416)," ",408-COUNTBLANK($D$6:D416))</f>
        <v xml:space="preserve"> </v>
      </c>
      <c r="B416" s="202"/>
      <c r="C416" s="202"/>
      <c r="D416" s="202"/>
      <c r="E416" s="304"/>
      <c r="F416" s="211"/>
      <c r="G416" s="203"/>
      <c r="H416" s="203"/>
      <c r="I416" s="295"/>
      <c r="J416" s="264"/>
      <c r="K416" s="265"/>
      <c r="L416" s="266"/>
      <c r="M416" s="266"/>
      <c r="N416" s="266"/>
      <c r="O416" s="266"/>
      <c r="P416" s="266"/>
      <c r="Q416" s="266"/>
      <c r="R416" s="266"/>
    </row>
    <row r="417" spans="1:21" ht="30" customHeight="1">
      <c r="A417" s="204" t="str">
        <f>IF(ISBLANK(D417)," ",409-COUNTBLANK($D$6:D417))</f>
        <v xml:space="preserve"> </v>
      </c>
      <c r="B417" s="202"/>
      <c r="C417" s="202"/>
      <c r="D417" s="202"/>
      <c r="E417" s="304"/>
      <c r="F417" s="211"/>
      <c r="G417" s="203"/>
      <c r="H417" s="203"/>
      <c r="I417" s="295"/>
      <c r="J417" s="264"/>
      <c r="K417" s="265"/>
      <c r="L417" s="266"/>
      <c r="M417" s="266"/>
      <c r="N417" s="266"/>
      <c r="O417" s="266"/>
      <c r="P417" s="266"/>
      <c r="Q417" s="266"/>
      <c r="R417" s="266"/>
    </row>
    <row r="418" spans="1:21" ht="30" customHeight="1">
      <c r="A418" s="204" t="str">
        <f>IF(ISBLANK(D418)," ",410-COUNTBLANK($D$6:D418))</f>
        <v xml:space="preserve"> </v>
      </c>
      <c r="B418" s="202"/>
      <c r="C418" s="202"/>
      <c r="D418" s="202"/>
      <c r="E418" s="304"/>
      <c r="F418" s="211"/>
      <c r="G418" s="203"/>
      <c r="H418" s="203"/>
      <c r="I418" s="295"/>
      <c r="J418" s="264"/>
      <c r="K418" s="265"/>
      <c r="L418" s="266"/>
      <c r="M418" s="266"/>
      <c r="N418" s="266"/>
      <c r="O418" s="266"/>
      <c r="P418" s="266"/>
      <c r="Q418" s="266"/>
      <c r="R418" s="266"/>
    </row>
    <row r="419" spans="1:21" ht="30" customHeight="1">
      <c r="A419" s="204" t="str">
        <f>IF(ISBLANK(D419)," ",411-COUNTBLANK($D$6:D419))</f>
        <v xml:space="preserve"> </v>
      </c>
      <c r="B419" s="202"/>
      <c r="C419" s="202"/>
      <c r="D419" s="202"/>
      <c r="E419" s="304"/>
      <c r="F419" s="211"/>
      <c r="G419" s="203"/>
      <c r="H419" s="203"/>
      <c r="I419" s="295"/>
      <c r="J419" s="264"/>
      <c r="K419" s="265"/>
      <c r="L419" s="266"/>
      <c r="M419" s="266"/>
      <c r="N419" s="266"/>
      <c r="O419" s="266"/>
      <c r="P419" s="266"/>
      <c r="Q419" s="266"/>
      <c r="R419" s="266"/>
    </row>
    <row r="420" spans="1:21" ht="30" customHeight="1">
      <c r="A420" s="204" t="str">
        <f>IF(ISBLANK(D420)," ",412-COUNTBLANK($D$6:D420))</f>
        <v xml:space="preserve"> </v>
      </c>
      <c r="B420" s="202"/>
      <c r="C420" s="202"/>
      <c r="D420" s="202"/>
      <c r="E420" s="304"/>
      <c r="F420" s="211"/>
      <c r="G420" s="203"/>
      <c r="H420" s="203"/>
      <c r="I420" s="295"/>
      <c r="J420" s="264"/>
      <c r="K420" s="265"/>
      <c r="L420" s="266"/>
      <c r="M420" s="266"/>
      <c r="N420" s="266"/>
      <c r="O420" s="266"/>
      <c r="P420" s="266"/>
      <c r="Q420" s="266"/>
      <c r="R420" s="266"/>
    </row>
    <row r="421" spans="1:21" ht="30" customHeight="1">
      <c r="A421" s="204" t="str">
        <f>IF(ISBLANK(D421)," ",413-COUNTBLANK($D$6:D421))</f>
        <v xml:space="preserve"> </v>
      </c>
      <c r="B421" s="202"/>
      <c r="C421" s="202"/>
      <c r="D421" s="202"/>
      <c r="E421" s="304"/>
      <c r="F421" s="211"/>
      <c r="G421" s="203"/>
      <c r="H421" s="203"/>
      <c r="I421" s="295"/>
      <c r="J421" s="264"/>
      <c r="K421" s="265"/>
      <c r="L421" s="266"/>
      <c r="M421" s="266"/>
      <c r="N421" s="266"/>
      <c r="O421" s="266"/>
      <c r="P421" s="266"/>
      <c r="Q421" s="266"/>
      <c r="R421" s="266"/>
    </row>
    <row r="422" spans="1:21" ht="27.75" customHeight="1">
      <c r="A422" s="204" t="str">
        <f>IF(ISBLANK(D422)," ",414-COUNTBLANK($D$6:D422))</f>
        <v xml:space="preserve"> </v>
      </c>
      <c r="B422" s="202"/>
      <c r="C422" s="202"/>
      <c r="D422" s="202"/>
      <c r="E422" s="304"/>
      <c r="F422" s="211"/>
      <c r="G422" s="203"/>
      <c r="H422" s="203"/>
      <c r="I422" s="295"/>
      <c r="J422" s="264"/>
      <c r="K422" s="265"/>
      <c r="L422" s="266"/>
      <c r="M422" s="266"/>
      <c r="N422" s="266"/>
      <c r="O422" s="266"/>
      <c r="P422" s="266"/>
      <c r="Q422" s="266"/>
      <c r="R422" s="266"/>
    </row>
    <row r="423" spans="1:21" ht="27.75" customHeight="1">
      <c r="A423" s="204" t="str">
        <f>IF(ISBLANK(D423)," ",415-COUNTBLANK($D$6:D423))</f>
        <v xml:space="preserve"> </v>
      </c>
      <c r="B423" s="202"/>
      <c r="C423" s="202"/>
      <c r="D423" s="202"/>
      <c r="E423" s="304"/>
      <c r="F423" s="211"/>
      <c r="G423" s="203"/>
      <c r="H423" s="203"/>
      <c r="I423" s="295"/>
      <c r="J423" s="264"/>
      <c r="K423" s="267"/>
      <c r="L423" s="266"/>
      <c r="M423" s="266"/>
      <c r="N423" s="266"/>
      <c r="O423" s="266"/>
      <c r="P423" s="266"/>
      <c r="Q423" s="266"/>
      <c r="R423" s="268"/>
    </row>
    <row r="424" spans="1:21" ht="27.75" customHeight="1">
      <c r="A424" s="204" t="str">
        <f>IF(ISBLANK(D424)," ",416-COUNTBLANK($D$6:D424))</f>
        <v xml:space="preserve"> </v>
      </c>
      <c r="B424" s="202"/>
      <c r="C424" s="202"/>
      <c r="D424" s="202"/>
      <c r="E424" s="304"/>
      <c r="F424" s="211"/>
      <c r="G424" s="203"/>
      <c r="H424" s="203"/>
      <c r="I424" s="295"/>
      <c r="J424" s="264"/>
      <c r="K424" s="267"/>
      <c r="L424" s="266"/>
      <c r="M424" s="266"/>
      <c r="N424" s="266"/>
      <c r="O424" s="266"/>
      <c r="P424" s="266"/>
      <c r="Q424" s="266"/>
      <c r="R424" s="268"/>
    </row>
    <row r="425" spans="1:21" ht="27.75" customHeight="1">
      <c r="A425" s="204" t="str">
        <f>IF(ISBLANK(D425)," ",417-COUNTBLANK($D$6:D425))</f>
        <v xml:space="preserve"> </v>
      </c>
      <c r="B425" s="202"/>
      <c r="C425" s="202"/>
      <c r="D425" s="202"/>
      <c r="E425" s="304"/>
      <c r="F425" s="211"/>
      <c r="G425" s="203"/>
      <c r="H425" s="203"/>
      <c r="I425" s="295"/>
      <c r="J425" s="264"/>
      <c r="K425" s="267"/>
      <c r="L425" s="266"/>
      <c r="M425" s="266"/>
      <c r="N425" s="266"/>
      <c r="O425" s="266"/>
      <c r="P425" s="266"/>
      <c r="Q425" s="266"/>
      <c r="R425" s="268"/>
    </row>
    <row r="426" spans="1:21" ht="27.75" customHeight="1">
      <c r="A426" s="204" t="str">
        <f>IF(ISBLANK(D426)," ",418-COUNTBLANK($D$6:D426))</f>
        <v xml:space="preserve"> </v>
      </c>
      <c r="B426" s="202"/>
      <c r="C426" s="202"/>
      <c r="D426" s="202"/>
      <c r="E426" s="304"/>
      <c r="F426" s="211"/>
      <c r="G426" s="203"/>
      <c r="H426" s="203"/>
      <c r="I426" s="295"/>
      <c r="J426" s="264"/>
      <c r="K426" s="267"/>
      <c r="L426" s="266"/>
      <c r="M426" s="266"/>
      <c r="N426" s="266"/>
      <c r="O426" s="266"/>
      <c r="P426" s="266"/>
      <c r="Q426" s="266"/>
      <c r="R426" s="268"/>
    </row>
    <row r="427" spans="1:21" ht="27.75" customHeight="1">
      <c r="A427" s="308" t="str">
        <f>IF(ISBLANK(D427)," ",419-COUNTBLANK($D$6:D427))</f>
        <v xml:space="preserve"> </v>
      </c>
      <c r="B427" s="300"/>
      <c r="C427" s="309"/>
      <c r="D427" s="310"/>
      <c r="E427" s="301"/>
      <c r="F427" s="302"/>
      <c r="G427" s="286"/>
      <c r="H427" s="286"/>
      <c r="I427" s="307"/>
      <c r="J427" s="264"/>
      <c r="K427" s="265"/>
      <c r="L427" s="266"/>
      <c r="M427" s="266"/>
      <c r="N427" s="266"/>
      <c r="O427" s="266"/>
      <c r="P427" s="266"/>
      <c r="Q427" s="266"/>
      <c r="R427" s="288"/>
      <c r="S427" s="266"/>
      <c r="T427" s="266"/>
      <c r="U427" s="266"/>
    </row>
    <row r="428" spans="1:21" ht="27.75" customHeight="1">
      <c r="A428" s="261" t="s">
        <v>58</v>
      </c>
      <c r="B428" s="200"/>
      <c r="C428" s="200"/>
      <c r="D428" s="200"/>
      <c r="E428" s="303"/>
      <c r="F428" s="210">
        <f>SUM(F408:F427)</f>
        <v>0</v>
      </c>
      <c r="G428" s="201"/>
      <c r="H428" s="201"/>
      <c r="I428" s="295"/>
      <c r="J428" s="264"/>
      <c r="K428" s="267"/>
      <c r="L428" s="266"/>
      <c r="M428" s="266"/>
      <c r="N428" s="266"/>
      <c r="O428" s="266"/>
      <c r="P428" s="266"/>
      <c r="Q428" s="266"/>
      <c r="R428" s="288"/>
      <c r="S428" s="266"/>
      <c r="T428" s="266"/>
      <c r="U428" s="266"/>
    </row>
    <row r="429" spans="1:21" ht="27.75" customHeight="1">
      <c r="A429" s="204" t="str">
        <f>IF(ISBLANK(D429)," ",421-COUNTBLANK($D$6:D429))</f>
        <v xml:space="preserve"> </v>
      </c>
      <c r="B429" s="202"/>
      <c r="C429" s="202"/>
      <c r="D429" s="202"/>
      <c r="E429" s="304"/>
      <c r="F429" s="211"/>
      <c r="G429" s="203"/>
      <c r="H429" s="203"/>
      <c r="I429" s="295"/>
      <c r="J429" s="264"/>
      <c r="K429" s="265"/>
      <c r="L429" s="266"/>
      <c r="M429" s="266"/>
      <c r="N429" s="266"/>
      <c r="O429" s="266"/>
      <c r="P429" s="266"/>
      <c r="Q429" s="266"/>
      <c r="R429" s="266"/>
    </row>
    <row r="430" spans="1:21" ht="27.75" customHeight="1">
      <c r="A430" s="204" t="str">
        <f>IF(ISBLANK(D430)," ",422-COUNTBLANK($D$6:D430))</f>
        <v xml:space="preserve"> </v>
      </c>
      <c r="B430" s="202"/>
      <c r="C430" s="202"/>
      <c r="D430" s="202"/>
      <c r="E430" s="304"/>
      <c r="F430" s="211"/>
      <c r="G430" s="203"/>
      <c r="H430" s="203"/>
      <c r="I430" s="295"/>
      <c r="J430" s="264"/>
      <c r="K430" s="265"/>
      <c r="L430" s="266"/>
      <c r="M430" s="266"/>
      <c r="N430" s="266"/>
      <c r="O430" s="266"/>
      <c r="P430" s="266"/>
      <c r="Q430" s="266"/>
      <c r="R430" s="266"/>
    </row>
    <row r="431" spans="1:21" ht="27.75" customHeight="1">
      <c r="A431" s="204" t="str">
        <f>IF(ISBLANK(D431)," ",423-COUNTBLANK($D$6:D431))</f>
        <v xml:space="preserve"> </v>
      </c>
      <c r="B431" s="202"/>
      <c r="C431" s="202"/>
      <c r="D431" s="202"/>
      <c r="E431" s="304"/>
      <c r="F431" s="211"/>
      <c r="G431" s="203"/>
      <c r="H431" s="203"/>
      <c r="I431" s="295"/>
      <c r="J431" s="264"/>
      <c r="K431" s="265"/>
      <c r="L431" s="266"/>
      <c r="M431" s="266"/>
      <c r="N431" s="266"/>
      <c r="O431" s="266"/>
      <c r="P431" s="266"/>
      <c r="Q431" s="266"/>
      <c r="R431" s="266"/>
    </row>
    <row r="432" spans="1:21" ht="27.75" customHeight="1">
      <c r="A432" s="204" t="str">
        <f>IF(ISBLANK(D432)," ",424-COUNTBLANK($D$6:D432))</f>
        <v xml:space="preserve"> </v>
      </c>
      <c r="B432" s="202"/>
      <c r="C432" s="202"/>
      <c r="D432" s="202"/>
      <c r="E432" s="304"/>
      <c r="F432" s="211"/>
      <c r="G432" s="203"/>
      <c r="H432" s="203"/>
      <c r="I432" s="295"/>
      <c r="J432" s="264"/>
      <c r="K432" s="265"/>
      <c r="L432" s="266"/>
      <c r="M432" s="266"/>
      <c r="N432" s="266"/>
      <c r="O432" s="266"/>
      <c r="P432" s="266"/>
      <c r="Q432" s="266"/>
      <c r="R432" s="266"/>
    </row>
    <row r="433" spans="1:21" ht="27.75" customHeight="1">
      <c r="A433" s="204" t="str">
        <f>IF(ISBLANK(D433)," ",425-COUNTBLANK($D$6:D433))</f>
        <v xml:space="preserve"> </v>
      </c>
      <c r="B433" s="202"/>
      <c r="C433" s="202"/>
      <c r="D433" s="202"/>
      <c r="E433" s="304"/>
      <c r="F433" s="211"/>
      <c r="G433" s="203"/>
      <c r="H433" s="203"/>
      <c r="I433" s="295"/>
      <c r="J433" s="264"/>
      <c r="K433" s="265"/>
      <c r="L433" s="266"/>
      <c r="M433" s="266"/>
      <c r="N433" s="266"/>
      <c r="O433" s="266"/>
      <c r="P433" s="266"/>
      <c r="Q433" s="266"/>
      <c r="R433" s="266"/>
    </row>
    <row r="434" spans="1:21" ht="27.75" customHeight="1">
      <c r="A434" s="204" t="str">
        <f>IF(ISBLANK(D434)," ",426-COUNTBLANK($D$6:D434))</f>
        <v xml:space="preserve"> </v>
      </c>
      <c r="B434" s="202"/>
      <c r="C434" s="202"/>
      <c r="D434" s="202"/>
      <c r="E434" s="304"/>
      <c r="F434" s="211"/>
      <c r="G434" s="203"/>
      <c r="H434" s="203"/>
      <c r="I434" s="295"/>
      <c r="J434" s="264"/>
      <c r="K434" s="265"/>
      <c r="L434" s="266"/>
      <c r="M434" s="266"/>
      <c r="N434" s="266"/>
      <c r="O434" s="266"/>
      <c r="P434" s="266"/>
      <c r="Q434" s="266"/>
      <c r="R434" s="266"/>
    </row>
    <row r="435" spans="1:21" ht="27.75" customHeight="1">
      <c r="A435" s="204" t="str">
        <f>IF(ISBLANK(D435)," ",427-COUNTBLANK($D$6:D435))</f>
        <v xml:space="preserve"> </v>
      </c>
      <c r="B435" s="202"/>
      <c r="C435" s="202"/>
      <c r="D435" s="202"/>
      <c r="E435" s="304"/>
      <c r="F435" s="211"/>
      <c r="G435" s="203"/>
      <c r="H435" s="203"/>
      <c r="I435" s="295"/>
      <c r="J435" s="264"/>
      <c r="K435" s="265"/>
      <c r="L435" s="266"/>
      <c r="M435" s="266"/>
      <c r="N435" s="266"/>
      <c r="O435" s="266"/>
      <c r="P435" s="266"/>
      <c r="Q435" s="266"/>
      <c r="R435" s="266"/>
    </row>
    <row r="436" spans="1:21" ht="27.75" customHeight="1">
      <c r="A436" s="204" t="str">
        <f>IF(ISBLANK(D436)," ",428-COUNTBLANK($D$6:D436))</f>
        <v xml:space="preserve"> </v>
      </c>
      <c r="B436" s="202"/>
      <c r="C436" s="202"/>
      <c r="D436" s="202"/>
      <c r="E436" s="304"/>
      <c r="F436" s="211"/>
      <c r="G436" s="203"/>
      <c r="H436" s="203"/>
      <c r="I436" s="295"/>
      <c r="J436" s="264"/>
      <c r="K436" s="265"/>
      <c r="L436" s="266"/>
      <c r="M436" s="266"/>
      <c r="N436" s="266"/>
      <c r="O436" s="266"/>
      <c r="P436" s="266"/>
      <c r="Q436" s="266"/>
      <c r="R436" s="266"/>
    </row>
    <row r="437" spans="1:21" ht="27.75" customHeight="1">
      <c r="A437" s="204" t="str">
        <f>IF(ISBLANK(D437)," ",429-COUNTBLANK($D$6:D437))</f>
        <v xml:space="preserve"> </v>
      </c>
      <c r="B437" s="202"/>
      <c r="C437" s="202"/>
      <c r="D437" s="202"/>
      <c r="E437" s="304"/>
      <c r="F437" s="211"/>
      <c r="G437" s="203"/>
      <c r="H437" s="203"/>
      <c r="I437" s="295"/>
      <c r="J437" s="264"/>
      <c r="K437" s="265"/>
      <c r="L437" s="266"/>
      <c r="M437" s="266"/>
      <c r="N437" s="266"/>
      <c r="O437" s="266"/>
      <c r="P437" s="266"/>
      <c r="Q437" s="266"/>
      <c r="R437" s="266"/>
    </row>
    <row r="438" spans="1:21" ht="27.75" customHeight="1">
      <c r="A438" s="204" t="str">
        <f>IF(ISBLANK(D438)," ",430-COUNTBLANK($D$6:D438))</f>
        <v xml:space="preserve"> </v>
      </c>
      <c r="B438" s="202"/>
      <c r="C438" s="202"/>
      <c r="D438" s="202"/>
      <c r="E438" s="304"/>
      <c r="F438" s="211"/>
      <c r="G438" s="203"/>
      <c r="H438" s="203"/>
      <c r="I438" s="295"/>
      <c r="J438" s="264"/>
      <c r="K438" s="265"/>
      <c r="L438" s="266"/>
      <c r="M438" s="266"/>
      <c r="N438" s="266"/>
      <c r="O438" s="266"/>
      <c r="P438" s="266"/>
      <c r="Q438" s="266"/>
      <c r="R438" s="266"/>
    </row>
    <row r="439" spans="1:21" ht="27.75" customHeight="1">
      <c r="A439" s="204" t="str">
        <f>IF(ISBLANK(D439)," ",431-COUNTBLANK($D$6:D439))</f>
        <v xml:space="preserve"> </v>
      </c>
      <c r="B439" s="202"/>
      <c r="C439" s="202"/>
      <c r="D439" s="202"/>
      <c r="E439" s="304"/>
      <c r="F439" s="211"/>
      <c r="G439" s="203"/>
      <c r="H439" s="203"/>
      <c r="I439" s="295"/>
      <c r="J439" s="264"/>
      <c r="K439" s="265"/>
      <c r="L439" s="266"/>
      <c r="M439" s="266"/>
      <c r="N439" s="266"/>
      <c r="O439" s="266"/>
      <c r="P439" s="266"/>
      <c r="Q439" s="266"/>
      <c r="R439" s="266"/>
    </row>
    <row r="440" spans="1:21" ht="27.75" customHeight="1">
      <c r="A440" s="204" t="str">
        <f>IF(ISBLANK(D440)," ",432-COUNTBLANK($D$6:D440))</f>
        <v xml:space="preserve"> </v>
      </c>
      <c r="B440" s="202"/>
      <c r="C440" s="202"/>
      <c r="D440" s="202"/>
      <c r="E440" s="304"/>
      <c r="F440" s="211"/>
      <c r="G440" s="203"/>
      <c r="H440" s="203"/>
      <c r="I440" s="295"/>
      <c r="J440" s="264"/>
      <c r="K440" s="265"/>
      <c r="L440" s="266"/>
      <c r="M440" s="266"/>
      <c r="N440" s="266"/>
      <c r="O440" s="266"/>
      <c r="P440" s="266"/>
      <c r="Q440" s="266"/>
      <c r="R440" s="266"/>
    </row>
    <row r="441" spans="1:21" ht="27.75" customHeight="1">
      <c r="A441" s="204" t="str">
        <f>IF(ISBLANK(D441)," ",433-COUNTBLANK($D$6:D441))</f>
        <v xml:space="preserve"> </v>
      </c>
      <c r="B441" s="202"/>
      <c r="C441" s="202"/>
      <c r="D441" s="202"/>
      <c r="E441" s="304"/>
      <c r="F441" s="211"/>
      <c r="G441" s="203"/>
      <c r="H441" s="203"/>
      <c r="I441" s="295"/>
      <c r="J441" s="264"/>
      <c r="K441" s="265"/>
      <c r="L441" s="266"/>
      <c r="M441" s="266"/>
      <c r="N441" s="266"/>
      <c r="O441" s="266"/>
      <c r="P441" s="266"/>
      <c r="Q441" s="266"/>
      <c r="R441" s="266"/>
    </row>
    <row r="442" spans="1:21" ht="27.75" customHeight="1">
      <c r="A442" s="204" t="str">
        <f>IF(ISBLANK(D442)," ",434-COUNTBLANK($D$6:D442))</f>
        <v xml:space="preserve"> </v>
      </c>
      <c r="B442" s="202"/>
      <c r="C442" s="202"/>
      <c r="D442" s="202"/>
      <c r="E442" s="304"/>
      <c r="F442" s="211"/>
      <c r="G442" s="203"/>
      <c r="H442" s="203"/>
      <c r="I442" s="295"/>
      <c r="J442" s="264"/>
      <c r="K442" s="265"/>
      <c r="L442" s="266"/>
      <c r="M442" s="266"/>
      <c r="N442" s="266"/>
      <c r="O442" s="266"/>
      <c r="P442" s="266"/>
      <c r="Q442" s="266"/>
      <c r="R442" s="266"/>
    </row>
    <row r="443" spans="1:21" ht="27.75" customHeight="1">
      <c r="A443" s="204" t="str">
        <f>IF(ISBLANK(D443)," ",435-COUNTBLANK($D$6:D443))</f>
        <v xml:space="preserve"> </v>
      </c>
      <c r="B443" s="202"/>
      <c r="C443" s="202"/>
      <c r="D443" s="202"/>
      <c r="E443" s="304"/>
      <c r="F443" s="211"/>
      <c r="G443" s="203"/>
      <c r="H443" s="203"/>
      <c r="I443" s="295"/>
      <c r="J443" s="264"/>
      <c r="K443" s="265"/>
      <c r="L443" s="266"/>
      <c r="M443" s="266"/>
      <c r="N443" s="266"/>
      <c r="O443" s="266"/>
      <c r="P443" s="266"/>
      <c r="Q443" s="266"/>
      <c r="R443" s="266"/>
    </row>
    <row r="444" spans="1:21" ht="27.75" customHeight="1">
      <c r="A444" s="204" t="str">
        <f>IF(ISBLANK(D444)," ",436-COUNTBLANK($D$6:D444))</f>
        <v xml:space="preserve"> </v>
      </c>
      <c r="B444" s="202"/>
      <c r="C444" s="202"/>
      <c r="D444" s="202"/>
      <c r="E444" s="304"/>
      <c r="F444" s="211"/>
      <c r="G444" s="203"/>
      <c r="H444" s="203"/>
      <c r="I444" s="295"/>
      <c r="J444" s="264"/>
      <c r="K444" s="267"/>
      <c r="L444" s="266"/>
      <c r="M444" s="266"/>
      <c r="N444" s="266"/>
      <c r="O444" s="266"/>
      <c r="P444" s="266"/>
      <c r="Q444" s="266"/>
      <c r="R444" s="268"/>
    </row>
    <row r="445" spans="1:21" ht="27.75" customHeight="1">
      <c r="A445" s="204" t="str">
        <f>IF(ISBLANK(D445)," ",437-COUNTBLANK($D$6:D445))</f>
        <v xml:space="preserve"> </v>
      </c>
      <c r="B445" s="202"/>
      <c r="C445" s="202"/>
      <c r="D445" s="202"/>
      <c r="E445" s="304"/>
      <c r="F445" s="211"/>
      <c r="G445" s="203"/>
      <c r="H445" s="203"/>
      <c r="I445" s="295"/>
      <c r="J445" s="264"/>
      <c r="K445" s="267"/>
      <c r="L445" s="266"/>
      <c r="M445" s="266"/>
      <c r="N445" s="266"/>
      <c r="O445" s="266"/>
      <c r="P445" s="266"/>
      <c r="Q445" s="266"/>
      <c r="R445" s="268"/>
    </row>
    <row r="446" spans="1:21" ht="27.75" customHeight="1">
      <c r="A446" s="204" t="str">
        <f>IF(ISBLANK(D446)," ",438-COUNTBLANK($D$6:D446))</f>
        <v xml:space="preserve"> </v>
      </c>
      <c r="B446" s="202"/>
      <c r="C446" s="202"/>
      <c r="D446" s="202"/>
      <c r="E446" s="304"/>
      <c r="F446" s="211"/>
      <c r="G446" s="203"/>
      <c r="H446" s="203"/>
      <c r="I446" s="295"/>
      <c r="J446" s="264"/>
      <c r="K446" s="267"/>
      <c r="L446" s="266"/>
      <c r="M446" s="266"/>
      <c r="N446" s="266"/>
      <c r="O446" s="266"/>
      <c r="P446" s="266"/>
      <c r="Q446" s="266"/>
      <c r="R446" s="268"/>
    </row>
    <row r="447" spans="1:21" ht="27.75" customHeight="1">
      <c r="A447" s="204" t="str">
        <f>IF(ISBLANK(D447)," ",439-COUNTBLANK($D$6:D447))</f>
        <v xml:space="preserve"> </v>
      </c>
      <c r="B447" s="202"/>
      <c r="C447" s="202"/>
      <c r="D447" s="202"/>
      <c r="E447" s="304"/>
      <c r="F447" s="211"/>
      <c r="G447" s="203"/>
      <c r="H447" s="203"/>
      <c r="I447" s="295"/>
      <c r="J447" s="264"/>
      <c r="K447" s="267"/>
      <c r="L447" s="266"/>
      <c r="M447" s="266"/>
      <c r="N447" s="266"/>
      <c r="O447" s="266"/>
      <c r="P447" s="266"/>
      <c r="Q447" s="266"/>
      <c r="R447" s="268"/>
    </row>
    <row r="448" spans="1:21" ht="27.75" customHeight="1">
      <c r="A448" s="308" t="str">
        <f>IF(ISBLANK(D448)," ",440-COUNTBLANK($D$6:D448))</f>
        <v xml:space="preserve"> </v>
      </c>
      <c r="B448" s="300"/>
      <c r="C448" s="309"/>
      <c r="D448" s="310"/>
      <c r="E448" s="301"/>
      <c r="F448" s="302"/>
      <c r="G448" s="286"/>
      <c r="H448" s="286"/>
      <c r="I448" s="307"/>
      <c r="J448" s="264"/>
      <c r="K448" s="265"/>
      <c r="L448" s="266"/>
      <c r="M448" s="266"/>
      <c r="N448" s="266"/>
      <c r="O448" s="266"/>
      <c r="P448" s="266"/>
      <c r="Q448" s="266"/>
      <c r="R448" s="288"/>
      <c r="S448" s="266"/>
      <c r="T448" s="266"/>
      <c r="U448" s="266"/>
    </row>
    <row r="449" spans="1:21" ht="27.75" customHeight="1">
      <c r="A449" s="261" t="s">
        <v>58</v>
      </c>
      <c r="B449" s="200"/>
      <c r="C449" s="200"/>
      <c r="D449" s="200"/>
      <c r="E449" s="303"/>
      <c r="F449" s="210">
        <f>SUM(F429:F448)</f>
        <v>0</v>
      </c>
      <c r="G449" s="201"/>
      <c r="H449" s="201"/>
      <c r="I449" s="295"/>
      <c r="J449" s="264"/>
      <c r="K449" s="267"/>
      <c r="L449" s="266"/>
      <c r="M449" s="266"/>
      <c r="N449" s="266"/>
      <c r="O449" s="266"/>
      <c r="P449" s="266"/>
      <c r="Q449" s="266"/>
      <c r="R449" s="288"/>
      <c r="S449" s="266"/>
      <c r="T449" s="266"/>
      <c r="U449" s="266"/>
    </row>
    <row r="450" spans="1:21" ht="27.75" customHeight="1">
      <c r="A450" s="204" t="str">
        <f>IF(ISBLANK(D450)," ",442-COUNTBLANK($D$6:D450))</f>
        <v xml:space="preserve"> </v>
      </c>
      <c r="B450" s="202"/>
      <c r="C450" s="202"/>
      <c r="D450" s="202"/>
      <c r="E450" s="304"/>
      <c r="F450" s="211"/>
      <c r="G450" s="203"/>
      <c r="H450" s="203"/>
      <c r="I450" s="295"/>
      <c r="J450" s="264"/>
      <c r="K450" s="265"/>
      <c r="L450" s="266"/>
      <c r="M450" s="266"/>
      <c r="N450" s="266"/>
      <c r="O450" s="266"/>
      <c r="P450" s="266"/>
      <c r="Q450" s="266"/>
      <c r="R450" s="266"/>
    </row>
    <row r="451" spans="1:21" ht="27.75" customHeight="1">
      <c r="A451" s="204" t="str">
        <f>IF(ISBLANK(D451)," ",443-COUNTBLANK($D$6:D451))</f>
        <v xml:space="preserve"> </v>
      </c>
      <c r="B451" s="202"/>
      <c r="C451" s="202"/>
      <c r="D451" s="202"/>
      <c r="E451" s="304"/>
      <c r="F451" s="211"/>
      <c r="G451" s="203"/>
      <c r="H451" s="203"/>
      <c r="I451" s="295"/>
      <c r="J451" s="264"/>
      <c r="K451" s="265"/>
      <c r="L451" s="266"/>
      <c r="M451" s="266"/>
      <c r="N451" s="266"/>
      <c r="O451" s="266"/>
      <c r="P451" s="266"/>
      <c r="Q451" s="266"/>
      <c r="R451" s="266"/>
    </row>
    <row r="452" spans="1:21" ht="27.75" customHeight="1">
      <c r="A452" s="204" t="str">
        <f>IF(ISBLANK(D452)," ",444-COUNTBLANK($D$6:D452))</f>
        <v xml:space="preserve"> </v>
      </c>
      <c r="B452" s="202"/>
      <c r="C452" s="202"/>
      <c r="D452" s="202"/>
      <c r="E452" s="304"/>
      <c r="F452" s="211"/>
      <c r="G452" s="203"/>
      <c r="H452" s="203"/>
      <c r="I452" s="295"/>
      <c r="J452" s="264"/>
      <c r="K452" s="265"/>
      <c r="L452" s="266"/>
      <c r="M452" s="266"/>
      <c r="N452" s="266"/>
      <c r="O452" s="266"/>
      <c r="P452" s="266"/>
      <c r="Q452" s="266"/>
      <c r="R452" s="266"/>
    </row>
    <row r="453" spans="1:21" ht="27.75" customHeight="1">
      <c r="A453" s="204" t="str">
        <f>IF(ISBLANK(D453)," ",445-COUNTBLANK($D$6:D453))</f>
        <v xml:space="preserve"> </v>
      </c>
      <c r="B453" s="202"/>
      <c r="C453" s="202"/>
      <c r="D453" s="202"/>
      <c r="E453" s="304"/>
      <c r="F453" s="211"/>
      <c r="G453" s="203"/>
      <c r="H453" s="203"/>
      <c r="I453" s="295"/>
      <c r="J453" s="264"/>
      <c r="K453" s="265"/>
      <c r="L453" s="266"/>
      <c r="M453" s="266"/>
      <c r="N453" s="266"/>
      <c r="O453" s="266"/>
      <c r="P453" s="266"/>
      <c r="Q453" s="266"/>
      <c r="R453" s="266"/>
    </row>
    <row r="454" spans="1:21" ht="27.75" customHeight="1">
      <c r="A454" s="204" t="str">
        <f>IF(ISBLANK(D454)," ",446-COUNTBLANK($D$6:D454))</f>
        <v xml:space="preserve"> </v>
      </c>
      <c r="B454" s="202"/>
      <c r="C454" s="202"/>
      <c r="D454" s="202"/>
      <c r="E454" s="304"/>
      <c r="F454" s="211"/>
      <c r="G454" s="203"/>
      <c r="H454" s="203"/>
      <c r="I454" s="295"/>
      <c r="J454" s="264"/>
      <c r="K454" s="265"/>
      <c r="L454" s="266"/>
      <c r="M454" s="266"/>
      <c r="N454" s="266"/>
      <c r="O454" s="266"/>
      <c r="P454" s="266"/>
      <c r="Q454" s="266"/>
      <c r="R454" s="266"/>
    </row>
    <row r="455" spans="1:21" ht="27.75" customHeight="1">
      <c r="A455" s="204" t="str">
        <f>IF(ISBLANK(D455)," ",447-COUNTBLANK($D$6:D455))</f>
        <v xml:space="preserve"> </v>
      </c>
      <c r="B455" s="202"/>
      <c r="C455" s="202"/>
      <c r="D455" s="202"/>
      <c r="E455" s="304"/>
      <c r="F455" s="211"/>
      <c r="G455" s="203"/>
      <c r="H455" s="203"/>
      <c r="I455" s="295"/>
      <c r="J455" s="264"/>
      <c r="K455" s="265"/>
      <c r="L455" s="266"/>
      <c r="M455" s="266"/>
      <c r="N455" s="266"/>
      <c r="O455" s="266"/>
      <c r="P455" s="266"/>
      <c r="Q455" s="266"/>
      <c r="R455" s="266"/>
    </row>
    <row r="456" spans="1:21" ht="27.75" customHeight="1">
      <c r="A456" s="204" t="str">
        <f>IF(ISBLANK(D456)," ",448-COUNTBLANK($D$6:D456))</f>
        <v xml:space="preserve"> </v>
      </c>
      <c r="B456" s="202"/>
      <c r="C456" s="202"/>
      <c r="D456" s="202"/>
      <c r="E456" s="304"/>
      <c r="F456" s="211"/>
      <c r="G456" s="203"/>
      <c r="H456" s="203"/>
      <c r="I456" s="295"/>
      <c r="J456" s="264"/>
      <c r="K456" s="265"/>
      <c r="L456" s="266"/>
      <c r="M456" s="266"/>
      <c r="N456" s="266"/>
      <c r="O456" s="266"/>
      <c r="P456" s="266"/>
      <c r="Q456" s="266"/>
      <c r="R456" s="266"/>
    </row>
    <row r="457" spans="1:21" ht="27.75" customHeight="1">
      <c r="A457" s="204" t="str">
        <f>IF(ISBLANK(D457)," ",449-COUNTBLANK($D$6:D457))</f>
        <v xml:space="preserve"> </v>
      </c>
      <c r="B457" s="202"/>
      <c r="C457" s="202"/>
      <c r="D457" s="202"/>
      <c r="E457" s="304"/>
      <c r="F457" s="211"/>
      <c r="G457" s="203"/>
      <c r="H457" s="203"/>
      <c r="I457" s="295"/>
      <c r="J457" s="264"/>
      <c r="K457" s="265"/>
      <c r="L457" s="266"/>
      <c r="M457" s="266"/>
      <c r="N457" s="266"/>
      <c r="O457" s="266"/>
      <c r="P457" s="266"/>
      <c r="Q457" s="266"/>
      <c r="R457" s="266"/>
    </row>
    <row r="458" spans="1:21" ht="27.75" customHeight="1">
      <c r="A458" s="204" t="str">
        <f>IF(ISBLANK(D458)," ",450-COUNTBLANK($D$6:D458))</f>
        <v xml:space="preserve"> </v>
      </c>
      <c r="B458" s="202"/>
      <c r="C458" s="202"/>
      <c r="D458" s="202"/>
      <c r="E458" s="304"/>
      <c r="F458" s="211"/>
      <c r="G458" s="203"/>
      <c r="H458" s="203"/>
      <c r="I458" s="295"/>
      <c r="J458" s="264"/>
      <c r="K458" s="265"/>
      <c r="L458" s="266"/>
      <c r="M458" s="266"/>
      <c r="N458" s="266"/>
      <c r="O458" s="266"/>
      <c r="P458" s="266"/>
      <c r="Q458" s="266"/>
      <c r="R458" s="266"/>
    </row>
    <row r="459" spans="1:21" ht="27.75" customHeight="1">
      <c r="A459" s="204" t="str">
        <f>IF(ISBLANK(D459)," ",451-COUNTBLANK($D$6:D459))</f>
        <v xml:space="preserve"> </v>
      </c>
      <c r="B459" s="202"/>
      <c r="C459" s="202"/>
      <c r="D459" s="202"/>
      <c r="E459" s="304"/>
      <c r="F459" s="211"/>
      <c r="G459" s="203"/>
      <c r="H459" s="203"/>
      <c r="I459" s="295"/>
      <c r="J459" s="264"/>
      <c r="K459" s="265"/>
      <c r="L459" s="266"/>
      <c r="M459" s="266"/>
      <c r="N459" s="266"/>
      <c r="O459" s="266"/>
      <c r="P459" s="266"/>
      <c r="Q459" s="266"/>
      <c r="R459" s="266"/>
    </row>
    <row r="460" spans="1:21" ht="27.75" customHeight="1">
      <c r="A460" s="204" t="str">
        <f>IF(ISBLANK(D460)," ",452-COUNTBLANK($D$6:D460))</f>
        <v xml:space="preserve"> </v>
      </c>
      <c r="B460" s="202"/>
      <c r="C460" s="202"/>
      <c r="D460" s="202"/>
      <c r="E460" s="304"/>
      <c r="F460" s="211"/>
      <c r="G460" s="203"/>
      <c r="H460" s="203"/>
      <c r="I460" s="295"/>
      <c r="J460" s="264"/>
      <c r="K460" s="265"/>
      <c r="L460" s="266"/>
      <c r="M460" s="266"/>
      <c r="N460" s="266"/>
      <c r="O460" s="266"/>
      <c r="P460" s="266"/>
      <c r="Q460" s="266"/>
      <c r="R460" s="266"/>
    </row>
    <row r="461" spans="1:21" ht="27.75" customHeight="1">
      <c r="A461" s="204" t="str">
        <f>IF(ISBLANK(D461)," ",453-COUNTBLANK($D$6:D461))</f>
        <v xml:space="preserve"> </v>
      </c>
      <c r="B461" s="202"/>
      <c r="C461" s="202"/>
      <c r="D461" s="202"/>
      <c r="E461" s="304"/>
      <c r="F461" s="211"/>
      <c r="G461" s="203"/>
      <c r="H461" s="203"/>
      <c r="I461" s="295"/>
      <c r="J461" s="264"/>
      <c r="K461" s="265"/>
      <c r="L461" s="266"/>
      <c r="M461" s="266"/>
      <c r="N461" s="266"/>
      <c r="O461" s="266"/>
      <c r="P461" s="266"/>
      <c r="Q461" s="266"/>
      <c r="R461" s="266"/>
    </row>
    <row r="462" spans="1:21" ht="27.75" customHeight="1">
      <c r="A462" s="204" t="str">
        <f>IF(ISBLANK(D462)," ",454-COUNTBLANK($D$6:D462))</f>
        <v xml:space="preserve"> </v>
      </c>
      <c r="B462" s="202"/>
      <c r="C462" s="202"/>
      <c r="D462" s="202"/>
      <c r="E462" s="304"/>
      <c r="F462" s="211"/>
      <c r="G462" s="203"/>
      <c r="H462" s="203"/>
      <c r="I462" s="295"/>
      <c r="J462" s="264"/>
      <c r="K462" s="265"/>
      <c r="L462" s="266"/>
      <c r="M462" s="266"/>
      <c r="N462" s="266"/>
      <c r="O462" s="266"/>
      <c r="P462" s="266"/>
      <c r="Q462" s="266"/>
      <c r="R462" s="266"/>
    </row>
    <row r="463" spans="1:21" ht="27.75" customHeight="1">
      <c r="A463" s="204" t="str">
        <f>IF(ISBLANK(D463)," ",455-COUNTBLANK($D$6:D463))</f>
        <v xml:space="preserve"> </v>
      </c>
      <c r="B463" s="202"/>
      <c r="C463" s="202"/>
      <c r="D463" s="202"/>
      <c r="E463" s="304"/>
      <c r="F463" s="211"/>
      <c r="G463" s="203"/>
      <c r="H463" s="203"/>
      <c r="I463" s="295"/>
      <c r="J463" s="264"/>
      <c r="K463" s="265"/>
      <c r="L463" s="266"/>
      <c r="M463" s="266"/>
      <c r="N463" s="266"/>
      <c r="O463" s="266"/>
      <c r="P463" s="266"/>
      <c r="Q463" s="266"/>
      <c r="R463" s="266"/>
    </row>
    <row r="464" spans="1:21" ht="27.75" customHeight="1">
      <c r="A464" s="204" t="str">
        <f>IF(ISBLANK(D464)," ",456-COUNTBLANK($D$6:D464))</f>
        <v xml:space="preserve"> </v>
      </c>
      <c r="B464" s="202"/>
      <c r="C464" s="202"/>
      <c r="D464" s="202"/>
      <c r="E464" s="304"/>
      <c r="F464" s="211"/>
      <c r="G464" s="203"/>
      <c r="H464" s="203"/>
      <c r="I464" s="295"/>
      <c r="J464" s="264"/>
      <c r="K464" s="265"/>
      <c r="L464" s="266"/>
      <c r="M464" s="266"/>
      <c r="N464" s="266"/>
      <c r="O464" s="266"/>
      <c r="P464" s="266"/>
      <c r="Q464" s="266"/>
      <c r="R464" s="266"/>
    </row>
    <row r="465" spans="1:21" ht="27.75" customHeight="1">
      <c r="A465" s="204" t="str">
        <f>IF(ISBLANK(D465)," ",457-COUNTBLANK($D$6:D465))</f>
        <v xml:space="preserve"> </v>
      </c>
      <c r="B465" s="202"/>
      <c r="C465" s="202"/>
      <c r="D465" s="202"/>
      <c r="E465" s="304"/>
      <c r="F465" s="211"/>
      <c r="G465" s="203"/>
      <c r="H465" s="203"/>
      <c r="I465" s="295"/>
      <c r="J465" s="264"/>
      <c r="K465" s="267"/>
      <c r="L465" s="266"/>
      <c r="M465" s="266"/>
      <c r="N465" s="266"/>
      <c r="O465" s="266"/>
      <c r="P465" s="266"/>
      <c r="Q465" s="266"/>
      <c r="R465" s="268"/>
    </row>
    <row r="466" spans="1:21" ht="27.75" customHeight="1">
      <c r="A466" s="204" t="str">
        <f>IF(ISBLANK(D466)," ",458-COUNTBLANK($D$6:D466))</f>
        <v xml:space="preserve"> </v>
      </c>
      <c r="B466" s="202"/>
      <c r="C466" s="202"/>
      <c r="D466" s="202"/>
      <c r="E466" s="304"/>
      <c r="F466" s="211"/>
      <c r="G466" s="203"/>
      <c r="H466" s="203"/>
      <c r="I466" s="295"/>
      <c r="J466" s="264"/>
      <c r="K466" s="267"/>
      <c r="L466" s="266"/>
      <c r="M466" s="266"/>
      <c r="N466" s="266"/>
      <c r="O466" s="266"/>
      <c r="P466" s="266"/>
      <c r="Q466" s="266"/>
      <c r="R466" s="268"/>
    </row>
    <row r="467" spans="1:21" ht="27.75" customHeight="1">
      <c r="A467" s="204" t="str">
        <f>IF(ISBLANK(D467)," ",459-COUNTBLANK($D$6:D467))</f>
        <v xml:space="preserve"> </v>
      </c>
      <c r="B467" s="202"/>
      <c r="C467" s="202"/>
      <c r="D467" s="202"/>
      <c r="E467" s="304"/>
      <c r="F467" s="211"/>
      <c r="G467" s="203"/>
      <c r="H467" s="203"/>
      <c r="I467" s="295"/>
      <c r="J467" s="264"/>
      <c r="K467" s="267"/>
      <c r="L467" s="266"/>
      <c r="M467" s="266"/>
      <c r="N467" s="266"/>
      <c r="O467" s="266"/>
      <c r="P467" s="266"/>
      <c r="Q467" s="266"/>
      <c r="R467" s="268"/>
    </row>
    <row r="468" spans="1:21" ht="27.75" customHeight="1">
      <c r="A468" s="204" t="str">
        <f>IF(ISBLANK(D468)," ",460-COUNTBLANK($D$6:D468))</f>
        <v xml:space="preserve"> </v>
      </c>
      <c r="B468" s="202"/>
      <c r="C468" s="202"/>
      <c r="D468" s="202"/>
      <c r="E468" s="304"/>
      <c r="F468" s="211"/>
      <c r="G468" s="203"/>
      <c r="H468" s="203"/>
      <c r="I468" s="295"/>
      <c r="J468" s="264"/>
      <c r="K468" s="267"/>
      <c r="L468" s="266"/>
      <c r="M468" s="266"/>
      <c r="N468" s="266"/>
      <c r="O468" s="266"/>
      <c r="P468" s="266"/>
      <c r="Q468" s="266"/>
      <c r="R468" s="268"/>
    </row>
    <row r="469" spans="1:21" ht="27.75" customHeight="1">
      <c r="A469" s="308" t="str">
        <f>IF(ISBLANK(D469)," ",461-COUNTBLANK($D$6:D469))</f>
        <v xml:space="preserve"> </v>
      </c>
      <c r="B469" s="300"/>
      <c r="C469" s="309"/>
      <c r="D469" s="310"/>
      <c r="E469" s="301"/>
      <c r="F469" s="302"/>
      <c r="G469" s="286"/>
      <c r="H469" s="286"/>
      <c r="I469" s="307"/>
      <c r="J469" s="264"/>
      <c r="K469" s="265"/>
      <c r="L469" s="266"/>
      <c r="M469" s="266"/>
      <c r="N469" s="266"/>
      <c r="O469" s="266"/>
      <c r="P469" s="266"/>
      <c r="Q469" s="266"/>
      <c r="R469" s="288"/>
      <c r="S469" s="266"/>
      <c r="T469" s="266"/>
      <c r="U469" s="266"/>
    </row>
    <row r="470" spans="1:21" ht="27.75" customHeight="1">
      <c r="A470" s="261" t="s">
        <v>58</v>
      </c>
      <c r="B470" s="200"/>
      <c r="C470" s="200"/>
      <c r="D470" s="200"/>
      <c r="E470" s="303"/>
      <c r="F470" s="210">
        <f>SUM(F450:F469)</f>
        <v>0</v>
      </c>
      <c r="G470" s="201"/>
      <c r="H470" s="201"/>
      <c r="I470" s="295"/>
      <c r="J470" s="264"/>
      <c r="K470" s="267"/>
      <c r="L470" s="266"/>
      <c r="M470" s="266"/>
      <c r="N470" s="266"/>
      <c r="O470" s="266"/>
      <c r="P470" s="266"/>
      <c r="Q470" s="266"/>
      <c r="R470" s="288"/>
      <c r="S470" s="266"/>
      <c r="T470" s="266"/>
      <c r="U470" s="266"/>
    </row>
    <row r="471" spans="1:21" ht="27.75" customHeight="1">
      <c r="A471" s="204" t="str">
        <f>IF(ISBLANK(D471)," ",463-COUNTBLANK($D$6:D471))</f>
        <v xml:space="preserve"> </v>
      </c>
      <c r="B471" s="202"/>
      <c r="C471" s="202"/>
      <c r="D471" s="202"/>
      <c r="E471" s="304"/>
      <c r="F471" s="211"/>
      <c r="G471" s="203"/>
      <c r="H471" s="203"/>
      <c r="I471" s="295"/>
      <c r="J471" s="264"/>
      <c r="K471" s="265"/>
      <c r="L471" s="266"/>
      <c r="M471" s="266"/>
      <c r="N471" s="266"/>
      <c r="O471" s="266"/>
      <c r="P471" s="266"/>
      <c r="Q471" s="266"/>
      <c r="R471" s="266"/>
    </row>
    <row r="472" spans="1:21" ht="27.75" customHeight="1">
      <c r="A472" s="204" t="str">
        <f>IF(ISBLANK(D472)," ",464-COUNTBLANK($D$6:D472))</f>
        <v xml:space="preserve"> </v>
      </c>
      <c r="B472" s="202"/>
      <c r="C472" s="202"/>
      <c r="D472" s="202"/>
      <c r="E472" s="304"/>
      <c r="F472" s="211"/>
      <c r="G472" s="203"/>
      <c r="H472" s="203"/>
      <c r="I472" s="295"/>
      <c r="J472" s="264"/>
      <c r="K472" s="265"/>
      <c r="L472" s="266"/>
      <c r="M472" s="266"/>
      <c r="N472" s="266"/>
      <c r="O472" s="266"/>
      <c r="P472" s="266"/>
      <c r="Q472" s="266"/>
      <c r="R472" s="266"/>
    </row>
    <row r="473" spans="1:21" ht="27.75" customHeight="1">
      <c r="A473" s="204" t="str">
        <f>IF(ISBLANK(D473)," ",465-COUNTBLANK($D$6:D473))</f>
        <v xml:space="preserve"> </v>
      </c>
      <c r="B473" s="202"/>
      <c r="C473" s="202"/>
      <c r="D473" s="202"/>
      <c r="E473" s="304"/>
      <c r="F473" s="211"/>
      <c r="G473" s="203"/>
      <c r="H473" s="203"/>
      <c r="I473" s="295"/>
      <c r="J473" s="264"/>
      <c r="K473" s="265"/>
      <c r="L473" s="266"/>
      <c r="M473" s="266"/>
      <c r="N473" s="266"/>
      <c r="O473" s="266"/>
      <c r="P473" s="266"/>
      <c r="Q473" s="266"/>
      <c r="R473" s="266"/>
    </row>
    <row r="474" spans="1:21" ht="27.75" customHeight="1">
      <c r="A474" s="204" t="str">
        <f>IF(ISBLANK(D474)," ",466-COUNTBLANK($D$6:D474))</f>
        <v xml:space="preserve"> </v>
      </c>
      <c r="B474" s="202"/>
      <c r="C474" s="202"/>
      <c r="D474" s="202"/>
      <c r="E474" s="304"/>
      <c r="F474" s="211"/>
      <c r="G474" s="203"/>
      <c r="H474" s="203"/>
      <c r="I474" s="295"/>
      <c r="J474" s="264"/>
      <c r="K474" s="265"/>
      <c r="L474" s="266"/>
      <c r="M474" s="266"/>
      <c r="N474" s="266"/>
      <c r="O474" s="266"/>
      <c r="P474" s="266"/>
      <c r="Q474" s="266"/>
      <c r="R474" s="266"/>
    </row>
    <row r="475" spans="1:21" ht="27.75" customHeight="1">
      <c r="A475" s="204" t="str">
        <f>IF(ISBLANK(D475)," ",467-COUNTBLANK($D$6:D475))</f>
        <v xml:space="preserve"> </v>
      </c>
      <c r="B475" s="202"/>
      <c r="C475" s="202"/>
      <c r="D475" s="202"/>
      <c r="E475" s="304"/>
      <c r="F475" s="211"/>
      <c r="G475" s="203"/>
      <c r="H475" s="203"/>
      <c r="I475" s="295"/>
      <c r="J475" s="264"/>
      <c r="K475" s="265"/>
      <c r="L475" s="266"/>
      <c r="M475" s="266"/>
      <c r="N475" s="266"/>
      <c r="O475" s="266"/>
      <c r="P475" s="266"/>
      <c r="Q475" s="266"/>
      <c r="R475" s="266"/>
    </row>
    <row r="476" spans="1:21" ht="27.75" customHeight="1">
      <c r="A476" s="204" t="str">
        <f>IF(ISBLANK(D476)," ",468-COUNTBLANK($D$6:D476))</f>
        <v xml:space="preserve"> </v>
      </c>
      <c r="B476" s="202"/>
      <c r="C476" s="202"/>
      <c r="D476" s="202"/>
      <c r="E476" s="304"/>
      <c r="F476" s="211"/>
      <c r="G476" s="203"/>
      <c r="H476" s="203"/>
      <c r="I476" s="295"/>
      <c r="J476" s="264"/>
      <c r="K476" s="265"/>
      <c r="L476" s="266"/>
      <c r="M476" s="266"/>
      <c r="N476" s="266"/>
      <c r="O476" s="266"/>
      <c r="P476" s="266"/>
      <c r="Q476" s="266"/>
      <c r="R476" s="266"/>
    </row>
    <row r="477" spans="1:21" ht="27.75" customHeight="1">
      <c r="A477" s="204" t="str">
        <f>IF(ISBLANK(D477)," ",469-COUNTBLANK($D$6:D477))</f>
        <v xml:space="preserve"> </v>
      </c>
      <c r="B477" s="202"/>
      <c r="C477" s="202"/>
      <c r="D477" s="202"/>
      <c r="E477" s="304"/>
      <c r="F477" s="211"/>
      <c r="G477" s="203"/>
      <c r="H477" s="203"/>
      <c r="I477" s="295"/>
      <c r="J477" s="264"/>
      <c r="K477" s="265"/>
      <c r="L477" s="266"/>
      <c r="M477" s="266"/>
      <c r="N477" s="266"/>
      <c r="O477" s="266"/>
      <c r="P477" s="266"/>
      <c r="Q477" s="266"/>
      <c r="R477" s="266"/>
    </row>
    <row r="478" spans="1:21" ht="27.75" customHeight="1">
      <c r="A478" s="204" t="str">
        <f>IF(ISBLANK(D478)," ",470-COUNTBLANK($D$6:D478))</f>
        <v xml:space="preserve"> </v>
      </c>
      <c r="B478" s="202"/>
      <c r="C478" s="202"/>
      <c r="D478" s="202"/>
      <c r="E478" s="304"/>
      <c r="F478" s="211"/>
      <c r="G478" s="203"/>
      <c r="H478" s="203"/>
      <c r="I478" s="295"/>
      <c r="J478" s="264"/>
      <c r="K478" s="265"/>
      <c r="L478" s="266"/>
      <c r="M478" s="266"/>
      <c r="N478" s="266"/>
      <c r="O478" s="266"/>
      <c r="P478" s="266"/>
      <c r="Q478" s="266"/>
      <c r="R478" s="266"/>
    </row>
    <row r="479" spans="1:21" ht="27.75" customHeight="1">
      <c r="A479" s="204" t="str">
        <f>IF(ISBLANK(D479)," ",471-COUNTBLANK($D$6:D479))</f>
        <v xml:space="preserve"> </v>
      </c>
      <c r="B479" s="202"/>
      <c r="C479" s="202"/>
      <c r="D479" s="202"/>
      <c r="E479" s="304"/>
      <c r="F479" s="211"/>
      <c r="G479" s="203"/>
      <c r="H479" s="203"/>
      <c r="I479" s="295"/>
      <c r="J479" s="264"/>
      <c r="K479" s="265"/>
      <c r="L479" s="266"/>
      <c r="M479" s="266"/>
      <c r="N479" s="266"/>
      <c r="O479" s="266"/>
      <c r="P479" s="266"/>
      <c r="Q479" s="266"/>
      <c r="R479" s="266"/>
    </row>
    <row r="480" spans="1:21" ht="27.75" customHeight="1">
      <c r="A480" s="204" t="str">
        <f>IF(ISBLANK(D480)," ",472-COUNTBLANK($D$6:D480))</f>
        <v xml:space="preserve"> </v>
      </c>
      <c r="B480" s="202"/>
      <c r="C480" s="202"/>
      <c r="D480" s="202"/>
      <c r="E480" s="304"/>
      <c r="F480" s="211"/>
      <c r="G480" s="203"/>
      <c r="H480" s="203"/>
      <c r="I480" s="295"/>
      <c r="J480" s="264"/>
      <c r="K480" s="265"/>
      <c r="L480" s="266"/>
      <c r="M480" s="266"/>
      <c r="N480" s="266"/>
      <c r="O480" s="266"/>
      <c r="P480" s="266"/>
      <c r="Q480" s="266"/>
      <c r="R480" s="266"/>
    </row>
    <row r="481" spans="1:21" ht="27.75" customHeight="1">
      <c r="A481" s="204" t="str">
        <f>IF(ISBLANK(D481)," ",473-COUNTBLANK($D$6:D481))</f>
        <v xml:space="preserve"> </v>
      </c>
      <c r="B481" s="202"/>
      <c r="C481" s="202"/>
      <c r="D481" s="202"/>
      <c r="E481" s="304"/>
      <c r="F481" s="211"/>
      <c r="G481" s="203"/>
      <c r="H481" s="203"/>
      <c r="I481" s="295"/>
      <c r="J481" s="264"/>
      <c r="K481" s="265"/>
      <c r="L481" s="266"/>
      <c r="M481" s="266"/>
      <c r="N481" s="266"/>
      <c r="O481" s="266"/>
      <c r="P481" s="266"/>
      <c r="Q481" s="266"/>
      <c r="R481" s="266"/>
    </row>
    <row r="482" spans="1:21" ht="27.75" customHeight="1">
      <c r="A482" s="204" t="str">
        <f>IF(ISBLANK(D482)," ",474-COUNTBLANK($D$6:D482))</f>
        <v xml:space="preserve"> </v>
      </c>
      <c r="B482" s="202"/>
      <c r="C482" s="202"/>
      <c r="D482" s="202"/>
      <c r="E482" s="304"/>
      <c r="F482" s="211"/>
      <c r="G482" s="203"/>
      <c r="H482" s="203"/>
      <c r="I482" s="295"/>
      <c r="J482" s="264"/>
      <c r="K482" s="265"/>
      <c r="L482" s="266"/>
      <c r="M482" s="266"/>
      <c r="N482" s="266"/>
      <c r="O482" s="266"/>
      <c r="P482" s="266"/>
      <c r="Q482" s="266"/>
      <c r="R482" s="266"/>
    </row>
    <row r="483" spans="1:21" ht="27.75" customHeight="1">
      <c r="A483" s="204" t="str">
        <f>IF(ISBLANK(D483)," ",475-COUNTBLANK($D$6:D483))</f>
        <v xml:space="preserve"> </v>
      </c>
      <c r="B483" s="202"/>
      <c r="C483" s="202"/>
      <c r="D483" s="202"/>
      <c r="E483" s="304"/>
      <c r="F483" s="211"/>
      <c r="G483" s="203"/>
      <c r="H483" s="203"/>
      <c r="I483" s="295"/>
      <c r="J483" s="264"/>
      <c r="K483" s="265"/>
      <c r="L483" s="266"/>
      <c r="M483" s="266"/>
      <c r="N483" s="266"/>
      <c r="O483" s="266"/>
      <c r="P483" s="266"/>
      <c r="Q483" s="266"/>
      <c r="R483" s="266"/>
    </row>
    <row r="484" spans="1:21" ht="27.75" customHeight="1">
      <c r="A484" s="204" t="str">
        <f>IF(ISBLANK(D484)," ",476-COUNTBLANK($D$6:D484))</f>
        <v xml:space="preserve"> </v>
      </c>
      <c r="B484" s="202"/>
      <c r="C484" s="202"/>
      <c r="D484" s="202"/>
      <c r="E484" s="304"/>
      <c r="F484" s="211"/>
      <c r="G484" s="203"/>
      <c r="H484" s="203"/>
      <c r="I484" s="295"/>
      <c r="J484" s="264"/>
      <c r="K484" s="265"/>
      <c r="L484" s="266"/>
      <c r="M484" s="266"/>
      <c r="N484" s="266"/>
      <c r="O484" s="266"/>
      <c r="P484" s="266"/>
      <c r="Q484" s="266"/>
      <c r="R484" s="266"/>
    </row>
    <row r="485" spans="1:21" ht="27.75" customHeight="1">
      <c r="A485" s="204" t="str">
        <f>IF(ISBLANK(D485)," ",477-COUNTBLANK($D$6:D485))</f>
        <v xml:space="preserve"> </v>
      </c>
      <c r="B485" s="202"/>
      <c r="C485" s="202"/>
      <c r="D485" s="202"/>
      <c r="E485" s="304"/>
      <c r="F485" s="211"/>
      <c r="G485" s="203"/>
      <c r="H485" s="203"/>
      <c r="I485" s="295"/>
      <c r="J485" s="264"/>
      <c r="K485" s="265"/>
      <c r="L485" s="266"/>
      <c r="M485" s="266"/>
      <c r="N485" s="266"/>
      <c r="O485" s="266"/>
      <c r="P485" s="266"/>
      <c r="Q485" s="266"/>
      <c r="R485" s="266"/>
    </row>
    <row r="486" spans="1:21" ht="27.75" customHeight="1">
      <c r="A486" s="204" t="str">
        <f>IF(ISBLANK(D486)," ",478-COUNTBLANK($D$6:D486))</f>
        <v xml:space="preserve"> </v>
      </c>
      <c r="B486" s="202"/>
      <c r="C486" s="202"/>
      <c r="D486" s="202"/>
      <c r="E486" s="304"/>
      <c r="F486" s="211"/>
      <c r="G486" s="203"/>
      <c r="H486" s="203"/>
      <c r="I486" s="295"/>
      <c r="J486" s="264"/>
      <c r="K486" s="267"/>
      <c r="L486" s="266"/>
      <c r="M486" s="266"/>
      <c r="N486" s="266"/>
      <c r="O486" s="266"/>
      <c r="P486" s="266"/>
      <c r="Q486" s="266"/>
      <c r="R486" s="268"/>
    </row>
    <row r="487" spans="1:21" ht="27.75" customHeight="1">
      <c r="A487" s="204" t="str">
        <f>IF(ISBLANK(D487)," ",479-COUNTBLANK($D$6:D487))</f>
        <v xml:space="preserve"> </v>
      </c>
      <c r="B487" s="202"/>
      <c r="C487" s="202"/>
      <c r="D487" s="202"/>
      <c r="E487" s="304"/>
      <c r="F487" s="211"/>
      <c r="G487" s="203"/>
      <c r="H487" s="203"/>
      <c r="I487" s="295"/>
      <c r="J487" s="264"/>
      <c r="K487" s="267"/>
      <c r="L487" s="266"/>
      <c r="M487" s="266"/>
      <c r="N487" s="266"/>
      <c r="O487" s="266"/>
      <c r="P487" s="266"/>
      <c r="Q487" s="266"/>
      <c r="R487" s="268"/>
    </row>
    <row r="488" spans="1:21" ht="27.75" customHeight="1">
      <c r="A488" s="204" t="str">
        <f>IF(ISBLANK(D488)," ",480-COUNTBLANK($D$6:D488))</f>
        <v xml:space="preserve"> </v>
      </c>
      <c r="B488" s="202"/>
      <c r="C488" s="202"/>
      <c r="D488" s="202"/>
      <c r="E488" s="304"/>
      <c r="F488" s="211"/>
      <c r="G488" s="203"/>
      <c r="H488" s="203"/>
      <c r="I488" s="295"/>
      <c r="J488" s="264"/>
      <c r="K488" s="267"/>
      <c r="L488" s="266"/>
      <c r="M488" s="266"/>
      <c r="N488" s="266"/>
      <c r="O488" s="266"/>
      <c r="P488" s="266"/>
      <c r="Q488" s="266"/>
      <c r="R488" s="268"/>
    </row>
    <row r="489" spans="1:21" ht="27.75" customHeight="1">
      <c r="A489" s="204" t="str">
        <f>IF(ISBLANK(D489)," ",481-COUNTBLANK($D$6:D489))</f>
        <v xml:space="preserve"> </v>
      </c>
      <c r="B489" s="202"/>
      <c r="C489" s="202"/>
      <c r="D489" s="202"/>
      <c r="E489" s="304"/>
      <c r="F489" s="211"/>
      <c r="G489" s="203"/>
      <c r="H489" s="203"/>
      <c r="I489" s="295"/>
      <c r="J489" s="264"/>
      <c r="K489" s="267"/>
      <c r="L489" s="266"/>
      <c r="M489" s="266"/>
      <c r="N489" s="266"/>
      <c r="O489" s="266"/>
      <c r="P489" s="266"/>
      <c r="Q489" s="266"/>
      <c r="R489" s="268"/>
    </row>
    <row r="490" spans="1:21" ht="27.75" customHeight="1">
      <c r="A490" s="308" t="str">
        <f>IF(ISBLANK(D490)," ",482-COUNTBLANK($D$6:D490))</f>
        <v xml:space="preserve"> </v>
      </c>
      <c r="B490" s="300"/>
      <c r="C490" s="309"/>
      <c r="D490" s="310"/>
      <c r="E490" s="301"/>
      <c r="F490" s="302"/>
      <c r="G490" s="286"/>
      <c r="H490" s="286"/>
      <c r="I490" s="307"/>
      <c r="J490" s="264"/>
      <c r="K490" s="265"/>
      <c r="L490" s="266"/>
      <c r="M490" s="266"/>
      <c r="N490" s="266"/>
      <c r="O490" s="266"/>
      <c r="P490" s="266"/>
      <c r="Q490" s="266"/>
      <c r="R490" s="288"/>
      <c r="S490" s="266"/>
      <c r="T490" s="266"/>
      <c r="U490" s="266"/>
    </row>
    <row r="491" spans="1:21" ht="27.75" customHeight="1">
      <c r="A491" s="261" t="s">
        <v>58</v>
      </c>
      <c r="B491" s="200"/>
      <c r="C491" s="200"/>
      <c r="D491" s="200"/>
      <c r="E491" s="303"/>
      <c r="F491" s="210">
        <f>SUM(F471:F490)</f>
        <v>0</v>
      </c>
      <c r="G491" s="201"/>
      <c r="H491" s="201"/>
      <c r="I491" s="295"/>
      <c r="J491" s="264"/>
      <c r="K491" s="267"/>
      <c r="L491" s="266"/>
      <c r="M491" s="266"/>
      <c r="N491" s="266"/>
      <c r="O491" s="266"/>
      <c r="P491" s="266"/>
      <c r="Q491" s="266"/>
      <c r="R491" s="288"/>
      <c r="S491" s="266"/>
      <c r="T491" s="266"/>
      <c r="U491" s="266"/>
    </row>
    <row r="492" spans="1:21" ht="27.75" customHeight="1">
      <c r="A492" s="204" t="str">
        <f>IF(ISBLANK(D492)," ",484-COUNTBLANK($D$6:D492))</f>
        <v xml:space="preserve"> </v>
      </c>
      <c r="B492" s="202"/>
      <c r="C492" s="202"/>
      <c r="D492" s="202"/>
      <c r="E492" s="304"/>
      <c r="F492" s="211"/>
      <c r="G492" s="203"/>
      <c r="H492" s="203"/>
      <c r="I492" s="295"/>
      <c r="J492" s="264"/>
      <c r="K492" s="265"/>
      <c r="L492" s="266"/>
      <c r="M492" s="266"/>
      <c r="N492" s="266"/>
      <c r="O492" s="266"/>
      <c r="P492" s="266"/>
      <c r="Q492" s="266"/>
      <c r="R492" s="266"/>
    </row>
    <row r="493" spans="1:21" ht="27.75" customHeight="1">
      <c r="A493" s="204" t="str">
        <f>IF(ISBLANK(D493)," ",485-COUNTBLANK($D$6:D493))</f>
        <v xml:space="preserve"> </v>
      </c>
      <c r="B493" s="202"/>
      <c r="C493" s="202"/>
      <c r="D493" s="202"/>
      <c r="E493" s="304"/>
      <c r="F493" s="211"/>
      <c r="G493" s="203"/>
      <c r="H493" s="203"/>
      <c r="I493" s="295"/>
      <c r="J493" s="264"/>
      <c r="K493" s="265"/>
      <c r="L493" s="266"/>
      <c r="M493" s="266"/>
      <c r="N493" s="266"/>
      <c r="O493" s="266"/>
      <c r="P493" s="266"/>
      <c r="Q493" s="266"/>
      <c r="R493" s="266"/>
    </row>
    <row r="494" spans="1:21" ht="27.75" customHeight="1">
      <c r="A494" s="204" t="str">
        <f>IF(ISBLANK(D494)," ",486-COUNTBLANK($D$6:D494))</f>
        <v xml:space="preserve"> </v>
      </c>
      <c r="B494" s="202"/>
      <c r="C494" s="202"/>
      <c r="D494" s="202"/>
      <c r="E494" s="304"/>
      <c r="F494" s="211"/>
      <c r="G494" s="203"/>
      <c r="H494" s="203"/>
      <c r="I494" s="295"/>
      <c r="J494" s="264"/>
      <c r="K494" s="265"/>
      <c r="L494" s="266"/>
      <c r="M494" s="266"/>
      <c r="N494" s="266"/>
      <c r="O494" s="266"/>
      <c r="P494" s="266"/>
      <c r="Q494" s="266"/>
      <c r="R494" s="266"/>
    </row>
    <row r="495" spans="1:21" ht="27.75" customHeight="1">
      <c r="A495" s="204" t="str">
        <f>IF(ISBLANK(D495)," ",487-COUNTBLANK($D$6:D495))</f>
        <v xml:space="preserve"> </v>
      </c>
      <c r="B495" s="202"/>
      <c r="C495" s="202"/>
      <c r="D495" s="202"/>
      <c r="E495" s="304"/>
      <c r="F495" s="211"/>
      <c r="G495" s="203"/>
      <c r="H495" s="203"/>
      <c r="I495" s="295"/>
      <c r="J495" s="264"/>
      <c r="K495" s="265"/>
      <c r="L495" s="266"/>
      <c r="M495" s="266"/>
      <c r="N495" s="266"/>
      <c r="O495" s="266"/>
      <c r="P495" s="266"/>
      <c r="Q495" s="266"/>
      <c r="R495" s="266"/>
    </row>
    <row r="496" spans="1:21" ht="27.75" customHeight="1">
      <c r="A496" s="204" t="str">
        <f>IF(ISBLANK(D496)," ",488-COUNTBLANK($D$6:D496))</f>
        <v xml:space="preserve"> </v>
      </c>
      <c r="B496" s="202"/>
      <c r="C496" s="202"/>
      <c r="D496" s="202"/>
      <c r="E496" s="304"/>
      <c r="F496" s="211"/>
      <c r="G496" s="203"/>
      <c r="H496" s="203"/>
      <c r="I496" s="295"/>
      <c r="J496" s="264"/>
      <c r="K496" s="265"/>
      <c r="L496" s="266"/>
      <c r="M496" s="266"/>
      <c r="N496" s="266"/>
      <c r="O496" s="266"/>
      <c r="P496" s="266"/>
      <c r="Q496" s="266"/>
      <c r="R496" s="266"/>
    </row>
    <row r="497" spans="1:21" ht="27.75" customHeight="1">
      <c r="A497" s="204" t="str">
        <f>IF(ISBLANK(D497)," ",489-COUNTBLANK($D$6:D497))</f>
        <v xml:space="preserve"> </v>
      </c>
      <c r="B497" s="202"/>
      <c r="C497" s="202"/>
      <c r="D497" s="202"/>
      <c r="E497" s="304"/>
      <c r="F497" s="211"/>
      <c r="G497" s="203"/>
      <c r="H497" s="203"/>
      <c r="I497" s="295"/>
      <c r="J497" s="264"/>
      <c r="K497" s="265"/>
      <c r="L497" s="266"/>
      <c r="M497" s="266"/>
      <c r="N497" s="266"/>
      <c r="O497" s="266"/>
      <c r="P497" s="266"/>
      <c r="Q497" s="266"/>
      <c r="R497" s="266"/>
    </row>
    <row r="498" spans="1:21" ht="27.75" customHeight="1">
      <c r="A498" s="204" t="str">
        <f>IF(ISBLANK(D498)," ",490-COUNTBLANK($D$6:D498))</f>
        <v xml:space="preserve"> </v>
      </c>
      <c r="B498" s="202"/>
      <c r="C498" s="202"/>
      <c r="D498" s="202"/>
      <c r="E498" s="304"/>
      <c r="F498" s="211"/>
      <c r="G498" s="203"/>
      <c r="H498" s="203"/>
      <c r="I498" s="295"/>
      <c r="J498" s="264"/>
      <c r="K498" s="265"/>
      <c r="L498" s="266"/>
      <c r="M498" s="266"/>
      <c r="N498" s="266"/>
      <c r="O498" s="266"/>
      <c r="P498" s="266"/>
      <c r="Q498" s="266"/>
      <c r="R498" s="266"/>
    </row>
    <row r="499" spans="1:21" ht="27.75" customHeight="1">
      <c r="A499" s="204" t="str">
        <f>IF(ISBLANK(D499)," ",491-COUNTBLANK($D$6:D499))</f>
        <v xml:space="preserve"> </v>
      </c>
      <c r="B499" s="202"/>
      <c r="C499" s="202"/>
      <c r="D499" s="202"/>
      <c r="E499" s="304"/>
      <c r="F499" s="211"/>
      <c r="G499" s="203"/>
      <c r="H499" s="203"/>
      <c r="I499" s="295"/>
      <c r="J499" s="264"/>
      <c r="K499" s="265"/>
      <c r="L499" s="266"/>
      <c r="M499" s="266"/>
      <c r="N499" s="266"/>
      <c r="O499" s="266"/>
      <c r="P499" s="266"/>
      <c r="Q499" s="266"/>
      <c r="R499" s="266"/>
    </row>
    <row r="500" spans="1:21" ht="27.75" customHeight="1">
      <c r="A500" s="204" t="str">
        <f>IF(ISBLANK(D500)," ",492-COUNTBLANK($D$6:D500))</f>
        <v xml:space="preserve"> </v>
      </c>
      <c r="B500" s="202"/>
      <c r="C500" s="202"/>
      <c r="D500" s="202"/>
      <c r="E500" s="304"/>
      <c r="F500" s="211"/>
      <c r="G500" s="203"/>
      <c r="H500" s="203"/>
      <c r="I500" s="295"/>
      <c r="J500" s="264"/>
      <c r="K500" s="265"/>
      <c r="L500" s="266"/>
      <c r="M500" s="266"/>
      <c r="N500" s="266"/>
      <c r="O500" s="266"/>
      <c r="P500" s="266"/>
      <c r="Q500" s="266"/>
      <c r="R500" s="266"/>
    </row>
    <row r="501" spans="1:21" ht="27.75" customHeight="1">
      <c r="A501" s="204" t="str">
        <f>IF(ISBLANK(D501)," ",493-COUNTBLANK($D$6:D501))</f>
        <v xml:space="preserve"> </v>
      </c>
      <c r="B501" s="202"/>
      <c r="C501" s="202"/>
      <c r="D501" s="202"/>
      <c r="E501" s="304"/>
      <c r="F501" s="211"/>
      <c r="G501" s="203"/>
      <c r="H501" s="203"/>
      <c r="I501" s="295"/>
      <c r="J501" s="264"/>
      <c r="K501" s="265"/>
      <c r="L501" s="266"/>
      <c r="M501" s="266"/>
      <c r="N501" s="266"/>
      <c r="O501" s="266"/>
      <c r="P501" s="266"/>
      <c r="Q501" s="266"/>
      <c r="R501" s="266"/>
    </row>
    <row r="502" spans="1:21" ht="27.75" customHeight="1">
      <c r="A502" s="204" t="str">
        <f>IF(ISBLANK(D502)," ",494-COUNTBLANK($D$6:D502))</f>
        <v xml:space="preserve"> </v>
      </c>
      <c r="B502" s="202"/>
      <c r="C502" s="202"/>
      <c r="D502" s="202"/>
      <c r="E502" s="304"/>
      <c r="F502" s="211"/>
      <c r="G502" s="203"/>
      <c r="H502" s="203"/>
      <c r="I502" s="295"/>
      <c r="J502" s="264"/>
      <c r="K502" s="265"/>
      <c r="L502" s="266"/>
      <c r="M502" s="266"/>
      <c r="N502" s="266"/>
      <c r="O502" s="266"/>
      <c r="P502" s="266"/>
      <c r="Q502" s="266"/>
      <c r="R502" s="266"/>
    </row>
    <row r="503" spans="1:21" ht="27.75" customHeight="1">
      <c r="A503" s="204" t="str">
        <f>IF(ISBLANK(D503)," ",495-COUNTBLANK($D$6:D503))</f>
        <v xml:space="preserve"> </v>
      </c>
      <c r="B503" s="202"/>
      <c r="C503" s="202"/>
      <c r="D503" s="202"/>
      <c r="E503" s="304"/>
      <c r="F503" s="211"/>
      <c r="G503" s="203"/>
      <c r="H503" s="203"/>
      <c r="I503" s="295"/>
      <c r="J503" s="264"/>
      <c r="K503" s="265"/>
      <c r="L503" s="266"/>
      <c r="M503" s="266"/>
      <c r="N503" s="266"/>
      <c r="O503" s="266"/>
      <c r="P503" s="266"/>
      <c r="Q503" s="266"/>
      <c r="R503" s="266"/>
    </row>
    <row r="504" spans="1:21" ht="27.75" customHeight="1">
      <c r="A504" s="204" t="str">
        <f>IF(ISBLANK(D504)," ",496-COUNTBLANK($D$6:D504))</f>
        <v xml:space="preserve"> </v>
      </c>
      <c r="B504" s="202"/>
      <c r="C504" s="202"/>
      <c r="D504" s="202"/>
      <c r="E504" s="304"/>
      <c r="F504" s="211"/>
      <c r="G504" s="203"/>
      <c r="H504" s="203"/>
      <c r="I504" s="295"/>
      <c r="J504" s="264"/>
      <c r="K504" s="265"/>
      <c r="L504" s="266"/>
      <c r="M504" s="266"/>
      <c r="N504" s="266"/>
      <c r="O504" s="266"/>
      <c r="P504" s="266"/>
      <c r="Q504" s="266"/>
      <c r="R504" s="266"/>
    </row>
    <row r="505" spans="1:21" ht="27.75" customHeight="1">
      <c r="A505" s="204" t="str">
        <f>IF(ISBLANK(D505)," ",497-COUNTBLANK($D$6:D505))</f>
        <v xml:space="preserve"> </v>
      </c>
      <c r="B505" s="202"/>
      <c r="C505" s="202"/>
      <c r="D505" s="202"/>
      <c r="E505" s="304"/>
      <c r="F505" s="211"/>
      <c r="G505" s="203"/>
      <c r="H505" s="203"/>
      <c r="I505" s="295"/>
      <c r="J505" s="264"/>
      <c r="K505" s="265"/>
      <c r="L505" s="266"/>
      <c r="M505" s="266"/>
      <c r="N505" s="266"/>
      <c r="O505" s="266"/>
      <c r="P505" s="266"/>
      <c r="Q505" s="266"/>
      <c r="R505" s="266"/>
    </row>
    <row r="506" spans="1:21" ht="27.75" customHeight="1">
      <c r="A506" s="204" t="str">
        <f>IF(ISBLANK(D506)," ",498-COUNTBLANK($D$6:D506))</f>
        <v xml:space="preserve"> </v>
      </c>
      <c r="B506" s="202"/>
      <c r="C506" s="202"/>
      <c r="D506" s="202"/>
      <c r="E506" s="304"/>
      <c r="F506" s="211"/>
      <c r="G506" s="203"/>
      <c r="H506" s="203"/>
      <c r="I506" s="295"/>
      <c r="J506" s="264"/>
      <c r="K506" s="265"/>
      <c r="L506" s="266"/>
      <c r="M506" s="266"/>
      <c r="N506" s="266"/>
      <c r="O506" s="266"/>
      <c r="P506" s="266"/>
      <c r="Q506" s="266"/>
      <c r="R506" s="266"/>
    </row>
    <row r="507" spans="1:21" ht="27.75" customHeight="1">
      <c r="A507" s="204" t="str">
        <f>IF(ISBLANK(D507)," ",499-COUNTBLANK($D$6:D507))</f>
        <v xml:space="preserve"> </v>
      </c>
      <c r="B507" s="202"/>
      <c r="C507" s="202"/>
      <c r="D507" s="202"/>
      <c r="E507" s="304"/>
      <c r="F507" s="211"/>
      <c r="G507" s="203"/>
      <c r="H507" s="203"/>
      <c r="I507" s="295"/>
      <c r="J507" s="264"/>
      <c r="K507" s="267"/>
      <c r="L507" s="266"/>
      <c r="M507" s="266"/>
      <c r="N507" s="266"/>
      <c r="O507" s="266"/>
      <c r="P507" s="266"/>
      <c r="Q507" s="266"/>
      <c r="R507" s="268"/>
    </row>
    <row r="508" spans="1:21" ht="27.75" customHeight="1">
      <c r="A508" s="204" t="str">
        <f>IF(ISBLANK(D508)," ",500-COUNTBLANK($D$6:D508))</f>
        <v xml:space="preserve"> </v>
      </c>
      <c r="B508" s="202"/>
      <c r="C508" s="202"/>
      <c r="D508" s="202"/>
      <c r="E508" s="304"/>
      <c r="F508" s="211"/>
      <c r="G508" s="203"/>
      <c r="H508" s="203"/>
      <c r="I508" s="295"/>
      <c r="J508" s="264"/>
      <c r="K508" s="267"/>
      <c r="L508" s="266"/>
      <c r="M508" s="266"/>
      <c r="N508" s="266"/>
      <c r="O508" s="266"/>
      <c r="P508" s="266"/>
      <c r="Q508" s="266"/>
      <c r="R508" s="268"/>
    </row>
    <row r="509" spans="1:21" ht="27.75" customHeight="1">
      <c r="A509" s="204" t="str">
        <f>IF(ISBLANK(D509)," ",501-COUNTBLANK($D$6:D509))</f>
        <v xml:space="preserve"> </v>
      </c>
      <c r="B509" s="202"/>
      <c r="C509" s="202"/>
      <c r="D509" s="202"/>
      <c r="E509" s="304"/>
      <c r="F509" s="211"/>
      <c r="G509" s="203"/>
      <c r="H509" s="203"/>
      <c r="I509" s="295"/>
      <c r="J509" s="264"/>
      <c r="K509" s="267"/>
      <c r="L509" s="266"/>
      <c r="M509" s="266"/>
      <c r="N509" s="266"/>
      <c r="O509" s="266"/>
      <c r="P509" s="266"/>
      <c r="Q509" s="266"/>
      <c r="R509" s="268"/>
    </row>
    <row r="510" spans="1:21" ht="27.75" customHeight="1">
      <c r="A510" s="204" t="str">
        <f>IF(ISBLANK(D510)," ",502-COUNTBLANK($D$6:D510))</f>
        <v xml:space="preserve"> </v>
      </c>
      <c r="B510" s="202"/>
      <c r="C510" s="202"/>
      <c r="D510" s="202"/>
      <c r="E510" s="304"/>
      <c r="F510" s="211"/>
      <c r="G510" s="203"/>
      <c r="H510" s="203"/>
      <c r="I510" s="295"/>
      <c r="J510" s="264"/>
      <c r="K510" s="267"/>
      <c r="L510" s="266"/>
      <c r="M510" s="266"/>
      <c r="N510" s="266"/>
      <c r="O510" s="266"/>
      <c r="P510" s="266"/>
      <c r="Q510" s="266"/>
      <c r="R510" s="268"/>
    </row>
    <row r="511" spans="1:21" ht="27.75" customHeight="1">
      <c r="A511" s="308" t="str">
        <f>IF(ISBLANK(D511)," ",503-COUNTBLANK($D$6:D511))</f>
        <v xml:space="preserve"> </v>
      </c>
      <c r="B511" s="300"/>
      <c r="C511" s="309"/>
      <c r="D511" s="310"/>
      <c r="E511" s="301"/>
      <c r="F511" s="302"/>
      <c r="G511" s="286"/>
      <c r="H511" s="286"/>
      <c r="I511" s="307"/>
      <c r="J511" s="264"/>
      <c r="K511" s="265"/>
      <c r="L511" s="266"/>
      <c r="M511" s="266"/>
      <c r="N511" s="266"/>
      <c r="O511" s="266"/>
      <c r="P511" s="266"/>
      <c r="Q511" s="266"/>
      <c r="R511" s="288"/>
      <c r="S511" s="266"/>
      <c r="T511" s="266"/>
      <c r="U511" s="266"/>
    </row>
    <row r="512" spans="1:21" ht="27.75" customHeight="1">
      <c r="A512" s="241" t="s">
        <v>58</v>
      </c>
      <c r="F512" s="313">
        <f>SUM(F492:F511)</f>
        <v>0</v>
      </c>
      <c r="J512" s="264"/>
      <c r="K512" s="267"/>
      <c r="L512" s="266"/>
      <c r="M512" s="266"/>
      <c r="N512" s="266"/>
      <c r="O512" s="266"/>
      <c r="P512" s="266"/>
      <c r="Q512" s="266"/>
      <c r="R512" s="288"/>
      <c r="S512" s="266"/>
      <c r="T512" s="266"/>
      <c r="U512" s="266"/>
    </row>
    <row r="513" spans="1:18" ht="27.75" customHeight="1">
      <c r="A513" s="241" t="str">
        <f>IF(ISBLANK(D513)," ",505-COUNTBLANK($D$6:D513))</f>
        <v xml:space="preserve"> </v>
      </c>
      <c r="J513" s="264"/>
      <c r="K513" s="265"/>
      <c r="L513" s="266"/>
      <c r="M513" s="266"/>
      <c r="N513" s="266"/>
      <c r="O513" s="266"/>
      <c r="P513" s="266"/>
      <c r="Q513" s="266"/>
      <c r="R513" s="266"/>
    </row>
    <row r="514" spans="1:18" ht="27.75" customHeight="1">
      <c r="A514" s="241" t="str">
        <f>IF(ISBLANK(D514)," ",506-COUNTBLANK($D$6:D514))</f>
        <v xml:space="preserve"> </v>
      </c>
      <c r="J514" s="264"/>
      <c r="K514" s="265"/>
      <c r="L514" s="266"/>
      <c r="M514" s="266"/>
      <c r="N514" s="266"/>
      <c r="O514" s="266"/>
      <c r="P514" s="266"/>
      <c r="Q514" s="266"/>
      <c r="R514" s="266"/>
    </row>
    <row r="515" spans="1:18" ht="27.75" customHeight="1">
      <c r="A515" s="241" t="str">
        <f>IF(ISBLANK(D515)," ",507-COUNTBLANK($D$6:D515))</f>
        <v xml:space="preserve"> </v>
      </c>
      <c r="J515" s="264"/>
      <c r="K515" s="265"/>
      <c r="L515" s="266"/>
      <c r="M515" s="266"/>
      <c r="N515" s="266"/>
      <c r="O515" s="266"/>
      <c r="P515" s="266"/>
      <c r="Q515" s="266"/>
      <c r="R515" s="266"/>
    </row>
    <row r="516" spans="1:18" ht="27.75" customHeight="1">
      <c r="A516" s="241" t="str">
        <f>IF(ISBLANK(D516)," ",508-COUNTBLANK($D$6:D516))</f>
        <v xml:space="preserve"> </v>
      </c>
      <c r="J516" s="264"/>
      <c r="K516" s="265"/>
      <c r="L516" s="266"/>
      <c r="M516" s="266"/>
      <c r="N516" s="266"/>
      <c r="O516" s="266"/>
      <c r="P516" s="266"/>
      <c r="Q516" s="266"/>
      <c r="R516" s="266"/>
    </row>
    <row r="517" spans="1:18" ht="27.75" customHeight="1">
      <c r="A517" s="241" t="str">
        <f>IF(ISBLANK(D517)," ",509-COUNTBLANK($D$6:D517))</f>
        <v xml:space="preserve"> </v>
      </c>
      <c r="J517" s="264"/>
      <c r="K517" s="265"/>
      <c r="L517" s="266"/>
      <c r="M517" s="266"/>
      <c r="N517" s="266"/>
      <c r="O517" s="266"/>
      <c r="P517" s="266"/>
      <c r="Q517" s="266"/>
      <c r="R517" s="266"/>
    </row>
    <row r="518" spans="1:18" ht="27.75" customHeight="1">
      <c r="A518" s="241" t="str">
        <f>IF(ISBLANK(D518)," ",510-COUNTBLANK($D$6:D518))</f>
        <v xml:space="preserve"> </v>
      </c>
      <c r="J518" s="264"/>
      <c r="K518" s="265"/>
      <c r="L518" s="266"/>
      <c r="M518" s="266"/>
      <c r="N518" s="266"/>
      <c r="O518" s="266"/>
      <c r="P518" s="266"/>
      <c r="Q518" s="266"/>
      <c r="R518" s="266"/>
    </row>
    <row r="519" spans="1:18" ht="27.75" customHeight="1">
      <c r="A519" s="241" t="str">
        <f>IF(ISBLANK(D519)," ",511-COUNTBLANK($D$6:D519))</f>
        <v xml:space="preserve"> </v>
      </c>
      <c r="J519" s="264"/>
      <c r="K519" s="265"/>
      <c r="L519" s="266"/>
      <c r="M519" s="266"/>
      <c r="N519" s="266"/>
      <c r="O519" s="266"/>
      <c r="P519" s="266"/>
      <c r="Q519" s="266"/>
      <c r="R519" s="266"/>
    </row>
    <row r="520" spans="1:18" ht="27.75" customHeight="1">
      <c r="A520" s="241" t="str">
        <f>IF(ISBLANK(D520)," ",512-COUNTBLANK($D$6:D520))</f>
        <v xml:space="preserve"> </v>
      </c>
      <c r="J520" s="264"/>
      <c r="K520" s="265"/>
      <c r="L520" s="266"/>
      <c r="M520" s="266"/>
      <c r="N520" s="266"/>
      <c r="O520" s="266"/>
      <c r="P520" s="266"/>
      <c r="Q520" s="266"/>
      <c r="R520" s="266"/>
    </row>
    <row r="521" spans="1:18" ht="27.75" customHeight="1">
      <c r="A521" s="241" t="str">
        <f>IF(ISBLANK(D521)," ",513-COUNTBLANK($D$6:D521))</f>
        <v xml:space="preserve"> </v>
      </c>
      <c r="J521" s="264"/>
      <c r="K521" s="265"/>
      <c r="L521" s="266"/>
      <c r="M521" s="266"/>
      <c r="N521" s="266"/>
      <c r="O521" s="266"/>
      <c r="P521" s="266"/>
      <c r="Q521" s="266"/>
      <c r="R521" s="266"/>
    </row>
    <row r="522" spans="1:18" ht="27.75" customHeight="1">
      <c r="A522" s="241" t="str">
        <f>IF(ISBLANK(D522)," ",514-COUNTBLANK($D$6:D522))</f>
        <v xml:space="preserve"> </v>
      </c>
      <c r="J522" s="264"/>
      <c r="K522" s="265"/>
      <c r="L522" s="266"/>
      <c r="M522" s="266"/>
      <c r="N522" s="266"/>
      <c r="O522" s="266"/>
      <c r="P522" s="266"/>
      <c r="Q522" s="266"/>
      <c r="R522" s="266"/>
    </row>
    <row r="523" spans="1:18" ht="27.75" customHeight="1">
      <c r="A523" s="241" t="str">
        <f>IF(ISBLANK(D523)," ",515-COUNTBLANK($D$6:D523))</f>
        <v xml:space="preserve"> </v>
      </c>
      <c r="J523" s="264"/>
      <c r="K523" s="265"/>
      <c r="L523" s="266"/>
      <c r="M523" s="266"/>
      <c r="N523" s="266"/>
      <c r="O523" s="266"/>
      <c r="P523" s="266"/>
      <c r="Q523" s="266"/>
      <c r="R523" s="266"/>
    </row>
    <row r="524" spans="1:18" ht="27.75" customHeight="1">
      <c r="A524" s="241" t="str">
        <f>IF(ISBLANK(D524)," ",516-COUNTBLANK($D$6:D524))</f>
        <v xml:space="preserve"> </v>
      </c>
      <c r="J524" s="264"/>
      <c r="K524" s="265"/>
      <c r="L524" s="266"/>
      <c r="M524" s="266"/>
      <c r="N524" s="266"/>
      <c r="O524" s="266"/>
      <c r="P524" s="266"/>
      <c r="Q524" s="266"/>
      <c r="R524" s="266"/>
    </row>
    <row r="525" spans="1:18" ht="27.75" customHeight="1">
      <c r="A525" s="241" t="str">
        <f>IF(ISBLANK(D525)," ",517-COUNTBLANK($D$6:D525))</f>
        <v xml:space="preserve"> </v>
      </c>
      <c r="J525" s="264"/>
      <c r="K525" s="265"/>
      <c r="L525" s="266"/>
      <c r="M525" s="266"/>
      <c r="N525" s="266"/>
      <c r="O525" s="266"/>
      <c r="P525" s="266"/>
      <c r="Q525" s="266"/>
      <c r="R525" s="266"/>
    </row>
    <row r="526" spans="1:18" ht="27.75" customHeight="1">
      <c r="A526" s="241" t="str">
        <f>IF(ISBLANK(D526)," ",518-COUNTBLANK($D$6:D526))</f>
        <v xml:space="preserve"> </v>
      </c>
      <c r="J526" s="264"/>
      <c r="K526" s="265"/>
      <c r="L526" s="266"/>
      <c r="M526" s="266"/>
      <c r="N526" s="266"/>
      <c r="O526" s="266"/>
      <c r="P526" s="266"/>
      <c r="Q526" s="266"/>
      <c r="R526" s="266"/>
    </row>
    <row r="527" spans="1:18" ht="27.75" customHeight="1">
      <c r="A527" s="241" t="str">
        <f>IF(ISBLANK(D527)," ",519-COUNTBLANK($D$6:D527))</f>
        <v xml:space="preserve"> </v>
      </c>
      <c r="J527" s="264"/>
      <c r="K527" s="265"/>
      <c r="L527" s="266"/>
      <c r="M527" s="266"/>
      <c r="N527" s="266"/>
      <c r="O527" s="266"/>
      <c r="P527" s="266"/>
      <c r="Q527" s="266"/>
      <c r="R527" s="266"/>
    </row>
    <row r="528" spans="1:18" ht="27.75" customHeight="1">
      <c r="A528" s="241" t="str">
        <f>IF(ISBLANK(D528)," ",520-COUNTBLANK($D$6:D528))</f>
        <v xml:space="preserve"> </v>
      </c>
      <c r="J528" s="264"/>
      <c r="K528" s="267"/>
      <c r="L528" s="266"/>
      <c r="M528" s="266"/>
      <c r="N528" s="266"/>
      <c r="O528" s="266"/>
      <c r="P528" s="266"/>
      <c r="Q528" s="266"/>
      <c r="R528" s="268"/>
    </row>
    <row r="529" spans="1:21" ht="27.75" customHeight="1">
      <c r="A529" s="241" t="str">
        <f>IF(ISBLANK(D529)," ",521-COUNTBLANK($D$6:D529))</f>
        <v xml:space="preserve"> </v>
      </c>
      <c r="J529" s="264"/>
      <c r="K529" s="267"/>
      <c r="L529" s="266"/>
      <c r="M529" s="266"/>
      <c r="N529" s="266"/>
      <c r="O529" s="266"/>
      <c r="P529" s="266"/>
      <c r="Q529" s="266"/>
      <c r="R529" s="268"/>
    </row>
    <row r="530" spans="1:21" ht="27.75" customHeight="1">
      <c r="A530" s="241" t="str">
        <f>IF(ISBLANK(D530)," ",522-COUNTBLANK($D$6:D530))</f>
        <v xml:space="preserve"> </v>
      </c>
      <c r="J530" s="264"/>
      <c r="K530" s="267"/>
      <c r="L530" s="266"/>
      <c r="M530" s="266"/>
      <c r="N530" s="266"/>
      <c r="O530" s="266"/>
      <c r="P530" s="266"/>
      <c r="Q530" s="266"/>
      <c r="R530" s="268"/>
    </row>
    <row r="531" spans="1:21" ht="27.75" customHeight="1">
      <c r="A531" s="241" t="str">
        <f>IF(ISBLANK(D531)," ",523-COUNTBLANK($D$6:D531))</f>
        <v xml:space="preserve"> </v>
      </c>
      <c r="J531" s="264"/>
      <c r="K531" s="267"/>
      <c r="L531" s="266"/>
      <c r="M531" s="266"/>
      <c r="N531" s="266"/>
      <c r="O531" s="266"/>
      <c r="P531" s="266"/>
      <c r="Q531" s="266"/>
      <c r="R531" s="268"/>
    </row>
    <row r="532" spans="1:21" ht="27.75" customHeight="1">
      <c r="A532" s="241" t="str">
        <f>IF(ISBLANK(D532)," ",524-COUNTBLANK($D$6:D532))</f>
        <v xml:space="preserve"> </v>
      </c>
      <c r="J532" s="264"/>
      <c r="K532" s="265"/>
      <c r="L532" s="266"/>
      <c r="M532" s="266"/>
      <c r="N532" s="266"/>
      <c r="O532" s="266"/>
      <c r="P532" s="266"/>
      <c r="Q532" s="266"/>
      <c r="R532" s="288"/>
      <c r="S532" s="266"/>
      <c r="T532" s="266"/>
      <c r="U532" s="266"/>
    </row>
    <row r="533" spans="1:21" ht="27.75" customHeight="1">
      <c r="A533" s="241" t="s">
        <v>58</v>
      </c>
      <c r="F533" s="313">
        <f>SUM(F513:F532)</f>
        <v>0</v>
      </c>
      <c r="J533" s="264"/>
      <c r="K533" s="267"/>
      <c r="L533" s="266"/>
      <c r="M533" s="266"/>
      <c r="N533" s="266"/>
      <c r="O533" s="266"/>
      <c r="P533" s="266"/>
      <c r="Q533" s="266"/>
      <c r="R533" s="288"/>
      <c r="S533" s="266"/>
      <c r="T533" s="266"/>
      <c r="U533" s="266"/>
    </row>
    <row r="534" spans="1:21" ht="27.75" customHeight="1">
      <c r="J534" s="264"/>
      <c r="K534" s="265"/>
      <c r="L534" s="266"/>
      <c r="M534" s="266"/>
      <c r="N534" s="266"/>
      <c r="O534" s="266"/>
      <c r="P534" s="266"/>
      <c r="Q534" s="266"/>
      <c r="R534" s="266"/>
    </row>
    <row r="535" spans="1:21" ht="27.75" customHeight="1">
      <c r="J535" s="264"/>
      <c r="K535" s="265"/>
      <c r="L535" s="266"/>
      <c r="M535" s="266"/>
      <c r="N535" s="266"/>
      <c r="O535" s="266"/>
      <c r="P535" s="266"/>
      <c r="Q535" s="266"/>
      <c r="R535" s="266"/>
    </row>
    <row r="536" spans="1:21" ht="27.75" customHeight="1">
      <c r="J536" s="264"/>
      <c r="K536" s="265"/>
      <c r="L536" s="266"/>
      <c r="M536" s="266"/>
      <c r="N536" s="266"/>
      <c r="O536" s="266"/>
      <c r="P536" s="266"/>
      <c r="Q536" s="266"/>
      <c r="R536" s="266"/>
    </row>
    <row r="537" spans="1:21" ht="27.75" customHeight="1">
      <c r="J537" s="264"/>
      <c r="K537" s="265"/>
      <c r="L537" s="266"/>
      <c r="M537" s="266"/>
      <c r="N537" s="266"/>
      <c r="O537" s="266"/>
      <c r="P537" s="266"/>
      <c r="Q537" s="266"/>
      <c r="R537" s="266"/>
    </row>
    <row r="538" spans="1:21" ht="27.75" customHeight="1">
      <c r="J538" s="264"/>
      <c r="K538" s="265"/>
      <c r="L538" s="266"/>
      <c r="M538" s="266"/>
      <c r="N538" s="266"/>
      <c r="O538" s="266"/>
      <c r="P538" s="266"/>
      <c r="Q538" s="266"/>
      <c r="R538" s="266"/>
    </row>
    <row r="539" spans="1:21" ht="27.75" customHeight="1">
      <c r="J539" s="264"/>
      <c r="K539" s="265"/>
      <c r="L539" s="266"/>
      <c r="M539" s="266"/>
      <c r="N539" s="266"/>
      <c r="O539" s="266"/>
      <c r="P539" s="266"/>
      <c r="Q539" s="266"/>
      <c r="R539" s="266"/>
    </row>
    <row r="540" spans="1:21" ht="27.75" customHeight="1">
      <c r="J540" s="264"/>
      <c r="K540" s="265"/>
      <c r="L540" s="266"/>
      <c r="M540" s="266"/>
      <c r="N540" s="266"/>
      <c r="O540" s="266"/>
      <c r="P540" s="266"/>
      <c r="Q540" s="266"/>
      <c r="R540" s="266"/>
    </row>
    <row r="541" spans="1:21" ht="27.75" customHeight="1">
      <c r="J541" s="264"/>
      <c r="K541" s="265"/>
      <c r="L541" s="266"/>
      <c r="M541" s="266"/>
      <c r="N541" s="266"/>
      <c r="O541" s="266"/>
      <c r="P541" s="266"/>
      <c r="Q541" s="266"/>
      <c r="R541" s="266"/>
    </row>
    <row r="542" spans="1:21" ht="27.75" customHeight="1">
      <c r="J542" s="264"/>
      <c r="K542" s="265"/>
      <c r="L542" s="266"/>
      <c r="M542" s="266"/>
      <c r="N542" s="266"/>
      <c r="O542" s="266"/>
      <c r="P542" s="266"/>
      <c r="Q542" s="266"/>
      <c r="R542" s="266"/>
    </row>
    <row r="543" spans="1:21" ht="27.75" customHeight="1">
      <c r="J543" s="264"/>
      <c r="K543" s="265"/>
      <c r="L543" s="266"/>
      <c r="M543" s="266"/>
      <c r="N543" s="266"/>
      <c r="O543" s="266"/>
      <c r="P543" s="266"/>
      <c r="Q543" s="266"/>
      <c r="R543" s="266"/>
    </row>
    <row r="544" spans="1:21" ht="27.75" customHeight="1">
      <c r="J544" s="264"/>
      <c r="K544" s="265"/>
      <c r="L544" s="266"/>
      <c r="M544" s="266"/>
      <c r="N544" s="266"/>
      <c r="O544" s="266"/>
      <c r="P544" s="266"/>
      <c r="Q544" s="266"/>
      <c r="R544" s="266"/>
    </row>
    <row r="545" spans="10:21" ht="27.75" customHeight="1">
      <c r="J545" s="264"/>
      <c r="K545" s="265"/>
      <c r="L545" s="266"/>
      <c r="M545" s="266"/>
      <c r="N545" s="266"/>
      <c r="O545" s="266"/>
      <c r="P545" s="266"/>
      <c r="Q545" s="266"/>
      <c r="R545" s="266"/>
    </row>
    <row r="546" spans="10:21" ht="27.75" customHeight="1">
      <c r="J546" s="264"/>
      <c r="K546" s="265"/>
      <c r="L546" s="266"/>
      <c r="M546" s="266"/>
      <c r="N546" s="266"/>
      <c r="O546" s="266"/>
      <c r="P546" s="266"/>
      <c r="Q546" s="266"/>
      <c r="R546" s="266"/>
    </row>
    <row r="547" spans="10:21" ht="27.75" customHeight="1">
      <c r="J547" s="264"/>
      <c r="K547" s="265"/>
      <c r="L547" s="266"/>
      <c r="M547" s="266"/>
      <c r="N547" s="266"/>
      <c r="O547" s="266"/>
      <c r="P547" s="266"/>
      <c r="Q547" s="266"/>
      <c r="R547" s="266"/>
    </row>
    <row r="548" spans="10:21" ht="27.75" customHeight="1">
      <c r="J548" s="264"/>
      <c r="K548" s="265"/>
      <c r="L548" s="266"/>
      <c r="M548" s="266"/>
      <c r="N548" s="266"/>
      <c r="O548" s="266"/>
      <c r="P548" s="266"/>
      <c r="Q548" s="266"/>
      <c r="R548" s="266"/>
    </row>
    <row r="549" spans="10:21" ht="27.75" customHeight="1">
      <c r="J549" s="264"/>
      <c r="K549" s="267"/>
      <c r="L549" s="266"/>
      <c r="M549" s="266"/>
      <c r="N549" s="266"/>
      <c r="O549" s="266"/>
      <c r="P549" s="266"/>
      <c r="Q549" s="266"/>
      <c r="R549" s="268"/>
    </row>
    <row r="550" spans="10:21" ht="27.75" customHeight="1">
      <c r="J550" s="264"/>
      <c r="K550" s="267"/>
      <c r="L550" s="266"/>
      <c r="M550" s="266"/>
      <c r="N550" s="266"/>
      <c r="O550" s="266"/>
      <c r="P550" s="266"/>
      <c r="Q550" s="266"/>
      <c r="R550" s="268"/>
    </row>
    <row r="551" spans="10:21" ht="27.75" customHeight="1">
      <c r="J551" s="264"/>
      <c r="K551" s="267"/>
      <c r="L551" s="266"/>
      <c r="M551" s="266"/>
      <c r="N551" s="266"/>
      <c r="O551" s="266"/>
      <c r="P551" s="266"/>
      <c r="Q551" s="266"/>
      <c r="R551" s="268"/>
    </row>
    <row r="552" spans="10:21" ht="27.75" customHeight="1">
      <c r="J552" s="264"/>
      <c r="K552" s="267"/>
      <c r="L552" s="266"/>
      <c r="M552" s="266"/>
      <c r="N552" s="266"/>
      <c r="O552" s="266"/>
      <c r="P552" s="266"/>
      <c r="Q552" s="266"/>
      <c r="R552" s="268"/>
    </row>
    <row r="553" spans="10:21" ht="27.75" customHeight="1">
      <c r="J553" s="264"/>
      <c r="K553" s="265"/>
      <c r="L553" s="266"/>
      <c r="M553" s="266"/>
      <c r="N553" s="266"/>
      <c r="O553" s="266"/>
      <c r="P553" s="266"/>
      <c r="Q553" s="266"/>
      <c r="R553" s="288"/>
      <c r="S553" s="266"/>
      <c r="T553" s="266"/>
      <c r="U553" s="266"/>
    </row>
    <row r="554" spans="10:21" ht="27.75" customHeight="1">
      <c r="J554" s="264"/>
      <c r="K554" s="267"/>
      <c r="L554" s="266"/>
      <c r="M554" s="266"/>
      <c r="N554" s="266"/>
      <c r="O554" s="266"/>
      <c r="P554" s="266"/>
      <c r="Q554" s="266"/>
      <c r="R554" s="288"/>
      <c r="S554" s="266"/>
      <c r="T554" s="266"/>
      <c r="U554" s="266"/>
    </row>
    <row r="555" spans="10:21" ht="27.75" customHeight="1">
      <c r="J555" s="264"/>
      <c r="K555" s="265"/>
      <c r="L555" s="266"/>
      <c r="M555" s="266"/>
      <c r="N555" s="266"/>
      <c r="O555" s="266"/>
      <c r="P555" s="266"/>
      <c r="Q555" s="266"/>
      <c r="R555" s="266"/>
    </row>
    <row r="556" spans="10:21" ht="27.75" customHeight="1">
      <c r="J556" s="264"/>
      <c r="K556" s="265"/>
      <c r="L556" s="266"/>
      <c r="M556" s="266"/>
      <c r="N556" s="266"/>
      <c r="O556" s="266"/>
      <c r="P556" s="266"/>
      <c r="Q556" s="266"/>
      <c r="R556" s="266"/>
    </row>
    <row r="557" spans="10:21" ht="27.75" customHeight="1">
      <c r="J557" s="264"/>
      <c r="K557" s="265"/>
      <c r="L557" s="266"/>
      <c r="M557" s="266"/>
      <c r="N557" s="266"/>
      <c r="O557" s="266"/>
      <c r="P557" s="266"/>
      <c r="Q557" s="266"/>
      <c r="R557" s="266"/>
    </row>
    <row r="558" spans="10:21" ht="27.75" customHeight="1">
      <c r="J558" s="264"/>
      <c r="K558" s="265"/>
      <c r="L558" s="266"/>
      <c r="M558" s="266"/>
      <c r="N558" s="266"/>
      <c r="O558" s="266"/>
      <c r="P558" s="266"/>
      <c r="Q558" s="266"/>
      <c r="R558" s="266"/>
    </row>
    <row r="559" spans="10:21" ht="27.75" customHeight="1">
      <c r="J559" s="264"/>
      <c r="K559" s="265"/>
      <c r="L559" s="266"/>
      <c r="M559" s="266"/>
      <c r="N559" s="266"/>
      <c r="O559" s="266"/>
      <c r="P559" s="266"/>
      <c r="Q559" s="266"/>
      <c r="R559" s="266"/>
    </row>
    <row r="560" spans="10:21" ht="27.75" customHeight="1">
      <c r="J560" s="264"/>
      <c r="K560" s="265"/>
      <c r="L560" s="266"/>
      <c r="M560" s="266"/>
      <c r="N560" s="266"/>
      <c r="O560" s="266"/>
      <c r="P560" s="266"/>
      <c r="Q560" s="266"/>
      <c r="R560" s="266"/>
    </row>
    <row r="561" spans="10:21" ht="27.75" customHeight="1">
      <c r="J561" s="264"/>
      <c r="K561" s="265"/>
      <c r="L561" s="266"/>
      <c r="M561" s="266"/>
      <c r="N561" s="266"/>
      <c r="O561" s="266"/>
      <c r="P561" s="266"/>
      <c r="Q561" s="266"/>
      <c r="R561" s="266"/>
    </row>
    <row r="562" spans="10:21" ht="27.75" customHeight="1">
      <c r="J562" s="264"/>
      <c r="K562" s="265"/>
      <c r="L562" s="266"/>
      <c r="M562" s="266"/>
      <c r="N562" s="266"/>
      <c r="O562" s="266"/>
      <c r="P562" s="266"/>
      <c r="Q562" s="266"/>
      <c r="R562" s="266"/>
    </row>
    <row r="563" spans="10:21" ht="27.75" customHeight="1">
      <c r="J563" s="264"/>
      <c r="K563" s="265"/>
      <c r="L563" s="266"/>
      <c r="M563" s="266"/>
      <c r="N563" s="266"/>
      <c r="O563" s="266"/>
      <c r="P563" s="266"/>
      <c r="Q563" s="266"/>
      <c r="R563" s="266"/>
    </row>
    <row r="564" spans="10:21" ht="27.75" customHeight="1">
      <c r="J564" s="264"/>
      <c r="K564" s="265"/>
      <c r="L564" s="266"/>
      <c r="M564" s="266"/>
      <c r="N564" s="266"/>
      <c r="O564" s="266"/>
      <c r="P564" s="266"/>
      <c r="Q564" s="266"/>
      <c r="R564" s="266"/>
    </row>
    <row r="565" spans="10:21" ht="27.75" customHeight="1">
      <c r="J565" s="264"/>
      <c r="K565" s="265"/>
      <c r="L565" s="266"/>
      <c r="M565" s="266"/>
      <c r="N565" s="266"/>
      <c r="O565" s="266"/>
      <c r="P565" s="266"/>
      <c r="Q565" s="266"/>
      <c r="R565" s="266"/>
    </row>
    <row r="566" spans="10:21" ht="27.75" customHeight="1">
      <c r="J566" s="264"/>
      <c r="K566" s="265"/>
      <c r="L566" s="266"/>
      <c r="M566" s="266"/>
      <c r="N566" s="266"/>
      <c r="O566" s="266"/>
      <c r="P566" s="266"/>
      <c r="Q566" s="266"/>
      <c r="R566" s="266"/>
    </row>
    <row r="567" spans="10:21" ht="27.75" customHeight="1">
      <c r="J567" s="264"/>
      <c r="K567" s="265"/>
      <c r="L567" s="266"/>
      <c r="M567" s="266"/>
      <c r="N567" s="266"/>
      <c r="O567" s="266"/>
      <c r="P567" s="266"/>
      <c r="Q567" s="266"/>
      <c r="R567" s="266"/>
    </row>
    <row r="568" spans="10:21" ht="27.75" customHeight="1">
      <c r="J568" s="264"/>
      <c r="K568" s="265"/>
      <c r="L568" s="266"/>
      <c r="M568" s="266"/>
      <c r="N568" s="266"/>
      <c r="O568" s="266"/>
      <c r="P568" s="266"/>
      <c r="Q568" s="266"/>
      <c r="R568" s="266"/>
    </row>
    <row r="569" spans="10:21" ht="27.75" customHeight="1">
      <c r="J569" s="264"/>
      <c r="K569" s="265"/>
      <c r="L569" s="266"/>
      <c r="M569" s="266"/>
      <c r="N569" s="266"/>
      <c r="O569" s="266"/>
      <c r="P569" s="266"/>
      <c r="Q569" s="266"/>
      <c r="R569" s="266"/>
    </row>
    <row r="570" spans="10:21" ht="27.75" customHeight="1">
      <c r="J570" s="264"/>
      <c r="K570" s="267"/>
      <c r="L570" s="266"/>
      <c r="M570" s="266"/>
      <c r="N570" s="266"/>
      <c r="O570" s="266"/>
      <c r="P570" s="266"/>
      <c r="Q570" s="266"/>
      <c r="R570" s="268"/>
    </row>
    <row r="571" spans="10:21" ht="27.75" customHeight="1">
      <c r="J571" s="264"/>
      <c r="K571" s="267"/>
      <c r="L571" s="266"/>
      <c r="M571" s="266"/>
      <c r="N571" s="266"/>
      <c r="O571" s="266"/>
      <c r="P571" s="266"/>
      <c r="Q571" s="266"/>
      <c r="R571" s="268"/>
    </row>
    <row r="572" spans="10:21" ht="27.75" customHeight="1">
      <c r="J572" s="264"/>
      <c r="K572" s="267"/>
      <c r="L572" s="266"/>
      <c r="M572" s="266"/>
      <c r="N572" s="266"/>
      <c r="O572" s="266"/>
      <c r="P572" s="266"/>
      <c r="Q572" s="266"/>
      <c r="R572" s="268"/>
    </row>
    <row r="573" spans="10:21" ht="27.75" customHeight="1">
      <c r="J573" s="264"/>
      <c r="K573" s="267"/>
      <c r="L573" s="266"/>
      <c r="M573" s="266"/>
      <c r="N573" s="266"/>
      <c r="O573" s="266"/>
      <c r="P573" s="266"/>
      <c r="Q573" s="266"/>
      <c r="R573" s="268"/>
    </row>
    <row r="574" spans="10:21" ht="27.75" customHeight="1">
      <c r="J574" s="264"/>
      <c r="K574" s="265"/>
      <c r="L574" s="266"/>
      <c r="M574" s="266"/>
      <c r="N574" s="266"/>
      <c r="O574" s="266"/>
      <c r="P574" s="266"/>
      <c r="Q574" s="266"/>
      <c r="R574" s="288"/>
      <c r="S574" s="266"/>
      <c r="T574" s="266"/>
      <c r="U574" s="266"/>
    </row>
    <row r="575" spans="10:21" ht="27.75" customHeight="1">
      <c r="J575" s="264"/>
      <c r="K575" s="267"/>
      <c r="L575" s="266"/>
      <c r="M575" s="266"/>
      <c r="N575" s="266"/>
      <c r="O575" s="266"/>
      <c r="P575" s="266"/>
      <c r="Q575" s="266"/>
      <c r="R575" s="288"/>
      <c r="S575" s="266"/>
      <c r="T575" s="266"/>
      <c r="U575" s="266"/>
    </row>
    <row r="576" spans="10:21" ht="27.75" customHeight="1">
      <c r="J576" s="264"/>
      <c r="K576" s="265"/>
      <c r="L576" s="266"/>
      <c r="M576" s="266"/>
      <c r="N576" s="266"/>
      <c r="O576" s="266"/>
      <c r="P576" s="266"/>
      <c r="Q576" s="266"/>
      <c r="R576" s="266"/>
    </row>
    <row r="577" spans="10:18" ht="27.75" customHeight="1">
      <c r="J577" s="264"/>
      <c r="K577" s="265"/>
      <c r="L577" s="266"/>
      <c r="M577" s="266"/>
      <c r="N577" s="266"/>
      <c r="O577" s="266"/>
      <c r="P577" s="266"/>
      <c r="Q577" s="266"/>
      <c r="R577" s="266"/>
    </row>
    <row r="578" spans="10:18" ht="27.75" customHeight="1">
      <c r="J578" s="264"/>
      <c r="K578" s="265"/>
      <c r="L578" s="266"/>
      <c r="M578" s="266"/>
      <c r="N578" s="266"/>
      <c r="O578" s="266"/>
      <c r="P578" s="266"/>
      <c r="Q578" s="266"/>
      <c r="R578" s="266"/>
    </row>
    <row r="579" spans="10:18" ht="27.75" customHeight="1">
      <c r="J579" s="264"/>
      <c r="K579" s="265"/>
      <c r="L579" s="266"/>
      <c r="M579" s="266"/>
      <c r="N579" s="266"/>
      <c r="O579" s="266"/>
      <c r="P579" s="266"/>
      <c r="Q579" s="266"/>
      <c r="R579" s="266"/>
    </row>
    <row r="580" spans="10:18" ht="27.75" customHeight="1">
      <c r="J580" s="264"/>
      <c r="K580" s="265"/>
      <c r="L580" s="266"/>
      <c r="M580" s="266"/>
      <c r="N580" s="266"/>
      <c r="O580" s="266"/>
      <c r="P580" s="266"/>
      <c r="Q580" s="266"/>
      <c r="R580" s="266"/>
    </row>
    <row r="581" spans="10:18" ht="27.75" customHeight="1">
      <c r="J581" s="264"/>
      <c r="K581" s="265"/>
      <c r="L581" s="266"/>
      <c r="M581" s="266"/>
      <c r="N581" s="266"/>
      <c r="O581" s="266"/>
      <c r="P581" s="266"/>
      <c r="Q581" s="266"/>
      <c r="R581" s="266"/>
    </row>
    <row r="582" spans="10:18" ht="27.75" customHeight="1">
      <c r="J582" s="264"/>
      <c r="K582" s="265"/>
      <c r="L582" s="266"/>
      <c r="M582" s="266"/>
      <c r="N582" s="266"/>
      <c r="O582" s="266"/>
      <c r="P582" s="266"/>
      <c r="Q582" s="266"/>
      <c r="R582" s="266"/>
    </row>
    <row r="583" spans="10:18" ht="27.75" customHeight="1">
      <c r="J583" s="264"/>
      <c r="K583" s="265"/>
      <c r="L583" s="266"/>
      <c r="M583" s="266"/>
      <c r="N583" s="266"/>
      <c r="O583" s="266"/>
      <c r="P583" s="266"/>
      <c r="Q583" s="266"/>
      <c r="R583" s="266"/>
    </row>
    <row r="584" spans="10:18" ht="27.75" customHeight="1">
      <c r="J584" s="264"/>
      <c r="K584" s="265"/>
      <c r="L584" s="266"/>
      <c r="M584" s="266"/>
      <c r="N584" s="266"/>
      <c r="O584" s="266"/>
      <c r="P584" s="266"/>
      <c r="Q584" s="266"/>
      <c r="R584" s="266"/>
    </row>
    <row r="585" spans="10:18" ht="27.75" customHeight="1">
      <c r="J585" s="264"/>
      <c r="K585" s="265"/>
      <c r="L585" s="266"/>
      <c r="M585" s="266"/>
      <c r="N585" s="266"/>
      <c r="O585" s="266"/>
      <c r="P585" s="266"/>
      <c r="Q585" s="266"/>
      <c r="R585" s="266"/>
    </row>
    <row r="586" spans="10:18" ht="27.75" customHeight="1">
      <c r="J586" s="264"/>
      <c r="K586" s="265"/>
      <c r="L586" s="266"/>
      <c r="M586" s="266"/>
      <c r="N586" s="266"/>
      <c r="O586" s="266"/>
      <c r="P586" s="266"/>
      <c r="Q586" s="266"/>
      <c r="R586" s="266"/>
    </row>
    <row r="587" spans="10:18" ht="27.75" customHeight="1">
      <c r="J587" s="264"/>
      <c r="K587" s="265"/>
      <c r="L587" s="266"/>
      <c r="M587" s="266"/>
      <c r="N587" s="266"/>
      <c r="O587" s="266"/>
      <c r="P587" s="266"/>
      <c r="Q587" s="266"/>
      <c r="R587" s="266"/>
    </row>
    <row r="588" spans="10:18" ht="27.75" customHeight="1">
      <c r="J588" s="264"/>
      <c r="K588" s="265"/>
      <c r="L588" s="266"/>
      <c r="M588" s="266"/>
      <c r="N588" s="266"/>
      <c r="O588" s="266"/>
      <c r="P588" s="266"/>
      <c r="Q588" s="266"/>
      <c r="R588" s="266"/>
    </row>
    <row r="589" spans="10:18" ht="27.75" customHeight="1">
      <c r="J589" s="264"/>
      <c r="K589" s="265"/>
      <c r="L589" s="266"/>
      <c r="M589" s="266"/>
      <c r="N589" s="266"/>
      <c r="O589" s="266"/>
      <c r="P589" s="266"/>
      <c r="Q589" s="266"/>
      <c r="R589" s="266"/>
    </row>
    <row r="590" spans="10:18" ht="27.75" customHeight="1">
      <c r="J590" s="264"/>
      <c r="K590" s="265"/>
      <c r="L590" s="266"/>
      <c r="M590" s="266"/>
      <c r="N590" s="266"/>
      <c r="O590" s="266"/>
      <c r="P590" s="266"/>
      <c r="Q590" s="266"/>
      <c r="R590" s="266"/>
    </row>
    <row r="591" spans="10:18" ht="27.75" customHeight="1">
      <c r="J591" s="264"/>
      <c r="K591" s="267"/>
      <c r="L591" s="266"/>
      <c r="M591" s="266"/>
      <c r="N591" s="266"/>
      <c r="O591" s="266"/>
      <c r="P591" s="266"/>
      <c r="Q591" s="266"/>
      <c r="R591" s="268"/>
    </row>
    <row r="592" spans="10:18" ht="27.75" customHeight="1">
      <c r="J592" s="264"/>
      <c r="K592" s="267"/>
      <c r="L592" s="266"/>
      <c r="M592" s="266"/>
      <c r="N592" s="266"/>
      <c r="O592" s="266"/>
      <c r="P592" s="266"/>
      <c r="Q592" s="266"/>
      <c r="R592" s="268"/>
    </row>
    <row r="593" spans="10:21" ht="27.75" customHeight="1">
      <c r="J593" s="264"/>
      <c r="K593" s="267"/>
      <c r="L593" s="266"/>
      <c r="M593" s="266"/>
      <c r="N593" s="266"/>
      <c r="O593" s="266"/>
      <c r="P593" s="266"/>
      <c r="Q593" s="266"/>
      <c r="R593" s="268"/>
    </row>
    <row r="594" spans="10:21" ht="27.75" customHeight="1">
      <c r="J594" s="264"/>
      <c r="K594" s="267"/>
      <c r="L594" s="266"/>
      <c r="M594" s="266"/>
      <c r="N594" s="266"/>
      <c r="O594" s="266"/>
      <c r="P594" s="266"/>
      <c r="Q594" s="266"/>
      <c r="R594" s="268"/>
    </row>
    <row r="595" spans="10:21" ht="27.75" customHeight="1">
      <c r="J595" s="264"/>
      <c r="K595" s="265"/>
      <c r="L595" s="266"/>
      <c r="M595" s="266"/>
      <c r="N595" s="266"/>
      <c r="O595" s="266"/>
      <c r="P595" s="266"/>
      <c r="Q595" s="266"/>
      <c r="R595" s="288"/>
      <c r="S595" s="266"/>
      <c r="T595" s="266"/>
      <c r="U595" s="266"/>
    </row>
    <row r="596" spans="10:21" ht="27.75" customHeight="1">
      <c r="J596" s="264"/>
      <c r="K596" s="267"/>
      <c r="L596" s="266"/>
      <c r="M596" s="266"/>
      <c r="N596" s="266"/>
      <c r="O596" s="266"/>
      <c r="P596" s="266"/>
      <c r="Q596" s="266"/>
      <c r="R596" s="288"/>
      <c r="S596" s="266"/>
      <c r="T596" s="266"/>
      <c r="U596" s="266"/>
    </row>
    <row r="597" spans="10:21">
      <c r="K597" s="316"/>
      <c r="L597" s="315"/>
      <c r="M597" s="315"/>
      <c r="N597" s="315"/>
      <c r="O597" s="315"/>
      <c r="P597" s="315"/>
      <c r="Q597" s="315"/>
      <c r="R597" s="315"/>
    </row>
    <row r="598" spans="10:21">
      <c r="K598" s="316"/>
      <c r="L598" s="315"/>
      <c r="M598" s="315"/>
      <c r="N598" s="315"/>
      <c r="O598" s="315"/>
      <c r="P598" s="315"/>
      <c r="Q598" s="315"/>
      <c r="R598" s="315"/>
    </row>
  </sheetData>
  <mergeCells count="6">
    <mergeCell ref="J4:J5"/>
    <mergeCell ref="K4:K5"/>
    <mergeCell ref="B4:C4"/>
    <mergeCell ref="D4:D5"/>
    <mergeCell ref="G4:H4"/>
    <mergeCell ref="I4:I5"/>
  </mergeCells>
  <phoneticPr fontId="5" type="noConversion"/>
  <printOptions horizontalCentered="1" verticalCentered="1"/>
  <pageMargins left="0.19685039370078741" right="0.19685039370078741" top="1.3779527559055118" bottom="0.59055118110236227" header="0.59055118110236227" footer="0.19685039370078741"/>
  <pageSetup paperSize="9" scale="61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AB608"/>
  <sheetViews>
    <sheetView showGridLines="0" showZeros="0" view="pageBreakPreview" zoomScale="115" zoomScaleNormal="100" zoomScaleSheetLayoutView="115" workbookViewId="0">
      <selection activeCell="E9" sqref="E9"/>
    </sheetView>
  </sheetViews>
  <sheetFormatPr defaultRowHeight="11.25"/>
  <cols>
    <col min="1" max="1" width="4.33203125" style="241" customWidth="1"/>
    <col min="2" max="3" width="6.33203125" style="311" customWidth="1"/>
    <col min="4" max="4" width="3.77734375" style="241" customWidth="1"/>
    <col min="5" max="5" width="7.77734375" style="312" customWidth="1"/>
    <col min="6" max="6" width="7.77734375" style="313" customWidth="1"/>
    <col min="7" max="7" width="8.33203125" style="314" customWidth="1"/>
    <col min="8" max="8" width="17.44140625" style="241" customWidth="1"/>
    <col min="9" max="9" width="6.77734375" style="241" customWidth="1"/>
    <col min="10" max="10" width="20.77734375" style="315" customWidth="1"/>
    <col min="11" max="11" width="9.77734375" style="317" customWidth="1"/>
    <col min="12" max="17" width="9.77734375" style="241" customWidth="1"/>
    <col min="18" max="18" width="10.77734375" style="241" customWidth="1"/>
    <col min="19" max="16384" width="8.88671875" style="241"/>
  </cols>
  <sheetData>
    <row r="1" spans="1:18" ht="30" customHeight="1">
      <c r="A1" s="318" t="s">
        <v>64</v>
      </c>
      <c r="B1" s="319"/>
      <c r="C1" s="319"/>
      <c r="D1" s="249"/>
      <c r="E1" s="320"/>
      <c r="F1" s="321"/>
      <c r="G1" s="249"/>
      <c r="H1" s="249"/>
      <c r="I1" s="249"/>
      <c r="J1" s="238"/>
      <c r="K1" s="239"/>
      <c r="L1" s="240"/>
      <c r="M1" s="240"/>
      <c r="N1" s="240"/>
      <c r="O1" s="240"/>
      <c r="P1" s="240"/>
      <c r="Q1" s="240"/>
      <c r="R1" s="240"/>
    </row>
    <row r="2" spans="1:18" ht="19.899999999999999" customHeight="1">
      <c r="A2" s="240"/>
      <c r="B2" s="243"/>
      <c r="C2" s="243"/>
      <c r="D2" s="240"/>
      <c r="E2" s="244"/>
      <c r="F2" s="245"/>
      <c r="G2" s="246"/>
      <c r="H2" s="247"/>
      <c r="I2" s="249"/>
      <c r="J2" s="246"/>
      <c r="K2" s="239"/>
      <c r="L2" s="240"/>
      <c r="M2" s="240"/>
      <c r="N2" s="240"/>
      <c r="O2" s="240"/>
      <c r="P2" s="240"/>
      <c r="Q2" s="240"/>
      <c r="R2" s="240"/>
    </row>
    <row r="3" spans="1:18" ht="10.15" customHeight="1">
      <c r="A3" s="253"/>
      <c r="B3" s="252"/>
      <c r="C3" s="252"/>
      <c r="D3" s="253"/>
      <c r="E3" s="254"/>
      <c r="F3" s="255"/>
      <c r="G3" s="256"/>
      <c r="H3" s="253"/>
      <c r="I3" s="253"/>
      <c r="J3" s="258"/>
      <c r="K3" s="239"/>
      <c r="L3" s="240"/>
      <c r="M3" s="240"/>
      <c r="N3" s="240"/>
      <c r="O3" s="240"/>
      <c r="P3" s="240"/>
      <c r="Q3" s="240"/>
      <c r="R3" s="240"/>
    </row>
    <row r="4" spans="1:18" ht="30" customHeight="1">
      <c r="A4" s="107" t="s">
        <v>45</v>
      </c>
      <c r="B4" s="367" t="s">
        <v>46</v>
      </c>
      <c r="C4" s="368"/>
      <c r="D4" s="369" t="s">
        <v>47</v>
      </c>
      <c r="E4" s="206" t="s">
        <v>48</v>
      </c>
      <c r="F4" s="323" t="s">
        <v>49</v>
      </c>
      <c r="G4" s="367" t="s">
        <v>296</v>
      </c>
      <c r="H4" s="368"/>
      <c r="I4" s="371" t="s">
        <v>37</v>
      </c>
      <c r="J4" s="363" t="s">
        <v>37</v>
      </c>
      <c r="K4" s="365" t="s">
        <v>76</v>
      </c>
      <c r="L4" s="240"/>
      <c r="M4" s="259"/>
      <c r="N4" s="259"/>
      <c r="O4" s="259"/>
      <c r="P4" s="259"/>
      <c r="Q4" s="259"/>
      <c r="R4" s="259"/>
    </row>
    <row r="5" spans="1:18" ht="30" customHeight="1">
      <c r="A5" s="62" t="s">
        <v>53</v>
      </c>
      <c r="B5" s="65" t="s">
        <v>301</v>
      </c>
      <c r="C5" s="65" t="s">
        <v>302</v>
      </c>
      <c r="D5" s="370"/>
      <c r="E5" s="208" t="s">
        <v>65</v>
      </c>
      <c r="F5" s="65" t="s">
        <v>293</v>
      </c>
      <c r="G5" s="65" t="s">
        <v>55</v>
      </c>
      <c r="H5" s="64" t="s">
        <v>56</v>
      </c>
      <c r="I5" s="372"/>
      <c r="J5" s="364"/>
      <c r="K5" s="366"/>
      <c r="L5" s="259"/>
      <c r="M5" s="260"/>
      <c r="N5" s="260"/>
      <c r="O5" s="260"/>
      <c r="P5" s="260"/>
      <c r="Q5" s="260"/>
      <c r="R5" s="240"/>
    </row>
    <row r="6" spans="1:18" ht="30" customHeight="1">
      <c r="A6" s="204">
        <v>1</v>
      </c>
      <c r="B6" s="202" t="s">
        <v>454</v>
      </c>
      <c r="C6" s="202"/>
      <c r="D6" s="202" t="s">
        <v>135</v>
      </c>
      <c r="E6" s="304">
        <v>183</v>
      </c>
      <c r="F6" s="211">
        <v>183</v>
      </c>
      <c r="G6" s="203" t="s">
        <v>994</v>
      </c>
      <c r="H6" s="203" t="s">
        <v>995</v>
      </c>
      <c r="I6" s="280"/>
      <c r="J6" s="264" t="str">
        <f t="shared" ref="J6:J69" si="0">CONCATENATE(D6,G6)</f>
        <v>임공</v>
      </c>
      <c r="K6" s="265">
        <v>7050</v>
      </c>
      <c r="L6" s="266"/>
      <c r="M6" s="266"/>
      <c r="N6" s="266"/>
      <c r="O6" s="266"/>
      <c r="P6" s="266"/>
      <c r="Q6" s="266"/>
      <c r="R6" s="266"/>
    </row>
    <row r="7" spans="1:18" ht="30" customHeight="1">
      <c r="A7" s="204">
        <v>2</v>
      </c>
      <c r="B7" s="202" t="s">
        <v>455</v>
      </c>
      <c r="C7" s="202"/>
      <c r="D7" s="202" t="s">
        <v>135</v>
      </c>
      <c r="E7" s="304">
        <v>156</v>
      </c>
      <c r="F7" s="211">
        <v>156</v>
      </c>
      <c r="G7" s="203" t="s">
        <v>1105</v>
      </c>
      <c r="H7" s="203" t="s">
        <v>1104</v>
      </c>
      <c r="I7" s="280"/>
      <c r="J7" s="264" t="str">
        <f t="shared" si="0"/>
        <v>임이남구 
외1인</v>
      </c>
      <c r="K7" s="265">
        <v>10800</v>
      </c>
      <c r="L7" s="266"/>
      <c r="M7" s="266"/>
      <c r="N7" s="266"/>
      <c r="O7" s="266"/>
      <c r="P7" s="266"/>
      <c r="Q7" s="266"/>
      <c r="R7" s="266"/>
    </row>
    <row r="8" spans="1:18" ht="30" customHeight="1">
      <c r="A8" s="204">
        <v>3</v>
      </c>
      <c r="B8" s="202" t="s">
        <v>456</v>
      </c>
      <c r="C8" s="202"/>
      <c r="D8" s="202" t="s">
        <v>135</v>
      </c>
      <c r="E8" s="304">
        <v>99</v>
      </c>
      <c r="F8" s="211">
        <v>99</v>
      </c>
      <c r="G8" s="203" t="s">
        <v>1105</v>
      </c>
      <c r="H8" s="203" t="s">
        <v>1104</v>
      </c>
      <c r="I8" s="280"/>
      <c r="J8" s="264" t="str">
        <f t="shared" si="0"/>
        <v>임이남구 
외1인</v>
      </c>
      <c r="K8" s="265">
        <v>3130</v>
      </c>
      <c r="L8" s="266"/>
      <c r="M8" s="266"/>
      <c r="N8" s="266"/>
      <c r="O8" s="266"/>
      <c r="P8" s="266"/>
      <c r="Q8" s="266"/>
      <c r="R8" s="266"/>
    </row>
    <row r="9" spans="1:18" ht="30" customHeight="1">
      <c r="A9" s="204">
        <v>4</v>
      </c>
      <c r="B9" s="202" t="s">
        <v>457</v>
      </c>
      <c r="C9" s="202"/>
      <c r="D9" s="202" t="s">
        <v>135</v>
      </c>
      <c r="E9" s="304">
        <v>124</v>
      </c>
      <c r="F9" s="211">
        <v>124</v>
      </c>
      <c r="G9" s="203" t="s">
        <v>994</v>
      </c>
      <c r="H9" s="203" t="s">
        <v>995</v>
      </c>
      <c r="I9" s="280"/>
      <c r="J9" s="264" t="str">
        <f t="shared" si="0"/>
        <v>임공</v>
      </c>
      <c r="K9" s="265">
        <v>6470</v>
      </c>
      <c r="L9" s="266"/>
      <c r="M9" s="266"/>
      <c r="N9" s="266"/>
      <c r="O9" s="266"/>
      <c r="P9" s="266"/>
      <c r="Q9" s="266"/>
      <c r="R9" s="266"/>
    </row>
    <row r="10" spans="1:18" ht="30" customHeight="1">
      <c r="A10" s="204">
        <v>5</v>
      </c>
      <c r="B10" s="202" t="s">
        <v>458</v>
      </c>
      <c r="C10" s="202"/>
      <c r="D10" s="202" t="s">
        <v>135</v>
      </c>
      <c r="E10" s="304">
        <v>62</v>
      </c>
      <c r="F10" s="211">
        <v>62</v>
      </c>
      <c r="G10" s="203" t="s">
        <v>994</v>
      </c>
      <c r="H10" s="203" t="s">
        <v>995</v>
      </c>
      <c r="I10" s="280"/>
      <c r="J10" s="264" t="str">
        <f t="shared" si="0"/>
        <v>임공</v>
      </c>
      <c r="K10" s="265">
        <v>11500</v>
      </c>
      <c r="L10" s="266"/>
      <c r="M10" s="266"/>
      <c r="N10" s="266"/>
      <c r="O10" s="266"/>
      <c r="P10" s="266"/>
      <c r="Q10" s="266"/>
      <c r="R10" s="266"/>
    </row>
    <row r="11" spans="1:18" ht="30" customHeight="1">
      <c r="A11" s="204">
        <v>6</v>
      </c>
      <c r="B11" s="202" t="s">
        <v>459</v>
      </c>
      <c r="C11" s="202"/>
      <c r="D11" s="202" t="s">
        <v>135</v>
      </c>
      <c r="E11" s="304">
        <v>66</v>
      </c>
      <c r="F11" s="211">
        <v>66</v>
      </c>
      <c r="G11" s="203" t="s">
        <v>994</v>
      </c>
      <c r="H11" s="203" t="s">
        <v>995</v>
      </c>
      <c r="I11" s="280"/>
      <c r="J11" s="264" t="str">
        <f t="shared" si="0"/>
        <v>임공</v>
      </c>
      <c r="K11" s="267">
        <v>11500</v>
      </c>
      <c r="L11" s="266"/>
      <c r="M11" s="266"/>
      <c r="N11" s="266"/>
      <c r="O11" s="266"/>
      <c r="P11" s="266"/>
      <c r="Q11" s="266"/>
      <c r="R11" s="268"/>
    </row>
    <row r="12" spans="1:18" ht="30" customHeight="1">
      <c r="A12" s="204">
        <v>7</v>
      </c>
      <c r="B12" s="202" t="s">
        <v>460</v>
      </c>
      <c r="C12" s="202"/>
      <c r="D12" s="202" t="s">
        <v>135</v>
      </c>
      <c r="E12" s="304">
        <v>53</v>
      </c>
      <c r="F12" s="211">
        <v>53</v>
      </c>
      <c r="G12" s="203" t="s">
        <v>994</v>
      </c>
      <c r="H12" s="203" t="s">
        <v>995</v>
      </c>
      <c r="I12" s="280"/>
      <c r="J12" s="264" t="str">
        <f t="shared" si="0"/>
        <v>임공</v>
      </c>
      <c r="K12" s="267">
        <v>11500</v>
      </c>
      <c r="L12" s="266"/>
      <c r="M12" s="266"/>
      <c r="N12" s="266"/>
      <c r="O12" s="266"/>
      <c r="P12" s="266"/>
      <c r="Q12" s="266"/>
      <c r="R12" s="268"/>
    </row>
    <row r="13" spans="1:18" ht="30" customHeight="1">
      <c r="A13" s="204">
        <v>8</v>
      </c>
      <c r="B13" s="202" t="s">
        <v>461</v>
      </c>
      <c r="C13" s="202"/>
      <c r="D13" s="202" t="s">
        <v>135</v>
      </c>
      <c r="E13" s="304">
        <v>38</v>
      </c>
      <c r="F13" s="211">
        <v>38</v>
      </c>
      <c r="G13" s="203" t="s">
        <v>994</v>
      </c>
      <c r="H13" s="203" t="s">
        <v>995</v>
      </c>
      <c r="I13" s="280"/>
      <c r="J13" s="264" t="str">
        <f t="shared" si="0"/>
        <v>임공</v>
      </c>
      <c r="K13" s="267">
        <v>9830</v>
      </c>
      <c r="L13" s="266"/>
      <c r="M13" s="266"/>
      <c r="N13" s="266"/>
      <c r="O13" s="266"/>
      <c r="P13" s="266"/>
      <c r="Q13" s="266"/>
      <c r="R13" s="268"/>
    </row>
    <row r="14" spans="1:18" ht="30" customHeight="1">
      <c r="A14" s="204">
        <v>9</v>
      </c>
      <c r="B14" s="202" t="s">
        <v>462</v>
      </c>
      <c r="C14" s="202"/>
      <c r="D14" s="202" t="s">
        <v>135</v>
      </c>
      <c r="E14" s="304">
        <v>626</v>
      </c>
      <c r="F14" s="211">
        <v>626</v>
      </c>
      <c r="G14" s="203" t="s">
        <v>994</v>
      </c>
      <c r="H14" s="203" t="s">
        <v>995</v>
      </c>
      <c r="I14" s="280"/>
      <c r="J14" s="264" t="str">
        <f t="shared" si="0"/>
        <v>임공</v>
      </c>
      <c r="K14" s="267">
        <v>11500</v>
      </c>
      <c r="L14" s="266"/>
      <c r="M14" s="266"/>
      <c r="N14" s="266"/>
      <c r="O14" s="266"/>
      <c r="P14" s="266"/>
      <c r="Q14" s="266"/>
      <c r="R14" s="268"/>
    </row>
    <row r="15" spans="1:18" ht="30" customHeight="1">
      <c r="A15" s="204">
        <v>10</v>
      </c>
      <c r="B15" s="202" t="s">
        <v>463</v>
      </c>
      <c r="C15" s="202"/>
      <c r="D15" s="202" t="s">
        <v>135</v>
      </c>
      <c r="E15" s="304">
        <v>15</v>
      </c>
      <c r="F15" s="211">
        <v>15</v>
      </c>
      <c r="G15" s="203" t="s">
        <v>994</v>
      </c>
      <c r="H15" s="203" t="s">
        <v>995</v>
      </c>
      <c r="I15" s="280"/>
      <c r="J15" s="264" t="str">
        <f t="shared" si="0"/>
        <v>임공</v>
      </c>
      <c r="K15" s="267">
        <v>9240</v>
      </c>
      <c r="L15" s="266"/>
      <c r="M15" s="266"/>
      <c r="N15" s="266"/>
      <c r="O15" s="266"/>
      <c r="P15" s="266"/>
      <c r="Q15" s="266"/>
      <c r="R15" s="268"/>
    </row>
    <row r="16" spans="1:18" ht="30" customHeight="1">
      <c r="A16" s="204">
        <v>11</v>
      </c>
      <c r="B16" s="202" t="s">
        <v>464</v>
      </c>
      <c r="C16" s="202"/>
      <c r="D16" s="202" t="s">
        <v>135</v>
      </c>
      <c r="E16" s="304">
        <v>55</v>
      </c>
      <c r="F16" s="211">
        <v>55</v>
      </c>
      <c r="G16" s="203" t="s">
        <v>994</v>
      </c>
      <c r="H16" s="203" t="s">
        <v>995</v>
      </c>
      <c r="I16" s="280"/>
      <c r="J16" s="264" t="str">
        <f t="shared" si="0"/>
        <v>임공</v>
      </c>
      <c r="K16" s="267">
        <v>11500</v>
      </c>
      <c r="L16" s="266"/>
      <c r="M16" s="266"/>
      <c r="N16" s="266"/>
      <c r="O16" s="266"/>
      <c r="P16" s="266"/>
      <c r="Q16" s="266"/>
      <c r="R16" s="268"/>
    </row>
    <row r="17" spans="1:18" ht="30" customHeight="1">
      <c r="A17" s="204">
        <v>12</v>
      </c>
      <c r="B17" s="202" t="s">
        <v>465</v>
      </c>
      <c r="C17" s="202"/>
      <c r="D17" s="202" t="s">
        <v>135</v>
      </c>
      <c r="E17" s="304">
        <v>1077</v>
      </c>
      <c r="F17" s="211">
        <v>1077</v>
      </c>
      <c r="G17" s="203" t="s">
        <v>994</v>
      </c>
      <c r="H17" s="203" t="s">
        <v>995</v>
      </c>
      <c r="I17" s="280"/>
      <c r="J17" s="264" t="str">
        <f t="shared" si="0"/>
        <v>임공</v>
      </c>
      <c r="K17" s="267">
        <v>6850</v>
      </c>
      <c r="L17" s="266"/>
      <c r="M17" s="266"/>
      <c r="N17" s="266"/>
      <c r="O17" s="266"/>
      <c r="P17" s="266"/>
      <c r="Q17" s="266"/>
      <c r="R17" s="268"/>
    </row>
    <row r="18" spans="1:18" s="327" customFormat="1" ht="30" customHeight="1">
      <c r="A18" s="204">
        <v>13</v>
      </c>
      <c r="B18" s="202" t="s">
        <v>466</v>
      </c>
      <c r="C18" s="202"/>
      <c r="D18" s="202" t="s">
        <v>135</v>
      </c>
      <c r="E18" s="304">
        <v>648</v>
      </c>
      <c r="F18" s="211">
        <v>277</v>
      </c>
      <c r="G18" s="203" t="s">
        <v>467</v>
      </c>
      <c r="H18" s="203" t="s">
        <v>468</v>
      </c>
      <c r="I18" s="280"/>
      <c r="J18" s="264" t="str">
        <f t="shared" si="0"/>
        <v>임담양국씨
희량공파</v>
      </c>
      <c r="K18" s="324">
        <v>6850</v>
      </c>
      <c r="L18" s="325"/>
      <c r="M18" s="325"/>
      <c r="N18" s="325"/>
      <c r="O18" s="325"/>
      <c r="P18" s="325"/>
      <c r="Q18" s="325"/>
      <c r="R18" s="326"/>
    </row>
    <row r="19" spans="1:18" ht="30" customHeight="1">
      <c r="A19" s="204">
        <v>14</v>
      </c>
      <c r="B19" s="202" t="s">
        <v>469</v>
      </c>
      <c r="C19" s="202"/>
      <c r="D19" s="202" t="s">
        <v>135</v>
      </c>
      <c r="E19" s="304">
        <v>1140</v>
      </c>
      <c r="F19" s="211">
        <v>1140</v>
      </c>
      <c r="G19" s="203" t="s">
        <v>994</v>
      </c>
      <c r="H19" s="203" t="s">
        <v>995</v>
      </c>
      <c r="I19" s="280"/>
      <c r="J19" s="264" t="str">
        <f t="shared" si="0"/>
        <v>임공</v>
      </c>
      <c r="K19" s="267">
        <v>10300</v>
      </c>
      <c r="L19" s="266"/>
      <c r="M19" s="266"/>
      <c r="N19" s="266"/>
      <c r="O19" s="266"/>
      <c r="P19" s="266"/>
      <c r="Q19" s="266"/>
      <c r="R19" s="268"/>
    </row>
    <row r="20" spans="1:18" ht="30" customHeight="1">
      <c r="A20" s="204">
        <v>15</v>
      </c>
      <c r="B20" s="202" t="s">
        <v>470</v>
      </c>
      <c r="C20" s="202"/>
      <c r="D20" s="202" t="s">
        <v>135</v>
      </c>
      <c r="E20" s="304">
        <v>666</v>
      </c>
      <c r="F20" s="211">
        <v>666</v>
      </c>
      <c r="G20" s="203" t="s">
        <v>994</v>
      </c>
      <c r="H20" s="203" t="s">
        <v>995</v>
      </c>
      <c r="I20" s="280"/>
      <c r="J20" s="264" t="str">
        <f t="shared" si="0"/>
        <v>임공</v>
      </c>
      <c r="K20" s="267">
        <v>7070</v>
      </c>
      <c r="L20" s="266"/>
      <c r="M20" s="266"/>
      <c r="N20" s="266"/>
      <c r="O20" s="266"/>
      <c r="P20" s="266"/>
      <c r="Q20" s="266"/>
      <c r="R20" s="268"/>
    </row>
    <row r="21" spans="1:18" ht="30" customHeight="1">
      <c r="A21" s="204">
        <v>16</v>
      </c>
      <c r="B21" s="202" t="s">
        <v>471</v>
      </c>
      <c r="C21" s="202"/>
      <c r="D21" s="202" t="s">
        <v>135</v>
      </c>
      <c r="E21" s="304">
        <v>80</v>
      </c>
      <c r="F21" s="211">
        <v>80</v>
      </c>
      <c r="G21" s="203" t="s">
        <v>994</v>
      </c>
      <c r="H21" s="203" t="s">
        <v>995</v>
      </c>
      <c r="I21" s="280"/>
      <c r="J21" s="264" t="str">
        <f t="shared" si="0"/>
        <v>임공</v>
      </c>
      <c r="K21" s="267">
        <v>10300</v>
      </c>
      <c r="L21" s="266"/>
      <c r="M21" s="266"/>
      <c r="N21" s="266"/>
      <c r="O21" s="266"/>
      <c r="P21" s="266"/>
      <c r="Q21" s="266"/>
      <c r="R21" s="268"/>
    </row>
    <row r="22" spans="1:18" ht="30" customHeight="1">
      <c r="A22" s="204">
        <v>17</v>
      </c>
      <c r="B22" s="202" t="s">
        <v>472</v>
      </c>
      <c r="C22" s="202"/>
      <c r="D22" s="202" t="s">
        <v>135</v>
      </c>
      <c r="E22" s="304">
        <v>353</v>
      </c>
      <c r="F22" s="211">
        <v>353</v>
      </c>
      <c r="G22" s="203" t="s">
        <v>994</v>
      </c>
      <c r="H22" s="203" t="s">
        <v>995</v>
      </c>
      <c r="I22" s="280"/>
      <c r="J22" s="264" t="str">
        <f t="shared" si="0"/>
        <v>임공</v>
      </c>
      <c r="K22" s="267">
        <v>6850</v>
      </c>
      <c r="L22" s="266"/>
      <c r="M22" s="266"/>
      <c r="N22" s="266"/>
      <c r="O22" s="266"/>
      <c r="P22" s="266"/>
      <c r="Q22" s="266"/>
      <c r="R22" s="268"/>
    </row>
    <row r="23" spans="1:18" ht="30" customHeight="1">
      <c r="A23" s="204">
        <v>18</v>
      </c>
      <c r="B23" s="202" t="s">
        <v>473</v>
      </c>
      <c r="C23" s="202"/>
      <c r="D23" s="202" t="s">
        <v>135</v>
      </c>
      <c r="E23" s="304">
        <v>754</v>
      </c>
      <c r="F23" s="211">
        <v>754</v>
      </c>
      <c r="G23" s="203" t="s">
        <v>994</v>
      </c>
      <c r="H23" s="203" t="s">
        <v>995</v>
      </c>
      <c r="I23" s="280"/>
      <c r="J23" s="264" t="str">
        <f t="shared" si="0"/>
        <v>임공</v>
      </c>
      <c r="K23" s="267">
        <v>7070</v>
      </c>
      <c r="L23" s="266"/>
      <c r="M23" s="266"/>
      <c r="N23" s="266"/>
      <c r="O23" s="266"/>
      <c r="P23" s="266"/>
      <c r="Q23" s="266"/>
      <c r="R23" s="268"/>
    </row>
    <row r="24" spans="1:18" ht="30" customHeight="1">
      <c r="A24" s="204">
        <v>19</v>
      </c>
      <c r="B24" s="202" t="s">
        <v>474</v>
      </c>
      <c r="C24" s="202"/>
      <c r="D24" s="202" t="s">
        <v>316</v>
      </c>
      <c r="E24" s="304"/>
      <c r="F24" s="211">
        <v>31</v>
      </c>
      <c r="G24" s="203" t="s">
        <v>1183</v>
      </c>
      <c r="H24" s="203"/>
      <c r="I24" s="280"/>
      <c r="J24" s="264" t="str">
        <f t="shared" si="0"/>
        <v>가국</v>
      </c>
      <c r="K24" s="267"/>
      <c r="L24" s="266"/>
      <c r="M24" s="266"/>
      <c r="N24" s="266"/>
      <c r="O24" s="266"/>
      <c r="P24" s="266"/>
      <c r="Q24" s="266"/>
      <c r="R24" s="268"/>
    </row>
    <row r="25" spans="1:18" ht="30" customHeight="1">
      <c r="A25" s="204">
        <v>20</v>
      </c>
      <c r="B25" s="202" t="s">
        <v>475</v>
      </c>
      <c r="C25" s="202"/>
      <c r="D25" s="202" t="s">
        <v>135</v>
      </c>
      <c r="E25" s="304">
        <v>283</v>
      </c>
      <c r="F25" s="211">
        <v>283</v>
      </c>
      <c r="G25" s="203" t="s">
        <v>994</v>
      </c>
      <c r="H25" s="203" t="s">
        <v>995</v>
      </c>
      <c r="I25" s="280"/>
      <c r="J25" s="264" t="str">
        <f t="shared" si="0"/>
        <v>임공</v>
      </c>
      <c r="K25" s="267">
        <v>6850</v>
      </c>
      <c r="L25" s="266"/>
      <c r="M25" s="266"/>
      <c r="N25" s="266"/>
      <c r="O25" s="266"/>
      <c r="P25" s="266"/>
      <c r="Q25" s="266"/>
      <c r="R25" s="268"/>
    </row>
    <row r="26" spans="1:18" ht="30" customHeight="1">
      <c r="A26" s="204">
        <v>21</v>
      </c>
      <c r="B26" s="202" t="s">
        <v>476</v>
      </c>
      <c r="C26" s="202"/>
      <c r="D26" s="202" t="s">
        <v>135</v>
      </c>
      <c r="E26" s="304">
        <v>1972</v>
      </c>
      <c r="F26" s="211">
        <v>1972</v>
      </c>
      <c r="G26" s="203" t="s">
        <v>994</v>
      </c>
      <c r="H26" s="203" t="s">
        <v>995</v>
      </c>
      <c r="I26" s="280"/>
      <c r="J26" s="264" t="str">
        <f t="shared" si="0"/>
        <v>임공</v>
      </c>
      <c r="K26" s="267">
        <v>5730</v>
      </c>
      <c r="L26" s="266"/>
      <c r="M26" s="266"/>
      <c r="N26" s="266"/>
      <c r="O26" s="266"/>
      <c r="P26" s="266"/>
      <c r="Q26" s="266"/>
      <c r="R26" s="268"/>
    </row>
    <row r="27" spans="1:18" ht="30" customHeight="1">
      <c r="A27" s="204">
        <v>22</v>
      </c>
      <c r="B27" s="202" t="s">
        <v>477</v>
      </c>
      <c r="C27" s="202"/>
      <c r="D27" s="202" t="s">
        <v>135</v>
      </c>
      <c r="E27" s="304">
        <v>2759</v>
      </c>
      <c r="F27" s="211">
        <v>2759</v>
      </c>
      <c r="G27" s="203" t="s">
        <v>994</v>
      </c>
      <c r="H27" s="203" t="s">
        <v>995</v>
      </c>
      <c r="I27" s="280"/>
      <c r="J27" s="264" t="str">
        <f t="shared" si="0"/>
        <v>임공</v>
      </c>
      <c r="K27" s="267">
        <v>6510</v>
      </c>
      <c r="L27" s="266"/>
      <c r="M27" s="266"/>
      <c r="N27" s="266"/>
      <c r="O27" s="266"/>
      <c r="P27" s="266"/>
      <c r="Q27" s="266"/>
      <c r="R27" s="268"/>
    </row>
    <row r="28" spans="1:18" ht="30" customHeight="1">
      <c r="A28" s="204">
        <v>23</v>
      </c>
      <c r="B28" s="202" t="s">
        <v>478</v>
      </c>
      <c r="C28" s="202"/>
      <c r="D28" s="202" t="s">
        <v>135</v>
      </c>
      <c r="E28" s="304">
        <v>8</v>
      </c>
      <c r="F28" s="211">
        <v>8</v>
      </c>
      <c r="G28" s="203" t="s">
        <v>994</v>
      </c>
      <c r="H28" s="203" t="s">
        <v>995</v>
      </c>
      <c r="I28" s="280"/>
      <c r="J28" s="264" t="str">
        <f t="shared" si="0"/>
        <v>임공</v>
      </c>
      <c r="K28" s="267">
        <v>8570</v>
      </c>
      <c r="L28" s="266"/>
      <c r="M28" s="266"/>
      <c r="N28" s="266"/>
      <c r="O28" s="266"/>
      <c r="P28" s="266"/>
      <c r="Q28" s="266"/>
      <c r="R28" s="268"/>
    </row>
    <row r="29" spans="1:18" ht="30" customHeight="1">
      <c r="A29" s="204">
        <v>24</v>
      </c>
      <c r="B29" s="202" t="s">
        <v>479</v>
      </c>
      <c r="C29" s="202"/>
      <c r="D29" s="202" t="s">
        <v>135</v>
      </c>
      <c r="E29" s="304">
        <v>6867</v>
      </c>
      <c r="F29" s="211">
        <v>6867</v>
      </c>
      <c r="G29" s="203" t="s">
        <v>994</v>
      </c>
      <c r="H29" s="203" t="s">
        <v>995</v>
      </c>
      <c r="I29" s="280"/>
      <c r="J29" s="264" t="str">
        <f t="shared" si="0"/>
        <v>임공</v>
      </c>
      <c r="K29" s="267">
        <v>10200</v>
      </c>
      <c r="L29" s="266"/>
      <c r="M29" s="266"/>
      <c r="N29" s="266"/>
      <c r="O29" s="266"/>
      <c r="P29" s="266"/>
      <c r="Q29" s="266"/>
      <c r="R29" s="268"/>
    </row>
    <row r="30" spans="1:18" ht="30" customHeight="1">
      <c r="A30" s="204">
        <v>25</v>
      </c>
      <c r="B30" s="202" t="s">
        <v>480</v>
      </c>
      <c r="C30" s="202"/>
      <c r="D30" s="202" t="s">
        <v>85</v>
      </c>
      <c r="E30" s="304">
        <v>43</v>
      </c>
      <c r="F30" s="211">
        <v>43</v>
      </c>
      <c r="G30" s="203" t="s">
        <v>481</v>
      </c>
      <c r="H30" s="203" t="s">
        <v>482</v>
      </c>
      <c r="I30" s="280"/>
      <c r="J30" s="264" t="str">
        <f t="shared" si="0"/>
        <v>전신정우
외1인</v>
      </c>
      <c r="K30" s="267">
        <v>13000</v>
      </c>
      <c r="L30" s="266"/>
      <c r="M30" s="266"/>
      <c r="N30" s="266"/>
      <c r="O30" s="266"/>
      <c r="P30" s="266"/>
      <c r="Q30" s="266"/>
      <c r="R30" s="268"/>
    </row>
    <row r="31" spans="1:18" ht="30" customHeight="1">
      <c r="A31" s="204">
        <v>26</v>
      </c>
      <c r="B31" s="202" t="s">
        <v>483</v>
      </c>
      <c r="C31" s="202"/>
      <c r="D31" s="202" t="s">
        <v>135</v>
      </c>
      <c r="E31" s="304">
        <v>448</v>
      </c>
      <c r="F31" s="211">
        <v>448</v>
      </c>
      <c r="G31" s="203" t="s">
        <v>0</v>
      </c>
      <c r="H31" s="203" t="s">
        <v>484</v>
      </c>
      <c r="I31" s="280"/>
      <c r="J31" s="264" t="str">
        <f t="shared" si="0"/>
        <v>임공</v>
      </c>
      <c r="K31" s="267">
        <v>8010</v>
      </c>
      <c r="L31" s="266"/>
      <c r="M31" s="266"/>
      <c r="N31" s="266"/>
      <c r="O31" s="266"/>
      <c r="P31" s="266"/>
      <c r="Q31" s="266"/>
      <c r="R31" s="268"/>
    </row>
    <row r="32" spans="1:18" ht="30" customHeight="1">
      <c r="A32" s="204">
        <v>27</v>
      </c>
      <c r="B32" s="202" t="s">
        <v>485</v>
      </c>
      <c r="C32" s="202"/>
      <c r="D32" s="202" t="s">
        <v>135</v>
      </c>
      <c r="E32" s="304">
        <v>722</v>
      </c>
      <c r="F32" s="211">
        <v>722</v>
      </c>
      <c r="G32" s="203" t="s">
        <v>0</v>
      </c>
      <c r="H32" s="203" t="s">
        <v>99</v>
      </c>
      <c r="I32" s="280"/>
      <c r="J32" s="264" t="str">
        <f t="shared" si="0"/>
        <v>임공</v>
      </c>
      <c r="K32" s="267">
        <v>2040</v>
      </c>
      <c r="L32" s="266"/>
      <c r="M32" s="266"/>
      <c r="N32" s="266"/>
      <c r="O32" s="266"/>
      <c r="P32" s="266"/>
      <c r="Q32" s="266"/>
      <c r="R32" s="268"/>
    </row>
    <row r="33" spans="1:18" ht="30" customHeight="1">
      <c r="A33" s="204">
        <v>28</v>
      </c>
      <c r="B33" s="202" t="s">
        <v>486</v>
      </c>
      <c r="C33" s="202"/>
      <c r="D33" s="202" t="s">
        <v>84</v>
      </c>
      <c r="E33" s="304">
        <v>1924</v>
      </c>
      <c r="F33" s="211">
        <v>319</v>
      </c>
      <c r="G33" s="203" t="s">
        <v>98</v>
      </c>
      <c r="H33" s="203" t="s">
        <v>102</v>
      </c>
      <c r="I33" s="280"/>
      <c r="J33" s="264" t="str">
        <f t="shared" si="0"/>
        <v>도국</v>
      </c>
      <c r="K33" s="267"/>
      <c r="L33" s="266"/>
      <c r="M33" s="266"/>
      <c r="N33" s="266"/>
      <c r="O33" s="266"/>
      <c r="P33" s="266"/>
      <c r="Q33" s="266"/>
      <c r="R33" s="268"/>
    </row>
    <row r="34" spans="1:18" ht="30" customHeight="1">
      <c r="A34" s="204">
        <v>29</v>
      </c>
      <c r="B34" s="202" t="s">
        <v>487</v>
      </c>
      <c r="C34" s="202"/>
      <c r="D34" s="202" t="s">
        <v>89</v>
      </c>
      <c r="E34" s="304">
        <v>712</v>
      </c>
      <c r="F34" s="211">
        <v>712</v>
      </c>
      <c r="G34" s="203" t="s">
        <v>994</v>
      </c>
      <c r="H34" s="203" t="s">
        <v>995</v>
      </c>
      <c r="I34" s="280"/>
      <c r="J34" s="264" t="str">
        <f t="shared" si="0"/>
        <v>답공</v>
      </c>
      <c r="K34" s="267">
        <v>7970</v>
      </c>
      <c r="L34" s="266"/>
      <c r="M34" s="266"/>
      <c r="N34" s="266"/>
      <c r="O34" s="266"/>
      <c r="P34" s="266"/>
      <c r="Q34" s="266"/>
      <c r="R34" s="268"/>
    </row>
    <row r="35" spans="1:18" ht="30" customHeight="1">
      <c r="A35" s="204">
        <v>30</v>
      </c>
      <c r="B35" s="202" t="s">
        <v>488</v>
      </c>
      <c r="C35" s="202"/>
      <c r="D35" s="202" t="s">
        <v>89</v>
      </c>
      <c r="E35" s="304">
        <v>547</v>
      </c>
      <c r="F35" s="211">
        <v>547</v>
      </c>
      <c r="G35" s="203" t="s">
        <v>994</v>
      </c>
      <c r="H35" s="203" t="s">
        <v>995</v>
      </c>
      <c r="I35" s="280"/>
      <c r="J35" s="264" t="str">
        <f t="shared" si="0"/>
        <v>답공</v>
      </c>
      <c r="K35" s="267">
        <v>6870</v>
      </c>
      <c r="L35" s="266"/>
      <c r="M35" s="266"/>
      <c r="N35" s="266"/>
      <c r="O35" s="266"/>
      <c r="P35" s="266"/>
      <c r="Q35" s="266"/>
      <c r="R35" s="268"/>
    </row>
    <row r="36" spans="1:18" ht="30" customHeight="1">
      <c r="A36" s="204">
        <v>31</v>
      </c>
      <c r="B36" s="202" t="s">
        <v>489</v>
      </c>
      <c r="C36" s="202"/>
      <c r="D36" s="202" t="s">
        <v>89</v>
      </c>
      <c r="E36" s="304">
        <v>1790</v>
      </c>
      <c r="F36" s="211">
        <v>1790</v>
      </c>
      <c r="G36" s="203" t="s">
        <v>994</v>
      </c>
      <c r="H36" s="203" t="s">
        <v>995</v>
      </c>
      <c r="I36" s="280"/>
      <c r="J36" s="264" t="str">
        <f t="shared" si="0"/>
        <v>답공</v>
      </c>
      <c r="K36" s="267">
        <v>6610</v>
      </c>
      <c r="L36" s="266"/>
      <c r="M36" s="266"/>
      <c r="N36" s="266"/>
      <c r="O36" s="266"/>
      <c r="P36" s="266"/>
      <c r="Q36" s="266"/>
      <c r="R36" s="268"/>
    </row>
    <row r="37" spans="1:18" ht="30" customHeight="1">
      <c r="A37" s="204">
        <v>32</v>
      </c>
      <c r="B37" s="202" t="s">
        <v>490</v>
      </c>
      <c r="C37" s="202"/>
      <c r="D37" s="202" t="s">
        <v>135</v>
      </c>
      <c r="E37" s="304">
        <v>2113</v>
      </c>
      <c r="F37" s="211">
        <v>2113</v>
      </c>
      <c r="G37" s="203" t="s">
        <v>994</v>
      </c>
      <c r="H37" s="203" t="s">
        <v>995</v>
      </c>
      <c r="I37" s="280"/>
      <c r="J37" s="264" t="str">
        <f t="shared" si="0"/>
        <v>임공</v>
      </c>
      <c r="K37" s="267">
        <v>5630</v>
      </c>
      <c r="L37" s="266"/>
      <c r="M37" s="266"/>
      <c r="N37" s="266"/>
      <c r="O37" s="266"/>
      <c r="P37" s="266"/>
      <c r="Q37" s="266"/>
      <c r="R37" s="268"/>
    </row>
    <row r="38" spans="1:18" ht="30" customHeight="1">
      <c r="A38" s="204">
        <v>33</v>
      </c>
      <c r="B38" s="202" t="s">
        <v>491</v>
      </c>
      <c r="C38" s="202"/>
      <c r="D38" s="202" t="s">
        <v>135</v>
      </c>
      <c r="E38" s="304">
        <v>2341</v>
      </c>
      <c r="F38" s="211">
        <v>2341</v>
      </c>
      <c r="G38" s="203" t="s">
        <v>994</v>
      </c>
      <c r="H38" s="203" t="s">
        <v>995</v>
      </c>
      <c r="I38" s="280"/>
      <c r="J38" s="264" t="str">
        <f t="shared" si="0"/>
        <v>임공</v>
      </c>
      <c r="K38" s="267">
        <v>5230</v>
      </c>
      <c r="L38" s="266"/>
      <c r="M38" s="266"/>
      <c r="N38" s="266"/>
      <c r="O38" s="266"/>
      <c r="P38" s="266"/>
      <c r="Q38" s="266"/>
      <c r="R38" s="268"/>
    </row>
    <row r="39" spans="1:18" ht="30" customHeight="1">
      <c r="A39" s="204">
        <v>34</v>
      </c>
      <c r="B39" s="202" t="s">
        <v>492</v>
      </c>
      <c r="C39" s="202"/>
      <c r="D39" s="202" t="s">
        <v>135</v>
      </c>
      <c r="E39" s="304">
        <v>51</v>
      </c>
      <c r="F39" s="211">
        <v>51</v>
      </c>
      <c r="G39" s="203" t="s">
        <v>994</v>
      </c>
      <c r="H39" s="203" t="s">
        <v>995</v>
      </c>
      <c r="I39" s="280"/>
      <c r="J39" s="264" t="str">
        <f t="shared" si="0"/>
        <v>임공</v>
      </c>
      <c r="K39" s="267">
        <v>5630</v>
      </c>
      <c r="L39" s="266"/>
      <c r="M39" s="266"/>
      <c r="N39" s="266"/>
      <c r="O39" s="266"/>
      <c r="P39" s="266"/>
      <c r="Q39" s="266"/>
      <c r="R39" s="268"/>
    </row>
    <row r="40" spans="1:18" ht="30" customHeight="1">
      <c r="A40" s="204">
        <v>35</v>
      </c>
      <c r="B40" s="202" t="s">
        <v>493</v>
      </c>
      <c r="C40" s="202"/>
      <c r="D40" s="202" t="s">
        <v>85</v>
      </c>
      <c r="E40" s="304">
        <v>68</v>
      </c>
      <c r="F40" s="211">
        <v>68</v>
      </c>
      <c r="G40" s="203" t="s">
        <v>994</v>
      </c>
      <c r="H40" s="203" t="s">
        <v>995</v>
      </c>
      <c r="I40" s="280"/>
      <c r="J40" s="264" t="str">
        <f t="shared" si="0"/>
        <v>전공</v>
      </c>
      <c r="K40" s="267">
        <v>7820</v>
      </c>
      <c r="L40" s="266"/>
      <c r="M40" s="266"/>
      <c r="N40" s="266"/>
      <c r="O40" s="266"/>
      <c r="P40" s="266"/>
      <c r="Q40" s="266"/>
      <c r="R40" s="268"/>
    </row>
    <row r="41" spans="1:18" ht="30" customHeight="1">
      <c r="A41" s="204">
        <v>36</v>
      </c>
      <c r="B41" s="202" t="s">
        <v>494</v>
      </c>
      <c r="C41" s="202"/>
      <c r="D41" s="202" t="s">
        <v>85</v>
      </c>
      <c r="E41" s="304">
        <v>251</v>
      </c>
      <c r="F41" s="211">
        <v>251</v>
      </c>
      <c r="G41" s="203" t="s">
        <v>994</v>
      </c>
      <c r="H41" s="203" t="s">
        <v>995</v>
      </c>
      <c r="I41" s="280"/>
      <c r="J41" s="264" t="str">
        <f t="shared" si="0"/>
        <v>전공</v>
      </c>
      <c r="K41" s="267">
        <v>7820</v>
      </c>
      <c r="L41" s="266"/>
      <c r="M41" s="266"/>
      <c r="N41" s="266"/>
      <c r="O41" s="266"/>
      <c r="P41" s="266"/>
      <c r="Q41" s="266"/>
      <c r="R41" s="268"/>
    </row>
    <row r="42" spans="1:18" ht="30" customHeight="1">
      <c r="A42" s="204">
        <v>37</v>
      </c>
      <c r="B42" s="202" t="s">
        <v>495</v>
      </c>
      <c r="C42" s="202"/>
      <c r="D42" s="202" t="s">
        <v>85</v>
      </c>
      <c r="E42" s="304">
        <v>994</v>
      </c>
      <c r="F42" s="211">
        <v>994</v>
      </c>
      <c r="G42" s="203" t="s">
        <v>994</v>
      </c>
      <c r="H42" s="203" t="s">
        <v>995</v>
      </c>
      <c r="I42" s="280"/>
      <c r="J42" s="264" t="str">
        <f t="shared" si="0"/>
        <v>전공</v>
      </c>
      <c r="K42" s="267">
        <v>7360</v>
      </c>
      <c r="L42" s="266" t="s">
        <v>154</v>
      </c>
      <c r="M42" s="266"/>
      <c r="N42" s="266"/>
      <c r="O42" s="266"/>
      <c r="P42" s="266"/>
      <c r="Q42" s="266"/>
      <c r="R42" s="268"/>
    </row>
    <row r="43" spans="1:18" ht="30" customHeight="1">
      <c r="A43" s="204">
        <v>38</v>
      </c>
      <c r="B43" s="202" t="s">
        <v>496</v>
      </c>
      <c r="C43" s="202"/>
      <c r="D43" s="202" t="s">
        <v>135</v>
      </c>
      <c r="E43" s="304">
        <v>665</v>
      </c>
      <c r="F43" s="211">
        <v>665</v>
      </c>
      <c r="G43" s="203" t="s">
        <v>994</v>
      </c>
      <c r="H43" s="203" t="s">
        <v>995</v>
      </c>
      <c r="I43" s="280"/>
      <c r="J43" s="264" t="str">
        <f t="shared" si="0"/>
        <v>임공</v>
      </c>
      <c r="K43" s="267">
        <v>7200</v>
      </c>
      <c r="L43" s="266"/>
      <c r="M43" s="266"/>
      <c r="N43" s="266"/>
      <c r="O43" s="266"/>
      <c r="P43" s="266"/>
      <c r="Q43" s="266"/>
      <c r="R43" s="268"/>
    </row>
    <row r="44" spans="1:18" ht="30" customHeight="1">
      <c r="A44" s="204">
        <v>39</v>
      </c>
      <c r="B44" s="202" t="s">
        <v>497</v>
      </c>
      <c r="C44" s="202"/>
      <c r="D44" s="202" t="s">
        <v>135</v>
      </c>
      <c r="E44" s="304">
        <v>1255</v>
      </c>
      <c r="F44" s="211">
        <v>988</v>
      </c>
      <c r="G44" s="203" t="s">
        <v>994</v>
      </c>
      <c r="H44" s="203" t="s">
        <v>995</v>
      </c>
      <c r="I44" s="280"/>
      <c r="J44" s="264" t="str">
        <f t="shared" si="0"/>
        <v>임공</v>
      </c>
      <c r="K44" s="267">
        <v>5340</v>
      </c>
      <c r="L44" s="266"/>
      <c r="M44" s="266"/>
      <c r="N44" s="266"/>
      <c r="O44" s="266"/>
      <c r="P44" s="266"/>
      <c r="Q44" s="266"/>
      <c r="R44" s="268"/>
    </row>
    <row r="45" spans="1:18" ht="30" customHeight="1">
      <c r="A45" s="204">
        <v>40</v>
      </c>
      <c r="B45" s="202" t="s">
        <v>498</v>
      </c>
      <c r="C45" s="202"/>
      <c r="D45" s="202" t="s">
        <v>135</v>
      </c>
      <c r="E45" s="304">
        <v>375</v>
      </c>
      <c r="F45" s="211">
        <v>375</v>
      </c>
      <c r="G45" s="203" t="s">
        <v>994</v>
      </c>
      <c r="H45" s="203" t="s">
        <v>995</v>
      </c>
      <c r="I45" s="280"/>
      <c r="J45" s="264" t="str">
        <f t="shared" si="0"/>
        <v>임공</v>
      </c>
      <c r="K45" s="267">
        <v>4990</v>
      </c>
      <c r="L45" s="266"/>
      <c r="M45" s="266"/>
      <c r="N45" s="266"/>
      <c r="O45" s="266"/>
      <c r="P45" s="266"/>
      <c r="Q45" s="266"/>
      <c r="R45" s="268"/>
    </row>
    <row r="46" spans="1:18" ht="30" customHeight="1">
      <c r="A46" s="204">
        <v>41</v>
      </c>
      <c r="B46" s="202" t="s">
        <v>499</v>
      </c>
      <c r="C46" s="202"/>
      <c r="D46" s="202" t="s">
        <v>135</v>
      </c>
      <c r="E46" s="304">
        <v>2117</v>
      </c>
      <c r="F46" s="211">
        <v>2117</v>
      </c>
      <c r="G46" s="203" t="s">
        <v>994</v>
      </c>
      <c r="H46" s="203" t="s">
        <v>995</v>
      </c>
      <c r="I46" s="280"/>
      <c r="J46" s="264" t="str">
        <f t="shared" si="0"/>
        <v>임공</v>
      </c>
      <c r="K46" s="267">
        <v>8570</v>
      </c>
      <c r="L46" s="266"/>
      <c r="M46" s="266"/>
      <c r="N46" s="266"/>
      <c r="O46" s="266"/>
      <c r="P46" s="266"/>
      <c r="Q46" s="266"/>
      <c r="R46" s="268"/>
    </row>
    <row r="47" spans="1:18" ht="30" customHeight="1">
      <c r="A47" s="204">
        <v>42</v>
      </c>
      <c r="B47" s="202" t="s">
        <v>500</v>
      </c>
      <c r="C47" s="202"/>
      <c r="D47" s="202" t="s">
        <v>84</v>
      </c>
      <c r="E47" s="304">
        <v>355</v>
      </c>
      <c r="F47" s="211">
        <v>355</v>
      </c>
      <c r="G47" s="203" t="s">
        <v>0</v>
      </c>
      <c r="H47" s="203" t="s">
        <v>99</v>
      </c>
      <c r="I47" s="280"/>
      <c r="J47" s="264" t="str">
        <f t="shared" si="0"/>
        <v>도공</v>
      </c>
      <c r="K47" s="267"/>
      <c r="L47" s="266"/>
      <c r="M47" s="266"/>
      <c r="N47" s="266"/>
      <c r="O47" s="266"/>
      <c r="P47" s="266"/>
      <c r="Q47" s="266"/>
      <c r="R47" s="268"/>
    </row>
    <row r="48" spans="1:18" ht="30" customHeight="1">
      <c r="A48" s="204">
        <v>43</v>
      </c>
      <c r="B48" s="202" t="s">
        <v>501</v>
      </c>
      <c r="C48" s="202"/>
      <c r="D48" s="202" t="s">
        <v>84</v>
      </c>
      <c r="E48" s="304">
        <v>23</v>
      </c>
      <c r="F48" s="211">
        <v>23</v>
      </c>
      <c r="G48" s="203" t="s">
        <v>502</v>
      </c>
      <c r="H48" s="203" t="s">
        <v>503</v>
      </c>
      <c r="I48" s="280"/>
      <c r="J48" s="264" t="str">
        <f t="shared" si="0"/>
        <v>도박윤흥</v>
      </c>
      <c r="K48" s="267"/>
      <c r="L48" s="266"/>
      <c r="M48" s="266"/>
      <c r="N48" s="266"/>
      <c r="O48" s="266"/>
      <c r="P48" s="266"/>
      <c r="Q48" s="266"/>
      <c r="R48" s="268"/>
    </row>
    <row r="49" spans="1:18" ht="30" customHeight="1">
      <c r="A49" s="204">
        <v>44</v>
      </c>
      <c r="B49" s="202" t="s">
        <v>504</v>
      </c>
      <c r="C49" s="202"/>
      <c r="D49" s="202" t="s">
        <v>84</v>
      </c>
      <c r="E49" s="304">
        <v>53</v>
      </c>
      <c r="F49" s="211">
        <v>24</v>
      </c>
      <c r="G49" s="203" t="s">
        <v>0</v>
      </c>
      <c r="H49" s="203" t="s">
        <v>99</v>
      </c>
      <c r="I49" s="280"/>
      <c r="J49" s="264" t="str">
        <f t="shared" si="0"/>
        <v>도공</v>
      </c>
      <c r="K49" s="267"/>
      <c r="L49" s="266"/>
      <c r="M49" s="266"/>
      <c r="N49" s="266"/>
      <c r="O49" s="266"/>
      <c r="P49" s="266"/>
      <c r="Q49" s="266"/>
      <c r="R49" s="268"/>
    </row>
    <row r="50" spans="1:18" ht="30" customHeight="1">
      <c r="A50" s="204">
        <v>45</v>
      </c>
      <c r="B50" s="202" t="s">
        <v>96</v>
      </c>
      <c r="C50" s="202"/>
      <c r="D50" s="202" t="s">
        <v>89</v>
      </c>
      <c r="E50" s="304">
        <v>814</v>
      </c>
      <c r="F50" s="211">
        <v>814</v>
      </c>
      <c r="G50" s="203" t="s">
        <v>994</v>
      </c>
      <c r="H50" s="203" t="s">
        <v>995</v>
      </c>
      <c r="I50" s="280"/>
      <c r="J50" s="264" t="str">
        <f t="shared" si="0"/>
        <v>답공</v>
      </c>
      <c r="K50" s="267">
        <v>7140</v>
      </c>
      <c r="L50" s="266"/>
      <c r="M50" s="266"/>
      <c r="N50" s="266"/>
      <c r="O50" s="266"/>
      <c r="P50" s="266"/>
      <c r="Q50" s="266"/>
      <c r="R50" s="268"/>
    </row>
    <row r="51" spans="1:18" ht="30" customHeight="1">
      <c r="A51" s="204">
        <v>46</v>
      </c>
      <c r="B51" s="202" t="s">
        <v>505</v>
      </c>
      <c r="C51" s="202"/>
      <c r="D51" s="202" t="s">
        <v>89</v>
      </c>
      <c r="E51" s="304">
        <v>1048</v>
      </c>
      <c r="F51" s="211">
        <v>1048</v>
      </c>
      <c r="G51" s="203" t="s">
        <v>994</v>
      </c>
      <c r="H51" s="203" t="s">
        <v>995</v>
      </c>
      <c r="I51" s="280"/>
      <c r="J51" s="264" t="str">
        <f t="shared" si="0"/>
        <v>답공</v>
      </c>
      <c r="K51" s="267">
        <v>6610</v>
      </c>
      <c r="L51" s="266"/>
      <c r="M51" s="266"/>
      <c r="N51" s="266"/>
      <c r="O51" s="266"/>
      <c r="P51" s="266"/>
      <c r="Q51" s="266"/>
      <c r="R51" s="268"/>
    </row>
    <row r="52" spans="1:18" ht="30" customHeight="1">
      <c r="A52" s="204">
        <v>47</v>
      </c>
      <c r="B52" s="202" t="s">
        <v>506</v>
      </c>
      <c r="C52" s="202"/>
      <c r="D52" s="202" t="s">
        <v>89</v>
      </c>
      <c r="E52" s="304">
        <v>269</v>
      </c>
      <c r="F52" s="211">
        <v>269</v>
      </c>
      <c r="G52" s="203" t="s">
        <v>994</v>
      </c>
      <c r="H52" s="203" t="s">
        <v>995</v>
      </c>
      <c r="I52" s="280"/>
      <c r="J52" s="264" t="str">
        <f t="shared" si="0"/>
        <v>답공</v>
      </c>
      <c r="K52" s="267">
        <v>6610</v>
      </c>
      <c r="L52" s="266"/>
      <c r="M52" s="266"/>
      <c r="N52" s="266"/>
      <c r="O52" s="266"/>
      <c r="P52" s="266"/>
      <c r="Q52" s="266"/>
      <c r="R52" s="268"/>
    </row>
    <row r="53" spans="1:18" ht="30" customHeight="1">
      <c r="A53" s="204">
        <v>48</v>
      </c>
      <c r="B53" s="202" t="s">
        <v>507</v>
      </c>
      <c r="C53" s="202"/>
      <c r="D53" s="202" t="s">
        <v>89</v>
      </c>
      <c r="E53" s="304">
        <v>139</v>
      </c>
      <c r="F53" s="211">
        <v>139</v>
      </c>
      <c r="G53" s="203" t="s">
        <v>994</v>
      </c>
      <c r="H53" s="203" t="s">
        <v>995</v>
      </c>
      <c r="I53" s="280"/>
      <c r="J53" s="264" t="str">
        <f t="shared" si="0"/>
        <v>답공</v>
      </c>
      <c r="K53" s="267">
        <v>6610</v>
      </c>
      <c r="L53" s="266"/>
      <c r="M53" s="266"/>
      <c r="N53" s="266"/>
      <c r="O53" s="266"/>
      <c r="P53" s="266"/>
      <c r="Q53" s="266"/>
      <c r="R53" s="268"/>
    </row>
    <row r="54" spans="1:18" ht="30" customHeight="1">
      <c r="A54" s="204">
        <v>49</v>
      </c>
      <c r="B54" s="202" t="s">
        <v>508</v>
      </c>
      <c r="C54" s="202"/>
      <c r="D54" s="202" t="s">
        <v>85</v>
      </c>
      <c r="E54" s="304">
        <v>921</v>
      </c>
      <c r="F54" s="211">
        <v>921</v>
      </c>
      <c r="G54" s="203" t="s">
        <v>994</v>
      </c>
      <c r="H54" s="203" t="s">
        <v>995</v>
      </c>
      <c r="I54" s="280"/>
      <c r="J54" s="264" t="str">
        <f t="shared" si="0"/>
        <v>전공</v>
      </c>
      <c r="K54" s="267">
        <v>7540</v>
      </c>
      <c r="L54" s="266"/>
      <c r="M54" s="266"/>
      <c r="N54" s="266"/>
      <c r="O54" s="266"/>
      <c r="P54" s="266"/>
      <c r="Q54" s="266"/>
      <c r="R54" s="268"/>
    </row>
    <row r="55" spans="1:18" ht="30" customHeight="1">
      <c r="A55" s="204">
        <v>50</v>
      </c>
      <c r="B55" s="202" t="s">
        <v>509</v>
      </c>
      <c r="C55" s="202"/>
      <c r="D55" s="202" t="s">
        <v>89</v>
      </c>
      <c r="E55" s="304">
        <v>464</v>
      </c>
      <c r="F55" s="211">
        <v>464</v>
      </c>
      <c r="G55" s="203" t="s">
        <v>994</v>
      </c>
      <c r="H55" s="203" t="s">
        <v>995</v>
      </c>
      <c r="I55" s="280"/>
      <c r="J55" s="264" t="str">
        <f t="shared" si="0"/>
        <v>답공</v>
      </c>
      <c r="K55" s="267">
        <v>7290</v>
      </c>
      <c r="L55" s="266"/>
      <c r="M55" s="266"/>
      <c r="N55" s="266"/>
      <c r="O55" s="266"/>
      <c r="P55" s="266"/>
      <c r="Q55" s="266"/>
      <c r="R55" s="268"/>
    </row>
    <row r="56" spans="1:18" ht="30" customHeight="1">
      <c r="A56" s="204">
        <v>51</v>
      </c>
      <c r="B56" s="202" t="s">
        <v>510</v>
      </c>
      <c r="C56" s="202"/>
      <c r="D56" s="202" t="s">
        <v>87</v>
      </c>
      <c r="E56" s="304"/>
      <c r="F56" s="211">
        <v>171</v>
      </c>
      <c r="G56" s="203" t="s">
        <v>994</v>
      </c>
      <c r="H56" s="203" t="s">
        <v>995</v>
      </c>
      <c r="I56" s="280"/>
      <c r="J56" s="264" t="str">
        <f t="shared" si="0"/>
        <v>구공</v>
      </c>
      <c r="K56" s="267"/>
      <c r="L56" s="266"/>
      <c r="M56" s="266"/>
      <c r="N56" s="266"/>
      <c r="O56" s="266"/>
      <c r="P56" s="266"/>
      <c r="Q56" s="266"/>
      <c r="R56" s="268"/>
    </row>
    <row r="57" spans="1:18" ht="30" customHeight="1">
      <c r="A57" s="204">
        <v>52</v>
      </c>
      <c r="B57" s="202" t="s">
        <v>511</v>
      </c>
      <c r="C57" s="202"/>
      <c r="D57" s="202" t="s">
        <v>85</v>
      </c>
      <c r="E57" s="304">
        <v>1063</v>
      </c>
      <c r="F57" s="211">
        <v>1063</v>
      </c>
      <c r="G57" s="203" t="s">
        <v>0</v>
      </c>
      <c r="H57" s="203" t="s">
        <v>7</v>
      </c>
      <c r="I57" s="280"/>
      <c r="J57" s="264" t="str">
        <f t="shared" si="0"/>
        <v>전공</v>
      </c>
      <c r="K57" s="267">
        <v>8000</v>
      </c>
      <c r="L57" s="266"/>
      <c r="M57" s="266"/>
      <c r="N57" s="266"/>
      <c r="O57" s="266"/>
      <c r="P57" s="266"/>
      <c r="Q57" s="266"/>
      <c r="R57" s="268"/>
    </row>
    <row r="58" spans="1:18" ht="30" customHeight="1">
      <c r="A58" s="204">
        <v>53</v>
      </c>
      <c r="B58" s="202" t="s">
        <v>297</v>
      </c>
      <c r="C58" s="202"/>
      <c r="D58" s="202" t="s">
        <v>135</v>
      </c>
      <c r="E58" s="304">
        <v>2</v>
      </c>
      <c r="F58" s="211">
        <v>2</v>
      </c>
      <c r="G58" s="203" t="s">
        <v>0</v>
      </c>
      <c r="H58" s="203" t="s">
        <v>7</v>
      </c>
      <c r="I58" s="280"/>
      <c r="J58" s="264" t="str">
        <f t="shared" si="0"/>
        <v>임공</v>
      </c>
      <c r="K58" s="267">
        <v>5340</v>
      </c>
      <c r="L58" s="266"/>
      <c r="M58" s="266"/>
      <c r="N58" s="266"/>
      <c r="O58" s="266"/>
      <c r="P58" s="266"/>
      <c r="Q58" s="266"/>
      <c r="R58" s="268"/>
    </row>
    <row r="59" spans="1:18" ht="30" customHeight="1">
      <c r="A59" s="204">
        <v>54</v>
      </c>
      <c r="B59" s="202" t="s">
        <v>298</v>
      </c>
      <c r="C59" s="202"/>
      <c r="D59" s="202" t="s">
        <v>135</v>
      </c>
      <c r="E59" s="304">
        <v>12</v>
      </c>
      <c r="F59" s="211">
        <v>12</v>
      </c>
      <c r="G59" s="203" t="s">
        <v>0</v>
      </c>
      <c r="H59" s="203" t="s">
        <v>7</v>
      </c>
      <c r="I59" s="280"/>
      <c r="J59" s="264" t="str">
        <f t="shared" si="0"/>
        <v>임공</v>
      </c>
      <c r="K59" s="267">
        <v>5340</v>
      </c>
      <c r="L59" s="266"/>
      <c r="M59" s="266"/>
      <c r="N59" s="266"/>
      <c r="O59" s="266"/>
      <c r="P59" s="266"/>
      <c r="Q59" s="266"/>
      <c r="R59" s="268"/>
    </row>
    <row r="60" spans="1:18" ht="30" customHeight="1">
      <c r="A60" s="204">
        <v>55</v>
      </c>
      <c r="B60" s="202" t="s">
        <v>1103</v>
      </c>
      <c r="C60" s="202"/>
      <c r="D60" s="202" t="s">
        <v>135</v>
      </c>
      <c r="E60" s="304">
        <v>3853</v>
      </c>
      <c r="F60" s="211">
        <v>3853</v>
      </c>
      <c r="G60" s="203" t="s">
        <v>0</v>
      </c>
      <c r="H60" s="203" t="s">
        <v>7</v>
      </c>
      <c r="I60" s="280"/>
      <c r="J60" s="264" t="str">
        <f t="shared" si="0"/>
        <v>임공</v>
      </c>
      <c r="K60" s="267">
        <v>7000</v>
      </c>
      <c r="L60" s="266"/>
      <c r="M60" s="266"/>
      <c r="N60" s="266"/>
      <c r="O60" s="266"/>
      <c r="P60" s="266"/>
      <c r="Q60" s="266"/>
      <c r="R60" s="268"/>
    </row>
    <row r="61" spans="1:18" ht="30" customHeight="1">
      <c r="A61" s="204">
        <v>56</v>
      </c>
      <c r="B61" s="202" t="s">
        <v>738</v>
      </c>
      <c r="C61" s="202"/>
      <c r="D61" s="202" t="s">
        <v>135</v>
      </c>
      <c r="E61" s="304">
        <v>2379</v>
      </c>
      <c r="F61" s="211">
        <v>2379</v>
      </c>
      <c r="G61" s="203" t="s">
        <v>0</v>
      </c>
      <c r="H61" s="203" t="s">
        <v>7</v>
      </c>
      <c r="I61" s="280"/>
      <c r="J61" s="264" t="str">
        <f t="shared" si="0"/>
        <v>임공</v>
      </c>
      <c r="K61" s="267">
        <v>7000</v>
      </c>
      <c r="L61" s="266"/>
      <c r="M61" s="266"/>
      <c r="N61" s="266"/>
      <c r="O61" s="266"/>
      <c r="P61" s="266"/>
      <c r="Q61" s="266"/>
      <c r="R61" s="268"/>
    </row>
    <row r="62" spans="1:18" ht="30" customHeight="1">
      <c r="A62" s="204">
        <v>57</v>
      </c>
      <c r="B62" s="202" t="s">
        <v>512</v>
      </c>
      <c r="C62" s="202"/>
      <c r="D62" s="202" t="s">
        <v>135</v>
      </c>
      <c r="E62" s="304">
        <v>2364</v>
      </c>
      <c r="F62" s="211">
        <v>2364</v>
      </c>
      <c r="G62" s="203" t="s">
        <v>0</v>
      </c>
      <c r="H62" s="203" t="s">
        <v>7</v>
      </c>
      <c r="I62" s="280"/>
      <c r="J62" s="264" t="str">
        <f t="shared" si="0"/>
        <v>임공</v>
      </c>
      <c r="K62" s="267">
        <v>7210</v>
      </c>
      <c r="L62" s="266"/>
      <c r="M62" s="266"/>
      <c r="N62" s="266"/>
      <c r="O62" s="266"/>
      <c r="P62" s="266"/>
      <c r="Q62" s="266"/>
      <c r="R62" s="268"/>
    </row>
    <row r="63" spans="1:18" ht="30" customHeight="1">
      <c r="A63" s="204">
        <v>58</v>
      </c>
      <c r="B63" s="202" t="s">
        <v>513</v>
      </c>
      <c r="C63" s="202"/>
      <c r="D63" s="202" t="s">
        <v>135</v>
      </c>
      <c r="E63" s="304">
        <v>12358</v>
      </c>
      <c r="F63" s="211">
        <v>12358</v>
      </c>
      <c r="G63" s="203" t="s">
        <v>0</v>
      </c>
      <c r="H63" s="203" t="s">
        <v>7</v>
      </c>
      <c r="I63" s="280"/>
      <c r="J63" s="264" t="str">
        <f t="shared" si="0"/>
        <v>임공</v>
      </c>
      <c r="K63" s="267">
        <v>5400</v>
      </c>
      <c r="L63" s="266"/>
      <c r="M63" s="266"/>
      <c r="N63" s="266"/>
      <c r="O63" s="266"/>
      <c r="P63" s="266"/>
      <c r="Q63" s="266"/>
      <c r="R63" s="268"/>
    </row>
    <row r="64" spans="1:18" ht="30" customHeight="1">
      <c r="A64" s="204">
        <v>59</v>
      </c>
      <c r="B64" s="202" t="s">
        <v>514</v>
      </c>
      <c r="C64" s="202"/>
      <c r="D64" s="202" t="s">
        <v>87</v>
      </c>
      <c r="E64" s="304">
        <v>262.89999999999998</v>
      </c>
      <c r="F64" s="211">
        <v>262.89999999999998</v>
      </c>
      <c r="G64" s="203" t="s">
        <v>98</v>
      </c>
      <c r="H64" s="203" t="s">
        <v>101</v>
      </c>
      <c r="I64" s="280"/>
      <c r="J64" s="264" t="str">
        <f t="shared" si="0"/>
        <v>구국</v>
      </c>
      <c r="K64" s="267"/>
      <c r="L64" s="266"/>
      <c r="M64" s="266"/>
      <c r="N64" s="266"/>
      <c r="O64" s="266"/>
      <c r="P64" s="266"/>
      <c r="Q64" s="266"/>
      <c r="R64" s="268"/>
    </row>
    <row r="65" spans="1:18" ht="30" customHeight="1">
      <c r="A65" s="204">
        <v>60</v>
      </c>
      <c r="B65" s="202" t="s">
        <v>515</v>
      </c>
      <c r="C65" s="202"/>
      <c r="D65" s="202" t="s">
        <v>89</v>
      </c>
      <c r="E65" s="304">
        <v>1322.1</v>
      </c>
      <c r="F65" s="211">
        <v>1322.1</v>
      </c>
      <c r="G65" s="203" t="s">
        <v>0</v>
      </c>
      <c r="H65" s="203" t="s">
        <v>7</v>
      </c>
      <c r="I65" s="280"/>
      <c r="J65" s="264" t="str">
        <f t="shared" si="0"/>
        <v>답공</v>
      </c>
      <c r="K65" s="267">
        <v>8000</v>
      </c>
      <c r="L65" s="266"/>
      <c r="M65" s="266"/>
      <c r="N65" s="266"/>
      <c r="O65" s="266"/>
      <c r="P65" s="266"/>
      <c r="Q65" s="266"/>
      <c r="R65" s="268"/>
    </row>
    <row r="66" spans="1:18" ht="30" customHeight="1">
      <c r="A66" s="204">
        <v>61</v>
      </c>
      <c r="B66" s="202" t="s">
        <v>516</v>
      </c>
      <c r="C66" s="202"/>
      <c r="D66" s="202" t="s">
        <v>89</v>
      </c>
      <c r="E66" s="304">
        <v>2721</v>
      </c>
      <c r="F66" s="211">
        <v>2721</v>
      </c>
      <c r="G66" s="203" t="s">
        <v>0</v>
      </c>
      <c r="H66" s="203" t="s">
        <v>7</v>
      </c>
      <c r="I66" s="280"/>
      <c r="J66" s="264" t="str">
        <f t="shared" si="0"/>
        <v>답공</v>
      </c>
      <c r="K66" s="267">
        <v>8000</v>
      </c>
      <c r="L66" s="266"/>
      <c r="M66" s="266"/>
      <c r="N66" s="266"/>
      <c r="O66" s="266"/>
      <c r="P66" s="266"/>
      <c r="Q66" s="266"/>
      <c r="R66" s="268"/>
    </row>
    <row r="67" spans="1:18" ht="30" customHeight="1">
      <c r="A67" s="204">
        <v>62</v>
      </c>
      <c r="B67" s="202" t="s">
        <v>517</v>
      </c>
      <c r="C67" s="202"/>
      <c r="D67" s="202" t="s">
        <v>89</v>
      </c>
      <c r="E67" s="304">
        <v>3286.4</v>
      </c>
      <c r="F67" s="211">
        <v>3286.4</v>
      </c>
      <c r="G67" s="203" t="s">
        <v>0</v>
      </c>
      <c r="H67" s="203" t="s">
        <v>7</v>
      </c>
      <c r="I67" s="280"/>
      <c r="J67" s="264" t="str">
        <f t="shared" si="0"/>
        <v>답공</v>
      </c>
      <c r="K67" s="267">
        <v>8000</v>
      </c>
      <c r="L67" s="266"/>
      <c r="M67" s="266"/>
      <c r="N67" s="266"/>
      <c r="O67" s="266"/>
      <c r="P67" s="266"/>
      <c r="Q67" s="266"/>
      <c r="R67" s="268"/>
    </row>
    <row r="68" spans="1:18" ht="30" customHeight="1">
      <c r="A68" s="204">
        <v>63</v>
      </c>
      <c r="B68" s="202" t="s">
        <v>518</v>
      </c>
      <c r="C68" s="202"/>
      <c r="D68" s="202" t="s">
        <v>89</v>
      </c>
      <c r="E68" s="304">
        <v>1494.1</v>
      </c>
      <c r="F68" s="211">
        <v>1494.1</v>
      </c>
      <c r="G68" s="203" t="s">
        <v>0</v>
      </c>
      <c r="H68" s="203" t="s">
        <v>7</v>
      </c>
      <c r="I68" s="280"/>
      <c r="J68" s="264" t="str">
        <f t="shared" si="0"/>
        <v>답공</v>
      </c>
      <c r="K68" s="267">
        <v>8000</v>
      </c>
      <c r="L68" s="266"/>
      <c r="M68" s="266"/>
      <c r="N68" s="266"/>
      <c r="O68" s="266"/>
      <c r="P68" s="266"/>
      <c r="Q68" s="266"/>
      <c r="R68" s="268"/>
    </row>
    <row r="69" spans="1:18" ht="30" customHeight="1">
      <c r="A69" s="204">
        <v>64</v>
      </c>
      <c r="B69" s="202" t="s">
        <v>519</v>
      </c>
      <c r="C69" s="202"/>
      <c r="D69" s="202" t="s">
        <v>89</v>
      </c>
      <c r="E69" s="304">
        <v>1139.2</v>
      </c>
      <c r="F69" s="211">
        <v>1139.2</v>
      </c>
      <c r="G69" s="203" t="s">
        <v>0</v>
      </c>
      <c r="H69" s="203" t="s">
        <v>7</v>
      </c>
      <c r="I69" s="280"/>
      <c r="J69" s="264" t="str">
        <f t="shared" si="0"/>
        <v>답공</v>
      </c>
      <c r="K69" s="267">
        <v>8000</v>
      </c>
      <c r="L69" s="266"/>
      <c r="M69" s="266"/>
      <c r="N69" s="266"/>
      <c r="O69" s="266"/>
      <c r="P69" s="266"/>
      <c r="Q69" s="266"/>
      <c r="R69" s="268"/>
    </row>
    <row r="70" spans="1:18" ht="30" customHeight="1">
      <c r="A70" s="204">
        <v>65</v>
      </c>
      <c r="B70" s="202" t="s">
        <v>520</v>
      </c>
      <c r="C70" s="202"/>
      <c r="D70" s="202" t="s">
        <v>89</v>
      </c>
      <c r="E70" s="304">
        <v>1477.2</v>
      </c>
      <c r="F70" s="211">
        <v>1477.2</v>
      </c>
      <c r="G70" s="203" t="s">
        <v>0</v>
      </c>
      <c r="H70" s="203" t="s">
        <v>7</v>
      </c>
      <c r="I70" s="280"/>
      <c r="J70" s="264" t="str">
        <f t="shared" ref="J70:J133" si="1">CONCATENATE(D70,G70)</f>
        <v>답공</v>
      </c>
      <c r="K70" s="267">
        <v>8000</v>
      </c>
      <c r="L70" s="266"/>
      <c r="M70" s="266"/>
      <c r="N70" s="266"/>
      <c r="O70" s="266"/>
      <c r="P70" s="266"/>
      <c r="Q70" s="266"/>
      <c r="R70" s="268"/>
    </row>
    <row r="71" spans="1:18" ht="30" customHeight="1">
      <c r="A71" s="204">
        <v>66</v>
      </c>
      <c r="B71" s="202" t="s">
        <v>521</v>
      </c>
      <c r="C71" s="202"/>
      <c r="D71" s="202" t="s">
        <v>89</v>
      </c>
      <c r="E71" s="304">
        <v>1127</v>
      </c>
      <c r="F71" s="211">
        <v>1127</v>
      </c>
      <c r="G71" s="203" t="s">
        <v>0</v>
      </c>
      <c r="H71" s="203" t="s">
        <v>7</v>
      </c>
      <c r="I71" s="280"/>
      <c r="J71" s="264" t="str">
        <f t="shared" si="1"/>
        <v>답공</v>
      </c>
      <c r="K71" s="267">
        <v>8000</v>
      </c>
      <c r="L71" s="266"/>
      <c r="M71" s="266"/>
      <c r="N71" s="266"/>
      <c r="O71" s="266"/>
      <c r="P71" s="266"/>
      <c r="Q71" s="266"/>
      <c r="R71" s="268"/>
    </row>
    <row r="72" spans="1:18" ht="30" customHeight="1">
      <c r="A72" s="204">
        <v>67</v>
      </c>
      <c r="B72" s="202" t="s">
        <v>522</v>
      </c>
      <c r="C72" s="202"/>
      <c r="D72" s="202" t="s">
        <v>89</v>
      </c>
      <c r="E72" s="304">
        <v>1455.7</v>
      </c>
      <c r="F72" s="211">
        <v>1455.7</v>
      </c>
      <c r="G72" s="203" t="s">
        <v>994</v>
      </c>
      <c r="H72" s="203" t="s">
        <v>995</v>
      </c>
      <c r="I72" s="280"/>
      <c r="J72" s="264" t="str">
        <f t="shared" si="1"/>
        <v>답공</v>
      </c>
      <c r="K72" s="267">
        <v>8000</v>
      </c>
      <c r="L72" s="266"/>
      <c r="M72" s="266"/>
      <c r="N72" s="266"/>
      <c r="O72" s="266"/>
      <c r="P72" s="266"/>
      <c r="Q72" s="266"/>
      <c r="R72" s="268"/>
    </row>
    <row r="73" spans="1:18" ht="30" customHeight="1">
      <c r="A73" s="204">
        <v>68</v>
      </c>
      <c r="B73" s="202" t="s">
        <v>523</v>
      </c>
      <c r="C73" s="202"/>
      <c r="D73" s="202" t="s">
        <v>89</v>
      </c>
      <c r="E73" s="304">
        <v>971.6</v>
      </c>
      <c r="F73" s="211">
        <v>971.6</v>
      </c>
      <c r="G73" s="203" t="s">
        <v>0</v>
      </c>
      <c r="H73" s="203" t="s">
        <v>7</v>
      </c>
      <c r="I73" s="280"/>
      <c r="J73" s="264" t="str">
        <f t="shared" si="1"/>
        <v>답공</v>
      </c>
      <c r="K73" s="267">
        <v>8000</v>
      </c>
      <c r="L73" s="266"/>
      <c r="M73" s="266"/>
      <c r="N73" s="266"/>
      <c r="O73" s="266"/>
      <c r="P73" s="266"/>
      <c r="Q73" s="266"/>
      <c r="R73" s="268"/>
    </row>
    <row r="74" spans="1:18" ht="30" customHeight="1">
      <c r="A74" s="204">
        <v>69</v>
      </c>
      <c r="B74" s="202" t="s">
        <v>524</v>
      </c>
      <c r="C74" s="202"/>
      <c r="D74" s="202" t="s">
        <v>89</v>
      </c>
      <c r="E74" s="304">
        <v>499.7</v>
      </c>
      <c r="F74" s="211">
        <v>499.7</v>
      </c>
      <c r="G74" s="203" t="s">
        <v>0</v>
      </c>
      <c r="H74" s="203" t="s">
        <v>7</v>
      </c>
      <c r="I74" s="280"/>
      <c r="J74" s="264" t="str">
        <f t="shared" si="1"/>
        <v>답공</v>
      </c>
      <c r="K74" s="267">
        <v>8000</v>
      </c>
      <c r="L74" s="266"/>
      <c r="M74" s="266"/>
      <c r="N74" s="266"/>
      <c r="O74" s="266"/>
      <c r="P74" s="266"/>
      <c r="Q74" s="266"/>
      <c r="R74" s="268"/>
    </row>
    <row r="75" spans="1:18" ht="30" customHeight="1">
      <c r="A75" s="204">
        <v>70</v>
      </c>
      <c r="B75" s="202" t="s">
        <v>525</v>
      </c>
      <c r="C75" s="202"/>
      <c r="D75" s="202" t="s">
        <v>89</v>
      </c>
      <c r="E75" s="304">
        <v>1914.6</v>
      </c>
      <c r="F75" s="211">
        <v>1914.6</v>
      </c>
      <c r="G75" s="203" t="s">
        <v>994</v>
      </c>
      <c r="H75" s="203" t="s">
        <v>995</v>
      </c>
      <c r="I75" s="280"/>
      <c r="J75" s="264" t="str">
        <f t="shared" si="1"/>
        <v>답공</v>
      </c>
      <c r="K75" s="267">
        <v>8000</v>
      </c>
      <c r="L75" s="266"/>
      <c r="M75" s="266"/>
      <c r="N75" s="266"/>
      <c r="O75" s="266"/>
      <c r="P75" s="266"/>
      <c r="Q75" s="266"/>
      <c r="R75" s="268"/>
    </row>
    <row r="76" spans="1:18" ht="30" customHeight="1">
      <c r="A76" s="204">
        <v>71</v>
      </c>
      <c r="B76" s="202" t="s">
        <v>526</v>
      </c>
      <c r="C76" s="202"/>
      <c r="D76" s="202" t="s">
        <v>84</v>
      </c>
      <c r="E76" s="304">
        <v>1548.8</v>
      </c>
      <c r="F76" s="211">
        <v>1548.8</v>
      </c>
      <c r="G76" s="203" t="s">
        <v>98</v>
      </c>
      <c r="H76" s="203" t="s">
        <v>101</v>
      </c>
      <c r="I76" s="280"/>
      <c r="J76" s="264" t="str">
        <f t="shared" si="1"/>
        <v>도국</v>
      </c>
      <c r="K76" s="267"/>
      <c r="L76" s="266"/>
      <c r="M76" s="266"/>
      <c r="N76" s="266"/>
      <c r="O76" s="266"/>
      <c r="P76" s="266"/>
      <c r="Q76" s="266"/>
      <c r="R76" s="268"/>
    </row>
    <row r="77" spans="1:18" ht="30" customHeight="1">
      <c r="A77" s="204">
        <v>72</v>
      </c>
      <c r="B77" s="202" t="s">
        <v>527</v>
      </c>
      <c r="C77" s="202"/>
      <c r="D77" s="202" t="s">
        <v>528</v>
      </c>
      <c r="E77" s="304">
        <v>597.9</v>
      </c>
      <c r="F77" s="211">
        <v>597.9</v>
      </c>
      <c r="G77" s="203" t="s">
        <v>98</v>
      </c>
      <c r="H77" s="203" t="s">
        <v>102</v>
      </c>
      <c r="I77" s="280"/>
      <c r="J77" s="264" t="str">
        <f t="shared" si="1"/>
        <v>천국</v>
      </c>
      <c r="K77" s="267"/>
      <c r="L77" s="266"/>
      <c r="M77" s="266"/>
      <c r="N77" s="266"/>
      <c r="O77" s="266"/>
      <c r="P77" s="266"/>
      <c r="Q77" s="266"/>
      <c r="R77" s="268"/>
    </row>
    <row r="78" spans="1:18" ht="30" customHeight="1">
      <c r="A78" s="204">
        <v>73</v>
      </c>
      <c r="B78" s="202" t="s">
        <v>529</v>
      </c>
      <c r="C78" s="202"/>
      <c r="D78" s="202" t="s">
        <v>89</v>
      </c>
      <c r="E78" s="304">
        <v>2258.5</v>
      </c>
      <c r="F78" s="211">
        <v>2258.5</v>
      </c>
      <c r="G78" s="203" t="s">
        <v>994</v>
      </c>
      <c r="H78" s="203" t="s">
        <v>995</v>
      </c>
      <c r="I78" s="280"/>
      <c r="J78" s="264" t="str">
        <f t="shared" si="1"/>
        <v>답공</v>
      </c>
      <c r="K78" s="267">
        <v>8000</v>
      </c>
      <c r="L78" s="266"/>
      <c r="M78" s="266"/>
      <c r="N78" s="266"/>
      <c r="O78" s="266"/>
      <c r="P78" s="266"/>
      <c r="Q78" s="266"/>
      <c r="R78" s="268"/>
    </row>
    <row r="79" spans="1:18" ht="30" customHeight="1">
      <c r="A79" s="204">
        <v>74</v>
      </c>
      <c r="B79" s="202" t="s">
        <v>530</v>
      </c>
      <c r="C79" s="202"/>
      <c r="D79" s="202" t="s">
        <v>135</v>
      </c>
      <c r="E79" s="304">
        <v>82</v>
      </c>
      <c r="F79" s="211">
        <v>82</v>
      </c>
      <c r="G79" s="203" t="s">
        <v>994</v>
      </c>
      <c r="H79" s="203" t="s">
        <v>995</v>
      </c>
      <c r="I79" s="280"/>
      <c r="J79" s="264" t="str">
        <f t="shared" si="1"/>
        <v>임공</v>
      </c>
      <c r="K79" s="267">
        <v>5340</v>
      </c>
      <c r="L79" s="266"/>
      <c r="M79" s="266"/>
      <c r="N79" s="266"/>
      <c r="O79" s="266"/>
      <c r="P79" s="266"/>
      <c r="Q79" s="266"/>
      <c r="R79" s="268"/>
    </row>
    <row r="80" spans="1:18" ht="30" customHeight="1">
      <c r="A80" s="204">
        <v>75</v>
      </c>
      <c r="B80" s="202" t="s">
        <v>299</v>
      </c>
      <c r="C80" s="202"/>
      <c r="D80" s="202" t="s">
        <v>135</v>
      </c>
      <c r="E80" s="304">
        <v>327</v>
      </c>
      <c r="F80" s="211">
        <v>327</v>
      </c>
      <c r="G80" s="203" t="s">
        <v>994</v>
      </c>
      <c r="H80" s="203" t="s">
        <v>995</v>
      </c>
      <c r="I80" s="280"/>
      <c r="J80" s="264" t="str">
        <f t="shared" si="1"/>
        <v>임공</v>
      </c>
      <c r="K80" s="267">
        <v>5230</v>
      </c>
      <c r="L80" s="266"/>
      <c r="M80" s="266"/>
      <c r="N80" s="266"/>
      <c r="O80" s="266"/>
      <c r="P80" s="266"/>
      <c r="Q80" s="266"/>
      <c r="R80" s="268"/>
    </row>
    <row r="81" spans="1:18" ht="30" customHeight="1">
      <c r="A81" s="204">
        <v>76</v>
      </c>
      <c r="B81" s="202" t="s">
        <v>300</v>
      </c>
      <c r="C81" s="202"/>
      <c r="D81" s="202" t="s">
        <v>135</v>
      </c>
      <c r="E81" s="304">
        <v>156</v>
      </c>
      <c r="F81" s="211">
        <v>156</v>
      </c>
      <c r="G81" s="203" t="s">
        <v>994</v>
      </c>
      <c r="H81" s="203" t="s">
        <v>995</v>
      </c>
      <c r="I81" s="280"/>
      <c r="J81" s="264" t="str">
        <f t="shared" si="1"/>
        <v>임공</v>
      </c>
      <c r="K81" s="267">
        <v>5070</v>
      </c>
      <c r="L81" s="266"/>
      <c r="M81" s="266"/>
      <c r="N81" s="266"/>
      <c r="O81" s="266"/>
      <c r="P81" s="266"/>
      <c r="Q81" s="266"/>
      <c r="R81" s="268"/>
    </row>
    <row r="82" spans="1:18" ht="30" customHeight="1">
      <c r="A82" s="204">
        <v>77</v>
      </c>
      <c r="B82" s="202" t="s">
        <v>531</v>
      </c>
      <c r="C82" s="202"/>
      <c r="D82" s="202" t="s">
        <v>89</v>
      </c>
      <c r="E82" s="304">
        <v>827</v>
      </c>
      <c r="F82" s="211">
        <v>827</v>
      </c>
      <c r="G82" s="203" t="s">
        <v>994</v>
      </c>
      <c r="H82" s="203" t="s">
        <v>995</v>
      </c>
      <c r="I82" s="280"/>
      <c r="J82" s="264" t="str">
        <f t="shared" si="1"/>
        <v>답공</v>
      </c>
      <c r="K82" s="267">
        <v>7360</v>
      </c>
      <c r="L82" s="266"/>
      <c r="M82" s="266"/>
      <c r="N82" s="266"/>
      <c r="O82" s="266"/>
      <c r="P82" s="266"/>
      <c r="Q82" s="266"/>
      <c r="R82" s="268"/>
    </row>
    <row r="83" spans="1:18" ht="30" customHeight="1">
      <c r="A83" s="204">
        <v>78</v>
      </c>
      <c r="B83" s="202" t="s">
        <v>532</v>
      </c>
      <c r="C83" s="202"/>
      <c r="D83" s="202" t="s">
        <v>87</v>
      </c>
      <c r="E83" s="304">
        <v>421.7</v>
      </c>
      <c r="F83" s="211">
        <v>421.7</v>
      </c>
      <c r="G83" s="203" t="s">
        <v>98</v>
      </c>
      <c r="H83" s="203" t="s">
        <v>101</v>
      </c>
      <c r="I83" s="280"/>
      <c r="J83" s="264" t="str">
        <f t="shared" si="1"/>
        <v>구국</v>
      </c>
      <c r="K83" s="267"/>
      <c r="L83" s="266"/>
      <c r="M83" s="266"/>
      <c r="N83" s="266"/>
      <c r="O83" s="266"/>
      <c r="P83" s="266"/>
      <c r="Q83" s="266"/>
      <c r="R83" s="268"/>
    </row>
    <row r="84" spans="1:18" ht="30" customHeight="1">
      <c r="A84" s="204">
        <v>79</v>
      </c>
      <c r="B84" s="202" t="s">
        <v>533</v>
      </c>
      <c r="C84" s="202"/>
      <c r="D84" s="202" t="s">
        <v>84</v>
      </c>
      <c r="E84" s="304">
        <v>1082</v>
      </c>
      <c r="F84" s="211">
        <v>1082</v>
      </c>
      <c r="G84" s="203" t="s">
        <v>98</v>
      </c>
      <c r="H84" s="203" t="s">
        <v>101</v>
      </c>
      <c r="I84" s="280"/>
      <c r="J84" s="264" t="str">
        <f t="shared" si="1"/>
        <v>도국</v>
      </c>
      <c r="K84" s="267"/>
      <c r="L84" s="266"/>
      <c r="M84" s="266"/>
      <c r="N84" s="266"/>
      <c r="O84" s="266"/>
      <c r="P84" s="266"/>
      <c r="Q84" s="266"/>
      <c r="R84" s="268"/>
    </row>
    <row r="85" spans="1:18" ht="30" customHeight="1">
      <c r="A85" s="204">
        <v>80</v>
      </c>
      <c r="B85" s="202" t="s">
        <v>534</v>
      </c>
      <c r="C85" s="202"/>
      <c r="D85" s="202" t="s">
        <v>89</v>
      </c>
      <c r="E85" s="304">
        <v>1075.5999999999999</v>
      </c>
      <c r="F85" s="211">
        <v>1075.5999999999999</v>
      </c>
      <c r="G85" s="203" t="s">
        <v>994</v>
      </c>
      <c r="H85" s="203" t="s">
        <v>995</v>
      </c>
      <c r="I85" s="280"/>
      <c r="J85" s="264" t="str">
        <f t="shared" si="1"/>
        <v>답공</v>
      </c>
      <c r="K85" s="267">
        <v>8000</v>
      </c>
      <c r="L85" s="266"/>
      <c r="M85" s="266"/>
      <c r="N85" s="266"/>
      <c r="O85" s="266"/>
      <c r="P85" s="266"/>
      <c r="Q85" s="266"/>
      <c r="R85" s="268"/>
    </row>
    <row r="86" spans="1:18" ht="30" customHeight="1">
      <c r="A86" s="204">
        <v>81</v>
      </c>
      <c r="B86" s="202" t="s">
        <v>535</v>
      </c>
      <c r="C86" s="202"/>
      <c r="D86" s="202" t="s">
        <v>89</v>
      </c>
      <c r="E86" s="304">
        <v>891.7</v>
      </c>
      <c r="F86" s="211">
        <v>891.7</v>
      </c>
      <c r="G86" s="203" t="s">
        <v>0</v>
      </c>
      <c r="H86" s="203" t="s">
        <v>7</v>
      </c>
      <c r="I86" s="280"/>
      <c r="J86" s="264" t="str">
        <f t="shared" si="1"/>
        <v>답공</v>
      </c>
      <c r="K86" s="267">
        <v>8000</v>
      </c>
      <c r="L86" s="266"/>
      <c r="M86" s="266"/>
      <c r="N86" s="266"/>
      <c r="O86" s="266"/>
      <c r="P86" s="266"/>
      <c r="Q86" s="266"/>
      <c r="R86" s="268"/>
    </row>
    <row r="87" spans="1:18" ht="30" customHeight="1">
      <c r="A87" s="204">
        <v>82</v>
      </c>
      <c r="B87" s="202" t="s">
        <v>536</v>
      </c>
      <c r="C87" s="202"/>
      <c r="D87" s="202" t="s">
        <v>87</v>
      </c>
      <c r="E87" s="304">
        <v>607.6</v>
      </c>
      <c r="F87" s="211">
        <v>607.6</v>
      </c>
      <c r="G87" s="203" t="s">
        <v>98</v>
      </c>
      <c r="H87" s="203" t="s">
        <v>101</v>
      </c>
      <c r="I87" s="280"/>
      <c r="J87" s="264" t="str">
        <f t="shared" si="1"/>
        <v>구국</v>
      </c>
      <c r="K87" s="267"/>
      <c r="L87" s="266"/>
      <c r="M87" s="266"/>
      <c r="N87" s="266"/>
      <c r="O87" s="266"/>
      <c r="P87" s="266"/>
      <c r="Q87" s="266"/>
      <c r="R87" s="268"/>
    </row>
    <row r="88" spans="1:18" ht="30" customHeight="1">
      <c r="A88" s="204">
        <v>83</v>
      </c>
      <c r="B88" s="202" t="s">
        <v>537</v>
      </c>
      <c r="C88" s="202"/>
      <c r="D88" s="202" t="s">
        <v>89</v>
      </c>
      <c r="E88" s="304">
        <v>874.3</v>
      </c>
      <c r="F88" s="211">
        <v>874.3</v>
      </c>
      <c r="G88" s="203" t="s">
        <v>0</v>
      </c>
      <c r="H88" s="203" t="s">
        <v>7</v>
      </c>
      <c r="I88" s="280"/>
      <c r="J88" s="264" t="str">
        <f t="shared" si="1"/>
        <v>답공</v>
      </c>
      <c r="K88" s="267">
        <v>8000</v>
      </c>
      <c r="L88" s="266"/>
      <c r="M88" s="266"/>
      <c r="N88" s="266"/>
      <c r="O88" s="266"/>
      <c r="P88" s="266"/>
      <c r="Q88" s="266"/>
      <c r="R88" s="268"/>
    </row>
    <row r="89" spans="1:18" ht="30" customHeight="1">
      <c r="A89" s="204">
        <v>84</v>
      </c>
      <c r="B89" s="202" t="s">
        <v>538</v>
      </c>
      <c r="C89" s="202"/>
      <c r="D89" s="202" t="s">
        <v>89</v>
      </c>
      <c r="E89" s="304">
        <v>712.8</v>
      </c>
      <c r="F89" s="211">
        <v>712.8</v>
      </c>
      <c r="G89" s="203" t="s">
        <v>0</v>
      </c>
      <c r="H89" s="203" t="s">
        <v>7</v>
      </c>
      <c r="I89" s="280"/>
      <c r="J89" s="264" t="str">
        <f t="shared" si="1"/>
        <v>답공</v>
      </c>
      <c r="K89" s="267">
        <v>8000</v>
      </c>
      <c r="L89" s="266"/>
      <c r="M89" s="266"/>
      <c r="N89" s="266"/>
      <c r="O89" s="266"/>
      <c r="P89" s="266"/>
      <c r="Q89" s="266"/>
      <c r="R89" s="268"/>
    </row>
    <row r="90" spans="1:18" ht="30" customHeight="1">
      <c r="A90" s="204">
        <v>85</v>
      </c>
      <c r="B90" s="202" t="s">
        <v>539</v>
      </c>
      <c r="C90" s="202"/>
      <c r="D90" s="202" t="s">
        <v>89</v>
      </c>
      <c r="E90" s="304">
        <v>273</v>
      </c>
      <c r="F90" s="211">
        <v>273</v>
      </c>
      <c r="G90" s="203" t="s">
        <v>0</v>
      </c>
      <c r="H90" s="203" t="s">
        <v>7</v>
      </c>
      <c r="I90" s="280"/>
      <c r="J90" s="264" t="str">
        <f t="shared" si="1"/>
        <v>답공</v>
      </c>
      <c r="K90" s="267">
        <v>8000</v>
      </c>
      <c r="L90" s="266"/>
      <c r="M90" s="266"/>
      <c r="N90" s="266"/>
      <c r="O90" s="266"/>
      <c r="P90" s="266"/>
      <c r="Q90" s="266"/>
      <c r="R90" s="268"/>
    </row>
    <row r="91" spans="1:18" ht="30" customHeight="1">
      <c r="A91" s="204">
        <v>86</v>
      </c>
      <c r="B91" s="202" t="s">
        <v>540</v>
      </c>
      <c r="C91" s="202"/>
      <c r="D91" s="202" t="s">
        <v>89</v>
      </c>
      <c r="E91" s="304">
        <v>358.4</v>
      </c>
      <c r="F91" s="211">
        <v>358.4</v>
      </c>
      <c r="G91" s="203" t="s">
        <v>0</v>
      </c>
      <c r="H91" s="203" t="s">
        <v>7</v>
      </c>
      <c r="I91" s="280"/>
      <c r="J91" s="264" t="str">
        <f t="shared" si="1"/>
        <v>답공</v>
      </c>
      <c r="K91" s="267">
        <v>8000</v>
      </c>
      <c r="L91" s="266"/>
      <c r="M91" s="266"/>
      <c r="N91" s="266"/>
      <c r="O91" s="266"/>
      <c r="P91" s="266"/>
      <c r="Q91" s="266"/>
      <c r="R91" s="268"/>
    </row>
    <row r="92" spans="1:18" ht="30" customHeight="1">
      <c r="A92" s="204">
        <v>87</v>
      </c>
      <c r="B92" s="202" t="s">
        <v>541</v>
      </c>
      <c r="C92" s="202"/>
      <c r="D92" s="202" t="s">
        <v>89</v>
      </c>
      <c r="E92" s="304">
        <v>464.8</v>
      </c>
      <c r="F92" s="211">
        <v>464.8</v>
      </c>
      <c r="G92" s="203" t="s">
        <v>0</v>
      </c>
      <c r="H92" s="203" t="s">
        <v>7</v>
      </c>
      <c r="I92" s="280"/>
      <c r="J92" s="264" t="str">
        <f t="shared" si="1"/>
        <v>답공</v>
      </c>
      <c r="K92" s="267">
        <v>8000</v>
      </c>
      <c r="L92" s="266"/>
      <c r="M92" s="266"/>
      <c r="N92" s="266"/>
      <c r="O92" s="266"/>
      <c r="P92" s="266"/>
      <c r="Q92" s="266"/>
      <c r="R92" s="268"/>
    </row>
    <row r="93" spans="1:18" ht="30" customHeight="1">
      <c r="A93" s="204">
        <v>88</v>
      </c>
      <c r="B93" s="202" t="s">
        <v>542</v>
      </c>
      <c r="C93" s="202"/>
      <c r="D93" s="202" t="s">
        <v>89</v>
      </c>
      <c r="E93" s="304">
        <v>686.1</v>
      </c>
      <c r="F93" s="211">
        <v>686.1</v>
      </c>
      <c r="G93" s="203" t="s">
        <v>0</v>
      </c>
      <c r="H93" s="203" t="s">
        <v>7</v>
      </c>
      <c r="I93" s="280"/>
      <c r="J93" s="264" t="str">
        <f t="shared" si="1"/>
        <v>답공</v>
      </c>
      <c r="K93" s="267">
        <v>8000</v>
      </c>
      <c r="L93" s="266"/>
      <c r="M93" s="266"/>
      <c r="N93" s="266"/>
      <c r="O93" s="266"/>
      <c r="P93" s="266"/>
      <c r="Q93" s="266"/>
      <c r="R93" s="268"/>
    </row>
    <row r="94" spans="1:18" ht="30" customHeight="1">
      <c r="A94" s="204">
        <v>89</v>
      </c>
      <c r="B94" s="202" t="s">
        <v>543</v>
      </c>
      <c r="C94" s="202"/>
      <c r="D94" s="202" t="s">
        <v>89</v>
      </c>
      <c r="E94" s="304">
        <v>1538.5</v>
      </c>
      <c r="F94" s="211">
        <v>1538.5</v>
      </c>
      <c r="G94" s="203" t="s">
        <v>0</v>
      </c>
      <c r="H94" s="203" t="s">
        <v>7</v>
      </c>
      <c r="I94" s="280"/>
      <c r="J94" s="264" t="str">
        <f t="shared" si="1"/>
        <v>답공</v>
      </c>
      <c r="K94" s="267">
        <v>8000</v>
      </c>
      <c r="L94" s="266"/>
      <c r="M94" s="266"/>
      <c r="N94" s="266"/>
      <c r="O94" s="266"/>
      <c r="P94" s="266"/>
      <c r="Q94" s="266"/>
      <c r="R94" s="268"/>
    </row>
    <row r="95" spans="1:18" ht="30" customHeight="1">
      <c r="A95" s="204">
        <v>90</v>
      </c>
      <c r="B95" s="202" t="s">
        <v>544</v>
      </c>
      <c r="C95" s="202"/>
      <c r="D95" s="202" t="s">
        <v>89</v>
      </c>
      <c r="E95" s="304">
        <v>2235.6999999999998</v>
      </c>
      <c r="F95" s="211">
        <v>2235.6999999999998</v>
      </c>
      <c r="G95" s="203" t="s">
        <v>994</v>
      </c>
      <c r="H95" s="203" t="s">
        <v>995</v>
      </c>
      <c r="I95" s="280"/>
      <c r="J95" s="264" t="str">
        <f t="shared" si="1"/>
        <v>답공</v>
      </c>
      <c r="K95" s="267">
        <v>8000</v>
      </c>
      <c r="L95" s="266"/>
      <c r="M95" s="266"/>
      <c r="N95" s="266"/>
      <c r="O95" s="266"/>
      <c r="P95" s="266"/>
      <c r="Q95" s="266"/>
      <c r="R95" s="268"/>
    </row>
    <row r="96" spans="1:18" ht="30" customHeight="1">
      <c r="A96" s="204">
        <v>91</v>
      </c>
      <c r="B96" s="202" t="s">
        <v>545</v>
      </c>
      <c r="C96" s="202"/>
      <c r="D96" s="202" t="s">
        <v>89</v>
      </c>
      <c r="E96" s="304">
        <v>2175.1999999999998</v>
      </c>
      <c r="F96" s="211">
        <v>2175.1999999999998</v>
      </c>
      <c r="G96" s="203" t="s">
        <v>0</v>
      </c>
      <c r="H96" s="203" t="s">
        <v>7</v>
      </c>
      <c r="I96" s="280"/>
      <c r="J96" s="264" t="str">
        <f t="shared" si="1"/>
        <v>답공</v>
      </c>
      <c r="K96" s="267">
        <v>8000</v>
      </c>
      <c r="L96" s="266"/>
      <c r="M96" s="266"/>
      <c r="N96" s="266"/>
      <c r="O96" s="266"/>
      <c r="P96" s="266"/>
      <c r="Q96" s="266"/>
      <c r="R96" s="268"/>
    </row>
    <row r="97" spans="1:18" ht="30" customHeight="1">
      <c r="A97" s="204">
        <v>92</v>
      </c>
      <c r="B97" s="202" t="s">
        <v>546</v>
      </c>
      <c r="C97" s="202"/>
      <c r="D97" s="202" t="s">
        <v>89</v>
      </c>
      <c r="E97" s="304">
        <v>1110</v>
      </c>
      <c r="F97" s="211">
        <v>1110</v>
      </c>
      <c r="G97" s="203" t="s">
        <v>0</v>
      </c>
      <c r="H97" s="203" t="s">
        <v>7</v>
      </c>
      <c r="I97" s="280"/>
      <c r="J97" s="264" t="str">
        <f t="shared" si="1"/>
        <v>답공</v>
      </c>
      <c r="K97" s="267">
        <v>8000</v>
      </c>
      <c r="L97" s="266"/>
      <c r="M97" s="266"/>
      <c r="N97" s="266"/>
      <c r="O97" s="266"/>
      <c r="P97" s="266"/>
      <c r="Q97" s="266"/>
      <c r="R97" s="268"/>
    </row>
    <row r="98" spans="1:18" ht="30" customHeight="1">
      <c r="A98" s="204">
        <v>93</v>
      </c>
      <c r="B98" s="202" t="s">
        <v>547</v>
      </c>
      <c r="C98" s="202"/>
      <c r="D98" s="202" t="s">
        <v>89</v>
      </c>
      <c r="E98" s="304">
        <v>999.2</v>
      </c>
      <c r="F98" s="211">
        <v>999.2</v>
      </c>
      <c r="G98" s="203" t="s">
        <v>0</v>
      </c>
      <c r="H98" s="203" t="s">
        <v>7</v>
      </c>
      <c r="I98" s="280"/>
      <c r="J98" s="264" t="str">
        <f t="shared" si="1"/>
        <v>답공</v>
      </c>
      <c r="K98" s="267">
        <v>8000</v>
      </c>
      <c r="L98" s="266"/>
      <c r="M98" s="266"/>
      <c r="N98" s="266"/>
      <c r="O98" s="266"/>
      <c r="P98" s="266"/>
      <c r="Q98" s="266"/>
      <c r="R98" s="268"/>
    </row>
    <row r="99" spans="1:18" ht="30" customHeight="1">
      <c r="A99" s="204">
        <v>94</v>
      </c>
      <c r="B99" s="202" t="s">
        <v>548</v>
      </c>
      <c r="C99" s="202"/>
      <c r="D99" s="202" t="s">
        <v>89</v>
      </c>
      <c r="E99" s="304">
        <v>2037.2</v>
      </c>
      <c r="F99" s="211">
        <v>2037.2</v>
      </c>
      <c r="G99" s="203" t="s">
        <v>0</v>
      </c>
      <c r="H99" s="203" t="s">
        <v>7</v>
      </c>
      <c r="I99" s="280"/>
      <c r="J99" s="264" t="str">
        <f t="shared" si="1"/>
        <v>답공</v>
      </c>
      <c r="K99" s="267">
        <v>8000</v>
      </c>
      <c r="L99" s="266"/>
      <c r="M99" s="266"/>
      <c r="N99" s="266"/>
      <c r="O99" s="266"/>
      <c r="P99" s="266"/>
      <c r="Q99" s="266"/>
      <c r="R99" s="268"/>
    </row>
    <row r="100" spans="1:18" ht="30" customHeight="1">
      <c r="A100" s="204">
        <v>95</v>
      </c>
      <c r="B100" s="202" t="s">
        <v>549</v>
      </c>
      <c r="C100" s="202"/>
      <c r="D100" s="202" t="s">
        <v>89</v>
      </c>
      <c r="E100" s="304">
        <v>1410.3</v>
      </c>
      <c r="F100" s="211">
        <v>1410.3</v>
      </c>
      <c r="G100" s="203" t="s">
        <v>0</v>
      </c>
      <c r="H100" s="203" t="s">
        <v>7</v>
      </c>
      <c r="I100" s="280"/>
      <c r="J100" s="264" t="str">
        <f t="shared" si="1"/>
        <v>답공</v>
      </c>
      <c r="K100" s="267">
        <v>8000</v>
      </c>
      <c r="L100" s="266"/>
      <c r="M100" s="266"/>
      <c r="N100" s="266"/>
      <c r="O100" s="266"/>
      <c r="P100" s="266"/>
      <c r="Q100" s="266"/>
      <c r="R100" s="268"/>
    </row>
    <row r="101" spans="1:18" ht="30" customHeight="1">
      <c r="A101" s="204">
        <v>96</v>
      </c>
      <c r="B101" s="202" t="s">
        <v>550</v>
      </c>
      <c r="C101" s="202"/>
      <c r="D101" s="202" t="s">
        <v>84</v>
      </c>
      <c r="E101" s="304">
        <v>435.1</v>
      </c>
      <c r="F101" s="211">
        <v>435.1</v>
      </c>
      <c r="G101" s="203" t="s">
        <v>98</v>
      </c>
      <c r="H101" s="203" t="s">
        <v>101</v>
      </c>
      <c r="I101" s="280"/>
      <c r="J101" s="264" t="str">
        <f t="shared" si="1"/>
        <v>도국</v>
      </c>
      <c r="K101" s="267"/>
      <c r="L101" s="266"/>
      <c r="M101" s="266"/>
      <c r="N101" s="266"/>
      <c r="O101" s="266"/>
      <c r="P101" s="266"/>
      <c r="Q101" s="266"/>
      <c r="R101" s="268"/>
    </row>
    <row r="102" spans="1:18" ht="30" customHeight="1">
      <c r="A102" s="204">
        <v>97</v>
      </c>
      <c r="B102" s="202" t="s">
        <v>551</v>
      </c>
      <c r="C102" s="202"/>
      <c r="D102" s="202" t="s">
        <v>87</v>
      </c>
      <c r="E102" s="304">
        <v>38</v>
      </c>
      <c r="F102" s="211">
        <v>38</v>
      </c>
      <c r="G102" s="203" t="s">
        <v>98</v>
      </c>
      <c r="H102" s="203" t="s">
        <v>101</v>
      </c>
      <c r="I102" s="280"/>
      <c r="J102" s="264" t="str">
        <f t="shared" si="1"/>
        <v>구국</v>
      </c>
      <c r="K102" s="267"/>
      <c r="L102" s="266"/>
      <c r="M102" s="266"/>
      <c r="N102" s="266"/>
      <c r="O102" s="266"/>
      <c r="P102" s="266"/>
      <c r="Q102" s="266"/>
      <c r="R102" s="268"/>
    </row>
    <row r="103" spans="1:18" ht="30" customHeight="1">
      <c r="A103" s="204">
        <v>98</v>
      </c>
      <c r="B103" s="202" t="s">
        <v>552</v>
      </c>
      <c r="C103" s="202"/>
      <c r="D103" s="202" t="s">
        <v>89</v>
      </c>
      <c r="E103" s="304">
        <v>283.7</v>
      </c>
      <c r="F103" s="211">
        <v>283.7</v>
      </c>
      <c r="G103" s="203" t="s">
        <v>994</v>
      </c>
      <c r="H103" s="203" t="s">
        <v>995</v>
      </c>
      <c r="I103" s="280"/>
      <c r="J103" s="264" t="str">
        <f t="shared" si="1"/>
        <v>답공</v>
      </c>
      <c r="K103" s="267">
        <v>8000</v>
      </c>
      <c r="L103" s="266"/>
      <c r="M103" s="266"/>
      <c r="N103" s="266"/>
      <c r="O103" s="266"/>
      <c r="P103" s="266"/>
      <c r="Q103" s="266"/>
      <c r="R103" s="268"/>
    </row>
    <row r="104" spans="1:18" ht="30" customHeight="1">
      <c r="A104" s="204">
        <v>99</v>
      </c>
      <c r="B104" s="202" t="s">
        <v>553</v>
      </c>
      <c r="C104" s="202"/>
      <c r="D104" s="202" t="s">
        <v>89</v>
      </c>
      <c r="E104" s="304">
        <v>160.30000000000001</v>
      </c>
      <c r="F104" s="211">
        <v>160.30000000000001</v>
      </c>
      <c r="G104" s="203" t="s">
        <v>0</v>
      </c>
      <c r="H104" s="203" t="s">
        <v>7</v>
      </c>
      <c r="I104" s="280"/>
      <c r="J104" s="264" t="str">
        <f t="shared" si="1"/>
        <v>답공</v>
      </c>
      <c r="K104" s="267">
        <v>8000</v>
      </c>
      <c r="L104" s="266"/>
      <c r="M104" s="266"/>
      <c r="N104" s="266"/>
      <c r="O104" s="266"/>
      <c r="P104" s="266"/>
      <c r="Q104" s="266"/>
      <c r="R104" s="268"/>
    </row>
    <row r="105" spans="1:18" ht="30" customHeight="1">
      <c r="A105" s="204">
        <v>100</v>
      </c>
      <c r="B105" s="202" t="s">
        <v>744</v>
      </c>
      <c r="C105" s="202"/>
      <c r="D105" s="202" t="s">
        <v>89</v>
      </c>
      <c r="E105" s="304">
        <v>183.2</v>
      </c>
      <c r="F105" s="211">
        <v>183.2</v>
      </c>
      <c r="G105" s="203" t="s">
        <v>0</v>
      </c>
      <c r="H105" s="203" t="s">
        <v>7</v>
      </c>
      <c r="I105" s="280"/>
      <c r="J105" s="264" t="str">
        <f t="shared" si="1"/>
        <v>답공</v>
      </c>
      <c r="K105" s="267">
        <v>8000</v>
      </c>
      <c r="L105" s="266"/>
      <c r="M105" s="266"/>
      <c r="N105" s="266"/>
      <c r="O105" s="266"/>
      <c r="P105" s="266"/>
      <c r="Q105" s="266"/>
      <c r="R105" s="268"/>
    </row>
    <row r="106" spans="1:18" ht="30" customHeight="1">
      <c r="A106" s="204">
        <v>101</v>
      </c>
      <c r="B106" s="202" t="s">
        <v>554</v>
      </c>
      <c r="C106" s="202"/>
      <c r="D106" s="202" t="s">
        <v>89</v>
      </c>
      <c r="E106" s="304">
        <v>300</v>
      </c>
      <c r="F106" s="211">
        <v>300</v>
      </c>
      <c r="G106" s="203" t="s">
        <v>994</v>
      </c>
      <c r="H106" s="203" t="s">
        <v>995</v>
      </c>
      <c r="I106" s="280"/>
      <c r="J106" s="264" t="str">
        <f t="shared" si="1"/>
        <v>답공</v>
      </c>
      <c r="K106" s="265">
        <v>8000</v>
      </c>
      <c r="L106" s="266"/>
      <c r="M106" s="266"/>
      <c r="N106" s="266"/>
      <c r="O106" s="266"/>
      <c r="P106" s="266"/>
      <c r="Q106" s="266"/>
      <c r="R106" s="266"/>
    </row>
    <row r="107" spans="1:18" ht="30" customHeight="1">
      <c r="A107" s="204">
        <v>102</v>
      </c>
      <c r="B107" s="202" t="s">
        <v>555</v>
      </c>
      <c r="C107" s="202"/>
      <c r="D107" s="202" t="s">
        <v>87</v>
      </c>
      <c r="E107" s="304">
        <v>918.5</v>
      </c>
      <c r="F107" s="211">
        <v>918.5</v>
      </c>
      <c r="G107" s="203" t="s">
        <v>98</v>
      </c>
      <c r="H107" s="203" t="s">
        <v>101</v>
      </c>
      <c r="I107" s="280"/>
      <c r="J107" s="264" t="str">
        <f t="shared" si="1"/>
        <v>구국</v>
      </c>
      <c r="K107" s="265"/>
      <c r="L107" s="266"/>
      <c r="M107" s="266"/>
      <c r="N107" s="266"/>
      <c r="O107" s="266"/>
      <c r="P107" s="266"/>
      <c r="Q107" s="266"/>
      <c r="R107" s="266"/>
    </row>
    <row r="108" spans="1:18" ht="30" customHeight="1">
      <c r="A108" s="204">
        <v>103</v>
      </c>
      <c r="B108" s="202" t="s">
        <v>556</v>
      </c>
      <c r="C108" s="202"/>
      <c r="D108" s="202" t="s">
        <v>84</v>
      </c>
      <c r="E108" s="304">
        <v>1538</v>
      </c>
      <c r="F108" s="211">
        <v>1538</v>
      </c>
      <c r="G108" s="203" t="s">
        <v>98</v>
      </c>
      <c r="H108" s="203" t="s">
        <v>101</v>
      </c>
      <c r="I108" s="280"/>
      <c r="J108" s="264" t="str">
        <f t="shared" si="1"/>
        <v>도국</v>
      </c>
      <c r="K108" s="265"/>
      <c r="L108" s="266"/>
      <c r="M108" s="266"/>
      <c r="N108" s="266"/>
      <c r="O108" s="266"/>
      <c r="P108" s="266"/>
      <c r="Q108" s="266"/>
      <c r="R108" s="266"/>
    </row>
    <row r="109" spans="1:18" ht="30" customHeight="1">
      <c r="A109" s="204">
        <v>104</v>
      </c>
      <c r="B109" s="202" t="s">
        <v>557</v>
      </c>
      <c r="C109" s="202"/>
      <c r="D109" s="202" t="s">
        <v>89</v>
      </c>
      <c r="E109" s="304">
        <v>591.6</v>
      </c>
      <c r="F109" s="211">
        <v>591.6</v>
      </c>
      <c r="G109" s="203" t="s">
        <v>0</v>
      </c>
      <c r="H109" s="203" t="s">
        <v>7</v>
      </c>
      <c r="I109" s="280"/>
      <c r="J109" s="264" t="str">
        <f t="shared" si="1"/>
        <v>답공</v>
      </c>
      <c r="K109" s="265">
        <v>8000</v>
      </c>
      <c r="L109" s="266"/>
      <c r="M109" s="266"/>
      <c r="N109" s="266"/>
      <c r="O109" s="266"/>
      <c r="P109" s="266"/>
      <c r="Q109" s="266"/>
      <c r="R109" s="266"/>
    </row>
    <row r="110" spans="1:18" ht="30" customHeight="1">
      <c r="A110" s="204">
        <v>105</v>
      </c>
      <c r="B110" s="202" t="s">
        <v>558</v>
      </c>
      <c r="C110" s="202"/>
      <c r="D110" s="202" t="s">
        <v>89</v>
      </c>
      <c r="E110" s="304">
        <v>375.4</v>
      </c>
      <c r="F110" s="211">
        <v>375.4</v>
      </c>
      <c r="G110" s="203" t="s">
        <v>994</v>
      </c>
      <c r="H110" s="203" t="s">
        <v>995</v>
      </c>
      <c r="I110" s="280"/>
      <c r="J110" s="264" t="str">
        <f t="shared" si="1"/>
        <v>답공</v>
      </c>
      <c r="K110" s="265">
        <v>8000</v>
      </c>
      <c r="L110" s="266"/>
      <c r="M110" s="266"/>
      <c r="N110" s="266"/>
      <c r="O110" s="266"/>
      <c r="P110" s="266"/>
      <c r="Q110" s="266"/>
      <c r="R110" s="266"/>
    </row>
    <row r="111" spans="1:18" ht="30" customHeight="1">
      <c r="A111" s="204">
        <v>106</v>
      </c>
      <c r="B111" s="202" t="s">
        <v>559</v>
      </c>
      <c r="C111" s="202"/>
      <c r="D111" s="202" t="s">
        <v>89</v>
      </c>
      <c r="E111" s="304">
        <v>350.5</v>
      </c>
      <c r="F111" s="211">
        <v>350.5</v>
      </c>
      <c r="G111" s="203" t="s">
        <v>0</v>
      </c>
      <c r="H111" s="203" t="s">
        <v>7</v>
      </c>
      <c r="I111" s="280"/>
      <c r="J111" s="264" t="str">
        <f t="shared" si="1"/>
        <v>답공</v>
      </c>
      <c r="K111" s="265">
        <v>8000</v>
      </c>
      <c r="L111" s="266"/>
      <c r="M111" s="266"/>
      <c r="N111" s="266"/>
      <c r="O111" s="266"/>
      <c r="P111" s="266"/>
      <c r="Q111" s="266"/>
      <c r="R111" s="266"/>
    </row>
    <row r="112" spans="1:18" ht="30" customHeight="1">
      <c r="A112" s="204">
        <v>107</v>
      </c>
      <c r="B112" s="202" t="s">
        <v>560</v>
      </c>
      <c r="C112" s="202"/>
      <c r="D112" s="202" t="s">
        <v>89</v>
      </c>
      <c r="E112" s="304">
        <v>1330</v>
      </c>
      <c r="F112" s="211">
        <v>1330</v>
      </c>
      <c r="G112" s="203" t="s">
        <v>0</v>
      </c>
      <c r="H112" s="203" t="s">
        <v>7</v>
      </c>
      <c r="I112" s="280"/>
      <c r="J112" s="264" t="str">
        <f t="shared" si="1"/>
        <v>답공</v>
      </c>
      <c r="K112" s="265">
        <v>8000</v>
      </c>
      <c r="L112" s="266"/>
      <c r="M112" s="266"/>
      <c r="N112" s="266"/>
      <c r="O112" s="266"/>
      <c r="P112" s="266"/>
      <c r="Q112" s="266"/>
      <c r="R112" s="266"/>
    </row>
    <row r="113" spans="1:21" ht="30" customHeight="1">
      <c r="A113" s="204">
        <v>108</v>
      </c>
      <c r="B113" s="202" t="s">
        <v>561</v>
      </c>
      <c r="C113" s="202"/>
      <c r="D113" s="202" t="s">
        <v>87</v>
      </c>
      <c r="E113" s="304">
        <v>259.3</v>
      </c>
      <c r="F113" s="211">
        <v>259.3</v>
      </c>
      <c r="G113" s="203" t="s">
        <v>98</v>
      </c>
      <c r="H113" s="203" t="s">
        <v>101</v>
      </c>
      <c r="I113" s="280"/>
      <c r="J113" s="264" t="str">
        <f t="shared" si="1"/>
        <v>구국</v>
      </c>
      <c r="K113" s="265"/>
      <c r="L113" s="266"/>
      <c r="M113" s="266"/>
      <c r="N113" s="266"/>
      <c r="O113" s="266"/>
      <c r="P113" s="266"/>
      <c r="Q113" s="266"/>
      <c r="R113" s="266"/>
    </row>
    <row r="114" spans="1:21" ht="30" customHeight="1">
      <c r="A114" s="204">
        <v>109</v>
      </c>
      <c r="B114" s="202" t="s">
        <v>562</v>
      </c>
      <c r="C114" s="202"/>
      <c r="D114" s="202" t="s">
        <v>85</v>
      </c>
      <c r="E114" s="304">
        <v>165</v>
      </c>
      <c r="F114" s="211">
        <v>165</v>
      </c>
      <c r="G114" s="203" t="s">
        <v>994</v>
      </c>
      <c r="H114" s="203" t="s">
        <v>995</v>
      </c>
      <c r="I114" s="280"/>
      <c r="J114" s="264" t="str">
        <f t="shared" si="1"/>
        <v>전공</v>
      </c>
      <c r="K114" s="265">
        <v>8160</v>
      </c>
      <c r="L114" s="266"/>
      <c r="M114" s="266"/>
      <c r="N114" s="266"/>
      <c r="O114" s="266"/>
      <c r="P114" s="266"/>
      <c r="Q114" s="266"/>
      <c r="R114" s="266"/>
    </row>
    <row r="115" spans="1:21" ht="30" customHeight="1">
      <c r="A115" s="204">
        <v>110</v>
      </c>
      <c r="B115" s="202" t="s">
        <v>563</v>
      </c>
      <c r="C115" s="202"/>
      <c r="D115" s="202" t="s">
        <v>316</v>
      </c>
      <c r="E115" s="304"/>
      <c r="F115" s="211">
        <v>71</v>
      </c>
      <c r="G115" s="203" t="s">
        <v>1183</v>
      </c>
      <c r="H115" s="203"/>
      <c r="I115" s="280"/>
      <c r="J115" s="264" t="str">
        <f t="shared" si="1"/>
        <v>가국</v>
      </c>
      <c r="K115" s="265"/>
      <c r="L115" s="266"/>
      <c r="M115" s="266"/>
      <c r="N115" s="266"/>
      <c r="O115" s="266"/>
      <c r="P115" s="266"/>
      <c r="Q115" s="266"/>
      <c r="R115" s="266"/>
    </row>
    <row r="116" spans="1:21" ht="30" customHeight="1">
      <c r="A116" s="204">
        <v>111</v>
      </c>
      <c r="B116" s="202" t="s">
        <v>564</v>
      </c>
      <c r="C116" s="202"/>
      <c r="D116" s="202" t="s">
        <v>84</v>
      </c>
      <c r="E116" s="304">
        <v>1669</v>
      </c>
      <c r="F116" s="211">
        <v>1709</v>
      </c>
      <c r="G116" s="203" t="s">
        <v>0</v>
      </c>
      <c r="H116" s="203" t="s">
        <v>7</v>
      </c>
      <c r="I116" s="280"/>
      <c r="J116" s="264" t="str">
        <f t="shared" si="1"/>
        <v>도공</v>
      </c>
      <c r="K116" s="265"/>
      <c r="L116" s="266"/>
      <c r="M116" s="266"/>
      <c r="N116" s="266"/>
      <c r="O116" s="266"/>
      <c r="P116" s="266"/>
      <c r="Q116" s="266"/>
      <c r="R116" s="266"/>
    </row>
    <row r="117" spans="1:21" ht="30" customHeight="1">
      <c r="A117" s="204">
        <v>112</v>
      </c>
      <c r="B117" s="202" t="s">
        <v>565</v>
      </c>
      <c r="C117" s="202"/>
      <c r="D117" s="202" t="s">
        <v>84</v>
      </c>
      <c r="E117" s="304">
        <v>2056</v>
      </c>
      <c r="F117" s="211">
        <v>2161</v>
      </c>
      <c r="G117" s="203" t="s">
        <v>0</v>
      </c>
      <c r="H117" s="203" t="s">
        <v>7</v>
      </c>
      <c r="I117" s="280"/>
      <c r="J117" s="264" t="str">
        <f t="shared" si="1"/>
        <v>도공</v>
      </c>
      <c r="K117" s="265"/>
      <c r="L117" s="266"/>
      <c r="M117" s="266"/>
      <c r="N117" s="266"/>
      <c r="O117" s="266"/>
      <c r="P117" s="266"/>
      <c r="Q117" s="266"/>
      <c r="R117" s="266"/>
    </row>
    <row r="118" spans="1:21" ht="30" customHeight="1">
      <c r="A118" s="204">
        <v>113</v>
      </c>
      <c r="B118" s="202" t="s">
        <v>566</v>
      </c>
      <c r="C118" s="202"/>
      <c r="D118" s="202" t="s">
        <v>84</v>
      </c>
      <c r="E118" s="304">
        <v>1277</v>
      </c>
      <c r="F118" s="211">
        <v>1231</v>
      </c>
      <c r="G118" s="203" t="s">
        <v>0</v>
      </c>
      <c r="H118" s="203" t="s">
        <v>7</v>
      </c>
      <c r="I118" s="280"/>
      <c r="J118" s="264" t="str">
        <f t="shared" si="1"/>
        <v>도공</v>
      </c>
      <c r="K118" s="265"/>
      <c r="L118" s="266"/>
      <c r="M118" s="266"/>
      <c r="N118" s="266"/>
      <c r="O118" s="266"/>
      <c r="P118" s="266"/>
      <c r="Q118" s="266"/>
      <c r="R118" s="266"/>
    </row>
    <row r="119" spans="1:21" ht="30" customHeight="1">
      <c r="A119" s="204">
        <v>114</v>
      </c>
      <c r="B119" s="202" t="s">
        <v>567</v>
      </c>
      <c r="C119" s="202"/>
      <c r="D119" s="202" t="s">
        <v>84</v>
      </c>
      <c r="E119" s="304">
        <v>4950</v>
      </c>
      <c r="F119" s="211">
        <v>3724</v>
      </c>
      <c r="G119" s="203" t="s">
        <v>0</v>
      </c>
      <c r="H119" s="203" t="s">
        <v>7</v>
      </c>
      <c r="I119" s="280"/>
      <c r="J119" s="264" t="str">
        <f t="shared" si="1"/>
        <v>도공</v>
      </c>
      <c r="K119" s="265"/>
      <c r="L119" s="266"/>
      <c r="M119" s="266"/>
      <c r="N119" s="266"/>
      <c r="O119" s="266"/>
      <c r="P119" s="266"/>
      <c r="Q119" s="266"/>
      <c r="R119" s="266"/>
    </row>
    <row r="120" spans="1:21" ht="30" customHeight="1">
      <c r="A120" s="204">
        <v>115</v>
      </c>
      <c r="B120" s="202" t="s">
        <v>706</v>
      </c>
      <c r="C120" s="202"/>
      <c r="D120" s="202" t="s">
        <v>84</v>
      </c>
      <c r="E120" s="304">
        <v>2224</v>
      </c>
      <c r="F120" s="211">
        <v>2392</v>
      </c>
      <c r="G120" s="203" t="s">
        <v>0</v>
      </c>
      <c r="H120" s="203" t="s">
        <v>7</v>
      </c>
      <c r="I120" s="280"/>
      <c r="J120" s="264" t="str">
        <f t="shared" si="1"/>
        <v>도공</v>
      </c>
      <c r="K120" s="265"/>
      <c r="L120" s="266"/>
      <c r="M120" s="266"/>
      <c r="N120" s="266"/>
      <c r="O120" s="266"/>
      <c r="P120" s="266"/>
      <c r="Q120" s="266"/>
      <c r="R120" s="266"/>
    </row>
    <row r="121" spans="1:21" ht="30" customHeight="1">
      <c r="A121" s="204">
        <v>116</v>
      </c>
      <c r="B121" s="202" t="s">
        <v>568</v>
      </c>
      <c r="C121" s="202"/>
      <c r="D121" s="202" t="s">
        <v>84</v>
      </c>
      <c r="E121" s="304">
        <v>22152</v>
      </c>
      <c r="F121" s="211">
        <v>1761</v>
      </c>
      <c r="G121" s="203" t="s">
        <v>98</v>
      </c>
      <c r="H121" s="203" t="s">
        <v>102</v>
      </c>
      <c r="I121" s="280"/>
      <c r="J121" s="264" t="str">
        <f t="shared" si="1"/>
        <v>도국</v>
      </c>
      <c r="K121" s="267"/>
      <c r="L121" s="266"/>
      <c r="M121" s="266"/>
      <c r="N121" s="266"/>
      <c r="O121" s="266"/>
      <c r="P121" s="266"/>
      <c r="Q121" s="266"/>
      <c r="R121" s="268"/>
    </row>
    <row r="122" spans="1:21" ht="30" customHeight="1">
      <c r="A122" s="204">
        <v>117</v>
      </c>
      <c r="B122" s="202" t="s">
        <v>569</v>
      </c>
      <c r="C122" s="202"/>
      <c r="D122" s="202" t="s">
        <v>84</v>
      </c>
      <c r="E122" s="304">
        <v>167</v>
      </c>
      <c r="F122" s="211">
        <v>89</v>
      </c>
      <c r="G122" s="203" t="s">
        <v>0</v>
      </c>
      <c r="H122" s="203" t="s">
        <v>7</v>
      </c>
      <c r="I122" s="280"/>
      <c r="J122" s="264" t="str">
        <f t="shared" si="1"/>
        <v>도공</v>
      </c>
      <c r="K122" s="267"/>
      <c r="L122" s="266"/>
      <c r="M122" s="266"/>
      <c r="N122" s="266"/>
      <c r="O122" s="266"/>
      <c r="P122" s="266"/>
      <c r="Q122" s="266"/>
      <c r="R122" s="268"/>
    </row>
    <row r="123" spans="1:21" ht="30" customHeight="1">
      <c r="A123" s="204">
        <v>118</v>
      </c>
      <c r="B123" s="202" t="s">
        <v>570</v>
      </c>
      <c r="C123" s="202"/>
      <c r="D123" s="202" t="s">
        <v>84</v>
      </c>
      <c r="E123" s="304">
        <v>1959</v>
      </c>
      <c r="F123" s="211">
        <v>1807</v>
      </c>
      <c r="G123" s="203" t="s">
        <v>0</v>
      </c>
      <c r="H123" s="203" t="s">
        <v>7</v>
      </c>
      <c r="I123" s="280"/>
      <c r="J123" s="264" t="str">
        <f t="shared" si="1"/>
        <v>도공</v>
      </c>
      <c r="K123" s="267"/>
      <c r="L123" s="266"/>
      <c r="M123" s="266"/>
      <c r="N123" s="266"/>
      <c r="O123" s="266"/>
      <c r="P123" s="266"/>
      <c r="Q123" s="266"/>
      <c r="R123" s="268"/>
    </row>
    <row r="124" spans="1:21" ht="30" customHeight="1">
      <c r="A124" s="204">
        <v>119</v>
      </c>
      <c r="B124" s="202" t="s">
        <v>571</v>
      </c>
      <c r="C124" s="202"/>
      <c r="D124" s="202" t="s">
        <v>84</v>
      </c>
      <c r="E124" s="304">
        <v>1097</v>
      </c>
      <c r="F124" s="211">
        <v>480</v>
      </c>
      <c r="G124" s="203" t="s">
        <v>0</v>
      </c>
      <c r="H124" s="203" t="s">
        <v>7</v>
      </c>
      <c r="I124" s="280"/>
      <c r="J124" s="264" t="str">
        <f t="shared" si="1"/>
        <v>도공</v>
      </c>
      <c r="K124" s="267"/>
      <c r="L124" s="266"/>
      <c r="M124" s="266"/>
      <c r="N124" s="266"/>
      <c r="O124" s="266"/>
      <c r="P124" s="266"/>
      <c r="Q124" s="266"/>
      <c r="R124" s="268"/>
    </row>
    <row r="125" spans="1:21" ht="30" customHeight="1">
      <c r="A125" s="204">
        <v>120</v>
      </c>
      <c r="B125" s="202" t="s">
        <v>572</v>
      </c>
      <c r="C125" s="202"/>
      <c r="D125" s="202" t="s">
        <v>84</v>
      </c>
      <c r="E125" s="304">
        <v>1620</v>
      </c>
      <c r="F125" s="211">
        <v>944</v>
      </c>
      <c r="G125" s="203" t="s">
        <v>0</v>
      </c>
      <c r="H125" s="203" t="s">
        <v>7</v>
      </c>
      <c r="I125" s="280"/>
      <c r="J125" s="264" t="str">
        <f t="shared" si="1"/>
        <v>도공</v>
      </c>
      <c r="K125" s="265"/>
      <c r="L125" s="266"/>
      <c r="M125" s="266"/>
      <c r="N125" s="266"/>
      <c r="O125" s="266"/>
      <c r="P125" s="266"/>
      <c r="Q125" s="266"/>
      <c r="R125" s="288"/>
      <c r="S125" s="266"/>
      <c r="T125" s="266"/>
      <c r="U125" s="266"/>
    </row>
    <row r="126" spans="1:21" ht="30" customHeight="1">
      <c r="A126" s="204">
        <v>121</v>
      </c>
      <c r="B126" s="202" t="s">
        <v>573</v>
      </c>
      <c r="C126" s="202"/>
      <c r="D126" s="202" t="s">
        <v>84</v>
      </c>
      <c r="E126" s="304">
        <v>1330</v>
      </c>
      <c r="F126" s="211">
        <v>182</v>
      </c>
      <c r="G126" s="203" t="s">
        <v>0</v>
      </c>
      <c r="H126" s="203" t="s">
        <v>7</v>
      </c>
      <c r="I126" s="280"/>
      <c r="J126" s="264" t="str">
        <f t="shared" si="1"/>
        <v>도공</v>
      </c>
      <c r="K126" s="265"/>
      <c r="L126" s="266"/>
      <c r="M126" s="266"/>
      <c r="N126" s="266"/>
      <c r="O126" s="266"/>
      <c r="P126" s="266"/>
      <c r="Q126" s="266"/>
      <c r="R126" s="266"/>
    </row>
    <row r="127" spans="1:21" ht="30" customHeight="1">
      <c r="A127" s="204">
        <v>122</v>
      </c>
      <c r="B127" s="202" t="s">
        <v>574</v>
      </c>
      <c r="C127" s="202"/>
      <c r="D127" s="202" t="s">
        <v>84</v>
      </c>
      <c r="E127" s="304">
        <v>1098</v>
      </c>
      <c r="F127" s="211">
        <v>12</v>
      </c>
      <c r="G127" s="203" t="s">
        <v>0</v>
      </c>
      <c r="H127" s="203" t="s">
        <v>7</v>
      </c>
      <c r="I127" s="280"/>
      <c r="J127" s="264" t="str">
        <f t="shared" si="1"/>
        <v>도공</v>
      </c>
      <c r="K127" s="265"/>
      <c r="L127" s="266"/>
      <c r="M127" s="266"/>
      <c r="N127" s="266"/>
      <c r="O127" s="266"/>
      <c r="P127" s="266"/>
      <c r="Q127" s="266"/>
      <c r="R127" s="266"/>
    </row>
    <row r="128" spans="1:21" ht="30" customHeight="1">
      <c r="A128" s="204"/>
      <c r="B128" s="202"/>
      <c r="C128" s="202"/>
      <c r="D128" s="202"/>
      <c r="E128" s="304"/>
      <c r="F128" s="211"/>
      <c r="G128" s="203"/>
      <c r="H128" s="203"/>
      <c r="I128" s="280"/>
      <c r="J128" s="264" t="str">
        <f t="shared" si="1"/>
        <v/>
      </c>
      <c r="K128" s="265"/>
      <c r="L128" s="266"/>
      <c r="M128" s="266"/>
      <c r="N128" s="266"/>
      <c r="O128" s="266"/>
      <c r="P128" s="266"/>
      <c r="Q128" s="266"/>
      <c r="R128" s="266"/>
    </row>
    <row r="129" spans="1:18" ht="30" customHeight="1">
      <c r="A129" s="204"/>
      <c r="B129" s="202"/>
      <c r="C129" s="202"/>
      <c r="D129" s="202"/>
      <c r="E129" s="304"/>
      <c r="F129" s="211"/>
      <c r="G129" s="203"/>
      <c r="H129" s="203"/>
      <c r="I129" s="280"/>
      <c r="J129" s="264" t="str">
        <f t="shared" si="1"/>
        <v/>
      </c>
      <c r="K129" s="265"/>
      <c r="L129" s="266"/>
      <c r="M129" s="266"/>
      <c r="N129" s="266"/>
      <c r="O129" s="266"/>
      <c r="P129" s="266"/>
      <c r="Q129" s="266"/>
      <c r="R129" s="266"/>
    </row>
    <row r="130" spans="1:18" ht="30" customHeight="1">
      <c r="A130" s="204"/>
      <c r="B130" s="202"/>
      <c r="C130" s="202"/>
      <c r="D130" s="202"/>
      <c r="E130" s="304"/>
      <c r="F130" s="211"/>
      <c r="G130" s="203"/>
      <c r="H130" s="203"/>
      <c r="I130" s="280"/>
      <c r="J130" s="264" t="str">
        <f t="shared" si="1"/>
        <v/>
      </c>
      <c r="K130" s="265"/>
      <c r="L130" s="266"/>
      <c r="M130" s="266"/>
      <c r="N130" s="266"/>
      <c r="O130" s="266"/>
      <c r="P130" s="266"/>
      <c r="Q130" s="266"/>
      <c r="R130" s="266"/>
    </row>
    <row r="131" spans="1:18" ht="30" customHeight="1">
      <c r="A131" s="204"/>
      <c r="B131" s="202"/>
      <c r="C131" s="202"/>
      <c r="D131" s="202"/>
      <c r="E131" s="304"/>
      <c r="F131" s="211"/>
      <c r="G131" s="203"/>
      <c r="H131" s="203"/>
      <c r="I131" s="280"/>
      <c r="J131" s="264" t="str">
        <f t="shared" si="1"/>
        <v/>
      </c>
      <c r="K131" s="265"/>
      <c r="L131" s="266"/>
      <c r="M131" s="266"/>
      <c r="N131" s="266"/>
      <c r="O131" s="266"/>
      <c r="P131" s="266"/>
      <c r="Q131" s="266"/>
      <c r="R131" s="266"/>
    </row>
    <row r="132" spans="1:18" ht="30" customHeight="1">
      <c r="A132" s="204"/>
      <c r="B132" s="202"/>
      <c r="C132" s="202"/>
      <c r="D132" s="202"/>
      <c r="E132" s="304"/>
      <c r="F132" s="211"/>
      <c r="G132" s="203"/>
      <c r="H132" s="203"/>
      <c r="I132" s="280"/>
      <c r="J132" s="264" t="str">
        <f t="shared" si="1"/>
        <v/>
      </c>
      <c r="K132" s="265"/>
      <c r="L132" s="266"/>
      <c r="M132" s="266"/>
      <c r="N132" s="266"/>
      <c r="O132" s="266"/>
      <c r="P132" s="266"/>
      <c r="Q132" s="266"/>
      <c r="R132" s="266"/>
    </row>
    <row r="133" spans="1:18" ht="30" customHeight="1">
      <c r="A133" s="204"/>
      <c r="B133" s="202"/>
      <c r="C133" s="202"/>
      <c r="D133" s="202"/>
      <c r="E133" s="304"/>
      <c r="F133" s="211"/>
      <c r="G133" s="203"/>
      <c r="H133" s="203"/>
      <c r="I133" s="280"/>
      <c r="J133" s="264" t="str">
        <f t="shared" si="1"/>
        <v/>
      </c>
      <c r="K133" s="265"/>
      <c r="L133" s="266"/>
      <c r="M133" s="266"/>
      <c r="N133" s="266"/>
      <c r="O133" s="266"/>
      <c r="P133" s="266"/>
      <c r="Q133" s="266"/>
      <c r="R133" s="266"/>
    </row>
    <row r="134" spans="1:18" ht="30" customHeight="1">
      <c r="A134" s="204"/>
      <c r="B134" s="202"/>
      <c r="C134" s="202"/>
      <c r="D134" s="202"/>
      <c r="E134" s="304"/>
      <c r="F134" s="211"/>
      <c r="G134" s="203"/>
      <c r="H134" s="203"/>
      <c r="I134" s="280"/>
      <c r="J134" s="264" t="str">
        <f t="shared" ref="J134:J197" si="2">CONCATENATE(D134,G134)</f>
        <v/>
      </c>
      <c r="K134" s="265"/>
      <c r="L134" s="266"/>
      <c r="M134" s="266"/>
      <c r="N134" s="266"/>
      <c r="O134" s="266"/>
      <c r="P134" s="266"/>
      <c r="Q134" s="266"/>
      <c r="R134" s="266"/>
    </row>
    <row r="135" spans="1:18" ht="30" customHeight="1">
      <c r="A135" s="204"/>
      <c r="B135" s="202"/>
      <c r="C135" s="202"/>
      <c r="D135" s="202"/>
      <c r="E135" s="304"/>
      <c r="F135" s="211"/>
      <c r="G135" s="203"/>
      <c r="H135" s="203"/>
      <c r="I135" s="280"/>
      <c r="J135" s="264" t="str">
        <f t="shared" si="2"/>
        <v/>
      </c>
      <c r="K135" s="265"/>
      <c r="L135" s="266"/>
      <c r="M135" s="266"/>
      <c r="N135" s="266"/>
      <c r="O135" s="266"/>
      <c r="P135" s="266"/>
      <c r="Q135" s="266"/>
      <c r="R135" s="266"/>
    </row>
    <row r="136" spans="1:18" ht="30" customHeight="1">
      <c r="A136" s="204"/>
      <c r="B136" s="202"/>
      <c r="C136" s="202"/>
      <c r="D136" s="202"/>
      <c r="E136" s="304"/>
      <c r="F136" s="211"/>
      <c r="G136" s="203"/>
      <c r="H136" s="203"/>
      <c r="I136" s="280"/>
      <c r="J136" s="264" t="str">
        <f t="shared" si="2"/>
        <v/>
      </c>
      <c r="K136" s="265"/>
      <c r="L136" s="266"/>
      <c r="M136" s="266"/>
      <c r="N136" s="266"/>
      <c r="O136" s="266"/>
      <c r="P136" s="266"/>
      <c r="Q136" s="266"/>
      <c r="R136" s="266"/>
    </row>
    <row r="137" spans="1:18" ht="30" customHeight="1">
      <c r="A137" s="204"/>
      <c r="B137" s="202"/>
      <c r="C137" s="202"/>
      <c r="D137" s="202"/>
      <c r="E137" s="304"/>
      <c r="F137" s="211"/>
      <c r="G137" s="203"/>
      <c r="H137" s="203"/>
      <c r="I137" s="280"/>
      <c r="J137" s="264" t="str">
        <f t="shared" si="2"/>
        <v/>
      </c>
      <c r="K137" s="265"/>
      <c r="L137" s="266"/>
      <c r="M137" s="266"/>
      <c r="N137" s="266"/>
      <c r="O137" s="266"/>
      <c r="P137" s="266"/>
      <c r="Q137" s="266"/>
      <c r="R137" s="266"/>
    </row>
    <row r="138" spans="1:18" ht="30" customHeight="1">
      <c r="A138" s="204"/>
      <c r="B138" s="202"/>
      <c r="C138" s="202"/>
      <c r="D138" s="202"/>
      <c r="E138" s="304"/>
      <c r="F138" s="211"/>
      <c r="G138" s="203"/>
      <c r="H138" s="203"/>
      <c r="I138" s="280"/>
      <c r="J138" s="264" t="str">
        <f t="shared" si="2"/>
        <v/>
      </c>
      <c r="K138" s="265"/>
      <c r="L138" s="266"/>
      <c r="M138" s="266"/>
      <c r="N138" s="266"/>
      <c r="O138" s="266"/>
      <c r="P138" s="266"/>
      <c r="Q138" s="266"/>
      <c r="R138" s="266"/>
    </row>
    <row r="139" spans="1:18" ht="30" customHeight="1">
      <c r="A139" s="204"/>
      <c r="B139" s="202"/>
      <c r="C139" s="202"/>
      <c r="D139" s="202"/>
      <c r="E139" s="304"/>
      <c r="F139" s="211"/>
      <c r="G139" s="203"/>
      <c r="H139" s="203"/>
      <c r="I139" s="280"/>
      <c r="J139" s="264" t="str">
        <f t="shared" si="2"/>
        <v/>
      </c>
      <c r="K139" s="265"/>
      <c r="L139" s="266"/>
      <c r="M139" s="266"/>
      <c r="N139" s="266"/>
      <c r="O139" s="266"/>
      <c r="P139" s="266"/>
      <c r="Q139" s="266"/>
      <c r="R139" s="266"/>
    </row>
    <row r="140" spans="1:18" ht="30" customHeight="1">
      <c r="A140" s="204"/>
      <c r="B140" s="202"/>
      <c r="C140" s="202"/>
      <c r="D140" s="202"/>
      <c r="E140" s="304"/>
      <c r="F140" s="211"/>
      <c r="G140" s="203"/>
      <c r="H140" s="203"/>
      <c r="I140" s="280"/>
      <c r="J140" s="264" t="str">
        <f t="shared" si="2"/>
        <v/>
      </c>
      <c r="K140" s="265"/>
      <c r="L140" s="266"/>
      <c r="M140" s="266"/>
      <c r="N140" s="266"/>
      <c r="O140" s="266"/>
      <c r="P140" s="266"/>
      <c r="Q140" s="266"/>
      <c r="R140" s="266"/>
    </row>
    <row r="141" spans="1:18" ht="30" customHeight="1">
      <c r="A141" s="204"/>
      <c r="B141" s="202"/>
      <c r="C141" s="202"/>
      <c r="D141" s="202"/>
      <c r="E141" s="304"/>
      <c r="F141" s="211"/>
      <c r="G141" s="203"/>
      <c r="H141" s="203"/>
      <c r="I141" s="280"/>
      <c r="J141" s="264" t="str">
        <f t="shared" si="2"/>
        <v/>
      </c>
      <c r="K141" s="267"/>
      <c r="L141" s="266"/>
      <c r="M141" s="266"/>
      <c r="N141" s="266"/>
      <c r="O141" s="266"/>
      <c r="P141" s="266"/>
      <c r="Q141" s="266"/>
      <c r="R141" s="268"/>
    </row>
    <row r="142" spans="1:18" ht="30" customHeight="1">
      <c r="A142" s="204"/>
      <c r="B142" s="202"/>
      <c r="C142" s="202"/>
      <c r="D142" s="202"/>
      <c r="E142" s="304"/>
      <c r="F142" s="211"/>
      <c r="G142" s="203"/>
      <c r="H142" s="203"/>
      <c r="I142" s="280"/>
      <c r="J142" s="264" t="str">
        <f t="shared" si="2"/>
        <v/>
      </c>
      <c r="K142" s="267"/>
      <c r="L142" s="266"/>
      <c r="M142" s="266"/>
      <c r="N142" s="266"/>
      <c r="O142" s="266"/>
      <c r="P142" s="266"/>
      <c r="Q142" s="266"/>
      <c r="R142" s="268"/>
    </row>
    <row r="143" spans="1:18" ht="30" customHeight="1">
      <c r="A143" s="204"/>
      <c r="B143" s="202"/>
      <c r="C143" s="202"/>
      <c r="D143" s="202"/>
      <c r="E143" s="304"/>
      <c r="F143" s="211"/>
      <c r="G143" s="203"/>
      <c r="H143" s="203"/>
      <c r="I143" s="280"/>
      <c r="J143" s="264" t="str">
        <f t="shared" si="2"/>
        <v/>
      </c>
      <c r="K143" s="267"/>
      <c r="L143" s="266"/>
      <c r="M143" s="266"/>
      <c r="N143" s="266"/>
      <c r="O143" s="266"/>
      <c r="P143" s="266"/>
      <c r="Q143" s="266"/>
      <c r="R143" s="268"/>
    </row>
    <row r="144" spans="1:18" ht="30" customHeight="1">
      <c r="A144" s="204"/>
      <c r="B144" s="202"/>
      <c r="C144" s="202"/>
      <c r="D144" s="202"/>
      <c r="E144" s="304"/>
      <c r="F144" s="211"/>
      <c r="G144" s="203"/>
      <c r="H144" s="203"/>
      <c r="I144" s="280"/>
      <c r="J144" s="264" t="str">
        <f t="shared" si="2"/>
        <v/>
      </c>
      <c r="K144" s="267"/>
      <c r="L144" s="266"/>
      <c r="M144" s="266"/>
      <c r="N144" s="266"/>
      <c r="O144" s="266"/>
      <c r="P144" s="266"/>
      <c r="Q144" s="266"/>
      <c r="R144" s="268"/>
    </row>
    <row r="145" spans="1:21" ht="30" customHeight="1">
      <c r="A145" s="204"/>
      <c r="B145" s="202"/>
      <c r="C145" s="202"/>
      <c r="D145" s="202"/>
      <c r="E145" s="304"/>
      <c r="F145" s="211"/>
      <c r="G145" s="203"/>
      <c r="H145" s="203"/>
      <c r="I145" s="280"/>
      <c r="J145" s="264" t="str">
        <f t="shared" si="2"/>
        <v/>
      </c>
      <c r="K145" s="265"/>
      <c r="L145" s="266"/>
      <c r="M145" s="266"/>
      <c r="N145" s="266"/>
      <c r="O145" s="266"/>
      <c r="P145" s="266"/>
      <c r="Q145" s="266"/>
      <c r="R145" s="288"/>
      <c r="S145" s="266"/>
      <c r="T145" s="266"/>
      <c r="U145" s="266"/>
    </row>
    <row r="146" spans="1:21" ht="30" customHeight="1">
      <c r="A146" s="274" t="s">
        <v>286</v>
      </c>
      <c r="B146" s="275"/>
      <c r="C146" s="275"/>
      <c r="D146" s="275"/>
      <c r="E146" s="276"/>
      <c r="F146" s="322">
        <f>SUM(F6:F145)</f>
        <v>124461.40000000001</v>
      </c>
      <c r="G146" s="286"/>
      <c r="H146" s="286"/>
      <c r="I146" s="287"/>
      <c r="J146" s="264" t="str">
        <f t="shared" si="2"/>
        <v/>
      </c>
      <c r="K146" s="267"/>
      <c r="L146" s="266"/>
      <c r="M146" s="266"/>
      <c r="N146" s="266"/>
      <c r="O146" s="266"/>
      <c r="P146" s="266"/>
      <c r="Q146" s="266"/>
      <c r="R146" s="288"/>
      <c r="S146" s="266"/>
      <c r="T146" s="266"/>
      <c r="U146" s="266"/>
    </row>
    <row r="147" spans="1:21" ht="30" customHeight="1">
      <c r="A147" s="204"/>
      <c r="B147" s="202"/>
      <c r="C147" s="202"/>
      <c r="D147" s="202"/>
      <c r="E147" s="304"/>
      <c r="F147" s="211"/>
      <c r="G147" s="203"/>
      <c r="H147" s="203"/>
      <c r="I147" s="295"/>
      <c r="J147" s="264" t="str">
        <f t="shared" si="2"/>
        <v/>
      </c>
      <c r="K147" s="265"/>
      <c r="L147" s="266"/>
      <c r="M147" s="266"/>
      <c r="N147" s="266"/>
      <c r="O147" s="266"/>
      <c r="P147" s="266"/>
      <c r="Q147" s="266"/>
      <c r="R147" s="266"/>
    </row>
    <row r="148" spans="1:21" ht="30" customHeight="1">
      <c r="A148" s="204"/>
      <c r="B148" s="202"/>
      <c r="C148" s="202"/>
      <c r="D148" s="202"/>
      <c r="E148" s="304"/>
      <c r="F148" s="211"/>
      <c r="G148" s="203"/>
      <c r="H148" s="203"/>
      <c r="I148" s="295"/>
      <c r="J148" s="264" t="str">
        <f t="shared" si="2"/>
        <v/>
      </c>
      <c r="K148" s="265"/>
      <c r="L148" s="266"/>
      <c r="M148" s="266"/>
      <c r="N148" s="266"/>
      <c r="O148" s="266"/>
      <c r="P148" s="266"/>
      <c r="Q148" s="266"/>
      <c r="R148" s="266"/>
    </row>
    <row r="149" spans="1:21" ht="30" customHeight="1">
      <c r="A149" s="204"/>
      <c r="B149" s="202"/>
      <c r="C149" s="202"/>
      <c r="D149" s="202"/>
      <c r="E149" s="304"/>
      <c r="F149" s="211"/>
      <c r="G149" s="203"/>
      <c r="H149" s="203"/>
      <c r="I149" s="295"/>
      <c r="J149" s="264" t="str">
        <f t="shared" si="2"/>
        <v/>
      </c>
      <c r="K149" s="265"/>
      <c r="L149" s="266"/>
      <c r="M149" s="266"/>
      <c r="N149" s="266"/>
      <c r="O149" s="266"/>
      <c r="P149" s="266"/>
      <c r="Q149" s="266"/>
      <c r="R149" s="266"/>
    </row>
    <row r="150" spans="1:21" ht="30" customHeight="1">
      <c r="A150" s="204"/>
      <c r="B150" s="202"/>
      <c r="C150" s="202"/>
      <c r="D150" s="202"/>
      <c r="E150" s="304"/>
      <c r="F150" s="211"/>
      <c r="G150" s="203"/>
      <c r="H150" s="203"/>
      <c r="I150" s="295"/>
      <c r="J150" s="264" t="str">
        <f t="shared" si="2"/>
        <v/>
      </c>
      <c r="K150" s="265"/>
      <c r="L150" s="266"/>
      <c r="M150" s="266"/>
      <c r="N150" s="266"/>
      <c r="O150" s="266"/>
      <c r="P150" s="266"/>
      <c r="Q150" s="266"/>
      <c r="R150" s="266"/>
    </row>
    <row r="151" spans="1:21" ht="30" customHeight="1">
      <c r="A151" s="204"/>
      <c r="B151" s="202"/>
      <c r="C151" s="202"/>
      <c r="D151" s="202"/>
      <c r="E151" s="304"/>
      <c r="F151" s="211"/>
      <c r="G151" s="203"/>
      <c r="H151" s="203"/>
      <c r="I151" s="295"/>
      <c r="J151" s="264" t="str">
        <f t="shared" si="2"/>
        <v/>
      </c>
      <c r="K151" s="265"/>
      <c r="L151" s="266"/>
      <c r="M151" s="266"/>
      <c r="N151" s="266"/>
      <c r="O151" s="266"/>
      <c r="P151" s="266"/>
      <c r="Q151" s="266"/>
      <c r="R151" s="266"/>
    </row>
    <row r="152" spans="1:21" ht="30" customHeight="1">
      <c r="A152" s="204"/>
      <c r="B152" s="202"/>
      <c r="C152" s="202"/>
      <c r="D152" s="202"/>
      <c r="E152" s="304"/>
      <c r="F152" s="211"/>
      <c r="G152" s="203"/>
      <c r="H152" s="203"/>
      <c r="I152" s="295"/>
      <c r="J152" s="264" t="str">
        <f t="shared" si="2"/>
        <v/>
      </c>
      <c r="K152" s="265"/>
      <c r="L152" s="266"/>
      <c r="M152" s="266"/>
      <c r="N152" s="266"/>
      <c r="O152" s="266"/>
      <c r="P152" s="266"/>
      <c r="Q152" s="266"/>
      <c r="R152" s="266"/>
    </row>
    <row r="153" spans="1:21" ht="30" customHeight="1">
      <c r="A153" s="204"/>
      <c r="B153" s="202"/>
      <c r="C153" s="202"/>
      <c r="D153" s="202"/>
      <c r="E153" s="304"/>
      <c r="F153" s="211"/>
      <c r="G153" s="203"/>
      <c r="H153" s="203"/>
      <c r="I153" s="295"/>
      <c r="J153" s="264" t="str">
        <f t="shared" si="2"/>
        <v/>
      </c>
      <c r="K153" s="265"/>
      <c r="L153" s="266"/>
      <c r="M153" s="266"/>
      <c r="N153" s="266"/>
      <c r="O153" s="266"/>
      <c r="P153" s="266"/>
      <c r="Q153" s="266"/>
      <c r="R153" s="266"/>
    </row>
    <row r="154" spans="1:21" ht="30" customHeight="1">
      <c r="A154" s="204"/>
      <c r="B154" s="202"/>
      <c r="C154" s="202"/>
      <c r="D154" s="202"/>
      <c r="E154" s="304"/>
      <c r="F154" s="211"/>
      <c r="G154" s="203"/>
      <c r="H154" s="203"/>
      <c r="I154" s="295"/>
      <c r="J154" s="264" t="str">
        <f t="shared" si="2"/>
        <v/>
      </c>
      <c r="K154" s="265"/>
      <c r="L154" s="266"/>
      <c r="M154" s="266"/>
      <c r="N154" s="266"/>
      <c r="O154" s="266"/>
      <c r="P154" s="266"/>
      <c r="Q154" s="266"/>
      <c r="R154" s="266"/>
    </row>
    <row r="155" spans="1:21" ht="30" customHeight="1">
      <c r="A155" s="204"/>
      <c r="B155" s="202"/>
      <c r="C155" s="202"/>
      <c r="D155" s="202"/>
      <c r="E155" s="304"/>
      <c r="F155" s="211"/>
      <c r="G155" s="203"/>
      <c r="H155" s="203"/>
      <c r="I155" s="295"/>
      <c r="J155" s="264" t="str">
        <f t="shared" si="2"/>
        <v/>
      </c>
      <c r="K155" s="265"/>
      <c r="L155" s="266"/>
      <c r="M155" s="266"/>
      <c r="N155" s="266"/>
      <c r="O155" s="266"/>
      <c r="P155" s="266"/>
      <c r="Q155" s="266"/>
      <c r="R155" s="266"/>
    </row>
    <row r="156" spans="1:21" ht="30" customHeight="1">
      <c r="A156" s="204"/>
      <c r="B156" s="202"/>
      <c r="C156" s="202"/>
      <c r="D156" s="202"/>
      <c r="E156" s="304"/>
      <c r="F156" s="211"/>
      <c r="G156" s="203"/>
      <c r="H156" s="203"/>
      <c r="I156" s="295"/>
      <c r="J156" s="264" t="str">
        <f t="shared" si="2"/>
        <v/>
      </c>
      <c r="K156" s="265"/>
      <c r="L156" s="266"/>
      <c r="M156" s="266"/>
      <c r="N156" s="266"/>
      <c r="O156" s="266"/>
      <c r="P156" s="266"/>
      <c r="Q156" s="266"/>
      <c r="R156" s="266"/>
    </row>
    <row r="157" spans="1:21" ht="30" customHeight="1">
      <c r="A157" s="204"/>
      <c r="B157" s="202"/>
      <c r="C157" s="202"/>
      <c r="D157" s="202"/>
      <c r="E157" s="304"/>
      <c r="F157" s="211"/>
      <c r="G157" s="203"/>
      <c r="H157" s="203"/>
      <c r="I157" s="295"/>
      <c r="J157" s="264" t="str">
        <f t="shared" si="2"/>
        <v/>
      </c>
      <c r="K157" s="265"/>
      <c r="L157" s="266"/>
      <c r="M157" s="266"/>
      <c r="N157" s="266"/>
      <c r="O157" s="266"/>
      <c r="P157" s="266"/>
      <c r="Q157" s="266"/>
      <c r="R157" s="266"/>
    </row>
    <row r="158" spans="1:21" ht="30" customHeight="1">
      <c r="A158" s="204"/>
      <c r="B158" s="202"/>
      <c r="C158" s="202"/>
      <c r="D158" s="202"/>
      <c r="E158" s="304"/>
      <c r="F158" s="211"/>
      <c r="G158" s="203"/>
      <c r="H158" s="203"/>
      <c r="I158" s="295"/>
      <c r="J158" s="264" t="str">
        <f t="shared" si="2"/>
        <v/>
      </c>
      <c r="K158" s="265"/>
      <c r="L158" s="266"/>
      <c r="M158" s="266"/>
      <c r="N158" s="266"/>
      <c r="O158" s="266"/>
      <c r="P158" s="266"/>
      <c r="Q158" s="266"/>
      <c r="R158" s="266"/>
    </row>
    <row r="159" spans="1:21" ht="30" customHeight="1">
      <c r="A159" s="204"/>
      <c r="B159" s="202"/>
      <c r="C159" s="202"/>
      <c r="D159" s="202"/>
      <c r="E159" s="304"/>
      <c r="F159" s="211"/>
      <c r="G159" s="203"/>
      <c r="H159" s="203"/>
      <c r="I159" s="295"/>
      <c r="J159" s="264" t="str">
        <f t="shared" si="2"/>
        <v/>
      </c>
      <c r="K159" s="265"/>
      <c r="L159" s="266"/>
      <c r="M159" s="266"/>
      <c r="N159" s="266"/>
      <c r="O159" s="266"/>
      <c r="P159" s="266"/>
      <c r="Q159" s="266"/>
      <c r="R159" s="266"/>
    </row>
    <row r="160" spans="1:21" ht="30" customHeight="1">
      <c r="A160" s="204"/>
      <c r="B160" s="202"/>
      <c r="C160" s="202"/>
      <c r="D160" s="202"/>
      <c r="E160" s="304"/>
      <c r="F160" s="211"/>
      <c r="G160" s="203"/>
      <c r="H160" s="203"/>
      <c r="I160" s="295"/>
      <c r="J160" s="264" t="str">
        <f t="shared" si="2"/>
        <v/>
      </c>
      <c r="K160" s="265"/>
      <c r="L160" s="266"/>
      <c r="M160" s="266"/>
      <c r="N160" s="266"/>
      <c r="O160" s="266"/>
      <c r="P160" s="266"/>
      <c r="Q160" s="266"/>
      <c r="R160" s="266"/>
    </row>
    <row r="161" spans="1:21" ht="30" customHeight="1">
      <c r="A161" s="204"/>
      <c r="B161" s="202"/>
      <c r="C161" s="202"/>
      <c r="D161" s="202"/>
      <c r="E161" s="304"/>
      <c r="F161" s="211"/>
      <c r="G161" s="203"/>
      <c r="H161" s="203"/>
      <c r="I161" s="295"/>
      <c r="J161" s="264" t="str">
        <f t="shared" si="2"/>
        <v/>
      </c>
      <c r="K161" s="265"/>
      <c r="L161" s="266"/>
      <c r="M161" s="266"/>
      <c r="N161" s="266"/>
      <c r="O161" s="266"/>
      <c r="P161" s="266"/>
      <c r="Q161" s="266"/>
      <c r="R161" s="266"/>
    </row>
    <row r="162" spans="1:21" ht="30" customHeight="1">
      <c r="A162" s="204"/>
      <c r="B162" s="202"/>
      <c r="C162" s="202"/>
      <c r="D162" s="202"/>
      <c r="E162" s="304"/>
      <c r="F162" s="211"/>
      <c r="G162" s="203"/>
      <c r="H162" s="203"/>
      <c r="I162" s="295"/>
      <c r="J162" s="264" t="str">
        <f t="shared" si="2"/>
        <v/>
      </c>
      <c r="K162" s="267"/>
      <c r="L162" s="266"/>
      <c r="M162" s="266"/>
      <c r="N162" s="266"/>
      <c r="O162" s="266"/>
      <c r="P162" s="266"/>
      <c r="Q162" s="266"/>
      <c r="R162" s="268"/>
    </row>
    <row r="163" spans="1:21" ht="30" customHeight="1">
      <c r="A163" s="204"/>
      <c r="B163" s="202"/>
      <c r="C163" s="202"/>
      <c r="D163" s="202"/>
      <c r="E163" s="304"/>
      <c r="F163" s="211"/>
      <c r="G163" s="203"/>
      <c r="H163" s="203"/>
      <c r="I163" s="295"/>
      <c r="J163" s="264" t="str">
        <f t="shared" si="2"/>
        <v/>
      </c>
      <c r="K163" s="267"/>
      <c r="L163" s="266"/>
      <c r="M163" s="266"/>
      <c r="N163" s="266"/>
      <c r="O163" s="266"/>
      <c r="P163" s="266"/>
      <c r="Q163" s="266"/>
      <c r="R163" s="268"/>
    </row>
    <row r="164" spans="1:21" ht="30" customHeight="1">
      <c r="A164" s="204"/>
      <c r="B164" s="202"/>
      <c r="C164" s="202"/>
      <c r="D164" s="202"/>
      <c r="E164" s="304"/>
      <c r="F164" s="211"/>
      <c r="G164" s="203"/>
      <c r="H164" s="203"/>
      <c r="I164" s="295"/>
      <c r="J164" s="264" t="str">
        <f t="shared" si="2"/>
        <v/>
      </c>
      <c r="K164" s="267"/>
      <c r="L164" s="266"/>
      <c r="M164" s="266"/>
      <c r="N164" s="266"/>
      <c r="O164" s="266"/>
      <c r="P164" s="266"/>
      <c r="Q164" s="266"/>
      <c r="R164" s="268"/>
    </row>
    <row r="165" spans="1:21" ht="30" customHeight="1">
      <c r="A165" s="204"/>
      <c r="B165" s="202"/>
      <c r="C165" s="202"/>
      <c r="D165" s="202"/>
      <c r="E165" s="304"/>
      <c r="F165" s="211"/>
      <c r="G165" s="203"/>
      <c r="H165" s="203"/>
      <c r="I165" s="295"/>
      <c r="J165" s="264" t="str">
        <f t="shared" si="2"/>
        <v/>
      </c>
      <c r="K165" s="267"/>
      <c r="L165" s="266"/>
      <c r="M165" s="266"/>
      <c r="N165" s="266"/>
      <c r="O165" s="266"/>
      <c r="P165" s="266"/>
      <c r="Q165" s="266"/>
      <c r="R165" s="268"/>
    </row>
    <row r="166" spans="1:21" ht="30" customHeight="1">
      <c r="A166" s="308"/>
      <c r="B166" s="300"/>
      <c r="C166" s="309"/>
      <c r="D166" s="310"/>
      <c r="E166" s="301"/>
      <c r="F166" s="302"/>
      <c r="G166" s="286"/>
      <c r="H166" s="286"/>
      <c r="I166" s="307"/>
      <c r="J166" s="264" t="str">
        <f t="shared" si="2"/>
        <v/>
      </c>
      <c r="K166" s="265"/>
      <c r="L166" s="266"/>
      <c r="M166" s="266"/>
      <c r="N166" s="266"/>
      <c r="O166" s="266"/>
      <c r="P166" s="266"/>
      <c r="Q166" s="266"/>
      <c r="R166" s="288"/>
      <c r="S166" s="266"/>
      <c r="T166" s="266"/>
      <c r="U166" s="266"/>
    </row>
    <row r="167" spans="1:21" ht="30" customHeight="1">
      <c r="A167" s="261"/>
      <c r="B167" s="200"/>
      <c r="C167" s="200"/>
      <c r="D167" s="200"/>
      <c r="E167" s="303"/>
      <c r="F167" s="210"/>
      <c r="G167" s="201"/>
      <c r="H167" s="201"/>
      <c r="I167" s="295"/>
      <c r="J167" s="264" t="str">
        <f t="shared" si="2"/>
        <v/>
      </c>
      <c r="K167" s="267"/>
      <c r="L167" s="266"/>
      <c r="M167" s="266"/>
      <c r="N167" s="266"/>
      <c r="O167" s="266"/>
      <c r="P167" s="266"/>
      <c r="Q167" s="266"/>
      <c r="R167" s="288"/>
      <c r="S167" s="266"/>
      <c r="T167" s="266"/>
      <c r="U167" s="266"/>
    </row>
    <row r="168" spans="1:21" ht="30" customHeight="1">
      <c r="A168" s="204"/>
      <c r="B168" s="202"/>
      <c r="C168" s="202"/>
      <c r="D168" s="202"/>
      <c r="E168" s="304"/>
      <c r="F168" s="211"/>
      <c r="G168" s="203"/>
      <c r="H168" s="203"/>
      <c r="I168" s="295"/>
      <c r="J168" s="264" t="str">
        <f t="shared" si="2"/>
        <v/>
      </c>
      <c r="K168" s="265"/>
      <c r="L168" s="266"/>
      <c r="M168" s="266"/>
      <c r="N168" s="266"/>
      <c r="O168" s="266"/>
      <c r="P168" s="266"/>
      <c r="Q168" s="266"/>
      <c r="R168" s="266"/>
    </row>
    <row r="169" spans="1:21" ht="30" customHeight="1">
      <c r="A169" s="204"/>
      <c r="B169" s="202"/>
      <c r="C169" s="202"/>
      <c r="D169" s="202"/>
      <c r="E169" s="304"/>
      <c r="F169" s="211"/>
      <c r="G169" s="203"/>
      <c r="H169" s="203"/>
      <c r="I169" s="295"/>
      <c r="J169" s="264" t="str">
        <f t="shared" si="2"/>
        <v/>
      </c>
      <c r="K169" s="265"/>
      <c r="L169" s="266"/>
      <c r="M169" s="266"/>
      <c r="N169" s="266"/>
      <c r="O169" s="266"/>
      <c r="P169" s="266"/>
      <c r="Q169" s="266"/>
      <c r="R169" s="266"/>
    </row>
    <row r="170" spans="1:21" ht="30" customHeight="1">
      <c r="A170" s="204"/>
      <c r="B170" s="202"/>
      <c r="C170" s="202"/>
      <c r="D170" s="202"/>
      <c r="E170" s="304"/>
      <c r="F170" s="211"/>
      <c r="G170" s="203"/>
      <c r="H170" s="203"/>
      <c r="I170" s="295"/>
      <c r="J170" s="264" t="str">
        <f t="shared" si="2"/>
        <v/>
      </c>
      <c r="K170" s="265"/>
      <c r="L170" s="266"/>
      <c r="M170" s="266"/>
      <c r="N170" s="266"/>
      <c r="O170" s="266"/>
      <c r="P170" s="266"/>
      <c r="Q170" s="266"/>
      <c r="R170" s="266"/>
    </row>
    <row r="171" spans="1:21" ht="30" customHeight="1">
      <c r="A171" s="204"/>
      <c r="B171" s="202"/>
      <c r="C171" s="202"/>
      <c r="D171" s="202"/>
      <c r="E171" s="304"/>
      <c r="F171" s="211"/>
      <c r="G171" s="203"/>
      <c r="H171" s="203"/>
      <c r="I171" s="295"/>
      <c r="J171" s="264" t="str">
        <f t="shared" si="2"/>
        <v/>
      </c>
      <c r="K171" s="265"/>
      <c r="L171" s="266"/>
      <c r="M171" s="266"/>
      <c r="N171" s="266"/>
      <c r="O171" s="266"/>
      <c r="P171" s="266"/>
      <c r="Q171" s="266"/>
      <c r="R171" s="266"/>
    </row>
    <row r="172" spans="1:21" ht="30" customHeight="1">
      <c r="A172" s="204"/>
      <c r="B172" s="202"/>
      <c r="C172" s="202"/>
      <c r="D172" s="202"/>
      <c r="E172" s="304"/>
      <c r="F172" s="211"/>
      <c r="G172" s="203"/>
      <c r="H172" s="203"/>
      <c r="I172" s="295"/>
      <c r="J172" s="264" t="str">
        <f t="shared" si="2"/>
        <v/>
      </c>
      <c r="K172" s="265"/>
      <c r="L172" s="266"/>
      <c r="M172" s="266"/>
      <c r="N172" s="266"/>
      <c r="O172" s="266"/>
      <c r="P172" s="266"/>
      <c r="Q172" s="266"/>
      <c r="R172" s="266"/>
    </row>
    <row r="173" spans="1:21" ht="30" customHeight="1">
      <c r="A173" s="204"/>
      <c r="B173" s="202"/>
      <c r="C173" s="202"/>
      <c r="D173" s="202"/>
      <c r="E173" s="304"/>
      <c r="F173" s="211"/>
      <c r="G173" s="203"/>
      <c r="H173" s="203"/>
      <c r="I173" s="295"/>
      <c r="J173" s="264" t="str">
        <f t="shared" si="2"/>
        <v/>
      </c>
      <c r="K173" s="265"/>
      <c r="L173" s="266"/>
      <c r="M173" s="266"/>
      <c r="N173" s="266"/>
      <c r="O173" s="266"/>
      <c r="P173" s="266"/>
      <c r="Q173" s="266"/>
      <c r="R173" s="266"/>
    </row>
    <row r="174" spans="1:21" ht="30" customHeight="1">
      <c r="A174" s="204"/>
      <c r="B174" s="202"/>
      <c r="C174" s="202"/>
      <c r="D174" s="202"/>
      <c r="E174" s="304"/>
      <c r="F174" s="211"/>
      <c r="G174" s="203"/>
      <c r="H174" s="203"/>
      <c r="I174" s="295"/>
      <c r="J174" s="264" t="str">
        <f t="shared" si="2"/>
        <v/>
      </c>
      <c r="K174" s="265"/>
      <c r="L174" s="266"/>
      <c r="M174" s="266"/>
      <c r="N174" s="266"/>
      <c r="O174" s="266"/>
      <c r="P174" s="266"/>
      <c r="Q174" s="266"/>
      <c r="R174" s="266"/>
    </row>
    <row r="175" spans="1:21" ht="30" customHeight="1">
      <c r="A175" s="204"/>
      <c r="B175" s="202"/>
      <c r="C175" s="202"/>
      <c r="D175" s="202"/>
      <c r="E175" s="304"/>
      <c r="F175" s="211"/>
      <c r="G175" s="203"/>
      <c r="H175" s="203"/>
      <c r="I175" s="295"/>
      <c r="J175" s="264" t="str">
        <f t="shared" si="2"/>
        <v/>
      </c>
      <c r="K175" s="265"/>
      <c r="L175" s="266"/>
      <c r="M175" s="266"/>
      <c r="N175" s="266"/>
      <c r="O175" s="266"/>
      <c r="P175" s="266"/>
      <c r="Q175" s="266"/>
      <c r="R175" s="266"/>
    </row>
    <row r="176" spans="1:21" ht="30" customHeight="1">
      <c r="A176" s="204"/>
      <c r="B176" s="202"/>
      <c r="C176" s="202"/>
      <c r="D176" s="202"/>
      <c r="E176" s="304"/>
      <c r="F176" s="211"/>
      <c r="G176" s="203"/>
      <c r="H176" s="203"/>
      <c r="I176" s="295"/>
      <c r="J176" s="264" t="str">
        <f t="shared" si="2"/>
        <v/>
      </c>
      <c r="K176" s="265"/>
      <c r="L176" s="266"/>
      <c r="M176" s="266"/>
      <c r="N176" s="266"/>
      <c r="O176" s="266"/>
      <c r="P176" s="266"/>
      <c r="Q176" s="266"/>
      <c r="R176" s="266"/>
    </row>
    <row r="177" spans="1:21" ht="30" customHeight="1">
      <c r="A177" s="204"/>
      <c r="B177" s="202"/>
      <c r="C177" s="202"/>
      <c r="D177" s="202"/>
      <c r="E177" s="304"/>
      <c r="F177" s="211"/>
      <c r="G177" s="203"/>
      <c r="H177" s="203"/>
      <c r="I177" s="295"/>
      <c r="J177" s="264" t="str">
        <f t="shared" si="2"/>
        <v/>
      </c>
      <c r="K177" s="265"/>
      <c r="L177" s="266"/>
      <c r="M177" s="266"/>
      <c r="N177" s="266"/>
      <c r="O177" s="266"/>
      <c r="P177" s="266"/>
      <c r="Q177" s="266"/>
      <c r="R177" s="266"/>
    </row>
    <row r="178" spans="1:21" ht="30" customHeight="1">
      <c r="A178" s="204"/>
      <c r="B178" s="202"/>
      <c r="C178" s="202"/>
      <c r="D178" s="202"/>
      <c r="E178" s="304"/>
      <c r="F178" s="211"/>
      <c r="G178" s="203"/>
      <c r="H178" s="203"/>
      <c r="I178" s="295"/>
      <c r="J178" s="264" t="str">
        <f t="shared" si="2"/>
        <v/>
      </c>
      <c r="K178" s="265"/>
      <c r="L178" s="266"/>
      <c r="M178" s="266"/>
      <c r="N178" s="266"/>
      <c r="O178" s="266"/>
      <c r="P178" s="266"/>
      <c r="Q178" s="266"/>
      <c r="R178" s="266"/>
    </row>
    <row r="179" spans="1:21" ht="30" customHeight="1">
      <c r="A179" s="204"/>
      <c r="B179" s="202"/>
      <c r="C179" s="202"/>
      <c r="D179" s="202"/>
      <c r="E179" s="304"/>
      <c r="F179" s="211"/>
      <c r="G179" s="203"/>
      <c r="H179" s="203"/>
      <c r="I179" s="295"/>
      <c r="J179" s="264" t="str">
        <f t="shared" si="2"/>
        <v/>
      </c>
      <c r="K179" s="265"/>
      <c r="L179" s="266"/>
      <c r="M179" s="266"/>
      <c r="N179" s="266"/>
      <c r="O179" s="266"/>
      <c r="P179" s="266"/>
      <c r="Q179" s="266"/>
      <c r="R179" s="266"/>
    </row>
    <row r="180" spans="1:21" ht="30" customHeight="1">
      <c r="A180" s="204"/>
      <c r="B180" s="202"/>
      <c r="C180" s="202"/>
      <c r="D180" s="202"/>
      <c r="E180" s="304"/>
      <c r="F180" s="211"/>
      <c r="G180" s="203"/>
      <c r="H180" s="203"/>
      <c r="I180" s="295"/>
      <c r="J180" s="264" t="str">
        <f t="shared" si="2"/>
        <v/>
      </c>
      <c r="K180" s="265"/>
      <c r="L180" s="266"/>
      <c r="M180" s="266"/>
      <c r="N180" s="266"/>
      <c r="O180" s="266"/>
      <c r="P180" s="266"/>
      <c r="Q180" s="266"/>
      <c r="R180" s="266"/>
    </row>
    <row r="181" spans="1:21" ht="30" customHeight="1">
      <c r="A181" s="204"/>
      <c r="B181" s="202"/>
      <c r="C181" s="202"/>
      <c r="D181" s="202"/>
      <c r="E181" s="304"/>
      <c r="F181" s="211"/>
      <c r="G181" s="203"/>
      <c r="H181" s="203"/>
      <c r="I181" s="295"/>
      <c r="J181" s="264" t="str">
        <f t="shared" si="2"/>
        <v/>
      </c>
      <c r="K181" s="265"/>
      <c r="L181" s="266"/>
      <c r="M181" s="266"/>
      <c r="N181" s="266"/>
      <c r="O181" s="266"/>
      <c r="P181" s="266"/>
      <c r="Q181" s="266"/>
      <c r="R181" s="266"/>
    </row>
    <row r="182" spans="1:21" ht="30" customHeight="1">
      <c r="A182" s="204"/>
      <c r="B182" s="202"/>
      <c r="C182" s="202"/>
      <c r="D182" s="202"/>
      <c r="E182" s="304"/>
      <c r="F182" s="211"/>
      <c r="G182" s="203"/>
      <c r="H182" s="203"/>
      <c r="I182" s="295"/>
      <c r="J182" s="264" t="str">
        <f t="shared" si="2"/>
        <v/>
      </c>
      <c r="K182" s="265"/>
      <c r="L182" s="266"/>
      <c r="M182" s="266"/>
      <c r="N182" s="266"/>
      <c r="O182" s="266"/>
      <c r="P182" s="266"/>
      <c r="Q182" s="266"/>
      <c r="R182" s="266"/>
    </row>
    <row r="183" spans="1:21" ht="30" customHeight="1">
      <c r="A183" s="204"/>
      <c r="B183" s="202"/>
      <c r="C183" s="202"/>
      <c r="D183" s="202"/>
      <c r="E183" s="304"/>
      <c r="F183" s="211"/>
      <c r="G183" s="203"/>
      <c r="H183" s="203"/>
      <c r="I183" s="295"/>
      <c r="J183" s="264" t="str">
        <f t="shared" si="2"/>
        <v/>
      </c>
      <c r="K183" s="267"/>
      <c r="L183" s="266"/>
      <c r="M183" s="266"/>
      <c r="N183" s="266"/>
      <c r="O183" s="266"/>
      <c r="P183" s="266"/>
      <c r="Q183" s="266"/>
      <c r="R183" s="268"/>
    </row>
    <row r="184" spans="1:21" ht="30" customHeight="1">
      <c r="A184" s="204"/>
      <c r="B184" s="202"/>
      <c r="C184" s="202"/>
      <c r="D184" s="202"/>
      <c r="E184" s="304"/>
      <c r="F184" s="211"/>
      <c r="G184" s="203"/>
      <c r="H184" s="203"/>
      <c r="I184" s="295"/>
      <c r="J184" s="264" t="str">
        <f t="shared" si="2"/>
        <v/>
      </c>
      <c r="K184" s="267"/>
      <c r="L184" s="266"/>
      <c r="M184" s="266"/>
      <c r="N184" s="266"/>
      <c r="O184" s="266"/>
      <c r="P184" s="266"/>
      <c r="Q184" s="266"/>
      <c r="R184" s="268"/>
    </row>
    <row r="185" spans="1:21" ht="30" customHeight="1">
      <c r="A185" s="204"/>
      <c r="B185" s="202"/>
      <c r="C185" s="202"/>
      <c r="D185" s="202"/>
      <c r="E185" s="304"/>
      <c r="F185" s="211"/>
      <c r="G185" s="203"/>
      <c r="H185" s="203"/>
      <c r="I185" s="295"/>
      <c r="J185" s="264" t="str">
        <f t="shared" si="2"/>
        <v/>
      </c>
      <c r="K185" s="267"/>
      <c r="L185" s="266"/>
      <c r="M185" s="266"/>
      <c r="N185" s="266"/>
      <c r="O185" s="266"/>
      <c r="P185" s="266"/>
      <c r="Q185" s="266"/>
      <c r="R185" s="268"/>
    </row>
    <row r="186" spans="1:21" ht="30" customHeight="1">
      <c r="A186" s="204"/>
      <c r="B186" s="202"/>
      <c r="C186" s="202"/>
      <c r="D186" s="202"/>
      <c r="E186" s="304"/>
      <c r="F186" s="211"/>
      <c r="G186" s="203"/>
      <c r="H186" s="203"/>
      <c r="I186" s="295"/>
      <c r="J186" s="264" t="str">
        <f t="shared" si="2"/>
        <v/>
      </c>
      <c r="K186" s="267"/>
      <c r="L186" s="266"/>
      <c r="M186" s="266"/>
      <c r="N186" s="266"/>
      <c r="O186" s="266"/>
      <c r="P186" s="266"/>
      <c r="Q186" s="266"/>
      <c r="R186" s="268"/>
    </row>
    <row r="187" spans="1:21" ht="30" customHeight="1">
      <c r="A187" s="308"/>
      <c r="B187" s="300"/>
      <c r="C187" s="309"/>
      <c r="D187" s="310"/>
      <c r="E187" s="301"/>
      <c r="F187" s="302"/>
      <c r="G187" s="286"/>
      <c r="H187" s="286"/>
      <c r="I187" s="307"/>
      <c r="J187" s="264" t="str">
        <f t="shared" si="2"/>
        <v/>
      </c>
      <c r="K187" s="265"/>
      <c r="L187" s="266"/>
      <c r="M187" s="266"/>
      <c r="N187" s="266"/>
      <c r="O187" s="266"/>
      <c r="P187" s="266"/>
      <c r="Q187" s="266"/>
      <c r="R187" s="288"/>
      <c r="S187" s="266"/>
      <c r="T187" s="266"/>
      <c r="U187" s="266"/>
    </row>
    <row r="188" spans="1:21" ht="30" customHeight="1">
      <c r="A188" s="261"/>
      <c r="B188" s="200"/>
      <c r="C188" s="200"/>
      <c r="D188" s="200"/>
      <c r="E188" s="303"/>
      <c r="F188" s="210"/>
      <c r="G188" s="201"/>
      <c r="H188" s="201"/>
      <c r="I188" s="295"/>
      <c r="J188" s="264" t="str">
        <f t="shared" si="2"/>
        <v/>
      </c>
      <c r="K188" s="267"/>
      <c r="L188" s="266"/>
      <c r="M188" s="266"/>
      <c r="N188" s="266"/>
      <c r="O188" s="266"/>
      <c r="P188" s="266"/>
      <c r="Q188" s="266"/>
      <c r="R188" s="288"/>
      <c r="S188" s="266"/>
      <c r="T188" s="266"/>
      <c r="U188" s="266"/>
    </row>
    <row r="189" spans="1:21" ht="30" customHeight="1">
      <c r="A189" s="204"/>
      <c r="B189" s="202"/>
      <c r="C189" s="202"/>
      <c r="D189" s="202"/>
      <c r="E189" s="304"/>
      <c r="F189" s="211"/>
      <c r="G189" s="203"/>
      <c r="H189" s="203"/>
      <c r="I189" s="295"/>
      <c r="J189" s="264" t="str">
        <f t="shared" si="2"/>
        <v/>
      </c>
      <c r="K189" s="265"/>
      <c r="L189" s="266"/>
      <c r="M189" s="266"/>
      <c r="N189" s="266"/>
      <c r="O189" s="266"/>
      <c r="P189" s="266"/>
      <c r="Q189" s="266"/>
      <c r="R189" s="266"/>
    </row>
    <row r="190" spans="1:21" ht="30" customHeight="1">
      <c r="A190" s="204"/>
      <c r="B190" s="202"/>
      <c r="C190" s="202"/>
      <c r="D190" s="202"/>
      <c r="E190" s="304"/>
      <c r="F190" s="211"/>
      <c r="G190" s="203"/>
      <c r="H190" s="203"/>
      <c r="I190" s="295"/>
      <c r="J190" s="264" t="str">
        <f t="shared" si="2"/>
        <v/>
      </c>
      <c r="K190" s="265"/>
      <c r="L190" s="266"/>
      <c r="M190" s="266"/>
      <c r="N190" s="266"/>
      <c r="O190" s="266"/>
      <c r="P190" s="266"/>
      <c r="Q190" s="266"/>
      <c r="R190" s="266"/>
    </row>
    <row r="191" spans="1:21" ht="30" customHeight="1">
      <c r="A191" s="204"/>
      <c r="B191" s="202"/>
      <c r="C191" s="202"/>
      <c r="D191" s="202"/>
      <c r="E191" s="304"/>
      <c r="F191" s="211"/>
      <c r="G191" s="203"/>
      <c r="H191" s="203"/>
      <c r="I191" s="295"/>
      <c r="J191" s="264" t="str">
        <f t="shared" si="2"/>
        <v/>
      </c>
      <c r="K191" s="265"/>
      <c r="L191" s="266"/>
      <c r="M191" s="266"/>
      <c r="N191" s="266"/>
      <c r="O191" s="266"/>
      <c r="P191" s="266"/>
      <c r="Q191" s="266"/>
      <c r="R191" s="266"/>
    </row>
    <row r="192" spans="1:21" ht="30" customHeight="1">
      <c r="A192" s="204"/>
      <c r="B192" s="202"/>
      <c r="C192" s="202"/>
      <c r="D192" s="202"/>
      <c r="E192" s="304"/>
      <c r="F192" s="211"/>
      <c r="G192" s="203"/>
      <c r="H192" s="203"/>
      <c r="I192" s="295"/>
      <c r="J192" s="264" t="str">
        <f t="shared" si="2"/>
        <v/>
      </c>
      <c r="K192" s="265"/>
      <c r="L192" s="266"/>
      <c r="M192" s="266"/>
      <c r="N192" s="266"/>
      <c r="O192" s="266"/>
      <c r="P192" s="266"/>
      <c r="Q192" s="266"/>
      <c r="R192" s="266"/>
    </row>
    <row r="193" spans="1:21" ht="30" customHeight="1">
      <c r="A193" s="204"/>
      <c r="B193" s="202"/>
      <c r="C193" s="202"/>
      <c r="D193" s="202"/>
      <c r="E193" s="304"/>
      <c r="F193" s="211"/>
      <c r="G193" s="203"/>
      <c r="H193" s="203"/>
      <c r="I193" s="295"/>
      <c r="J193" s="264" t="str">
        <f t="shared" si="2"/>
        <v/>
      </c>
      <c r="K193" s="265"/>
      <c r="L193" s="266"/>
      <c r="M193" s="266"/>
      <c r="N193" s="266"/>
      <c r="O193" s="266"/>
      <c r="P193" s="266"/>
      <c r="Q193" s="266"/>
      <c r="R193" s="266"/>
    </row>
    <row r="194" spans="1:21" ht="30" customHeight="1">
      <c r="A194" s="204"/>
      <c r="B194" s="202"/>
      <c r="C194" s="202"/>
      <c r="D194" s="202"/>
      <c r="E194" s="304"/>
      <c r="F194" s="211"/>
      <c r="G194" s="203"/>
      <c r="H194" s="203"/>
      <c r="I194" s="295"/>
      <c r="J194" s="264" t="str">
        <f t="shared" si="2"/>
        <v/>
      </c>
      <c r="K194" s="265"/>
      <c r="L194" s="266"/>
      <c r="M194" s="266"/>
      <c r="N194" s="266"/>
      <c r="O194" s="266"/>
      <c r="P194" s="266"/>
      <c r="Q194" s="266"/>
      <c r="R194" s="266"/>
    </row>
    <row r="195" spans="1:21" ht="30" customHeight="1">
      <c r="A195" s="204"/>
      <c r="B195" s="202"/>
      <c r="C195" s="202"/>
      <c r="D195" s="202"/>
      <c r="E195" s="304"/>
      <c r="F195" s="211"/>
      <c r="G195" s="203"/>
      <c r="H195" s="203"/>
      <c r="I195" s="295"/>
      <c r="J195" s="264" t="str">
        <f t="shared" si="2"/>
        <v/>
      </c>
      <c r="K195" s="265"/>
      <c r="L195" s="266"/>
      <c r="M195" s="266"/>
      <c r="N195" s="266"/>
      <c r="O195" s="266"/>
      <c r="P195" s="266"/>
      <c r="Q195" s="266"/>
      <c r="R195" s="266"/>
    </row>
    <row r="196" spans="1:21" ht="30" customHeight="1">
      <c r="A196" s="204"/>
      <c r="B196" s="202"/>
      <c r="C196" s="202"/>
      <c r="D196" s="202"/>
      <c r="E196" s="304"/>
      <c r="F196" s="211"/>
      <c r="G196" s="203"/>
      <c r="H196" s="203"/>
      <c r="I196" s="295"/>
      <c r="J196" s="264" t="str">
        <f t="shared" si="2"/>
        <v/>
      </c>
      <c r="K196" s="265"/>
      <c r="L196" s="266"/>
      <c r="M196" s="266"/>
      <c r="N196" s="266"/>
      <c r="O196" s="266"/>
      <c r="P196" s="266"/>
      <c r="Q196" s="266"/>
      <c r="R196" s="266"/>
    </row>
    <row r="197" spans="1:21" ht="30" customHeight="1">
      <c r="A197" s="204"/>
      <c r="B197" s="202"/>
      <c r="C197" s="202"/>
      <c r="D197" s="202"/>
      <c r="E197" s="304"/>
      <c r="F197" s="211"/>
      <c r="G197" s="203"/>
      <c r="H197" s="203"/>
      <c r="I197" s="295"/>
      <c r="J197" s="264" t="str">
        <f t="shared" si="2"/>
        <v/>
      </c>
      <c r="K197" s="265"/>
      <c r="L197" s="266"/>
      <c r="M197" s="266"/>
      <c r="N197" s="266"/>
      <c r="O197" s="266"/>
      <c r="P197" s="266"/>
      <c r="Q197" s="266"/>
      <c r="R197" s="266"/>
    </row>
    <row r="198" spans="1:21" ht="30" customHeight="1">
      <c r="A198" s="204"/>
      <c r="B198" s="202"/>
      <c r="C198" s="202"/>
      <c r="D198" s="202"/>
      <c r="E198" s="304"/>
      <c r="F198" s="211"/>
      <c r="G198" s="203"/>
      <c r="H198" s="203"/>
      <c r="I198" s="295"/>
      <c r="J198" s="264" t="str">
        <f t="shared" ref="J198:J261" si="3">CONCATENATE(D198,G198)</f>
        <v/>
      </c>
      <c r="K198" s="265"/>
      <c r="L198" s="266"/>
      <c r="M198" s="266"/>
      <c r="N198" s="266"/>
      <c r="O198" s="266"/>
      <c r="P198" s="266"/>
      <c r="Q198" s="266"/>
      <c r="R198" s="266"/>
    </row>
    <row r="199" spans="1:21" ht="30" customHeight="1">
      <c r="A199" s="204"/>
      <c r="B199" s="202"/>
      <c r="C199" s="202"/>
      <c r="D199" s="202"/>
      <c r="E199" s="304"/>
      <c r="F199" s="211"/>
      <c r="G199" s="203"/>
      <c r="H199" s="203"/>
      <c r="I199" s="295"/>
      <c r="J199" s="264" t="str">
        <f t="shared" si="3"/>
        <v/>
      </c>
      <c r="K199" s="265"/>
      <c r="L199" s="266"/>
      <c r="M199" s="266"/>
      <c r="N199" s="266"/>
      <c r="O199" s="266"/>
      <c r="P199" s="266"/>
      <c r="Q199" s="266"/>
      <c r="R199" s="266"/>
    </row>
    <row r="200" spans="1:21" ht="30" customHeight="1">
      <c r="A200" s="204"/>
      <c r="B200" s="202"/>
      <c r="C200" s="202"/>
      <c r="D200" s="202"/>
      <c r="E200" s="304"/>
      <c r="F200" s="211"/>
      <c r="G200" s="203"/>
      <c r="H200" s="203"/>
      <c r="I200" s="295"/>
      <c r="J200" s="264" t="str">
        <f t="shared" si="3"/>
        <v/>
      </c>
      <c r="K200" s="265"/>
      <c r="L200" s="266"/>
      <c r="M200" s="266"/>
      <c r="N200" s="266"/>
      <c r="O200" s="266"/>
      <c r="P200" s="266"/>
      <c r="Q200" s="266"/>
      <c r="R200" s="266"/>
    </row>
    <row r="201" spans="1:21" ht="30" customHeight="1">
      <c r="A201" s="204"/>
      <c r="B201" s="202"/>
      <c r="C201" s="202"/>
      <c r="D201" s="202"/>
      <c r="E201" s="304"/>
      <c r="F201" s="211"/>
      <c r="G201" s="203"/>
      <c r="H201" s="203"/>
      <c r="I201" s="295"/>
      <c r="J201" s="264" t="str">
        <f t="shared" si="3"/>
        <v/>
      </c>
      <c r="K201" s="265"/>
      <c r="L201" s="266"/>
      <c r="M201" s="266"/>
      <c r="N201" s="266"/>
      <c r="O201" s="266"/>
      <c r="P201" s="266"/>
      <c r="Q201" s="266"/>
      <c r="R201" s="266"/>
    </row>
    <row r="202" spans="1:21" ht="30" customHeight="1">
      <c r="A202" s="204"/>
      <c r="B202" s="202"/>
      <c r="C202" s="202"/>
      <c r="D202" s="202"/>
      <c r="E202" s="304"/>
      <c r="F202" s="211"/>
      <c r="G202" s="203"/>
      <c r="H202" s="203"/>
      <c r="I202" s="295"/>
      <c r="J202" s="264" t="str">
        <f t="shared" si="3"/>
        <v/>
      </c>
      <c r="K202" s="265"/>
      <c r="L202" s="266"/>
      <c r="M202" s="266"/>
      <c r="N202" s="266"/>
      <c r="O202" s="266"/>
      <c r="P202" s="266"/>
      <c r="Q202" s="266"/>
      <c r="R202" s="266"/>
    </row>
    <row r="203" spans="1:21" ht="30" customHeight="1">
      <c r="A203" s="204"/>
      <c r="B203" s="202"/>
      <c r="C203" s="202"/>
      <c r="D203" s="202"/>
      <c r="E203" s="304"/>
      <c r="F203" s="211"/>
      <c r="G203" s="203"/>
      <c r="H203" s="203"/>
      <c r="I203" s="295"/>
      <c r="J203" s="264" t="str">
        <f t="shared" si="3"/>
        <v/>
      </c>
      <c r="K203" s="265"/>
      <c r="L203" s="266"/>
      <c r="M203" s="266"/>
      <c r="N203" s="266"/>
      <c r="O203" s="266"/>
      <c r="P203" s="266"/>
      <c r="Q203" s="266"/>
      <c r="R203" s="266"/>
    </row>
    <row r="204" spans="1:21" ht="30" customHeight="1">
      <c r="A204" s="204"/>
      <c r="B204" s="202"/>
      <c r="C204" s="202"/>
      <c r="D204" s="202"/>
      <c r="E204" s="304"/>
      <c r="F204" s="211"/>
      <c r="G204" s="203"/>
      <c r="H204" s="203"/>
      <c r="I204" s="295"/>
      <c r="J204" s="264" t="str">
        <f t="shared" si="3"/>
        <v/>
      </c>
      <c r="K204" s="267"/>
      <c r="L204" s="266"/>
      <c r="M204" s="266"/>
      <c r="N204" s="266"/>
      <c r="O204" s="266"/>
      <c r="P204" s="266"/>
      <c r="Q204" s="266"/>
      <c r="R204" s="268"/>
    </row>
    <row r="205" spans="1:21" ht="30" customHeight="1">
      <c r="A205" s="204"/>
      <c r="B205" s="202"/>
      <c r="C205" s="202"/>
      <c r="D205" s="202"/>
      <c r="E205" s="304"/>
      <c r="F205" s="211"/>
      <c r="G205" s="203"/>
      <c r="H205" s="203"/>
      <c r="I205" s="295"/>
      <c r="J205" s="264" t="str">
        <f t="shared" si="3"/>
        <v/>
      </c>
      <c r="K205" s="267"/>
      <c r="L205" s="266"/>
      <c r="M205" s="266"/>
      <c r="N205" s="266"/>
      <c r="O205" s="266"/>
      <c r="P205" s="266"/>
      <c r="Q205" s="266"/>
      <c r="R205" s="268"/>
    </row>
    <row r="206" spans="1:21" ht="30" customHeight="1">
      <c r="A206" s="204"/>
      <c r="B206" s="202"/>
      <c r="C206" s="202"/>
      <c r="D206" s="202"/>
      <c r="E206" s="304"/>
      <c r="F206" s="211"/>
      <c r="G206" s="203"/>
      <c r="H206" s="203"/>
      <c r="I206" s="295"/>
      <c r="J206" s="264" t="str">
        <f t="shared" si="3"/>
        <v/>
      </c>
      <c r="K206" s="267"/>
      <c r="L206" s="266"/>
      <c r="M206" s="266"/>
      <c r="N206" s="266"/>
      <c r="O206" s="266"/>
      <c r="P206" s="266"/>
      <c r="Q206" s="266"/>
      <c r="R206" s="268"/>
    </row>
    <row r="207" spans="1:21" ht="30" customHeight="1">
      <c r="A207" s="204"/>
      <c r="B207" s="202"/>
      <c r="C207" s="202"/>
      <c r="D207" s="202"/>
      <c r="E207" s="304"/>
      <c r="F207" s="211"/>
      <c r="G207" s="203"/>
      <c r="H207" s="203"/>
      <c r="I207" s="295"/>
      <c r="J207" s="264" t="str">
        <f t="shared" si="3"/>
        <v/>
      </c>
      <c r="K207" s="267"/>
      <c r="L207" s="266"/>
      <c r="M207" s="266"/>
      <c r="N207" s="266"/>
      <c r="O207" s="266"/>
      <c r="P207" s="266"/>
      <c r="Q207" s="266"/>
      <c r="R207" s="268"/>
    </row>
    <row r="208" spans="1:21" ht="30" customHeight="1">
      <c r="A208" s="308"/>
      <c r="B208" s="300"/>
      <c r="C208" s="309"/>
      <c r="D208" s="310"/>
      <c r="E208" s="301"/>
      <c r="F208" s="302"/>
      <c r="G208" s="286"/>
      <c r="H208" s="286"/>
      <c r="I208" s="307"/>
      <c r="J208" s="264" t="str">
        <f t="shared" si="3"/>
        <v/>
      </c>
      <c r="K208" s="265"/>
      <c r="L208" s="266"/>
      <c r="M208" s="266"/>
      <c r="N208" s="266"/>
      <c r="O208" s="266"/>
      <c r="P208" s="266"/>
      <c r="Q208" s="266"/>
      <c r="R208" s="288"/>
      <c r="S208" s="266"/>
      <c r="T208" s="266"/>
      <c r="U208" s="266"/>
    </row>
    <row r="209" spans="1:21" ht="30" customHeight="1">
      <c r="A209" s="261"/>
      <c r="B209" s="200"/>
      <c r="C209" s="200"/>
      <c r="D209" s="200"/>
      <c r="E209" s="303"/>
      <c r="F209" s="210"/>
      <c r="G209" s="201"/>
      <c r="H209" s="201"/>
      <c r="I209" s="295"/>
      <c r="J209" s="264" t="str">
        <f t="shared" si="3"/>
        <v/>
      </c>
      <c r="K209" s="267"/>
      <c r="L209" s="266"/>
      <c r="M209" s="266"/>
      <c r="N209" s="266"/>
      <c r="O209" s="266"/>
      <c r="P209" s="266"/>
      <c r="Q209" s="266"/>
      <c r="R209" s="288"/>
      <c r="S209" s="266"/>
      <c r="T209" s="266"/>
      <c r="U209" s="266"/>
    </row>
    <row r="210" spans="1:21" ht="30" customHeight="1">
      <c r="A210" s="204"/>
      <c r="B210" s="202"/>
      <c r="C210" s="202"/>
      <c r="D210" s="202"/>
      <c r="E210" s="304"/>
      <c r="F210" s="211"/>
      <c r="G210" s="203"/>
      <c r="H210" s="203"/>
      <c r="I210" s="295"/>
      <c r="J210" s="264" t="str">
        <f t="shared" si="3"/>
        <v/>
      </c>
      <c r="K210" s="265"/>
      <c r="L210" s="266"/>
      <c r="M210" s="266"/>
      <c r="N210" s="266"/>
      <c r="O210" s="266"/>
      <c r="P210" s="266"/>
      <c r="Q210" s="266"/>
      <c r="R210" s="266"/>
    </row>
    <row r="211" spans="1:21" ht="30" customHeight="1">
      <c r="A211" s="204"/>
      <c r="B211" s="202"/>
      <c r="C211" s="202"/>
      <c r="D211" s="202"/>
      <c r="E211" s="304"/>
      <c r="F211" s="211"/>
      <c r="G211" s="203"/>
      <c r="H211" s="203"/>
      <c r="I211" s="295"/>
      <c r="J211" s="264" t="str">
        <f t="shared" si="3"/>
        <v/>
      </c>
      <c r="K211" s="265"/>
      <c r="L211" s="266"/>
      <c r="M211" s="266"/>
      <c r="N211" s="266"/>
      <c r="O211" s="266"/>
      <c r="P211" s="266"/>
      <c r="Q211" s="266"/>
      <c r="R211" s="266"/>
    </row>
    <row r="212" spans="1:21" ht="30" customHeight="1">
      <c r="A212" s="204"/>
      <c r="B212" s="202"/>
      <c r="C212" s="202"/>
      <c r="D212" s="202"/>
      <c r="E212" s="304"/>
      <c r="F212" s="211"/>
      <c r="G212" s="203"/>
      <c r="H212" s="203"/>
      <c r="I212" s="295"/>
      <c r="J212" s="264" t="str">
        <f t="shared" si="3"/>
        <v/>
      </c>
      <c r="K212" s="265"/>
      <c r="L212" s="266"/>
      <c r="M212" s="266"/>
      <c r="N212" s="266"/>
      <c r="O212" s="266"/>
      <c r="P212" s="266"/>
      <c r="Q212" s="266"/>
      <c r="R212" s="266"/>
    </row>
    <row r="213" spans="1:21" ht="30" customHeight="1">
      <c r="A213" s="204"/>
      <c r="B213" s="202"/>
      <c r="C213" s="202"/>
      <c r="D213" s="202"/>
      <c r="E213" s="304"/>
      <c r="F213" s="211"/>
      <c r="G213" s="203"/>
      <c r="H213" s="203"/>
      <c r="I213" s="295"/>
      <c r="J213" s="264" t="str">
        <f t="shared" si="3"/>
        <v/>
      </c>
      <c r="K213" s="265"/>
      <c r="L213" s="266"/>
      <c r="M213" s="266"/>
      <c r="N213" s="266"/>
      <c r="O213" s="266"/>
      <c r="P213" s="266"/>
      <c r="Q213" s="266"/>
      <c r="R213" s="266"/>
    </row>
    <row r="214" spans="1:21" ht="30" customHeight="1">
      <c r="A214" s="204"/>
      <c r="B214" s="202"/>
      <c r="C214" s="202"/>
      <c r="D214" s="202"/>
      <c r="E214" s="304"/>
      <c r="F214" s="211"/>
      <c r="G214" s="203"/>
      <c r="H214" s="203"/>
      <c r="I214" s="295"/>
      <c r="J214" s="264" t="str">
        <f t="shared" si="3"/>
        <v/>
      </c>
      <c r="K214" s="265"/>
      <c r="L214" s="266"/>
      <c r="M214" s="266"/>
      <c r="N214" s="266"/>
      <c r="O214" s="266"/>
      <c r="P214" s="266"/>
      <c r="Q214" s="266"/>
      <c r="R214" s="266"/>
    </row>
    <row r="215" spans="1:21" ht="30" customHeight="1">
      <c r="A215" s="204" t="str">
        <f>IF(ISBLANK(D215)," ",113-COUNTBLANK($D$6:D215))</f>
        <v xml:space="preserve"> </v>
      </c>
      <c r="B215" s="202"/>
      <c r="C215" s="202"/>
      <c r="D215" s="202"/>
      <c r="E215" s="304"/>
      <c r="F215" s="211"/>
      <c r="G215" s="203"/>
      <c r="H215" s="203"/>
      <c r="I215" s="295"/>
      <c r="J215" s="264" t="str">
        <f t="shared" si="3"/>
        <v/>
      </c>
      <c r="K215" s="265"/>
      <c r="L215" s="266"/>
      <c r="M215" s="266"/>
      <c r="N215" s="266"/>
      <c r="O215" s="266"/>
      <c r="P215" s="266"/>
      <c r="Q215" s="266"/>
      <c r="R215" s="266"/>
    </row>
    <row r="216" spans="1:21" ht="30" customHeight="1">
      <c r="A216" s="204" t="str">
        <f>IF(ISBLANK(D216)," ",114-COUNTBLANK($D$6:D216))</f>
        <v xml:space="preserve"> </v>
      </c>
      <c r="B216" s="202"/>
      <c r="C216" s="202"/>
      <c r="D216" s="202"/>
      <c r="E216" s="304"/>
      <c r="F216" s="211"/>
      <c r="G216" s="203"/>
      <c r="H216" s="203"/>
      <c r="I216" s="295"/>
      <c r="J216" s="264" t="str">
        <f t="shared" si="3"/>
        <v/>
      </c>
      <c r="K216" s="265"/>
      <c r="L216" s="266"/>
      <c r="M216" s="266"/>
      <c r="N216" s="266"/>
      <c r="O216" s="266"/>
      <c r="P216" s="266"/>
      <c r="Q216" s="266"/>
      <c r="R216" s="266"/>
    </row>
    <row r="217" spans="1:21" ht="30" customHeight="1">
      <c r="A217" s="204" t="str">
        <f>IF(ISBLANK(D217)," ",115-COUNTBLANK($D$6:D217))</f>
        <v xml:space="preserve"> </v>
      </c>
      <c r="B217" s="202"/>
      <c r="C217" s="202"/>
      <c r="D217" s="202"/>
      <c r="E217" s="304"/>
      <c r="F217" s="211"/>
      <c r="G217" s="203"/>
      <c r="H217" s="203"/>
      <c r="I217" s="295"/>
      <c r="J217" s="264" t="str">
        <f t="shared" si="3"/>
        <v/>
      </c>
      <c r="K217" s="265"/>
      <c r="L217" s="266"/>
      <c r="M217" s="266"/>
      <c r="N217" s="266"/>
      <c r="O217" s="266"/>
      <c r="P217" s="266"/>
      <c r="Q217" s="266"/>
      <c r="R217" s="266"/>
    </row>
    <row r="218" spans="1:21" ht="30" customHeight="1">
      <c r="A218" s="204" t="str">
        <f>IF(ISBLANK(D218)," ",116-COUNTBLANK($D$6:D218))</f>
        <v xml:space="preserve"> </v>
      </c>
      <c r="B218" s="202"/>
      <c r="C218" s="202"/>
      <c r="D218" s="202"/>
      <c r="E218" s="304"/>
      <c r="F218" s="211"/>
      <c r="G218" s="203"/>
      <c r="H218" s="203"/>
      <c r="I218" s="295"/>
      <c r="J218" s="264" t="str">
        <f t="shared" si="3"/>
        <v/>
      </c>
      <c r="K218" s="265"/>
      <c r="L218" s="266"/>
      <c r="M218" s="266"/>
      <c r="N218" s="266"/>
      <c r="O218" s="266"/>
      <c r="P218" s="266"/>
      <c r="Q218" s="266"/>
      <c r="R218" s="266"/>
    </row>
    <row r="219" spans="1:21" ht="30" customHeight="1">
      <c r="A219" s="204" t="str">
        <f>IF(ISBLANK(D219)," ",117-COUNTBLANK($D$6:D219))</f>
        <v xml:space="preserve"> </v>
      </c>
      <c r="B219" s="202"/>
      <c r="C219" s="202"/>
      <c r="D219" s="202"/>
      <c r="E219" s="304"/>
      <c r="F219" s="211"/>
      <c r="G219" s="203"/>
      <c r="H219" s="203"/>
      <c r="I219" s="295"/>
      <c r="J219" s="264" t="str">
        <f t="shared" si="3"/>
        <v/>
      </c>
      <c r="K219" s="265"/>
      <c r="L219" s="266"/>
      <c r="M219" s="266"/>
      <c r="N219" s="266"/>
      <c r="O219" s="266"/>
      <c r="P219" s="266"/>
      <c r="Q219" s="266"/>
      <c r="R219" s="266"/>
    </row>
    <row r="220" spans="1:21" ht="30" customHeight="1">
      <c r="A220" s="204" t="str">
        <f>IF(ISBLANK(D220)," ",118-COUNTBLANK($D$6:D220))</f>
        <v xml:space="preserve"> </v>
      </c>
      <c r="B220" s="202"/>
      <c r="C220" s="202"/>
      <c r="D220" s="202"/>
      <c r="E220" s="304"/>
      <c r="F220" s="211"/>
      <c r="G220" s="203"/>
      <c r="H220" s="203"/>
      <c r="I220" s="295"/>
      <c r="J220" s="264" t="str">
        <f t="shared" si="3"/>
        <v/>
      </c>
      <c r="K220" s="265"/>
      <c r="L220" s="266"/>
      <c r="M220" s="266"/>
      <c r="N220" s="266"/>
      <c r="O220" s="266"/>
      <c r="P220" s="266"/>
      <c r="Q220" s="266"/>
      <c r="R220" s="266"/>
    </row>
    <row r="221" spans="1:21" ht="30" customHeight="1">
      <c r="A221" s="204" t="str">
        <f>IF(ISBLANK(D221)," ",119-COUNTBLANK($D$6:D221))</f>
        <v xml:space="preserve"> </v>
      </c>
      <c r="B221" s="202"/>
      <c r="C221" s="202"/>
      <c r="D221" s="202"/>
      <c r="E221" s="304"/>
      <c r="F221" s="211"/>
      <c r="G221" s="203"/>
      <c r="H221" s="203"/>
      <c r="I221" s="295"/>
      <c r="J221" s="264" t="str">
        <f t="shared" si="3"/>
        <v/>
      </c>
      <c r="K221" s="265"/>
      <c r="L221" s="266"/>
      <c r="M221" s="266"/>
      <c r="N221" s="266"/>
      <c r="O221" s="266"/>
      <c r="P221" s="266"/>
      <c r="Q221" s="266"/>
      <c r="R221" s="266"/>
    </row>
    <row r="222" spans="1:21" ht="30" customHeight="1">
      <c r="A222" s="204" t="str">
        <f>IF(ISBLANK(D222)," ",120-COUNTBLANK($D$6:D222))</f>
        <v xml:space="preserve"> </v>
      </c>
      <c r="B222" s="202"/>
      <c r="C222" s="202"/>
      <c r="D222" s="202"/>
      <c r="E222" s="304"/>
      <c r="F222" s="211"/>
      <c r="G222" s="203"/>
      <c r="H222" s="203"/>
      <c r="I222" s="295"/>
      <c r="J222" s="264" t="str">
        <f t="shared" si="3"/>
        <v/>
      </c>
      <c r="K222" s="265"/>
      <c r="L222" s="266"/>
      <c r="M222" s="266"/>
      <c r="N222" s="266"/>
      <c r="O222" s="266"/>
      <c r="P222" s="266"/>
      <c r="Q222" s="266"/>
      <c r="R222" s="266"/>
    </row>
    <row r="223" spans="1:21" ht="30" customHeight="1">
      <c r="A223" s="204" t="str">
        <f>IF(ISBLANK(D223)," ",121-COUNTBLANK($D$6:D223))</f>
        <v xml:space="preserve"> </v>
      </c>
      <c r="B223" s="202"/>
      <c r="C223" s="202"/>
      <c r="D223" s="202"/>
      <c r="E223" s="304"/>
      <c r="F223" s="211"/>
      <c r="G223" s="203"/>
      <c r="H223" s="203"/>
      <c r="I223" s="295"/>
      <c r="J223" s="264" t="str">
        <f t="shared" si="3"/>
        <v/>
      </c>
      <c r="K223" s="265"/>
      <c r="L223" s="266"/>
      <c r="M223" s="266"/>
      <c r="N223" s="266"/>
      <c r="O223" s="266"/>
      <c r="P223" s="266"/>
      <c r="Q223" s="266"/>
      <c r="R223" s="266"/>
    </row>
    <row r="224" spans="1:21" ht="30" customHeight="1">
      <c r="A224" s="204" t="str">
        <f>IF(ISBLANK(D224)," ",122-COUNTBLANK($D$6:D224))</f>
        <v xml:space="preserve"> </v>
      </c>
      <c r="B224" s="202"/>
      <c r="C224" s="202"/>
      <c r="D224" s="202"/>
      <c r="E224" s="304"/>
      <c r="F224" s="211"/>
      <c r="G224" s="203"/>
      <c r="H224" s="203"/>
      <c r="I224" s="295"/>
      <c r="J224" s="264" t="str">
        <f t="shared" si="3"/>
        <v/>
      </c>
      <c r="K224" s="265"/>
      <c r="L224" s="266"/>
      <c r="M224" s="266"/>
      <c r="N224" s="266"/>
      <c r="O224" s="266"/>
      <c r="P224" s="266"/>
      <c r="Q224" s="266"/>
      <c r="R224" s="266"/>
    </row>
    <row r="225" spans="1:21" ht="30" customHeight="1">
      <c r="A225" s="204" t="str">
        <f>IF(ISBLANK(D225)," ",123-COUNTBLANK($D$6:D225))</f>
        <v xml:space="preserve"> </v>
      </c>
      <c r="B225" s="202"/>
      <c r="C225" s="202"/>
      <c r="D225" s="202"/>
      <c r="E225" s="304"/>
      <c r="F225" s="211"/>
      <c r="G225" s="203"/>
      <c r="H225" s="203"/>
      <c r="I225" s="295"/>
      <c r="J225" s="264" t="str">
        <f t="shared" si="3"/>
        <v/>
      </c>
      <c r="K225" s="267"/>
      <c r="L225" s="266"/>
      <c r="M225" s="266"/>
      <c r="N225" s="266"/>
      <c r="O225" s="266"/>
      <c r="P225" s="266"/>
      <c r="Q225" s="266"/>
      <c r="R225" s="268"/>
    </row>
    <row r="226" spans="1:21" ht="30" customHeight="1">
      <c r="A226" s="204" t="str">
        <f>IF(ISBLANK(D226)," ",124-COUNTBLANK($D$6:D226))</f>
        <v xml:space="preserve"> </v>
      </c>
      <c r="B226" s="202"/>
      <c r="C226" s="202"/>
      <c r="D226" s="202"/>
      <c r="E226" s="304"/>
      <c r="F226" s="211"/>
      <c r="G226" s="203"/>
      <c r="H226" s="203"/>
      <c r="I226" s="295"/>
      <c r="J226" s="264" t="str">
        <f t="shared" si="3"/>
        <v/>
      </c>
      <c r="K226" s="267"/>
      <c r="L226" s="266"/>
      <c r="M226" s="266"/>
      <c r="N226" s="266"/>
      <c r="O226" s="266"/>
      <c r="P226" s="266"/>
      <c r="Q226" s="266"/>
      <c r="R226" s="268"/>
    </row>
    <row r="227" spans="1:21" ht="30" customHeight="1">
      <c r="A227" s="204" t="str">
        <f>IF(ISBLANK(D227)," ",125-COUNTBLANK($D$6:D227))</f>
        <v xml:space="preserve"> </v>
      </c>
      <c r="B227" s="202"/>
      <c r="C227" s="202"/>
      <c r="D227" s="202"/>
      <c r="E227" s="304"/>
      <c r="F227" s="211"/>
      <c r="G227" s="203"/>
      <c r="H227" s="203"/>
      <c r="I227" s="295"/>
      <c r="J227" s="264" t="str">
        <f t="shared" si="3"/>
        <v/>
      </c>
      <c r="K227" s="267"/>
      <c r="L227" s="266"/>
      <c r="M227" s="266"/>
      <c r="N227" s="266"/>
      <c r="O227" s="266"/>
      <c r="P227" s="266"/>
      <c r="Q227" s="266"/>
      <c r="R227" s="268"/>
    </row>
    <row r="228" spans="1:21" ht="30" customHeight="1">
      <c r="A228" s="204" t="s">
        <v>73</v>
      </c>
      <c r="B228" s="202"/>
      <c r="C228" s="202"/>
      <c r="D228" s="202"/>
      <c r="E228" s="304"/>
      <c r="F228" s="211">
        <f>SUM(F6:F227)</f>
        <v>248922.80000000002</v>
      </c>
      <c r="G228" s="203"/>
      <c r="H228" s="203"/>
      <c r="I228" s="295"/>
      <c r="J228" s="264" t="str">
        <f t="shared" si="3"/>
        <v/>
      </c>
      <c r="K228" s="267"/>
      <c r="L228" s="266"/>
      <c r="M228" s="266"/>
      <c r="N228" s="266"/>
      <c r="O228" s="266"/>
      <c r="P228" s="266"/>
      <c r="Q228" s="266"/>
      <c r="R228" s="268"/>
    </row>
    <row r="229" spans="1:21" ht="30" customHeight="1">
      <c r="A229" s="308" t="str">
        <f>IF(ISBLANK(D229)," ",127-COUNTBLANK($D$6:D229))</f>
        <v xml:space="preserve"> </v>
      </c>
      <c r="B229" s="300"/>
      <c r="C229" s="309"/>
      <c r="D229" s="310"/>
      <c r="E229" s="301"/>
      <c r="F229" s="302"/>
      <c r="G229" s="286"/>
      <c r="H229" s="286"/>
      <c r="I229" s="307"/>
      <c r="J229" s="264" t="str">
        <f t="shared" si="3"/>
        <v/>
      </c>
      <c r="K229" s="265"/>
      <c r="L229" s="266"/>
      <c r="M229" s="266"/>
      <c r="N229" s="266"/>
      <c r="O229" s="266"/>
      <c r="P229" s="266"/>
      <c r="Q229" s="266"/>
      <c r="R229" s="288"/>
      <c r="S229" s="266"/>
      <c r="T229" s="266"/>
      <c r="U229" s="266"/>
    </row>
    <row r="230" spans="1:21" ht="30" customHeight="1">
      <c r="A230" s="261" t="str">
        <f>IF(ISBLANK(D230)," ",128-COUNTBLANK($D$6:D230))</f>
        <v xml:space="preserve"> </v>
      </c>
      <c r="B230" s="200"/>
      <c r="C230" s="200"/>
      <c r="D230" s="200"/>
      <c r="E230" s="303"/>
      <c r="F230" s="210"/>
      <c r="G230" s="201"/>
      <c r="H230" s="201"/>
      <c r="I230" s="295"/>
      <c r="J230" s="264" t="str">
        <f t="shared" si="3"/>
        <v/>
      </c>
      <c r="K230" s="267"/>
      <c r="L230" s="266"/>
      <c r="M230" s="266"/>
      <c r="N230" s="266"/>
      <c r="O230" s="266"/>
      <c r="P230" s="266"/>
      <c r="Q230" s="266"/>
      <c r="R230" s="288"/>
      <c r="S230" s="266"/>
      <c r="T230" s="266"/>
      <c r="U230" s="266"/>
    </row>
    <row r="231" spans="1:21" ht="30" customHeight="1">
      <c r="A231" s="204" t="str">
        <f>IF(ISBLANK(D231)," ",129-COUNTBLANK($D$6:D231))</f>
        <v xml:space="preserve"> </v>
      </c>
      <c r="B231" s="202"/>
      <c r="C231" s="202"/>
      <c r="D231" s="202"/>
      <c r="E231" s="304"/>
      <c r="F231" s="211"/>
      <c r="G231" s="203"/>
      <c r="H231" s="203"/>
      <c r="I231" s="295"/>
      <c r="J231" s="264" t="str">
        <f t="shared" si="3"/>
        <v/>
      </c>
      <c r="K231" s="265"/>
      <c r="L231" s="266"/>
      <c r="M231" s="266"/>
      <c r="N231" s="266"/>
      <c r="O231" s="266"/>
      <c r="P231" s="266"/>
      <c r="Q231" s="266"/>
      <c r="R231" s="266"/>
    </row>
    <row r="232" spans="1:21" ht="30" customHeight="1">
      <c r="A232" s="204" t="str">
        <f>IF(ISBLANK(D232)," ",130-COUNTBLANK($D$6:D232))</f>
        <v xml:space="preserve"> </v>
      </c>
      <c r="B232" s="202"/>
      <c r="C232" s="202"/>
      <c r="D232" s="202"/>
      <c r="E232" s="304"/>
      <c r="F232" s="211"/>
      <c r="G232" s="203"/>
      <c r="H232" s="203"/>
      <c r="I232" s="295"/>
      <c r="J232" s="264" t="str">
        <f t="shared" si="3"/>
        <v/>
      </c>
      <c r="K232" s="265"/>
      <c r="L232" s="266"/>
      <c r="M232" s="266"/>
      <c r="N232" s="266"/>
      <c r="O232" s="266"/>
      <c r="P232" s="266"/>
      <c r="Q232" s="266"/>
      <c r="R232" s="266"/>
    </row>
    <row r="233" spans="1:21" ht="30" customHeight="1">
      <c r="A233" s="204" t="str">
        <f>IF(ISBLANK(D233)," ",131-COUNTBLANK($D$6:D233))</f>
        <v xml:space="preserve"> </v>
      </c>
      <c r="B233" s="202"/>
      <c r="C233" s="202"/>
      <c r="D233" s="202"/>
      <c r="E233" s="304"/>
      <c r="F233" s="211"/>
      <c r="G233" s="203"/>
      <c r="H233" s="203"/>
      <c r="I233" s="295"/>
      <c r="J233" s="264" t="str">
        <f t="shared" si="3"/>
        <v/>
      </c>
      <c r="K233" s="265"/>
      <c r="L233" s="266"/>
      <c r="M233" s="266"/>
      <c r="N233" s="266"/>
      <c r="O233" s="266"/>
      <c r="P233" s="266"/>
      <c r="Q233" s="266"/>
      <c r="R233" s="266"/>
    </row>
    <row r="234" spans="1:21" ht="30" customHeight="1">
      <c r="A234" s="204" t="str">
        <f>IF(ISBLANK(D234)," ",132-COUNTBLANK($D$6:D234))</f>
        <v xml:space="preserve"> </v>
      </c>
      <c r="B234" s="202"/>
      <c r="C234" s="202"/>
      <c r="D234" s="202"/>
      <c r="E234" s="304"/>
      <c r="F234" s="211"/>
      <c r="G234" s="203"/>
      <c r="H234" s="203"/>
      <c r="I234" s="295"/>
      <c r="J234" s="264" t="str">
        <f t="shared" si="3"/>
        <v/>
      </c>
      <c r="K234" s="265"/>
      <c r="L234" s="266"/>
      <c r="M234" s="266"/>
      <c r="N234" s="266"/>
      <c r="O234" s="266"/>
      <c r="P234" s="266"/>
      <c r="Q234" s="266"/>
      <c r="R234" s="266"/>
    </row>
    <row r="235" spans="1:21" ht="30" customHeight="1">
      <c r="A235" s="204" t="str">
        <f>IF(ISBLANK(D235)," ",133-COUNTBLANK($D$6:D235))</f>
        <v xml:space="preserve"> </v>
      </c>
      <c r="B235" s="202"/>
      <c r="C235" s="202"/>
      <c r="D235" s="202"/>
      <c r="E235" s="304"/>
      <c r="F235" s="211"/>
      <c r="G235" s="203"/>
      <c r="H235" s="203"/>
      <c r="I235" s="295"/>
      <c r="J235" s="264" t="str">
        <f t="shared" si="3"/>
        <v/>
      </c>
      <c r="K235" s="265"/>
      <c r="L235" s="266"/>
      <c r="M235" s="266"/>
      <c r="N235" s="266"/>
      <c r="O235" s="266"/>
      <c r="P235" s="266"/>
      <c r="Q235" s="266"/>
      <c r="R235" s="266"/>
    </row>
    <row r="236" spans="1:21" ht="30" customHeight="1">
      <c r="A236" s="204" t="str">
        <f>IF(ISBLANK(D236)," ",134-COUNTBLANK($D$6:D236))</f>
        <v xml:space="preserve"> </v>
      </c>
      <c r="B236" s="202"/>
      <c r="C236" s="202"/>
      <c r="D236" s="202"/>
      <c r="E236" s="304"/>
      <c r="F236" s="211"/>
      <c r="G236" s="203"/>
      <c r="H236" s="203"/>
      <c r="I236" s="295"/>
      <c r="J236" s="264" t="str">
        <f t="shared" si="3"/>
        <v/>
      </c>
      <c r="K236" s="265"/>
      <c r="L236" s="266"/>
      <c r="M236" s="266"/>
      <c r="N236" s="266"/>
      <c r="O236" s="266"/>
      <c r="P236" s="266"/>
      <c r="Q236" s="266"/>
      <c r="R236" s="266"/>
    </row>
    <row r="237" spans="1:21" ht="30" customHeight="1">
      <c r="A237" s="204" t="str">
        <f>IF(ISBLANK(D237)," ",135-COUNTBLANK($D$6:D237))</f>
        <v xml:space="preserve"> </v>
      </c>
      <c r="B237" s="202"/>
      <c r="C237" s="202"/>
      <c r="D237" s="202"/>
      <c r="E237" s="304"/>
      <c r="F237" s="211"/>
      <c r="G237" s="203"/>
      <c r="H237" s="203"/>
      <c r="I237" s="295"/>
      <c r="J237" s="264" t="str">
        <f t="shared" si="3"/>
        <v/>
      </c>
      <c r="K237" s="265"/>
      <c r="L237" s="266"/>
      <c r="M237" s="266"/>
      <c r="N237" s="266"/>
      <c r="O237" s="266"/>
      <c r="P237" s="266"/>
      <c r="Q237" s="266"/>
      <c r="R237" s="266"/>
    </row>
    <row r="238" spans="1:21" ht="30" customHeight="1">
      <c r="A238" s="204" t="str">
        <f>IF(ISBLANK(D238)," ",136-COUNTBLANK($D$6:D238))</f>
        <v xml:space="preserve"> </v>
      </c>
      <c r="B238" s="202"/>
      <c r="C238" s="202"/>
      <c r="D238" s="202"/>
      <c r="E238" s="304"/>
      <c r="F238" s="211"/>
      <c r="G238" s="203"/>
      <c r="H238" s="203"/>
      <c r="I238" s="295"/>
      <c r="J238" s="264" t="str">
        <f t="shared" si="3"/>
        <v/>
      </c>
      <c r="K238" s="265"/>
      <c r="L238" s="266"/>
      <c r="M238" s="266"/>
      <c r="N238" s="266"/>
      <c r="O238" s="266"/>
      <c r="P238" s="266"/>
      <c r="Q238" s="266"/>
      <c r="R238" s="266"/>
    </row>
    <row r="239" spans="1:21" ht="30" customHeight="1">
      <c r="A239" s="204" t="str">
        <f>IF(ISBLANK(D239)," ",137-COUNTBLANK($D$6:D239))</f>
        <v xml:space="preserve"> </v>
      </c>
      <c r="B239" s="202"/>
      <c r="C239" s="202"/>
      <c r="D239" s="202"/>
      <c r="E239" s="304"/>
      <c r="F239" s="211"/>
      <c r="G239" s="203"/>
      <c r="H239" s="203"/>
      <c r="I239" s="295"/>
      <c r="J239" s="264" t="str">
        <f t="shared" si="3"/>
        <v/>
      </c>
      <c r="K239" s="265"/>
      <c r="L239" s="266"/>
      <c r="M239" s="266"/>
      <c r="N239" s="266"/>
      <c r="O239" s="266"/>
      <c r="P239" s="266"/>
      <c r="Q239" s="266"/>
      <c r="R239" s="266"/>
    </row>
    <row r="240" spans="1:21" ht="30" customHeight="1">
      <c r="A240" s="204" t="str">
        <f>IF(ISBLANK(D240)," ",138-COUNTBLANK($D$6:D240))</f>
        <v xml:space="preserve"> </v>
      </c>
      <c r="B240" s="202"/>
      <c r="C240" s="202"/>
      <c r="D240" s="202"/>
      <c r="E240" s="304"/>
      <c r="F240" s="211"/>
      <c r="G240" s="203"/>
      <c r="H240" s="203"/>
      <c r="I240" s="295"/>
      <c r="J240" s="264" t="str">
        <f t="shared" si="3"/>
        <v/>
      </c>
      <c r="K240" s="265"/>
      <c r="L240" s="266"/>
      <c r="M240" s="266"/>
      <c r="N240" s="266"/>
      <c r="O240" s="266"/>
      <c r="P240" s="266"/>
      <c r="Q240" s="266"/>
      <c r="R240" s="266"/>
    </row>
    <row r="241" spans="1:21" ht="30" customHeight="1">
      <c r="A241" s="204" t="str">
        <f>IF(ISBLANK(D241)," ",139-COUNTBLANK($D$6:D241))</f>
        <v xml:space="preserve"> </v>
      </c>
      <c r="B241" s="202"/>
      <c r="C241" s="202"/>
      <c r="D241" s="202"/>
      <c r="E241" s="304"/>
      <c r="F241" s="211"/>
      <c r="G241" s="203"/>
      <c r="H241" s="203"/>
      <c r="I241" s="295"/>
      <c r="J241" s="264" t="str">
        <f t="shared" si="3"/>
        <v/>
      </c>
      <c r="K241" s="265"/>
      <c r="L241" s="266"/>
      <c r="M241" s="266"/>
      <c r="N241" s="266"/>
      <c r="O241" s="266"/>
      <c r="P241" s="266"/>
      <c r="Q241" s="266"/>
      <c r="R241" s="266"/>
    </row>
    <row r="242" spans="1:21" ht="30" customHeight="1">
      <c r="A242" s="204" t="str">
        <f>IF(ISBLANK(D242)," ",140-COUNTBLANK($D$6:D242))</f>
        <v xml:space="preserve"> </v>
      </c>
      <c r="B242" s="202"/>
      <c r="C242" s="202"/>
      <c r="D242" s="202"/>
      <c r="E242" s="304"/>
      <c r="F242" s="211"/>
      <c r="G242" s="203"/>
      <c r="H242" s="203"/>
      <c r="I242" s="295"/>
      <c r="J242" s="264" t="str">
        <f t="shared" si="3"/>
        <v/>
      </c>
      <c r="K242" s="265"/>
      <c r="L242" s="266"/>
      <c r="M242" s="266"/>
      <c r="N242" s="266"/>
      <c r="O242" s="266"/>
      <c r="P242" s="266"/>
      <c r="Q242" s="266"/>
      <c r="R242" s="266"/>
    </row>
    <row r="243" spans="1:21" ht="30" customHeight="1">
      <c r="A243" s="204" t="str">
        <f>IF(ISBLANK(D243)," ",141-COUNTBLANK($D$6:D243))</f>
        <v xml:space="preserve"> </v>
      </c>
      <c r="B243" s="202"/>
      <c r="C243" s="202"/>
      <c r="D243" s="202"/>
      <c r="E243" s="304"/>
      <c r="F243" s="211"/>
      <c r="G243" s="203"/>
      <c r="H243" s="203"/>
      <c r="I243" s="295"/>
      <c r="J243" s="264" t="str">
        <f t="shared" si="3"/>
        <v/>
      </c>
      <c r="K243" s="265"/>
      <c r="L243" s="266"/>
      <c r="M243" s="266"/>
      <c r="N243" s="266"/>
      <c r="O243" s="266"/>
      <c r="P243" s="266"/>
      <c r="Q243" s="266"/>
      <c r="R243" s="266"/>
    </row>
    <row r="244" spans="1:21" ht="30" customHeight="1">
      <c r="A244" s="204" t="str">
        <f>IF(ISBLANK(D244)," ",142-COUNTBLANK($D$6:D244))</f>
        <v xml:space="preserve"> </v>
      </c>
      <c r="B244" s="202"/>
      <c r="C244" s="202"/>
      <c r="D244" s="202"/>
      <c r="E244" s="304"/>
      <c r="F244" s="211"/>
      <c r="G244" s="203"/>
      <c r="H244" s="203"/>
      <c r="I244" s="295"/>
      <c r="J244" s="264" t="str">
        <f t="shared" si="3"/>
        <v/>
      </c>
      <c r="K244" s="265"/>
      <c r="L244" s="266"/>
      <c r="M244" s="266"/>
      <c r="N244" s="266"/>
      <c r="O244" s="266"/>
      <c r="P244" s="266"/>
      <c r="Q244" s="266"/>
      <c r="R244" s="266"/>
    </row>
    <row r="245" spans="1:21" ht="30" customHeight="1">
      <c r="A245" s="204" t="str">
        <f>IF(ISBLANK(D245)," ",143-COUNTBLANK($D$6:D245))</f>
        <v xml:space="preserve"> </v>
      </c>
      <c r="B245" s="202"/>
      <c r="C245" s="202"/>
      <c r="D245" s="202"/>
      <c r="E245" s="304"/>
      <c r="F245" s="211"/>
      <c r="G245" s="203"/>
      <c r="H245" s="203"/>
      <c r="I245" s="295"/>
      <c r="J245" s="264" t="str">
        <f t="shared" si="3"/>
        <v/>
      </c>
      <c r="K245" s="265"/>
      <c r="L245" s="266"/>
      <c r="M245" s="266"/>
      <c r="N245" s="266"/>
      <c r="O245" s="266"/>
      <c r="P245" s="266"/>
      <c r="Q245" s="266"/>
      <c r="R245" s="266"/>
    </row>
    <row r="246" spans="1:21" ht="30" customHeight="1">
      <c r="A246" s="204" t="str">
        <f>IF(ISBLANK(D246)," ",144-COUNTBLANK($D$6:D246))</f>
        <v xml:space="preserve"> </v>
      </c>
      <c r="B246" s="202"/>
      <c r="C246" s="202"/>
      <c r="D246" s="202"/>
      <c r="E246" s="304"/>
      <c r="F246" s="211"/>
      <c r="G246" s="203"/>
      <c r="H246" s="203"/>
      <c r="I246" s="295"/>
      <c r="J246" s="264" t="str">
        <f t="shared" si="3"/>
        <v/>
      </c>
      <c r="K246" s="267"/>
      <c r="L246" s="266"/>
      <c r="M246" s="266"/>
      <c r="N246" s="266"/>
      <c r="O246" s="266"/>
      <c r="P246" s="266"/>
      <c r="Q246" s="266"/>
      <c r="R246" s="268"/>
    </row>
    <row r="247" spans="1:21" ht="30" customHeight="1">
      <c r="A247" s="204" t="str">
        <f>IF(ISBLANK(D247)," ",145-COUNTBLANK($D$6:D247))</f>
        <v xml:space="preserve"> </v>
      </c>
      <c r="B247" s="202"/>
      <c r="C247" s="202"/>
      <c r="D247" s="202"/>
      <c r="E247" s="304"/>
      <c r="F247" s="211"/>
      <c r="G247" s="203"/>
      <c r="H247" s="203"/>
      <c r="I247" s="295"/>
      <c r="J247" s="264" t="str">
        <f t="shared" si="3"/>
        <v/>
      </c>
      <c r="K247" s="267"/>
      <c r="L247" s="266"/>
      <c r="M247" s="266"/>
      <c r="N247" s="266"/>
      <c r="O247" s="266"/>
      <c r="P247" s="266"/>
      <c r="Q247" s="266"/>
      <c r="R247" s="268"/>
    </row>
    <row r="248" spans="1:21" ht="30" customHeight="1">
      <c r="A248" s="204" t="str">
        <f>IF(ISBLANK(D248)," ",146-COUNTBLANK($D$6:D248))</f>
        <v xml:space="preserve"> </v>
      </c>
      <c r="B248" s="202"/>
      <c r="C248" s="202"/>
      <c r="D248" s="202"/>
      <c r="E248" s="304"/>
      <c r="F248" s="211"/>
      <c r="G248" s="203"/>
      <c r="H248" s="203"/>
      <c r="I248" s="295"/>
      <c r="J248" s="264" t="str">
        <f t="shared" si="3"/>
        <v/>
      </c>
      <c r="K248" s="267"/>
      <c r="L248" s="266"/>
      <c r="M248" s="266"/>
      <c r="N248" s="266"/>
      <c r="O248" s="266"/>
      <c r="P248" s="266"/>
      <c r="Q248" s="266"/>
      <c r="R248" s="268"/>
    </row>
    <row r="249" spans="1:21" ht="30" customHeight="1">
      <c r="A249" s="308" t="str">
        <f>IF(ISBLANK(D249)," ",148-COUNTBLANK($D$6:D249))</f>
        <v xml:space="preserve"> </v>
      </c>
      <c r="B249" s="300"/>
      <c r="C249" s="309"/>
      <c r="D249" s="310"/>
      <c r="E249" s="301"/>
      <c r="F249" s="302"/>
      <c r="G249" s="286"/>
      <c r="H249" s="286"/>
      <c r="I249" s="307"/>
      <c r="J249" s="264" t="str">
        <f t="shared" si="3"/>
        <v/>
      </c>
      <c r="K249" s="265"/>
      <c r="L249" s="266"/>
      <c r="M249" s="266"/>
      <c r="N249" s="266"/>
      <c r="O249" s="266"/>
      <c r="P249" s="266"/>
      <c r="Q249" s="266"/>
      <c r="R249" s="288"/>
      <c r="S249" s="266"/>
      <c r="T249" s="266"/>
      <c r="U249" s="266"/>
    </row>
    <row r="250" spans="1:21" ht="30" customHeight="1">
      <c r="A250" s="261" t="str">
        <f>IF(ISBLANK(D250)," ",149-COUNTBLANK($D$6:D250))</f>
        <v xml:space="preserve"> </v>
      </c>
      <c r="B250" s="200"/>
      <c r="C250" s="200"/>
      <c r="D250" s="200"/>
      <c r="E250" s="303"/>
      <c r="F250" s="210"/>
      <c r="G250" s="201"/>
      <c r="H250" s="201"/>
      <c r="I250" s="295"/>
      <c r="J250" s="264" t="str">
        <f t="shared" si="3"/>
        <v/>
      </c>
      <c r="K250" s="267"/>
      <c r="L250" s="266"/>
      <c r="M250" s="266"/>
      <c r="N250" s="266"/>
      <c r="O250" s="266"/>
      <c r="P250" s="266"/>
      <c r="Q250" s="266"/>
      <c r="R250" s="288"/>
      <c r="S250" s="266"/>
      <c r="T250" s="266"/>
      <c r="U250" s="266"/>
    </row>
    <row r="251" spans="1:21" ht="30" customHeight="1">
      <c r="A251" s="204" t="str">
        <f>IF(ISBLANK(D251)," ",150-COUNTBLANK($D$6:D251))</f>
        <v xml:space="preserve"> </v>
      </c>
      <c r="B251" s="202"/>
      <c r="C251" s="202"/>
      <c r="D251" s="202"/>
      <c r="E251" s="304"/>
      <c r="F251" s="211"/>
      <c r="G251" s="203"/>
      <c r="H251" s="203"/>
      <c r="I251" s="295"/>
      <c r="J251" s="264" t="str">
        <f t="shared" si="3"/>
        <v/>
      </c>
      <c r="K251" s="265"/>
      <c r="L251" s="266"/>
      <c r="M251" s="266"/>
      <c r="N251" s="266"/>
      <c r="O251" s="266"/>
      <c r="P251" s="266"/>
      <c r="Q251" s="266"/>
      <c r="R251" s="266"/>
    </row>
    <row r="252" spans="1:21" ht="30" customHeight="1">
      <c r="A252" s="204" t="str">
        <f>IF(ISBLANK(D252)," ",151-COUNTBLANK($D$6:D252))</f>
        <v xml:space="preserve"> </v>
      </c>
      <c r="B252" s="202"/>
      <c r="C252" s="202"/>
      <c r="D252" s="202"/>
      <c r="E252" s="304"/>
      <c r="F252" s="211"/>
      <c r="G252" s="203"/>
      <c r="H252" s="203"/>
      <c r="I252" s="295"/>
      <c r="J252" s="264" t="str">
        <f t="shared" si="3"/>
        <v/>
      </c>
      <c r="K252" s="265"/>
      <c r="L252" s="266"/>
      <c r="M252" s="266"/>
      <c r="N252" s="266"/>
      <c r="O252" s="266"/>
      <c r="P252" s="266"/>
      <c r="Q252" s="266"/>
      <c r="R252" s="266"/>
    </row>
    <row r="253" spans="1:21" ht="30" customHeight="1">
      <c r="A253" s="204" t="str">
        <f>IF(ISBLANK(D253)," ",152-COUNTBLANK($D$6:D253))</f>
        <v xml:space="preserve"> </v>
      </c>
      <c r="B253" s="202"/>
      <c r="C253" s="202"/>
      <c r="D253" s="202"/>
      <c r="E253" s="304"/>
      <c r="F253" s="211"/>
      <c r="G253" s="203"/>
      <c r="H253" s="203"/>
      <c r="I253" s="295"/>
      <c r="J253" s="264" t="str">
        <f t="shared" si="3"/>
        <v/>
      </c>
      <c r="K253" s="265"/>
      <c r="L253" s="266"/>
      <c r="M253" s="266"/>
      <c r="N253" s="266"/>
      <c r="O253" s="266"/>
      <c r="P253" s="266"/>
      <c r="Q253" s="266"/>
      <c r="R253" s="266"/>
    </row>
    <row r="254" spans="1:21" ht="30" customHeight="1">
      <c r="A254" s="204" t="str">
        <f>IF(ISBLANK(D254)," ",153-COUNTBLANK($D$6:D254))</f>
        <v xml:space="preserve"> </v>
      </c>
      <c r="B254" s="202"/>
      <c r="C254" s="202"/>
      <c r="D254" s="202"/>
      <c r="E254" s="304"/>
      <c r="F254" s="211"/>
      <c r="G254" s="203"/>
      <c r="H254" s="203"/>
      <c r="I254" s="295"/>
      <c r="J254" s="264" t="str">
        <f t="shared" si="3"/>
        <v/>
      </c>
      <c r="K254" s="265"/>
      <c r="L254" s="266"/>
      <c r="M254" s="266"/>
      <c r="N254" s="266"/>
      <c r="O254" s="266"/>
      <c r="P254" s="266"/>
      <c r="Q254" s="266"/>
      <c r="R254" s="266"/>
    </row>
    <row r="255" spans="1:21" ht="30" customHeight="1">
      <c r="A255" s="204" t="str">
        <f>IF(ISBLANK(D255)," ",154-COUNTBLANK($D$6:D255))</f>
        <v xml:space="preserve"> </v>
      </c>
      <c r="B255" s="202"/>
      <c r="C255" s="202"/>
      <c r="D255" s="202"/>
      <c r="E255" s="304"/>
      <c r="F255" s="211"/>
      <c r="G255" s="203"/>
      <c r="H255" s="203"/>
      <c r="I255" s="295"/>
      <c r="J255" s="264" t="str">
        <f t="shared" si="3"/>
        <v/>
      </c>
      <c r="K255" s="265"/>
      <c r="L255" s="266"/>
      <c r="M255" s="266"/>
      <c r="N255" s="266"/>
      <c r="O255" s="266"/>
      <c r="P255" s="266"/>
      <c r="Q255" s="266"/>
      <c r="R255" s="266"/>
    </row>
    <row r="256" spans="1:21" ht="30" customHeight="1">
      <c r="A256" s="204" t="str">
        <f>IF(ISBLANK(D256)," ",155-COUNTBLANK($D$6:D256))</f>
        <v xml:space="preserve"> </v>
      </c>
      <c r="B256" s="202"/>
      <c r="C256" s="202"/>
      <c r="D256" s="202"/>
      <c r="E256" s="304"/>
      <c r="F256" s="211"/>
      <c r="G256" s="203"/>
      <c r="H256" s="203"/>
      <c r="I256" s="295"/>
      <c r="J256" s="264" t="str">
        <f t="shared" si="3"/>
        <v/>
      </c>
      <c r="K256" s="265"/>
      <c r="L256" s="266"/>
      <c r="M256" s="266"/>
      <c r="N256" s="266"/>
      <c r="O256" s="266"/>
      <c r="P256" s="266"/>
      <c r="Q256" s="266"/>
      <c r="R256" s="266"/>
    </row>
    <row r="257" spans="1:21" ht="30" customHeight="1">
      <c r="A257" s="204" t="str">
        <f>IF(ISBLANK(D257)," ",156-COUNTBLANK($D$6:D257))</f>
        <v xml:space="preserve"> </v>
      </c>
      <c r="B257" s="202"/>
      <c r="C257" s="202"/>
      <c r="D257" s="202"/>
      <c r="E257" s="304"/>
      <c r="F257" s="211"/>
      <c r="G257" s="203"/>
      <c r="H257" s="203"/>
      <c r="I257" s="295"/>
      <c r="J257" s="264" t="str">
        <f t="shared" si="3"/>
        <v/>
      </c>
      <c r="K257" s="265"/>
      <c r="L257" s="266"/>
      <c r="M257" s="266"/>
      <c r="N257" s="266"/>
      <c r="O257" s="266"/>
      <c r="P257" s="266"/>
      <c r="Q257" s="266"/>
      <c r="R257" s="266"/>
    </row>
    <row r="258" spans="1:21" ht="30" customHeight="1">
      <c r="A258" s="204" t="str">
        <f>IF(ISBLANK(D258)," ",157-COUNTBLANK($D$6:D258))</f>
        <v xml:space="preserve"> </v>
      </c>
      <c r="B258" s="202"/>
      <c r="C258" s="202"/>
      <c r="D258" s="202"/>
      <c r="E258" s="304"/>
      <c r="F258" s="211"/>
      <c r="G258" s="203"/>
      <c r="H258" s="203"/>
      <c r="I258" s="295"/>
      <c r="J258" s="264" t="str">
        <f t="shared" si="3"/>
        <v/>
      </c>
      <c r="K258" s="265"/>
      <c r="L258" s="266"/>
      <c r="M258" s="266"/>
      <c r="N258" s="266"/>
      <c r="O258" s="266"/>
      <c r="P258" s="266"/>
      <c r="Q258" s="266"/>
      <c r="R258" s="266"/>
    </row>
    <row r="259" spans="1:21" ht="30" customHeight="1">
      <c r="A259" s="204" t="str">
        <f>IF(ISBLANK(D259)," ",158-COUNTBLANK($D$6:D259))</f>
        <v xml:space="preserve"> </v>
      </c>
      <c r="B259" s="202"/>
      <c r="C259" s="202"/>
      <c r="D259" s="202"/>
      <c r="E259" s="304"/>
      <c r="F259" s="211"/>
      <c r="G259" s="203"/>
      <c r="H259" s="203"/>
      <c r="I259" s="295"/>
      <c r="J259" s="264" t="str">
        <f t="shared" si="3"/>
        <v/>
      </c>
      <c r="K259" s="265"/>
      <c r="L259" s="266"/>
      <c r="M259" s="266"/>
      <c r="N259" s="266"/>
      <c r="O259" s="266"/>
      <c r="P259" s="266"/>
      <c r="Q259" s="266"/>
      <c r="R259" s="266"/>
    </row>
    <row r="260" spans="1:21" ht="30" customHeight="1">
      <c r="A260" s="204" t="str">
        <f>IF(ISBLANK(D260)," ",159-COUNTBLANK($D$6:D260))</f>
        <v xml:space="preserve"> </v>
      </c>
      <c r="B260" s="202"/>
      <c r="C260" s="202"/>
      <c r="D260" s="202"/>
      <c r="E260" s="304"/>
      <c r="F260" s="211"/>
      <c r="G260" s="203"/>
      <c r="H260" s="203"/>
      <c r="I260" s="295"/>
      <c r="J260" s="264" t="str">
        <f t="shared" si="3"/>
        <v/>
      </c>
      <c r="K260" s="265"/>
      <c r="L260" s="266"/>
      <c r="M260" s="266"/>
      <c r="N260" s="266"/>
      <c r="O260" s="266"/>
      <c r="P260" s="266"/>
      <c r="Q260" s="266"/>
      <c r="R260" s="266"/>
    </row>
    <row r="261" spans="1:21" ht="30" customHeight="1">
      <c r="A261" s="204" t="str">
        <f>IF(ISBLANK(D261)," ",160-COUNTBLANK($D$6:D261))</f>
        <v xml:space="preserve"> </v>
      </c>
      <c r="B261" s="202"/>
      <c r="C261" s="202"/>
      <c r="D261" s="202"/>
      <c r="E261" s="304"/>
      <c r="F261" s="211"/>
      <c r="G261" s="203"/>
      <c r="H261" s="203"/>
      <c r="I261" s="295"/>
      <c r="J261" s="264" t="str">
        <f t="shared" si="3"/>
        <v/>
      </c>
      <c r="K261" s="265"/>
      <c r="L261" s="266"/>
      <c r="M261" s="266"/>
      <c r="N261" s="266"/>
      <c r="O261" s="266"/>
      <c r="P261" s="266"/>
      <c r="Q261" s="266"/>
      <c r="R261" s="266"/>
    </row>
    <row r="262" spans="1:21" ht="30" customHeight="1">
      <c r="A262" s="204" t="str">
        <f>IF(ISBLANK(D262)," ",161-COUNTBLANK($D$6:D262))</f>
        <v xml:space="preserve"> </v>
      </c>
      <c r="B262" s="202"/>
      <c r="C262" s="202"/>
      <c r="D262" s="202"/>
      <c r="E262" s="304"/>
      <c r="F262" s="211"/>
      <c r="G262" s="203"/>
      <c r="H262" s="203"/>
      <c r="I262" s="295"/>
      <c r="J262" s="264" t="str">
        <f t="shared" ref="J262:J325" si="4">CONCATENATE(D262,G262)</f>
        <v/>
      </c>
      <c r="K262" s="265"/>
      <c r="L262" s="266"/>
      <c r="M262" s="266"/>
      <c r="N262" s="266"/>
      <c r="O262" s="266"/>
      <c r="P262" s="266"/>
      <c r="Q262" s="266"/>
      <c r="R262" s="266"/>
    </row>
    <row r="263" spans="1:21" ht="30" customHeight="1">
      <c r="A263" s="204" t="str">
        <f>IF(ISBLANK(D263)," ",162-COUNTBLANK($D$6:D263))</f>
        <v xml:space="preserve"> </v>
      </c>
      <c r="B263" s="202"/>
      <c r="C263" s="202"/>
      <c r="D263" s="202"/>
      <c r="E263" s="304"/>
      <c r="F263" s="211"/>
      <c r="G263" s="203"/>
      <c r="H263" s="203"/>
      <c r="I263" s="295"/>
      <c r="J263" s="264" t="str">
        <f t="shared" si="4"/>
        <v/>
      </c>
      <c r="K263" s="265"/>
      <c r="L263" s="266"/>
      <c r="M263" s="266"/>
      <c r="N263" s="266"/>
      <c r="O263" s="266"/>
      <c r="P263" s="266"/>
      <c r="Q263" s="266"/>
      <c r="R263" s="266"/>
    </row>
    <row r="264" spans="1:21" ht="30" customHeight="1">
      <c r="A264" s="204" t="str">
        <f>IF(ISBLANK(D264)," ",163-COUNTBLANK($D$6:D264))</f>
        <v xml:space="preserve"> </v>
      </c>
      <c r="B264" s="202"/>
      <c r="C264" s="202"/>
      <c r="D264" s="202"/>
      <c r="E264" s="304"/>
      <c r="F264" s="211"/>
      <c r="G264" s="203"/>
      <c r="H264" s="203"/>
      <c r="I264" s="295"/>
      <c r="J264" s="264" t="str">
        <f t="shared" si="4"/>
        <v/>
      </c>
      <c r="K264" s="265"/>
      <c r="L264" s="266"/>
      <c r="M264" s="266"/>
      <c r="N264" s="266"/>
      <c r="O264" s="266"/>
      <c r="P264" s="266"/>
      <c r="Q264" s="266"/>
      <c r="R264" s="266"/>
    </row>
    <row r="265" spans="1:21" ht="30" customHeight="1">
      <c r="A265" s="204" t="str">
        <f>IF(ISBLANK(D265)," ",164-COUNTBLANK($D$6:D265))</f>
        <v xml:space="preserve"> </v>
      </c>
      <c r="B265" s="202"/>
      <c r="C265" s="202"/>
      <c r="D265" s="202"/>
      <c r="E265" s="304"/>
      <c r="F265" s="211"/>
      <c r="G265" s="203"/>
      <c r="H265" s="203"/>
      <c r="I265" s="295"/>
      <c r="J265" s="264" t="str">
        <f t="shared" si="4"/>
        <v/>
      </c>
      <c r="K265" s="265"/>
      <c r="L265" s="266"/>
      <c r="M265" s="266"/>
      <c r="N265" s="266"/>
      <c r="O265" s="266"/>
      <c r="P265" s="266"/>
      <c r="Q265" s="266"/>
      <c r="R265" s="266"/>
    </row>
    <row r="266" spans="1:21" ht="30" customHeight="1">
      <c r="A266" s="204" t="str">
        <f>IF(ISBLANK(D266)," ",165-COUNTBLANK($D$6:D266))</f>
        <v xml:space="preserve"> </v>
      </c>
      <c r="B266" s="202"/>
      <c r="C266" s="202"/>
      <c r="D266" s="202"/>
      <c r="E266" s="304"/>
      <c r="F266" s="211"/>
      <c r="G266" s="203"/>
      <c r="H266" s="203"/>
      <c r="I266" s="295"/>
      <c r="J266" s="264" t="str">
        <f t="shared" si="4"/>
        <v/>
      </c>
      <c r="K266" s="267"/>
      <c r="L266" s="266"/>
      <c r="M266" s="266"/>
      <c r="N266" s="266"/>
      <c r="O266" s="266"/>
      <c r="P266" s="266"/>
      <c r="Q266" s="266"/>
      <c r="R266" s="268"/>
    </row>
    <row r="267" spans="1:21" ht="30" customHeight="1">
      <c r="A267" s="204" t="str">
        <f>IF(ISBLANK(D267)," ",166-COUNTBLANK($D$6:D267))</f>
        <v xml:space="preserve"> </v>
      </c>
      <c r="B267" s="202"/>
      <c r="C267" s="202"/>
      <c r="D267" s="202"/>
      <c r="E267" s="304"/>
      <c r="F267" s="211"/>
      <c r="G267" s="203"/>
      <c r="H267" s="203"/>
      <c r="I267" s="295"/>
      <c r="J267" s="264" t="str">
        <f t="shared" si="4"/>
        <v/>
      </c>
      <c r="K267" s="267"/>
      <c r="L267" s="266"/>
      <c r="M267" s="266"/>
      <c r="N267" s="266"/>
      <c r="O267" s="266"/>
      <c r="P267" s="266"/>
      <c r="Q267" s="266"/>
      <c r="R267" s="268"/>
    </row>
    <row r="268" spans="1:21" ht="30" customHeight="1">
      <c r="A268" s="204" t="str">
        <f>IF(ISBLANK(D268)," ",167-COUNTBLANK($D$6:D268))</f>
        <v xml:space="preserve"> </v>
      </c>
      <c r="B268" s="202"/>
      <c r="C268" s="202"/>
      <c r="D268" s="202"/>
      <c r="E268" s="304"/>
      <c r="F268" s="211"/>
      <c r="G268" s="203"/>
      <c r="H268" s="203"/>
      <c r="I268" s="295"/>
      <c r="J268" s="264" t="str">
        <f t="shared" si="4"/>
        <v/>
      </c>
      <c r="K268" s="267"/>
      <c r="L268" s="266"/>
      <c r="M268" s="266"/>
      <c r="N268" s="266"/>
      <c r="O268" s="266"/>
      <c r="P268" s="266"/>
      <c r="Q268" s="266"/>
      <c r="R268" s="268"/>
    </row>
    <row r="269" spans="1:21" ht="30" customHeight="1">
      <c r="A269" s="308" t="str">
        <f>IF(ISBLANK(D269)," ",169-COUNTBLANK($D$6:D269))</f>
        <v xml:space="preserve"> </v>
      </c>
      <c r="B269" s="300"/>
      <c r="C269" s="309"/>
      <c r="D269" s="310"/>
      <c r="E269" s="301"/>
      <c r="F269" s="302"/>
      <c r="G269" s="286"/>
      <c r="H269" s="286"/>
      <c r="I269" s="307"/>
      <c r="J269" s="264" t="str">
        <f t="shared" si="4"/>
        <v/>
      </c>
      <c r="K269" s="265"/>
      <c r="L269" s="266"/>
      <c r="M269" s="266"/>
      <c r="N269" s="266"/>
      <c r="O269" s="266"/>
      <c r="P269" s="266"/>
      <c r="Q269" s="266"/>
      <c r="R269" s="288"/>
      <c r="S269" s="266"/>
      <c r="T269" s="266"/>
      <c r="U269" s="266"/>
    </row>
    <row r="270" spans="1:21" ht="30" customHeight="1">
      <c r="A270" s="261" t="str">
        <f>IF(ISBLANK(D270)," ",170-COUNTBLANK($D$6:D270))</f>
        <v xml:space="preserve"> </v>
      </c>
      <c r="B270" s="200"/>
      <c r="C270" s="200"/>
      <c r="D270" s="200"/>
      <c r="E270" s="303"/>
      <c r="F270" s="210"/>
      <c r="G270" s="201"/>
      <c r="H270" s="201"/>
      <c r="I270" s="295"/>
      <c r="J270" s="264" t="str">
        <f t="shared" si="4"/>
        <v/>
      </c>
      <c r="K270" s="267"/>
      <c r="L270" s="266"/>
      <c r="M270" s="266"/>
      <c r="N270" s="266"/>
      <c r="O270" s="266"/>
      <c r="P270" s="266"/>
      <c r="Q270" s="266"/>
      <c r="R270" s="288"/>
      <c r="S270" s="266"/>
      <c r="T270" s="266"/>
      <c r="U270" s="266"/>
    </row>
    <row r="271" spans="1:21" ht="30" customHeight="1">
      <c r="A271" s="204" t="str">
        <f>IF(ISBLANK(D271)," ",171-COUNTBLANK($D$6:D271))</f>
        <v xml:space="preserve"> </v>
      </c>
      <c r="B271" s="202"/>
      <c r="C271" s="202"/>
      <c r="D271" s="202"/>
      <c r="E271" s="304"/>
      <c r="F271" s="211"/>
      <c r="G271" s="203"/>
      <c r="H271" s="203"/>
      <c r="I271" s="295"/>
      <c r="J271" s="264" t="str">
        <f t="shared" si="4"/>
        <v/>
      </c>
      <c r="K271" s="265"/>
      <c r="L271" s="266"/>
      <c r="M271" s="266"/>
      <c r="N271" s="266"/>
      <c r="O271" s="266"/>
      <c r="P271" s="266"/>
      <c r="Q271" s="266"/>
      <c r="R271" s="266"/>
    </row>
    <row r="272" spans="1:21" ht="30" customHeight="1">
      <c r="A272" s="204" t="str">
        <f>IF(ISBLANK(D272)," ",172-COUNTBLANK($D$6:D272))</f>
        <v xml:space="preserve"> </v>
      </c>
      <c r="B272" s="202"/>
      <c r="C272" s="202"/>
      <c r="D272" s="202"/>
      <c r="E272" s="304"/>
      <c r="F272" s="211"/>
      <c r="G272" s="203"/>
      <c r="H272" s="203"/>
      <c r="I272" s="295"/>
      <c r="J272" s="264" t="str">
        <f t="shared" si="4"/>
        <v/>
      </c>
      <c r="K272" s="265"/>
      <c r="L272" s="266"/>
      <c r="M272" s="266"/>
      <c r="N272" s="266"/>
      <c r="O272" s="266"/>
      <c r="P272" s="266"/>
      <c r="Q272" s="266"/>
      <c r="R272" s="266"/>
    </row>
    <row r="273" spans="1:18" ht="30" customHeight="1">
      <c r="A273" s="204" t="str">
        <f>IF(ISBLANK(D273)," ",173-COUNTBLANK($D$6:D273))</f>
        <v xml:space="preserve"> </v>
      </c>
      <c r="B273" s="202"/>
      <c r="C273" s="202"/>
      <c r="D273" s="202"/>
      <c r="E273" s="304"/>
      <c r="F273" s="211"/>
      <c r="G273" s="203"/>
      <c r="H273" s="203"/>
      <c r="I273" s="295"/>
      <c r="J273" s="264" t="str">
        <f t="shared" si="4"/>
        <v/>
      </c>
      <c r="K273" s="265"/>
      <c r="L273" s="266"/>
      <c r="M273" s="266"/>
      <c r="N273" s="266"/>
      <c r="O273" s="266"/>
      <c r="P273" s="266"/>
      <c r="Q273" s="266"/>
      <c r="R273" s="266"/>
    </row>
    <row r="274" spans="1:18" ht="30" customHeight="1">
      <c r="A274" s="204" t="str">
        <f>IF(ISBLANK(D274)," ",174-COUNTBLANK($D$6:D274))</f>
        <v xml:space="preserve"> </v>
      </c>
      <c r="B274" s="202"/>
      <c r="C274" s="202"/>
      <c r="D274" s="202"/>
      <c r="E274" s="304"/>
      <c r="F274" s="211"/>
      <c r="G274" s="203"/>
      <c r="H274" s="203"/>
      <c r="I274" s="295"/>
      <c r="J274" s="264" t="str">
        <f t="shared" si="4"/>
        <v/>
      </c>
      <c r="K274" s="265"/>
      <c r="L274" s="266"/>
      <c r="M274" s="266"/>
      <c r="N274" s="266"/>
      <c r="O274" s="266"/>
      <c r="P274" s="266"/>
      <c r="Q274" s="266"/>
      <c r="R274" s="266"/>
    </row>
    <row r="275" spans="1:18" ht="30" customHeight="1">
      <c r="A275" s="204" t="str">
        <f>IF(ISBLANK(D275)," ",175-COUNTBLANK($D$6:D275))</f>
        <v xml:space="preserve"> </v>
      </c>
      <c r="B275" s="202"/>
      <c r="C275" s="202"/>
      <c r="D275" s="202"/>
      <c r="E275" s="304"/>
      <c r="F275" s="211"/>
      <c r="G275" s="203"/>
      <c r="H275" s="203"/>
      <c r="I275" s="295"/>
      <c r="J275" s="264" t="str">
        <f t="shared" si="4"/>
        <v/>
      </c>
      <c r="K275" s="265"/>
      <c r="L275" s="266"/>
      <c r="M275" s="266"/>
      <c r="N275" s="266"/>
      <c r="O275" s="266"/>
      <c r="P275" s="266"/>
      <c r="Q275" s="266"/>
      <c r="R275" s="266"/>
    </row>
    <row r="276" spans="1:18" ht="30" customHeight="1">
      <c r="A276" s="204" t="str">
        <f>IF(ISBLANK(D276)," ",176-COUNTBLANK($D$6:D276))</f>
        <v xml:space="preserve"> </v>
      </c>
      <c r="B276" s="202"/>
      <c r="C276" s="202"/>
      <c r="D276" s="202"/>
      <c r="E276" s="304"/>
      <c r="F276" s="211"/>
      <c r="G276" s="203"/>
      <c r="H276" s="203"/>
      <c r="I276" s="295"/>
      <c r="J276" s="264" t="str">
        <f t="shared" si="4"/>
        <v/>
      </c>
      <c r="K276" s="265"/>
      <c r="L276" s="266"/>
      <c r="M276" s="266"/>
      <c r="N276" s="266"/>
      <c r="O276" s="266"/>
      <c r="P276" s="266"/>
      <c r="Q276" s="266"/>
      <c r="R276" s="266"/>
    </row>
    <row r="277" spans="1:18" ht="30" customHeight="1">
      <c r="A277" s="204" t="str">
        <f>IF(ISBLANK(D277)," ",177-COUNTBLANK($D$6:D277))</f>
        <v xml:space="preserve"> </v>
      </c>
      <c r="B277" s="202"/>
      <c r="C277" s="202"/>
      <c r="D277" s="202"/>
      <c r="E277" s="304"/>
      <c r="F277" s="211"/>
      <c r="G277" s="203"/>
      <c r="H277" s="203"/>
      <c r="I277" s="295"/>
      <c r="J277" s="264" t="str">
        <f t="shared" si="4"/>
        <v/>
      </c>
      <c r="K277" s="265"/>
      <c r="L277" s="266"/>
      <c r="M277" s="266"/>
      <c r="N277" s="266"/>
      <c r="O277" s="266"/>
      <c r="P277" s="266"/>
      <c r="Q277" s="266"/>
      <c r="R277" s="266"/>
    </row>
    <row r="278" spans="1:18" ht="30" customHeight="1">
      <c r="A278" s="204" t="str">
        <f>IF(ISBLANK(D278)," ",178-COUNTBLANK($D$6:D278))</f>
        <v xml:space="preserve"> </v>
      </c>
      <c r="B278" s="202"/>
      <c r="C278" s="202"/>
      <c r="D278" s="202"/>
      <c r="E278" s="304"/>
      <c r="F278" s="211"/>
      <c r="G278" s="203"/>
      <c r="H278" s="203"/>
      <c r="I278" s="295"/>
      <c r="J278" s="264" t="str">
        <f t="shared" si="4"/>
        <v/>
      </c>
      <c r="K278" s="265"/>
      <c r="L278" s="266"/>
      <c r="M278" s="266"/>
      <c r="N278" s="266"/>
      <c r="O278" s="266"/>
      <c r="P278" s="266"/>
      <c r="Q278" s="266"/>
      <c r="R278" s="266"/>
    </row>
    <row r="279" spans="1:18" ht="30" customHeight="1">
      <c r="A279" s="204" t="str">
        <f>IF(ISBLANK(D279)," ",179-COUNTBLANK($D$6:D279))</f>
        <v xml:space="preserve"> </v>
      </c>
      <c r="B279" s="202"/>
      <c r="C279" s="202"/>
      <c r="D279" s="202"/>
      <c r="E279" s="304"/>
      <c r="F279" s="211"/>
      <c r="G279" s="203"/>
      <c r="H279" s="203"/>
      <c r="I279" s="295"/>
      <c r="J279" s="264" t="str">
        <f t="shared" si="4"/>
        <v/>
      </c>
      <c r="K279" s="265"/>
      <c r="L279" s="266"/>
      <c r="M279" s="266"/>
      <c r="N279" s="266"/>
      <c r="O279" s="266"/>
      <c r="P279" s="266"/>
      <c r="Q279" s="266"/>
      <c r="R279" s="266"/>
    </row>
    <row r="280" spans="1:18" ht="30" customHeight="1">
      <c r="A280" s="204" t="str">
        <f>IF(ISBLANK(D280)," ",180-COUNTBLANK($D$6:D280))</f>
        <v xml:space="preserve"> </v>
      </c>
      <c r="B280" s="202"/>
      <c r="C280" s="202"/>
      <c r="D280" s="202"/>
      <c r="E280" s="304"/>
      <c r="F280" s="211"/>
      <c r="G280" s="203"/>
      <c r="H280" s="203"/>
      <c r="I280" s="295"/>
      <c r="J280" s="264" t="str">
        <f t="shared" si="4"/>
        <v/>
      </c>
      <c r="K280" s="265"/>
      <c r="L280" s="266"/>
      <c r="M280" s="266"/>
      <c r="N280" s="266"/>
      <c r="O280" s="266"/>
      <c r="P280" s="266"/>
      <c r="Q280" s="266"/>
      <c r="R280" s="266"/>
    </row>
    <row r="281" spans="1:18" ht="30" customHeight="1">
      <c r="A281" s="204" t="str">
        <f>IF(ISBLANK(D281)," ",181-COUNTBLANK($D$6:D281))</f>
        <v xml:space="preserve"> </v>
      </c>
      <c r="B281" s="202"/>
      <c r="C281" s="202"/>
      <c r="D281" s="202"/>
      <c r="E281" s="304"/>
      <c r="F281" s="211"/>
      <c r="G281" s="203"/>
      <c r="H281" s="203"/>
      <c r="I281" s="295"/>
      <c r="J281" s="264" t="str">
        <f t="shared" si="4"/>
        <v/>
      </c>
      <c r="K281" s="265"/>
      <c r="L281" s="266"/>
      <c r="M281" s="266"/>
      <c r="N281" s="266"/>
      <c r="O281" s="266"/>
      <c r="P281" s="266"/>
      <c r="Q281" s="266"/>
      <c r="R281" s="266"/>
    </row>
    <row r="282" spans="1:18" ht="30" customHeight="1">
      <c r="A282" s="204" t="str">
        <f>IF(ISBLANK(D282)," ",182-COUNTBLANK($D$6:D282))</f>
        <v xml:space="preserve"> </v>
      </c>
      <c r="B282" s="202"/>
      <c r="C282" s="202"/>
      <c r="D282" s="202"/>
      <c r="E282" s="304"/>
      <c r="F282" s="211"/>
      <c r="G282" s="203"/>
      <c r="H282" s="203"/>
      <c r="I282" s="295"/>
      <c r="J282" s="264" t="str">
        <f t="shared" si="4"/>
        <v/>
      </c>
      <c r="K282" s="265"/>
      <c r="L282" s="266"/>
      <c r="M282" s="266"/>
      <c r="N282" s="266"/>
      <c r="O282" s="266"/>
      <c r="P282" s="266"/>
      <c r="Q282" s="266"/>
      <c r="R282" s="266"/>
    </row>
    <row r="283" spans="1:18" ht="30" customHeight="1">
      <c r="A283" s="204" t="str">
        <f>IF(ISBLANK(D283)," ",183-COUNTBLANK($D$6:D283))</f>
        <v xml:space="preserve"> </v>
      </c>
      <c r="B283" s="202"/>
      <c r="C283" s="202"/>
      <c r="D283" s="202"/>
      <c r="E283" s="304"/>
      <c r="F283" s="211"/>
      <c r="G283" s="203"/>
      <c r="H283" s="203"/>
      <c r="I283" s="295"/>
      <c r="J283" s="264" t="str">
        <f t="shared" si="4"/>
        <v/>
      </c>
      <c r="K283" s="265"/>
      <c r="L283" s="266"/>
      <c r="M283" s="266"/>
      <c r="N283" s="266"/>
      <c r="O283" s="266"/>
      <c r="P283" s="266"/>
      <c r="Q283" s="266"/>
      <c r="R283" s="266"/>
    </row>
    <row r="284" spans="1:18" ht="30" customHeight="1">
      <c r="A284" s="204" t="str">
        <f>IF(ISBLANK(D284)," ",184-COUNTBLANK($D$6:D284))</f>
        <v xml:space="preserve"> </v>
      </c>
      <c r="B284" s="202"/>
      <c r="C284" s="202"/>
      <c r="D284" s="202"/>
      <c r="E284" s="304"/>
      <c r="F284" s="211"/>
      <c r="G284" s="203"/>
      <c r="H284" s="203"/>
      <c r="I284" s="295"/>
      <c r="J284" s="264" t="str">
        <f t="shared" si="4"/>
        <v/>
      </c>
      <c r="K284" s="265"/>
      <c r="L284" s="266"/>
      <c r="M284" s="266"/>
      <c r="N284" s="266"/>
      <c r="O284" s="266"/>
      <c r="P284" s="266"/>
      <c r="Q284" s="266"/>
      <c r="R284" s="266"/>
    </row>
    <row r="285" spans="1:18" ht="30" customHeight="1">
      <c r="A285" s="204" t="str">
        <f>IF(ISBLANK(D285)," ",185-COUNTBLANK($D$6:D285))</f>
        <v xml:space="preserve"> </v>
      </c>
      <c r="B285" s="202"/>
      <c r="C285" s="202"/>
      <c r="D285" s="202"/>
      <c r="E285" s="304"/>
      <c r="F285" s="211"/>
      <c r="G285" s="203"/>
      <c r="H285" s="203"/>
      <c r="I285" s="295"/>
      <c r="J285" s="264" t="str">
        <f t="shared" si="4"/>
        <v/>
      </c>
      <c r="K285" s="265"/>
      <c r="L285" s="266"/>
      <c r="M285" s="266"/>
      <c r="N285" s="266"/>
      <c r="O285" s="266"/>
      <c r="P285" s="266"/>
      <c r="Q285" s="266"/>
      <c r="R285" s="266"/>
    </row>
    <row r="286" spans="1:18" ht="30" customHeight="1">
      <c r="A286" s="204" t="str">
        <f>IF(ISBLANK(D286)," ",186-COUNTBLANK($D$6:D286))</f>
        <v xml:space="preserve"> </v>
      </c>
      <c r="B286" s="202"/>
      <c r="C286" s="202"/>
      <c r="D286" s="202"/>
      <c r="E286" s="304"/>
      <c r="F286" s="211"/>
      <c r="G286" s="203"/>
      <c r="H286" s="203"/>
      <c r="I286" s="295"/>
      <c r="J286" s="264" t="str">
        <f t="shared" si="4"/>
        <v/>
      </c>
      <c r="K286" s="267"/>
      <c r="L286" s="266"/>
      <c r="M286" s="266"/>
      <c r="N286" s="266"/>
      <c r="O286" s="266"/>
      <c r="P286" s="266"/>
      <c r="Q286" s="266"/>
      <c r="R286" s="268"/>
    </row>
    <row r="287" spans="1:18" ht="30" customHeight="1">
      <c r="A287" s="204" t="str">
        <f>IF(ISBLANK(D287)," ",187-COUNTBLANK($D$6:D287))</f>
        <v xml:space="preserve"> </v>
      </c>
      <c r="B287" s="202"/>
      <c r="C287" s="202"/>
      <c r="D287" s="202"/>
      <c r="E287" s="304"/>
      <c r="F287" s="211"/>
      <c r="G287" s="203"/>
      <c r="H287" s="203"/>
      <c r="I287" s="295"/>
      <c r="J287" s="264" t="str">
        <f t="shared" si="4"/>
        <v/>
      </c>
      <c r="K287" s="267"/>
      <c r="L287" s="266"/>
      <c r="M287" s="266"/>
      <c r="N287" s="266"/>
      <c r="O287" s="266"/>
      <c r="P287" s="266"/>
      <c r="Q287" s="266"/>
      <c r="R287" s="268"/>
    </row>
    <row r="288" spans="1:18" ht="30" customHeight="1">
      <c r="A288" s="204" t="str">
        <f>IF(ISBLANK(D288)," ",188-COUNTBLANK($D$6:D288))</f>
        <v xml:space="preserve"> </v>
      </c>
      <c r="B288" s="202"/>
      <c r="C288" s="202"/>
      <c r="D288" s="202"/>
      <c r="E288" s="304"/>
      <c r="F288" s="211"/>
      <c r="G288" s="203"/>
      <c r="H288" s="203"/>
      <c r="I288" s="295"/>
      <c r="J288" s="264" t="str">
        <f t="shared" si="4"/>
        <v/>
      </c>
      <c r="K288" s="267"/>
      <c r="L288" s="266"/>
      <c r="M288" s="266"/>
      <c r="N288" s="266"/>
      <c r="O288" s="266"/>
      <c r="P288" s="266"/>
      <c r="Q288" s="266"/>
      <c r="R288" s="268"/>
    </row>
    <row r="289" spans="1:21" ht="30" customHeight="1">
      <c r="A289" s="308" t="str">
        <f>IF(ISBLANK(D289)," ",190-COUNTBLANK($D$6:D289))</f>
        <v xml:space="preserve"> </v>
      </c>
      <c r="B289" s="300"/>
      <c r="C289" s="309"/>
      <c r="D289" s="310"/>
      <c r="E289" s="301"/>
      <c r="F289" s="302"/>
      <c r="G289" s="286"/>
      <c r="H289" s="286"/>
      <c r="I289" s="307"/>
      <c r="J289" s="264" t="str">
        <f t="shared" si="4"/>
        <v/>
      </c>
      <c r="K289" s="265"/>
      <c r="L289" s="266"/>
      <c r="M289" s="266"/>
      <c r="N289" s="266"/>
      <c r="O289" s="266"/>
      <c r="P289" s="266"/>
      <c r="Q289" s="266"/>
      <c r="R289" s="288"/>
      <c r="S289" s="266"/>
      <c r="T289" s="266"/>
      <c r="U289" s="266"/>
    </row>
    <row r="290" spans="1:21" ht="30" customHeight="1">
      <c r="A290" s="261" t="str">
        <f>IF(ISBLANK(D290)," ",191-COUNTBLANK($D$6:D290))</f>
        <v xml:space="preserve"> </v>
      </c>
      <c r="B290" s="200"/>
      <c r="C290" s="200"/>
      <c r="D290" s="200"/>
      <c r="E290" s="303"/>
      <c r="F290" s="210"/>
      <c r="G290" s="201"/>
      <c r="H290" s="201"/>
      <c r="I290" s="295"/>
      <c r="J290" s="264" t="str">
        <f t="shared" si="4"/>
        <v/>
      </c>
      <c r="K290" s="267"/>
      <c r="L290" s="266"/>
      <c r="M290" s="266"/>
      <c r="N290" s="266"/>
      <c r="O290" s="266"/>
      <c r="P290" s="266"/>
      <c r="Q290" s="266"/>
      <c r="R290" s="288"/>
      <c r="S290" s="266"/>
      <c r="T290" s="266"/>
      <c r="U290" s="266"/>
    </row>
    <row r="291" spans="1:21" ht="30" customHeight="1">
      <c r="A291" s="204" t="str">
        <f>IF(ISBLANK(D291)," ",192-COUNTBLANK($D$6:D291))</f>
        <v xml:space="preserve"> </v>
      </c>
      <c r="B291" s="202"/>
      <c r="C291" s="202"/>
      <c r="D291" s="202"/>
      <c r="E291" s="304"/>
      <c r="F291" s="211"/>
      <c r="G291" s="203"/>
      <c r="H291" s="203"/>
      <c r="I291" s="295"/>
      <c r="J291" s="264" t="str">
        <f t="shared" si="4"/>
        <v/>
      </c>
      <c r="K291" s="265"/>
      <c r="L291" s="266"/>
      <c r="M291" s="266"/>
      <c r="N291" s="266"/>
      <c r="O291" s="266"/>
      <c r="P291" s="266"/>
      <c r="Q291" s="266"/>
      <c r="R291" s="266"/>
    </row>
    <row r="292" spans="1:21" ht="30" customHeight="1">
      <c r="A292" s="204" t="str">
        <f>IF(ISBLANK(D292)," ",193-COUNTBLANK($D$6:D292))</f>
        <v xml:space="preserve"> </v>
      </c>
      <c r="B292" s="202"/>
      <c r="C292" s="202"/>
      <c r="D292" s="202"/>
      <c r="E292" s="304"/>
      <c r="F292" s="211"/>
      <c r="G292" s="203"/>
      <c r="H292" s="203"/>
      <c r="I292" s="295"/>
      <c r="J292" s="264" t="str">
        <f t="shared" si="4"/>
        <v/>
      </c>
      <c r="K292" s="265"/>
      <c r="L292" s="266"/>
      <c r="M292" s="266"/>
      <c r="N292" s="266"/>
      <c r="O292" s="266"/>
      <c r="P292" s="266"/>
      <c r="Q292" s="266"/>
      <c r="R292" s="266"/>
    </row>
    <row r="293" spans="1:21" ht="30" customHeight="1">
      <c r="A293" s="204" t="str">
        <f>IF(ISBLANK(D293)," ",194-COUNTBLANK($D$6:D293))</f>
        <v xml:space="preserve"> </v>
      </c>
      <c r="B293" s="202"/>
      <c r="C293" s="202"/>
      <c r="D293" s="202"/>
      <c r="E293" s="304"/>
      <c r="F293" s="211"/>
      <c r="G293" s="203"/>
      <c r="H293" s="203"/>
      <c r="I293" s="295"/>
      <c r="J293" s="264" t="str">
        <f t="shared" si="4"/>
        <v/>
      </c>
      <c r="K293" s="265"/>
      <c r="L293" s="266"/>
      <c r="M293" s="266"/>
      <c r="N293" s="266"/>
      <c r="O293" s="266"/>
      <c r="P293" s="266"/>
      <c r="Q293" s="266"/>
      <c r="R293" s="266"/>
    </row>
    <row r="294" spans="1:21" ht="30" customHeight="1">
      <c r="A294" s="204" t="str">
        <f>IF(ISBLANK(D294)," ",195-COUNTBLANK($D$6:D294))</f>
        <v xml:space="preserve"> </v>
      </c>
      <c r="B294" s="202"/>
      <c r="C294" s="202"/>
      <c r="D294" s="202"/>
      <c r="E294" s="304"/>
      <c r="F294" s="211"/>
      <c r="G294" s="203"/>
      <c r="H294" s="203"/>
      <c r="I294" s="295"/>
      <c r="J294" s="264" t="str">
        <f t="shared" si="4"/>
        <v/>
      </c>
      <c r="K294" s="265"/>
      <c r="L294" s="266"/>
      <c r="M294" s="266"/>
      <c r="N294" s="266"/>
      <c r="O294" s="266"/>
      <c r="P294" s="266"/>
      <c r="Q294" s="266"/>
      <c r="R294" s="266"/>
    </row>
    <row r="295" spans="1:21" ht="30" customHeight="1">
      <c r="A295" s="204" t="str">
        <f>IF(ISBLANK(D295)," ",196-COUNTBLANK($D$6:D295))</f>
        <v xml:space="preserve"> </v>
      </c>
      <c r="B295" s="202"/>
      <c r="C295" s="202"/>
      <c r="D295" s="202"/>
      <c r="E295" s="304"/>
      <c r="F295" s="211"/>
      <c r="G295" s="203"/>
      <c r="H295" s="203"/>
      <c r="I295" s="295"/>
      <c r="J295" s="264" t="str">
        <f t="shared" si="4"/>
        <v/>
      </c>
      <c r="K295" s="265"/>
      <c r="L295" s="266"/>
      <c r="M295" s="266"/>
      <c r="N295" s="266"/>
      <c r="O295" s="266"/>
      <c r="P295" s="266"/>
      <c r="Q295" s="266"/>
      <c r="R295" s="266"/>
    </row>
    <row r="296" spans="1:21" ht="30" customHeight="1">
      <c r="A296" s="204" t="str">
        <f>IF(ISBLANK(D296)," ",197-COUNTBLANK($D$6:D296))</f>
        <v xml:space="preserve"> </v>
      </c>
      <c r="B296" s="202"/>
      <c r="C296" s="202"/>
      <c r="D296" s="202"/>
      <c r="E296" s="304"/>
      <c r="F296" s="211"/>
      <c r="G296" s="203"/>
      <c r="H296" s="203"/>
      <c r="I296" s="295"/>
      <c r="J296" s="264" t="str">
        <f t="shared" si="4"/>
        <v/>
      </c>
      <c r="K296" s="265"/>
      <c r="L296" s="266"/>
      <c r="M296" s="266"/>
      <c r="N296" s="266"/>
      <c r="O296" s="266"/>
      <c r="P296" s="266"/>
      <c r="Q296" s="266"/>
      <c r="R296" s="266"/>
    </row>
    <row r="297" spans="1:21" ht="30" customHeight="1">
      <c r="A297" s="204" t="str">
        <f>IF(ISBLANK(D297)," ",198-COUNTBLANK($D$6:D297))</f>
        <v xml:space="preserve"> </v>
      </c>
      <c r="B297" s="202"/>
      <c r="C297" s="202"/>
      <c r="D297" s="202"/>
      <c r="E297" s="304"/>
      <c r="F297" s="211"/>
      <c r="G297" s="203"/>
      <c r="H297" s="203"/>
      <c r="I297" s="295"/>
      <c r="J297" s="264" t="str">
        <f t="shared" si="4"/>
        <v/>
      </c>
      <c r="K297" s="265"/>
      <c r="L297" s="266"/>
      <c r="M297" s="266"/>
      <c r="N297" s="266"/>
      <c r="O297" s="266"/>
      <c r="P297" s="266"/>
      <c r="Q297" s="266"/>
      <c r="R297" s="266"/>
    </row>
    <row r="298" spans="1:21" ht="30" customHeight="1">
      <c r="A298" s="204" t="str">
        <f>IF(ISBLANK(D298)," ",199-COUNTBLANK($D$6:D298))</f>
        <v xml:space="preserve"> </v>
      </c>
      <c r="B298" s="202"/>
      <c r="C298" s="202"/>
      <c r="D298" s="202"/>
      <c r="E298" s="304"/>
      <c r="F298" s="211"/>
      <c r="G298" s="203"/>
      <c r="H298" s="203"/>
      <c r="I298" s="295"/>
      <c r="J298" s="264" t="str">
        <f t="shared" si="4"/>
        <v/>
      </c>
      <c r="K298" s="265"/>
      <c r="L298" s="266"/>
      <c r="M298" s="266"/>
      <c r="N298" s="266"/>
      <c r="O298" s="266"/>
      <c r="P298" s="266"/>
      <c r="Q298" s="266"/>
      <c r="R298" s="266"/>
    </row>
    <row r="299" spans="1:21" ht="30" customHeight="1">
      <c r="A299" s="204" t="str">
        <f>IF(ISBLANK(D299)," ",200-COUNTBLANK($D$6:D299))</f>
        <v xml:space="preserve"> </v>
      </c>
      <c r="B299" s="202"/>
      <c r="C299" s="202"/>
      <c r="D299" s="202"/>
      <c r="E299" s="304"/>
      <c r="F299" s="211"/>
      <c r="G299" s="203"/>
      <c r="H299" s="203"/>
      <c r="I299" s="295"/>
      <c r="J299" s="264" t="str">
        <f t="shared" si="4"/>
        <v/>
      </c>
      <c r="K299" s="265"/>
      <c r="L299" s="266"/>
      <c r="M299" s="266"/>
      <c r="N299" s="266"/>
      <c r="O299" s="266"/>
      <c r="P299" s="266"/>
      <c r="Q299" s="266"/>
      <c r="R299" s="266"/>
    </row>
    <row r="300" spans="1:21" ht="30" customHeight="1">
      <c r="A300" s="204" t="str">
        <f>IF(ISBLANK(D300)," ",201-COUNTBLANK($D$6:D300))</f>
        <v xml:space="preserve"> </v>
      </c>
      <c r="B300" s="202"/>
      <c r="C300" s="202"/>
      <c r="D300" s="202"/>
      <c r="E300" s="304"/>
      <c r="F300" s="211"/>
      <c r="G300" s="203"/>
      <c r="H300" s="203"/>
      <c r="I300" s="295"/>
      <c r="J300" s="264" t="str">
        <f t="shared" si="4"/>
        <v/>
      </c>
      <c r="K300" s="265"/>
      <c r="L300" s="266"/>
      <c r="M300" s="266"/>
      <c r="N300" s="266"/>
      <c r="O300" s="266"/>
      <c r="P300" s="266"/>
      <c r="Q300" s="266"/>
      <c r="R300" s="266"/>
    </row>
    <row r="301" spans="1:21" ht="30" customHeight="1">
      <c r="A301" s="204" t="str">
        <f>IF(ISBLANK(D301)," ",202-COUNTBLANK($D$6:D301))</f>
        <v xml:space="preserve"> </v>
      </c>
      <c r="B301" s="202"/>
      <c r="C301" s="202"/>
      <c r="D301" s="202"/>
      <c r="E301" s="304"/>
      <c r="F301" s="211"/>
      <c r="G301" s="203"/>
      <c r="H301" s="203"/>
      <c r="I301" s="295"/>
      <c r="J301" s="264" t="str">
        <f t="shared" si="4"/>
        <v/>
      </c>
      <c r="K301" s="265"/>
      <c r="L301" s="266"/>
      <c r="M301" s="266"/>
      <c r="N301" s="266"/>
      <c r="O301" s="266"/>
      <c r="P301" s="266"/>
      <c r="Q301" s="266"/>
      <c r="R301" s="266"/>
    </row>
    <row r="302" spans="1:21" ht="30" customHeight="1">
      <c r="A302" s="204" t="str">
        <f>IF(ISBLANK(D302)," ",203-COUNTBLANK($D$6:D302))</f>
        <v xml:space="preserve"> </v>
      </c>
      <c r="B302" s="202"/>
      <c r="C302" s="202"/>
      <c r="D302" s="202"/>
      <c r="E302" s="304"/>
      <c r="F302" s="211"/>
      <c r="G302" s="203"/>
      <c r="H302" s="203"/>
      <c r="I302" s="295"/>
      <c r="J302" s="264" t="str">
        <f t="shared" si="4"/>
        <v/>
      </c>
      <c r="K302" s="265"/>
      <c r="L302" s="266"/>
      <c r="M302" s="266"/>
      <c r="N302" s="266"/>
      <c r="O302" s="266"/>
      <c r="P302" s="266"/>
      <c r="Q302" s="266"/>
      <c r="R302" s="266"/>
    </row>
    <row r="303" spans="1:21" ht="30" customHeight="1">
      <c r="A303" s="204" t="str">
        <f>IF(ISBLANK(D303)," ",204-COUNTBLANK($D$6:D303))</f>
        <v xml:space="preserve"> </v>
      </c>
      <c r="B303" s="202"/>
      <c r="C303" s="202"/>
      <c r="D303" s="202"/>
      <c r="E303" s="304"/>
      <c r="F303" s="211"/>
      <c r="G303" s="203"/>
      <c r="H303" s="203"/>
      <c r="I303" s="295"/>
      <c r="J303" s="264" t="str">
        <f t="shared" si="4"/>
        <v/>
      </c>
      <c r="K303" s="265"/>
      <c r="L303" s="266"/>
      <c r="M303" s="266"/>
      <c r="N303" s="266"/>
      <c r="O303" s="266"/>
      <c r="P303" s="266"/>
      <c r="Q303" s="266"/>
      <c r="R303" s="266"/>
    </row>
    <row r="304" spans="1:21" ht="30" customHeight="1">
      <c r="A304" s="204" t="str">
        <f>IF(ISBLANK(D304)," ",205-COUNTBLANK($D$6:D304))</f>
        <v xml:space="preserve"> </v>
      </c>
      <c r="B304" s="202"/>
      <c r="C304" s="202"/>
      <c r="D304" s="202"/>
      <c r="E304" s="304"/>
      <c r="F304" s="211"/>
      <c r="G304" s="203"/>
      <c r="H304" s="203"/>
      <c r="I304" s="295"/>
      <c r="J304" s="264" t="str">
        <f t="shared" si="4"/>
        <v/>
      </c>
      <c r="K304" s="265"/>
      <c r="L304" s="266"/>
      <c r="M304" s="266"/>
      <c r="N304" s="266"/>
      <c r="O304" s="266"/>
      <c r="P304" s="266"/>
      <c r="Q304" s="266"/>
      <c r="R304" s="266"/>
    </row>
    <row r="305" spans="1:21" ht="30" customHeight="1">
      <c r="A305" s="204" t="str">
        <f>IF(ISBLANK(D305)," ",206-COUNTBLANK($D$6:D305))</f>
        <v xml:space="preserve"> </v>
      </c>
      <c r="B305" s="202"/>
      <c r="C305" s="202"/>
      <c r="D305" s="202"/>
      <c r="E305" s="304"/>
      <c r="F305" s="211"/>
      <c r="G305" s="203"/>
      <c r="H305" s="203"/>
      <c r="I305" s="295"/>
      <c r="J305" s="264" t="str">
        <f t="shared" si="4"/>
        <v/>
      </c>
      <c r="K305" s="265"/>
      <c r="L305" s="266"/>
      <c r="M305" s="266"/>
      <c r="N305" s="266"/>
      <c r="O305" s="266"/>
      <c r="P305" s="266"/>
      <c r="Q305" s="266"/>
      <c r="R305" s="266"/>
    </row>
    <row r="306" spans="1:21" ht="30" customHeight="1">
      <c r="A306" s="204" t="str">
        <f>IF(ISBLANK(D306)," ",207-COUNTBLANK($D$6:D306))</f>
        <v xml:space="preserve"> </v>
      </c>
      <c r="B306" s="202"/>
      <c r="C306" s="202"/>
      <c r="D306" s="202"/>
      <c r="E306" s="304"/>
      <c r="F306" s="211"/>
      <c r="G306" s="203"/>
      <c r="H306" s="203"/>
      <c r="I306" s="295"/>
      <c r="J306" s="264" t="str">
        <f t="shared" si="4"/>
        <v/>
      </c>
      <c r="K306" s="267"/>
      <c r="L306" s="266"/>
      <c r="M306" s="266"/>
      <c r="N306" s="266"/>
      <c r="O306" s="266"/>
      <c r="P306" s="266"/>
      <c r="Q306" s="266"/>
      <c r="R306" s="268"/>
    </row>
    <row r="307" spans="1:21" ht="30" customHeight="1">
      <c r="A307" s="204" t="str">
        <f>IF(ISBLANK(D307)," ",208-COUNTBLANK($D$6:D307))</f>
        <v xml:space="preserve"> </v>
      </c>
      <c r="B307" s="202"/>
      <c r="C307" s="202"/>
      <c r="D307" s="202"/>
      <c r="E307" s="304"/>
      <c r="F307" s="211"/>
      <c r="G307" s="203"/>
      <c r="H307" s="203"/>
      <c r="I307" s="295"/>
      <c r="J307" s="264" t="str">
        <f t="shared" si="4"/>
        <v/>
      </c>
      <c r="K307" s="267"/>
      <c r="L307" s="266"/>
      <c r="M307" s="266"/>
      <c r="N307" s="266"/>
      <c r="O307" s="266"/>
      <c r="P307" s="266"/>
      <c r="Q307" s="266"/>
      <c r="R307" s="268"/>
    </row>
    <row r="308" spans="1:21" ht="30" customHeight="1">
      <c r="A308" s="204" t="str">
        <f>IF(ISBLANK(D308)," ",209-COUNTBLANK($D$6:D308))</f>
        <v xml:space="preserve"> </v>
      </c>
      <c r="B308" s="202"/>
      <c r="C308" s="202"/>
      <c r="D308" s="202"/>
      <c r="E308" s="304"/>
      <c r="F308" s="211"/>
      <c r="G308" s="203"/>
      <c r="H308" s="203"/>
      <c r="I308" s="295"/>
      <c r="J308" s="264" t="str">
        <f t="shared" si="4"/>
        <v/>
      </c>
      <c r="K308" s="267"/>
      <c r="L308" s="266"/>
      <c r="M308" s="266"/>
      <c r="N308" s="266"/>
      <c r="O308" s="266"/>
      <c r="P308" s="266"/>
      <c r="Q308" s="266"/>
      <c r="R308" s="268"/>
    </row>
    <row r="309" spans="1:21" ht="30" customHeight="1">
      <c r="A309" s="308" t="str">
        <f>IF(ISBLANK(D309)," ",211-COUNTBLANK($D$6:D309))</f>
        <v xml:space="preserve"> </v>
      </c>
      <c r="B309" s="300"/>
      <c r="C309" s="309"/>
      <c r="D309" s="310"/>
      <c r="E309" s="301"/>
      <c r="F309" s="302"/>
      <c r="G309" s="286"/>
      <c r="H309" s="286"/>
      <c r="I309" s="307"/>
      <c r="J309" s="264" t="str">
        <f t="shared" si="4"/>
        <v/>
      </c>
      <c r="K309" s="265"/>
      <c r="L309" s="266"/>
      <c r="M309" s="266"/>
      <c r="N309" s="266"/>
      <c r="O309" s="266"/>
      <c r="P309" s="266"/>
      <c r="Q309" s="266"/>
      <c r="R309" s="288"/>
      <c r="S309" s="266"/>
      <c r="T309" s="266"/>
      <c r="U309" s="266"/>
    </row>
    <row r="310" spans="1:21" ht="30" customHeight="1">
      <c r="A310" s="261" t="str">
        <f>IF(ISBLANK(D310)," ",212-COUNTBLANK($D$6:D310))</f>
        <v xml:space="preserve"> </v>
      </c>
      <c r="B310" s="200"/>
      <c r="C310" s="200"/>
      <c r="D310" s="200"/>
      <c r="E310" s="303"/>
      <c r="F310" s="210"/>
      <c r="G310" s="201"/>
      <c r="H310" s="201"/>
      <c r="I310" s="295"/>
      <c r="J310" s="264" t="str">
        <f t="shared" si="4"/>
        <v/>
      </c>
      <c r="K310" s="267"/>
      <c r="L310" s="266"/>
      <c r="M310" s="266"/>
      <c r="N310" s="266"/>
      <c r="O310" s="266"/>
      <c r="P310" s="266"/>
      <c r="Q310" s="266"/>
      <c r="R310" s="288"/>
      <c r="S310" s="266"/>
      <c r="T310" s="266"/>
      <c r="U310" s="266"/>
    </row>
    <row r="311" spans="1:21" ht="30" customHeight="1">
      <c r="A311" s="204" t="str">
        <f>IF(ISBLANK(D311)," ",213-COUNTBLANK($D$6:D311))</f>
        <v xml:space="preserve"> </v>
      </c>
      <c r="B311" s="202"/>
      <c r="C311" s="202"/>
      <c r="D311" s="202"/>
      <c r="E311" s="304"/>
      <c r="F311" s="211"/>
      <c r="G311" s="203"/>
      <c r="H311" s="203"/>
      <c r="I311" s="295"/>
      <c r="J311" s="264" t="str">
        <f t="shared" si="4"/>
        <v/>
      </c>
      <c r="K311" s="265"/>
      <c r="L311" s="266"/>
      <c r="M311" s="266"/>
      <c r="N311" s="266"/>
      <c r="O311" s="266"/>
      <c r="P311" s="266"/>
      <c r="Q311" s="266"/>
      <c r="R311" s="266"/>
    </row>
    <row r="312" spans="1:21" ht="30" customHeight="1">
      <c r="A312" s="204" t="str">
        <f>IF(ISBLANK(D312)," ",214-COUNTBLANK($D$6:D312))</f>
        <v xml:space="preserve"> </v>
      </c>
      <c r="B312" s="202"/>
      <c r="C312" s="202"/>
      <c r="D312" s="202"/>
      <c r="E312" s="304"/>
      <c r="F312" s="211"/>
      <c r="G312" s="203"/>
      <c r="H312" s="203"/>
      <c r="I312" s="295"/>
      <c r="J312" s="264" t="str">
        <f t="shared" si="4"/>
        <v/>
      </c>
      <c r="K312" s="265"/>
      <c r="L312" s="266"/>
      <c r="M312" s="266"/>
      <c r="N312" s="266"/>
      <c r="O312" s="266"/>
      <c r="P312" s="266"/>
      <c r="Q312" s="266"/>
      <c r="R312" s="266"/>
    </row>
    <row r="313" spans="1:21" ht="30" customHeight="1">
      <c r="A313" s="204" t="str">
        <f>IF(ISBLANK(D313)," ",215-COUNTBLANK($D$6:D313))</f>
        <v xml:space="preserve"> </v>
      </c>
      <c r="B313" s="202"/>
      <c r="C313" s="202"/>
      <c r="D313" s="202"/>
      <c r="E313" s="304"/>
      <c r="F313" s="211"/>
      <c r="G313" s="203"/>
      <c r="H313" s="203"/>
      <c r="I313" s="295"/>
      <c r="J313" s="264" t="str">
        <f t="shared" si="4"/>
        <v/>
      </c>
      <c r="K313" s="265"/>
      <c r="L313" s="266"/>
      <c r="M313" s="266"/>
      <c r="N313" s="266"/>
      <c r="O313" s="266"/>
      <c r="P313" s="266"/>
      <c r="Q313" s="266"/>
      <c r="R313" s="266"/>
    </row>
    <row r="314" spans="1:21" ht="30" customHeight="1">
      <c r="A314" s="204" t="str">
        <f>IF(ISBLANK(D314)," ",216-COUNTBLANK($D$6:D314))</f>
        <v xml:space="preserve"> </v>
      </c>
      <c r="B314" s="202"/>
      <c r="C314" s="202"/>
      <c r="D314" s="202"/>
      <c r="E314" s="304"/>
      <c r="F314" s="211"/>
      <c r="G314" s="203"/>
      <c r="H314" s="203"/>
      <c r="I314" s="295"/>
      <c r="J314" s="264" t="str">
        <f t="shared" si="4"/>
        <v/>
      </c>
      <c r="K314" s="265"/>
      <c r="L314" s="266"/>
      <c r="M314" s="266"/>
      <c r="N314" s="266"/>
      <c r="O314" s="266"/>
      <c r="P314" s="266"/>
      <c r="Q314" s="266"/>
      <c r="R314" s="266"/>
    </row>
    <row r="315" spans="1:21" ht="30" customHeight="1">
      <c r="A315" s="204" t="str">
        <f>IF(ISBLANK(D315)," ",217-COUNTBLANK($D$6:D315))</f>
        <v xml:space="preserve"> </v>
      </c>
      <c r="B315" s="202"/>
      <c r="C315" s="202"/>
      <c r="D315" s="202"/>
      <c r="E315" s="304"/>
      <c r="F315" s="211"/>
      <c r="G315" s="203"/>
      <c r="H315" s="203"/>
      <c r="I315" s="295"/>
      <c r="J315" s="264" t="str">
        <f t="shared" si="4"/>
        <v/>
      </c>
      <c r="K315" s="265"/>
      <c r="L315" s="266"/>
      <c r="M315" s="266"/>
      <c r="N315" s="266"/>
      <c r="O315" s="266"/>
      <c r="P315" s="266"/>
      <c r="Q315" s="266"/>
      <c r="R315" s="266"/>
    </row>
    <row r="316" spans="1:21" ht="30" customHeight="1">
      <c r="A316" s="204" t="str">
        <f>IF(ISBLANK(D316)," ",218-COUNTBLANK($D$6:D316))</f>
        <v xml:space="preserve"> </v>
      </c>
      <c r="B316" s="202"/>
      <c r="C316" s="202"/>
      <c r="D316" s="202"/>
      <c r="E316" s="304"/>
      <c r="F316" s="211"/>
      <c r="G316" s="203"/>
      <c r="H316" s="203"/>
      <c r="I316" s="295"/>
      <c r="J316" s="264" t="str">
        <f t="shared" si="4"/>
        <v/>
      </c>
      <c r="K316" s="265"/>
      <c r="L316" s="266"/>
      <c r="M316" s="266"/>
      <c r="N316" s="266"/>
      <c r="O316" s="266"/>
      <c r="P316" s="266"/>
      <c r="Q316" s="266"/>
      <c r="R316" s="266"/>
    </row>
    <row r="317" spans="1:21" ht="30" customHeight="1">
      <c r="A317" s="204" t="str">
        <f>IF(ISBLANK(D317)," ",219-COUNTBLANK($D$6:D317))</f>
        <v xml:space="preserve"> </v>
      </c>
      <c r="B317" s="202"/>
      <c r="C317" s="202"/>
      <c r="D317" s="202"/>
      <c r="E317" s="304"/>
      <c r="F317" s="211"/>
      <c r="G317" s="203"/>
      <c r="H317" s="203"/>
      <c r="I317" s="295"/>
      <c r="J317" s="264" t="str">
        <f t="shared" si="4"/>
        <v/>
      </c>
      <c r="K317" s="265"/>
      <c r="L317" s="266"/>
      <c r="M317" s="266"/>
      <c r="N317" s="266"/>
      <c r="O317" s="266"/>
      <c r="P317" s="266"/>
      <c r="Q317" s="266"/>
      <c r="R317" s="266"/>
    </row>
    <row r="318" spans="1:21" ht="30" customHeight="1">
      <c r="A318" s="204" t="str">
        <f>IF(ISBLANK(D318)," ",220-COUNTBLANK($D$6:D318))</f>
        <v xml:space="preserve"> </v>
      </c>
      <c r="B318" s="202"/>
      <c r="C318" s="202"/>
      <c r="D318" s="202"/>
      <c r="E318" s="304"/>
      <c r="F318" s="211"/>
      <c r="G318" s="203"/>
      <c r="H318" s="203"/>
      <c r="I318" s="295"/>
      <c r="J318" s="264" t="str">
        <f t="shared" si="4"/>
        <v/>
      </c>
      <c r="K318" s="265"/>
      <c r="L318" s="266"/>
      <c r="M318" s="266"/>
      <c r="N318" s="266"/>
      <c r="O318" s="266"/>
      <c r="P318" s="266"/>
      <c r="Q318" s="266"/>
      <c r="R318" s="266"/>
    </row>
    <row r="319" spans="1:21" ht="30" customHeight="1">
      <c r="A319" s="204" t="str">
        <f>IF(ISBLANK(D319)," ",221-COUNTBLANK($D$6:D319))</f>
        <v xml:space="preserve"> </v>
      </c>
      <c r="B319" s="202"/>
      <c r="C319" s="202"/>
      <c r="D319" s="202"/>
      <c r="E319" s="304"/>
      <c r="F319" s="211"/>
      <c r="G319" s="203"/>
      <c r="H319" s="203"/>
      <c r="I319" s="295"/>
      <c r="J319" s="264" t="str">
        <f t="shared" si="4"/>
        <v/>
      </c>
      <c r="K319" s="265"/>
      <c r="L319" s="266"/>
      <c r="M319" s="266"/>
      <c r="N319" s="266"/>
      <c r="O319" s="266"/>
      <c r="P319" s="266"/>
      <c r="Q319" s="266"/>
      <c r="R319" s="266"/>
    </row>
    <row r="320" spans="1:21" ht="30" customHeight="1">
      <c r="A320" s="204" t="str">
        <f>IF(ISBLANK(D320)," ",222-COUNTBLANK($D$6:D320))</f>
        <v xml:space="preserve"> </v>
      </c>
      <c r="B320" s="202"/>
      <c r="C320" s="202"/>
      <c r="D320" s="202"/>
      <c r="E320" s="304"/>
      <c r="F320" s="211"/>
      <c r="G320" s="203"/>
      <c r="H320" s="203"/>
      <c r="I320" s="295"/>
      <c r="J320" s="264" t="str">
        <f t="shared" si="4"/>
        <v/>
      </c>
      <c r="K320" s="265"/>
      <c r="L320" s="266"/>
      <c r="M320" s="266"/>
      <c r="N320" s="266"/>
      <c r="O320" s="266"/>
      <c r="P320" s="266"/>
      <c r="Q320" s="266"/>
      <c r="R320" s="266"/>
    </row>
    <row r="321" spans="1:21" ht="30" customHeight="1">
      <c r="A321" s="204" t="str">
        <f>IF(ISBLANK(D321)," ",223-COUNTBLANK($D$6:D321))</f>
        <v xml:space="preserve"> </v>
      </c>
      <c r="B321" s="202"/>
      <c r="C321" s="202"/>
      <c r="D321" s="202"/>
      <c r="E321" s="304"/>
      <c r="F321" s="211"/>
      <c r="G321" s="203"/>
      <c r="H321" s="203"/>
      <c r="I321" s="295"/>
      <c r="J321" s="264" t="str">
        <f t="shared" si="4"/>
        <v/>
      </c>
      <c r="K321" s="265"/>
      <c r="L321" s="266"/>
      <c r="M321" s="266"/>
      <c r="N321" s="266"/>
      <c r="O321" s="266"/>
      <c r="P321" s="266"/>
      <c r="Q321" s="266"/>
      <c r="R321" s="266"/>
    </row>
    <row r="322" spans="1:21" ht="30" customHeight="1">
      <c r="A322" s="204" t="str">
        <f>IF(ISBLANK(D322)," ",224-COUNTBLANK($D$6:D322))</f>
        <v xml:space="preserve"> </v>
      </c>
      <c r="B322" s="202"/>
      <c r="C322" s="202"/>
      <c r="D322" s="202"/>
      <c r="E322" s="304"/>
      <c r="F322" s="211"/>
      <c r="G322" s="203"/>
      <c r="H322" s="203"/>
      <c r="I322" s="295"/>
      <c r="J322" s="264" t="str">
        <f t="shared" si="4"/>
        <v/>
      </c>
      <c r="K322" s="265"/>
      <c r="L322" s="266"/>
      <c r="M322" s="266"/>
      <c r="N322" s="266"/>
      <c r="O322" s="266"/>
      <c r="P322" s="266"/>
      <c r="Q322" s="266"/>
      <c r="R322" s="266"/>
    </row>
    <row r="323" spans="1:21" ht="30" customHeight="1">
      <c r="A323" s="204" t="str">
        <f>IF(ISBLANK(D323)," ",225-COUNTBLANK($D$6:D323))</f>
        <v xml:space="preserve"> </v>
      </c>
      <c r="B323" s="202"/>
      <c r="C323" s="202"/>
      <c r="D323" s="202"/>
      <c r="E323" s="304"/>
      <c r="F323" s="211"/>
      <c r="G323" s="203"/>
      <c r="H323" s="203"/>
      <c r="I323" s="295"/>
      <c r="J323" s="264" t="str">
        <f t="shared" si="4"/>
        <v/>
      </c>
      <c r="K323" s="265"/>
      <c r="L323" s="266"/>
      <c r="M323" s="266"/>
      <c r="N323" s="266"/>
      <c r="O323" s="266"/>
      <c r="P323" s="266"/>
      <c r="Q323" s="266"/>
      <c r="R323" s="266"/>
    </row>
    <row r="324" spans="1:21" ht="30" customHeight="1">
      <c r="A324" s="204" t="str">
        <f>IF(ISBLANK(D324)," ",226-COUNTBLANK($D$6:D324))</f>
        <v xml:space="preserve"> </v>
      </c>
      <c r="B324" s="202"/>
      <c r="C324" s="202"/>
      <c r="D324" s="202"/>
      <c r="E324" s="304"/>
      <c r="F324" s="211"/>
      <c r="G324" s="203"/>
      <c r="H324" s="203"/>
      <c r="I324" s="295"/>
      <c r="J324" s="264" t="str">
        <f t="shared" si="4"/>
        <v/>
      </c>
      <c r="K324" s="265"/>
      <c r="L324" s="266"/>
      <c r="M324" s="266"/>
      <c r="N324" s="266"/>
      <c r="O324" s="266"/>
      <c r="P324" s="266"/>
      <c r="Q324" s="266"/>
      <c r="R324" s="266"/>
    </row>
    <row r="325" spans="1:21" ht="30" customHeight="1">
      <c r="A325" s="204" t="str">
        <f>IF(ISBLANK(D325)," ",227-COUNTBLANK($D$6:D325))</f>
        <v xml:space="preserve"> </v>
      </c>
      <c r="B325" s="202"/>
      <c r="C325" s="202"/>
      <c r="D325" s="202"/>
      <c r="E325" s="304"/>
      <c r="F325" s="211"/>
      <c r="G325" s="203"/>
      <c r="H325" s="203"/>
      <c r="I325" s="295"/>
      <c r="J325" s="264" t="str">
        <f t="shared" si="4"/>
        <v/>
      </c>
      <c r="K325" s="265"/>
      <c r="L325" s="266"/>
      <c r="M325" s="266"/>
      <c r="N325" s="266"/>
      <c r="O325" s="266"/>
      <c r="P325" s="266"/>
      <c r="Q325" s="266"/>
      <c r="R325" s="266"/>
    </row>
    <row r="326" spans="1:21" ht="30" customHeight="1">
      <c r="A326" s="204" t="str">
        <f>IF(ISBLANK(D326)," ",228-COUNTBLANK($D$6:D326))</f>
        <v xml:space="preserve"> </v>
      </c>
      <c r="B326" s="202"/>
      <c r="C326" s="202"/>
      <c r="D326" s="202"/>
      <c r="E326" s="304"/>
      <c r="F326" s="211"/>
      <c r="G326" s="203"/>
      <c r="H326" s="203"/>
      <c r="I326" s="295"/>
      <c r="J326" s="264" t="str">
        <f t="shared" ref="J326:J389" si="5">CONCATENATE(D326,G326)</f>
        <v/>
      </c>
      <c r="K326" s="267"/>
      <c r="L326" s="266"/>
      <c r="M326" s="266"/>
      <c r="N326" s="266"/>
      <c r="O326" s="266"/>
      <c r="P326" s="266"/>
      <c r="Q326" s="266"/>
      <c r="R326" s="268"/>
    </row>
    <row r="327" spans="1:21" ht="30" customHeight="1">
      <c r="A327" s="204" t="str">
        <f>IF(ISBLANK(D327)," ",229-COUNTBLANK($D$6:D327))</f>
        <v xml:space="preserve"> </v>
      </c>
      <c r="B327" s="202"/>
      <c r="C327" s="202"/>
      <c r="D327" s="202"/>
      <c r="E327" s="304"/>
      <c r="F327" s="211"/>
      <c r="G327" s="203"/>
      <c r="H327" s="203"/>
      <c r="I327" s="295"/>
      <c r="J327" s="264" t="str">
        <f t="shared" si="5"/>
        <v/>
      </c>
      <c r="K327" s="267"/>
      <c r="L327" s="266"/>
      <c r="M327" s="266"/>
      <c r="N327" s="266"/>
      <c r="O327" s="266"/>
      <c r="P327" s="266"/>
      <c r="Q327" s="266"/>
      <c r="R327" s="268"/>
    </row>
    <row r="328" spans="1:21" ht="30" customHeight="1">
      <c r="A328" s="204" t="str">
        <f>IF(ISBLANK(D328)," ",230-COUNTBLANK($D$6:D328))</f>
        <v xml:space="preserve"> </v>
      </c>
      <c r="B328" s="202"/>
      <c r="C328" s="202"/>
      <c r="D328" s="202"/>
      <c r="E328" s="304"/>
      <c r="F328" s="211"/>
      <c r="G328" s="203"/>
      <c r="H328" s="203"/>
      <c r="I328" s="295"/>
      <c r="J328" s="264" t="str">
        <f t="shared" si="5"/>
        <v/>
      </c>
      <c r="K328" s="267"/>
      <c r="L328" s="266"/>
      <c r="M328" s="266"/>
      <c r="N328" s="266"/>
      <c r="O328" s="266"/>
      <c r="P328" s="266"/>
      <c r="Q328" s="266"/>
      <c r="R328" s="268"/>
    </row>
    <row r="329" spans="1:21" ht="30" customHeight="1">
      <c r="A329" s="308" t="str">
        <f>IF(ISBLANK(D329)," ",232-COUNTBLANK($D$6:D329))</f>
        <v xml:space="preserve"> </v>
      </c>
      <c r="B329" s="300"/>
      <c r="C329" s="309"/>
      <c r="D329" s="310"/>
      <c r="E329" s="301"/>
      <c r="F329" s="302"/>
      <c r="G329" s="286"/>
      <c r="H329" s="286"/>
      <c r="I329" s="307"/>
      <c r="J329" s="264" t="str">
        <f t="shared" si="5"/>
        <v/>
      </c>
      <c r="K329" s="265"/>
      <c r="L329" s="266"/>
      <c r="M329" s="266"/>
      <c r="N329" s="266"/>
      <c r="O329" s="266"/>
      <c r="P329" s="266"/>
      <c r="Q329" s="266"/>
      <c r="R329" s="288"/>
      <c r="S329" s="266"/>
      <c r="T329" s="266"/>
      <c r="U329" s="266"/>
    </row>
    <row r="330" spans="1:21" ht="30" customHeight="1">
      <c r="A330" s="261" t="str">
        <f>IF(ISBLANK(D330)," ",233-COUNTBLANK($D$6:D330))</f>
        <v xml:space="preserve"> </v>
      </c>
      <c r="B330" s="200"/>
      <c r="C330" s="200"/>
      <c r="D330" s="200"/>
      <c r="E330" s="303"/>
      <c r="F330" s="210"/>
      <c r="G330" s="201"/>
      <c r="H330" s="201"/>
      <c r="I330" s="295"/>
      <c r="J330" s="264" t="str">
        <f t="shared" si="5"/>
        <v/>
      </c>
      <c r="K330" s="267"/>
      <c r="L330" s="266"/>
      <c r="M330" s="266"/>
      <c r="N330" s="266"/>
      <c r="O330" s="266"/>
      <c r="P330" s="266"/>
      <c r="Q330" s="266"/>
      <c r="R330" s="288"/>
      <c r="S330" s="266"/>
      <c r="T330" s="266"/>
      <c r="U330" s="266"/>
    </row>
    <row r="331" spans="1:21" ht="30" customHeight="1">
      <c r="A331" s="204" t="str">
        <f>IF(ISBLANK(D331)," ",234-COUNTBLANK($D$6:D331))</f>
        <v xml:space="preserve"> </v>
      </c>
      <c r="B331" s="202"/>
      <c r="C331" s="202"/>
      <c r="D331" s="202"/>
      <c r="E331" s="304"/>
      <c r="F331" s="211"/>
      <c r="G331" s="203"/>
      <c r="H331" s="203"/>
      <c r="I331" s="295"/>
      <c r="J331" s="264" t="str">
        <f t="shared" si="5"/>
        <v/>
      </c>
      <c r="K331" s="265"/>
      <c r="L331" s="266"/>
      <c r="M331" s="266"/>
      <c r="N331" s="266"/>
      <c r="O331" s="266"/>
      <c r="P331" s="266"/>
      <c r="Q331" s="266"/>
      <c r="R331" s="266"/>
    </row>
    <row r="332" spans="1:21" ht="30" customHeight="1">
      <c r="A332" s="204" t="str">
        <f>IF(ISBLANK(D332)," ",235-COUNTBLANK($D$6:D332))</f>
        <v xml:space="preserve"> </v>
      </c>
      <c r="B332" s="202"/>
      <c r="C332" s="202"/>
      <c r="D332" s="202"/>
      <c r="E332" s="304"/>
      <c r="F332" s="211"/>
      <c r="G332" s="203"/>
      <c r="H332" s="203"/>
      <c r="I332" s="295"/>
      <c r="J332" s="264" t="str">
        <f t="shared" si="5"/>
        <v/>
      </c>
      <c r="K332" s="265"/>
      <c r="L332" s="266"/>
      <c r="M332" s="266"/>
      <c r="N332" s="266"/>
      <c r="O332" s="266"/>
      <c r="P332" s="266"/>
      <c r="Q332" s="266"/>
      <c r="R332" s="266"/>
    </row>
    <row r="333" spans="1:21" ht="30" customHeight="1">
      <c r="A333" s="204" t="str">
        <f>IF(ISBLANK(D333)," ",236-COUNTBLANK($D$6:D333))</f>
        <v xml:space="preserve"> </v>
      </c>
      <c r="B333" s="202"/>
      <c r="C333" s="202"/>
      <c r="D333" s="202"/>
      <c r="E333" s="304"/>
      <c r="F333" s="211"/>
      <c r="G333" s="203"/>
      <c r="H333" s="203"/>
      <c r="I333" s="295"/>
      <c r="J333" s="264" t="str">
        <f t="shared" si="5"/>
        <v/>
      </c>
      <c r="K333" s="265"/>
      <c r="L333" s="266"/>
      <c r="M333" s="266"/>
      <c r="N333" s="266"/>
      <c r="O333" s="266"/>
      <c r="P333" s="266"/>
      <c r="Q333" s="266"/>
      <c r="R333" s="266"/>
    </row>
    <row r="334" spans="1:21" ht="30" customHeight="1">
      <c r="A334" s="204" t="str">
        <f>IF(ISBLANK(D334)," ",237-COUNTBLANK($D$6:D334))</f>
        <v xml:space="preserve"> </v>
      </c>
      <c r="B334" s="202"/>
      <c r="C334" s="202"/>
      <c r="D334" s="202"/>
      <c r="E334" s="304"/>
      <c r="F334" s="211"/>
      <c r="G334" s="203"/>
      <c r="H334" s="203"/>
      <c r="I334" s="295"/>
      <c r="J334" s="264" t="str">
        <f t="shared" si="5"/>
        <v/>
      </c>
      <c r="K334" s="265"/>
      <c r="L334" s="266"/>
      <c r="M334" s="266"/>
      <c r="N334" s="266"/>
      <c r="O334" s="266"/>
      <c r="P334" s="266"/>
      <c r="Q334" s="266"/>
      <c r="R334" s="266"/>
    </row>
    <row r="335" spans="1:21" ht="30" customHeight="1">
      <c r="A335" s="204" t="str">
        <f>IF(ISBLANK(D335)," ",238-COUNTBLANK($D$6:D335))</f>
        <v xml:space="preserve"> </v>
      </c>
      <c r="B335" s="202"/>
      <c r="C335" s="202"/>
      <c r="D335" s="202"/>
      <c r="E335" s="304"/>
      <c r="F335" s="211"/>
      <c r="G335" s="203"/>
      <c r="H335" s="203"/>
      <c r="I335" s="295"/>
      <c r="J335" s="264" t="str">
        <f t="shared" si="5"/>
        <v/>
      </c>
      <c r="K335" s="265"/>
      <c r="L335" s="266"/>
      <c r="M335" s="266"/>
      <c r="N335" s="266"/>
      <c r="O335" s="266"/>
      <c r="P335" s="266"/>
      <c r="Q335" s="266"/>
      <c r="R335" s="266"/>
    </row>
    <row r="336" spans="1:21" ht="30" customHeight="1">
      <c r="A336" s="204" t="str">
        <f>IF(ISBLANK(D336)," ",239-COUNTBLANK($D$6:D336))</f>
        <v xml:space="preserve"> </v>
      </c>
      <c r="B336" s="202"/>
      <c r="C336" s="202"/>
      <c r="D336" s="202"/>
      <c r="E336" s="304"/>
      <c r="F336" s="211"/>
      <c r="G336" s="203"/>
      <c r="H336" s="203"/>
      <c r="I336" s="295"/>
      <c r="J336" s="264" t="str">
        <f t="shared" si="5"/>
        <v/>
      </c>
      <c r="K336" s="265"/>
      <c r="L336" s="266"/>
      <c r="M336" s="266"/>
      <c r="N336" s="266"/>
      <c r="O336" s="266"/>
      <c r="P336" s="266"/>
      <c r="Q336" s="266"/>
      <c r="R336" s="266"/>
    </row>
    <row r="337" spans="1:21" ht="30" customHeight="1">
      <c r="A337" s="204" t="str">
        <f>IF(ISBLANK(D337)," ",240-COUNTBLANK($D$6:D337))</f>
        <v xml:space="preserve"> </v>
      </c>
      <c r="B337" s="202"/>
      <c r="C337" s="202"/>
      <c r="D337" s="202"/>
      <c r="E337" s="304"/>
      <c r="F337" s="211"/>
      <c r="G337" s="203"/>
      <c r="H337" s="203"/>
      <c r="I337" s="295"/>
      <c r="J337" s="264" t="str">
        <f t="shared" si="5"/>
        <v/>
      </c>
      <c r="K337" s="265"/>
      <c r="L337" s="266"/>
      <c r="M337" s="266"/>
      <c r="N337" s="266"/>
      <c r="O337" s="266"/>
      <c r="P337" s="266"/>
      <c r="Q337" s="266"/>
      <c r="R337" s="266"/>
    </row>
    <row r="338" spans="1:21" ht="30" customHeight="1">
      <c r="A338" s="204" t="str">
        <f>IF(ISBLANK(D338)," ",241-COUNTBLANK($D$6:D338))</f>
        <v xml:space="preserve"> </v>
      </c>
      <c r="B338" s="202"/>
      <c r="C338" s="202"/>
      <c r="D338" s="202"/>
      <c r="E338" s="304"/>
      <c r="F338" s="211"/>
      <c r="G338" s="203"/>
      <c r="H338" s="203"/>
      <c r="I338" s="295"/>
      <c r="J338" s="264" t="str">
        <f t="shared" si="5"/>
        <v/>
      </c>
      <c r="K338" s="265"/>
      <c r="L338" s="266"/>
      <c r="M338" s="266"/>
      <c r="N338" s="266"/>
      <c r="O338" s="266"/>
      <c r="P338" s="266"/>
      <c r="Q338" s="266"/>
      <c r="R338" s="266"/>
    </row>
    <row r="339" spans="1:21" ht="30" customHeight="1">
      <c r="A339" s="204" t="str">
        <f>IF(ISBLANK(D339)," ",242-COUNTBLANK($D$6:D339))</f>
        <v xml:space="preserve"> </v>
      </c>
      <c r="B339" s="202"/>
      <c r="C339" s="202"/>
      <c r="D339" s="202"/>
      <c r="E339" s="304"/>
      <c r="F339" s="211"/>
      <c r="G339" s="203"/>
      <c r="H339" s="203"/>
      <c r="I339" s="295"/>
      <c r="J339" s="264" t="str">
        <f t="shared" si="5"/>
        <v/>
      </c>
      <c r="K339" s="265"/>
      <c r="L339" s="266"/>
      <c r="M339" s="266"/>
      <c r="N339" s="266"/>
      <c r="O339" s="266"/>
      <c r="P339" s="266"/>
      <c r="Q339" s="266"/>
      <c r="R339" s="266"/>
    </row>
    <row r="340" spans="1:21" ht="30" customHeight="1">
      <c r="A340" s="204" t="str">
        <f>IF(ISBLANK(D340)," ",243-COUNTBLANK($D$6:D340))</f>
        <v xml:space="preserve"> </v>
      </c>
      <c r="B340" s="202"/>
      <c r="C340" s="202"/>
      <c r="D340" s="202"/>
      <c r="E340" s="304"/>
      <c r="F340" s="211"/>
      <c r="G340" s="203"/>
      <c r="H340" s="203"/>
      <c r="I340" s="295"/>
      <c r="J340" s="264" t="str">
        <f t="shared" si="5"/>
        <v/>
      </c>
      <c r="K340" s="265"/>
      <c r="L340" s="266"/>
      <c r="M340" s="266"/>
      <c r="N340" s="266"/>
      <c r="O340" s="266"/>
      <c r="P340" s="266"/>
      <c r="Q340" s="266"/>
      <c r="R340" s="266"/>
    </row>
    <row r="341" spans="1:21" ht="30" customHeight="1">
      <c r="A341" s="204" t="str">
        <f>IF(ISBLANK(D341)," ",244-COUNTBLANK($D$6:D341))</f>
        <v xml:space="preserve"> </v>
      </c>
      <c r="B341" s="202"/>
      <c r="C341" s="202"/>
      <c r="D341" s="202"/>
      <c r="E341" s="304"/>
      <c r="F341" s="211"/>
      <c r="G341" s="203"/>
      <c r="H341" s="203"/>
      <c r="I341" s="295"/>
      <c r="J341" s="264" t="str">
        <f t="shared" si="5"/>
        <v/>
      </c>
      <c r="K341" s="265"/>
      <c r="L341" s="266"/>
      <c r="M341" s="266"/>
      <c r="N341" s="266"/>
      <c r="O341" s="266"/>
      <c r="P341" s="266"/>
      <c r="Q341" s="266"/>
      <c r="R341" s="266"/>
    </row>
    <row r="342" spans="1:21" ht="30" customHeight="1">
      <c r="A342" s="204" t="str">
        <f>IF(ISBLANK(D342)," ",245-COUNTBLANK($D$6:D342))</f>
        <v xml:space="preserve"> </v>
      </c>
      <c r="B342" s="202"/>
      <c r="C342" s="202"/>
      <c r="D342" s="202"/>
      <c r="E342" s="304"/>
      <c r="F342" s="211"/>
      <c r="G342" s="203"/>
      <c r="H342" s="203"/>
      <c r="I342" s="295"/>
      <c r="J342" s="264" t="str">
        <f t="shared" si="5"/>
        <v/>
      </c>
      <c r="K342" s="265"/>
      <c r="L342" s="266"/>
      <c r="M342" s="266"/>
      <c r="N342" s="266"/>
      <c r="O342" s="266"/>
      <c r="P342" s="266"/>
      <c r="Q342" s="266"/>
      <c r="R342" s="266"/>
    </row>
    <row r="343" spans="1:21" ht="30" customHeight="1">
      <c r="A343" s="204" t="str">
        <f>IF(ISBLANK(D343)," ",246-COUNTBLANK($D$6:D343))</f>
        <v xml:space="preserve"> </v>
      </c>
      <c r="B343" s="202"/>
      <c r="C343" s="202"/>
      <c r="D343" s="202"/>
      <c r="E343" s="304"/>
      <c r="F343" s="211"/>
      <c r="G343" s="203"/>
      <c r="H343" s="203"/>
      <c r="I343" s="295"/>
      <c r="J343" s="264" t="str">
        <f t="shared" si="5"/>
        <v/>
      </c>
      <c r="K343" s="265"/>
      <c r="L343" s="266"/>
      <c r="M343" s="266"/>
      <c r="N343" s="266"/>
      <c r="O343" s="266"/>
      <c r="P343" s="266"/>
      <c r="Q343" s="266"/>
      <c r="R343" s="266"/>
    </row>
    <row r="344" spans="1:21" ht="30" customHeight="1">
      <c r="A344" s="204" t="str">
        <f>IF(ISBLANK(D344)," ",247-COUNTBLANK($D$6:D344))</f>
        <v xml:space="preserve"> </v>
      </c>
      <c r="B344" s="202"/>
      <c r="C344" s="202"/>
      <c r="D344" s="202"/>
      <c r="E344" s="304"/>
      <c r="F344" s="211"/>
      <c r="G344" s="203"/>
      <c r="H344" s="203"/>
      <c r="I344" s="295"/>
      <c r="J344" s="264" t="str">
        <f t="shared" si="5"/>
        <v/>
      </c>
      <c r="K344" s="265"/>
      <c r="L344" s="266"/>
      <c r="M344" s="266"/>
      <c r="N344" s="266"/>
      <c r="O344" s="266"/>
      <c r="P344" s="266"/>
      <c r="Q344" s="266"/>
      <c r="R344" s="266"/>
    </row>
    <row r="345" spans="1:21" ht="30" customHeight="1">
      <c r="A345" s="204" t="str">
        <f>IF(ISBLANK(D345)," ",248-COUNTBLANK($D$6:D345))</f>
        <v xml:space="preserve"> </v>
      </c>
      <c r="B345" s="202"/>
      <c r="C345" s="202"/>
      <c r="D345" s="202"/>
      <c r="E345" s="304"/>
      <c r="F345" s="211"/>
      <c r="G345" s="203"/>
      <c r="H345" s="203"/>
      <c r="I345" s="295"/>
      <c r="J345" s="264" t="str">
        <f t="shared" si="5"/>
        <v/>
      </c>
      <c r="K345" s="265"/>
      <c r="L345" s="266"/>
      <c r="M345" s="266"/>
      <c r="N345" s="266"/>
      <c r="O345" s="266"/>
      <c r="P345" s="266"/>
      <c r="Q345" s="266"/>
      <c r="R345" s="266"/>
    </row>
    <row r="346" spans="1:21" ht="30" customHeight="1">
      <c r="A346" s="204" t="str">
        <f>IF(ISBLANK(D346)," ",249-COUNTBLANK($D$6:D346))</f>
        <v xml:space="preserve"> </v>
      </c>
      <c r="B346" s="202"/>
      <c r="C346" s="202"/>
      <c r="D346" s="202"/>
      <c r="E346" s="304"/>
      <c r="F346" s="211"/>
      <c r="G346" s="203"/>
      <c r="H346" s="203"/>
      <c r="I346" s="295"/>
      <c r="J346" s="264" t="str">
        <f t="shared" si="5"/>
        <v/>
      </c>
      <c r="K346" s="267"/>
      <c r="L346" s="266"/>
      <c r="M346" s="266"/>
      <c r="N346" s="266"/>
      <c r="O346" s="266"/>
      <c r="P346" s="266"/>
      <c r="Q346" s="266"/>
      <c r="R346" s="268"/>
    </row>
    <row r="347" spans="1:21" ht="30" customHeight="1">
      <c r="A347" s="204" t="str">
        <f>IF(ISBLANK(D347)," ",250-COUNTBLANK($D$6:D347))</f>
        <v xml:space="preserve"> </v>
      </c>
      <c r="B347" s="202"/>
      <c r="C347" s="202"/>
      <c r="D347" s="202"/>
      <c r="E347" s="304"/>
      <c r="F347" s="211"/>
      <c r="G347" s="203"/>
      <c r="H347" s="203"/>
      <c r="I347" s="295"/>
      <c r="J347" s="264" t="str">
        <f t="shared" si="5"/>
        <v/>
      </c>
      <c r="K347" s="267"/>
      <c r="L347" s="266"/>
      <c r="M347" s="266"/>
      <c r="N347" s="266"/>
      <c r="O347" s="266"/>
      <c r="P347" s="266"/>
      <c r="Q347" s="266"/>
      <c r="R347" s="268"/>
    </row>
    <row r="348" spans="1:21" ht="30" customHeight="1">
      <c r="A348" s="204" t="str">
        <f>IF(ISBLANK(D348)," ",251-COUNTBLANK($D$6:D348))</f>
        <v xml:space="preserve"> </v>
      </c>
      <c r="B348" s="202"/>
      <c r="C348" s="202"/>
      <c r="D348" s="202"/>
      <c r="E348" s="304"/>
      <c r="F348" s="211"/>
      <c r="G348" s="203"/>
      <c r="H348" s="203"/>
      <c r="I348" s="295"/>
      <c r="J348" s="264" t="str">
        <f t="shared" si="5"/>
        <v/>
      </c>
      <c r="K348" s="267"/>
      <c r="L348" s="266"/>
      <c r="M348" s="266"/>
      <c r="N348" s="266"/>
      <c r="O348" s="266"/>
      <c r="P348" s="266"/>
      <c r="Q348" s="266"/>
      <c r="R348" s="268"/>
    </row>
    <row r="349" spans="1:21" ht="30" customHeight="1">
      <c r="A349" s="308" t="str">
        <f>IF(ISBLANK(D349)," ",253-COUNTBLANK($D$6:D349))</f>
        <v xml:space="preserve"> </v>
      </c>
      <c r="B349" s="300"/>
      <c r="C349" s="309"/>
      <c r="D349" s="310"/>
      <c r="E349" s="301"/>
      <c r="F349" s="302"/>
      <c r="G349" s="286"/>
      <c r="H349" s="286"/>
      <c r="I349" s="307"/>
      <c r="J349" s="264" t="str">
        <f t="shared" si="5"/>
        <v/>
      </c>
      <c r="K349" s="265"/>
      <c r="L349" s="266"/>
      <c r="M349" s="266"/>
      <c r="N349" s="266"/>
      <c r="O349" s="266"/>
      <c r="P349" s="266"/>
      <c r="Q349" s="266"/>
      <c r="R349" s="288"/>
      <c r="S349" s="266"/>
      <c r="T349" s="266"/>
      <c r="U349" s="266"/>
    </row>
    <row r="350" spans="1:21" ht="30" customHeight="1">
      <c r="A350" s="261" t="str">
        <f>IF(ISBLANK(D350)," ",254-COUNTBLANK($D$6:D350))</f>
        <v xml:space="preserve"> </v>
      </c>
      <c r="B350" s="200"/>
      <c r="C350" s="200"/>
      <c r="D350" s="200"/>
      <c r="E350" s="303"/>
      <c r="F350" s="210"/>
      <c r="G350" s="201"/>
      <c r="H350" s="201"/>
      <c r="I350" s="295"/>
      <c r="J350" s="264" t="str">
        <f t="shared" si="5"/>
        <v/>
      </c>
      <c r="K350" s="267"/>
      <c r="L350" s="266"/>
      <c r="M350" s="266"/>
      <c r="N350" s="266"/>
      <c r="O350" s="266"/>
      <c r="P350" s="266"/>
      <c r="Q350" s="266"/>
      <c r="R350" s="288"/>
      <c r="S350" s="266"/>
      <c r="T350" s="266"/>
      <c r="U350" s="266"/>
    </row>
    <row r="351" spans="1:21" ht="30" customHeight="1">
      <c r="A351" s="204" t="str">
        <f>IF(ISBLANK(D351)," ",255-COUNTBLANK($D$6:D351))</f>
        <v xml:space="preserve"> </v>
      </c>
      <c r="B351" s="202"/>
      <c r="C351" s="202"/>
      <c r="D351" s="202"/>
      <c r="E351" s="304"/>
      <c r="F351" s="211"/>
      <c r="G351" s="203"/>
      <c r="H351" s="203"/>
      <c r="I351" s="295"/>
      <c r="J351" s="264" t="str">
        <f t="shared" si="5"/>
        <v/>
      </c>
      <c r="K351" s="265"/>
      <c r="L351" s="266"/>
      <c r="M351" s="266"/>
      <c r="N351" s="266"/>
      <c r="O351" s="266"/>
      <c r="P351" s="266"/>
      <c r="Q351" s="266"/>
      <c r="R351" s="266"/>
    </row>
    <row r="352" spans="1:21" ht="30" customHeight="1">
      <c r="A352" s="204" t="str">
        <f>IF(ISBLANK(D352)," ",256-COUNTBLANK($D$6:D352))</f>
        <v xml:space="preserve"> </v>
      </c>
      <c r="B352" s="202"/>
      <c r="C352" s="202"/>
      <c r="D352" s="202"/>
      <c r="E352" s="304"/>
      <c r="F352" s="211"/>
      <c r="G352" s="203"/>
      <c r="H352" s="203"/>
      <c r="I352" s="295"/>
      <c r="J352" s="264" t="str">
        <f t="shared" si="5"/>
        <v/>
      </c>
      <c r="K352" s="265"/>
      <c r="L352" s="266"/>
      <c r="M352" s="266"/>
      <c r="N352" s="266"/>
      <c r="O352" s="266"/>
      <c r="P352" s="266"/>
      <c r="Q352" s="266"/>
      <c r="R352" s="266"/>
    </row>
    <row r="353" spans="1:18" ht="30" customHeight="1">
      <c r="A353" s="204" t="str">
        <f>IF(ISBLANK(D353)," ",257-COUNTBLANK($D$6:D353))</f>
        <v xml:space="preserve"> </v>
      </c>
      <c r="B353" s="202"/>
      <c r="C353" s="202"/>
      <c r="D353" s="202"/>
      <c r="E353" s="304"/>
      <c r="F353" s="211"/>
      <c r="G353" s="203"/>
      <c r="H353" s="203"/>
      <c r="I353" s="295"/>
      <c r="J353" s="264" t="str">
        <f t="shared" si="5"/>
        <v/>
      </c>
      <c r="K353" s="265"/>
      <c r="L353" s="266"/>
      <c r="M353" s="266"/>
      <c r="N353" s="266"/>
      <c r="O353" s="266"/>
      <c r="P353" s="266"/>
      <c r="Q353" s="266"/>
      <c r="R353" s="266"/>
    </row>
    <row r="354" spans="1:18" ht="30" customHeight="1">
      <c r="A354" s="204" t="str">
        <f>IF(ISBLANK(D354)," ",258-COUNTBLANK($D$6:D354))</f>
        <v xml:space="preserve"> </v>
      </c>
      <c r="B354" s="202"/>
      <c r="C354" s="202"/>
      <c r="D354" s="202"/>
      <c r="E354" s="304"/>
      <c r="F354" s="211"/>
      <c r="G354" s="203"/>
      <c r="H354" s="203"/>
      <c r="I354" s="295"/>
      <c r="J354" s="264" t="str">
        <f t="shared" si="5"/>
        <v/>
      </c>
      <c r="K354" s="265"/>
      <c r="L354" s="266"/>
      <c r="M354" s="266"/>
      <c r="N354" s="266"/>
      <c r="O354" s="266"/>
      <c r="P354" s="266"/>
      <c r="Q354" s="266"/>
      <c r="R354" s="266"/>
    </row>
    <row r="355" spans="1:18" ht="30" customHeight="1">
      <c r="A355" s="204" t="str">
        <f>IF(ISBLANK(D355)," ",259-COUNTBLANK($D$6:D355))</f>
        <v xml:space="preserve"> </v>
      </c>
      <c r="B355" s="202"/>
      <c r="C355" s="202"/>
      <c r="D355" s="202"/>
      <c r="E355" s="304"/>
      <c r="F355" s="211"/>
      <c r="G355" s="203"/>
      <c r="H355" s="203"/>
      <c r="I355" s="295"/>
      <c r="J355" s="264" t="str">
        <f t="shared" si="5"/>
        <v/>
      </c>
      <c r="K355" s="265"/>
      <c r="L355" s="266"/>
      <c r="M355" s="266"/>
      <c r="N355" s="266"/>
      <c r="O355" s="266"/>
      <c r="P355" s="266"/>
      <c r="Q355" s="266"/>
      <c r="R355" s="266"/>
    </row>
    <row r="356" spans="1:18" ht="30" customHeight="1">
      <c r="A356" s="204" t="str">
        <f>IF(ISBLANK(D356)," ",260-COUNTBLANK($D$6:D356))</f>
        <v xml:space="preserve"> </v>
      </c>
      <c r="B356" s="202"/>
      <c r="C356" s="202"/>
      <c r="D356" s="202"/>
      <c r="E356" s="304"/>
      <c r="F356" s="211"/>
      <c r="G356" s="203"/>
      <c r="H356" s="203"/>
      <c r="I356" s="295"/>
      <c r="J356" s="264" t="str">
        <f t="shared" si="5"/>
        <v/>
      </c>
      <c r="K356" s="265"/>
      <c r="L356" s="266"/>
      <c r="M356" s="266"/>
      <c r="N356" s="266"/>
      <c r="O356" s="266"/>
      <c r="P356" s="266"/>
      <c r="Q356" s="266"/>
      <c r="R356" s="266"/>
    </row>
    <row r="357" spans="1:18" ht="30" customHeight="1">
      <c r="A357" s="204" t="str">
        <f>IF(ISBLANK(D357)," ",261-COUNTBLANK($D$6:D357))</f>
        <v xml:space="preserve"> </v>
      </c>
      <c r="B357" s="202"/>
      <c r="C357" s="202"/>
      <c r="D357" s="202"/>
      <c r="E357" s="304"/>
      <c r="F357" s="211"/>
      <c r="G357" s="203"/>
      <c r="H357" s="203"/>
      <c r="I357" s="295"/>
      <c r="J357" s="264" t="str">
        <f t="shared" si="5"/>
        <v/>
      </c>
      <c r="K357" s="265"/>
      <c r="L357" s="266"/>
      <c r="M357" s="266"/>
      <c r="N357" s="266"/>
      <c r="O357" s="266"/>
      <c r="P357" s="266"/>
      <c r="Q357" s="266"/>
      <c r="R357" s="266"/>
    </row>
    <row r="358" spans="1:18" ht="30" customHeight="1">
      <c r="A358" s="204" t="str">
        <f>IF(ISBLANK(D358)," ",262-COUNTBLANK($D$6:D358))</f>
        <v xml:space="preserve"> </v>
      </c>
      <c r="B358" s="202"/>
      <c r="C358" s="202"/>
      <c r="D358" s="202"/>
      <c r="E358" s="304"/>
      <c r="F358" s="211"/>
      <c r="G358" s="203"/>
      <c r="H358" s="203"/>
      <c r="I358" s="295"/>
      <c r="J358" s="264" t="str">
        <f t="shared" si="5"/>
        <v/>
      </c>
      <c r="K358" s="265"/>
      <c r="L358" s="266"/>
      <c r="M358" s="266"/>
      <c r="N358" s="266"/>
      <c r="O358" s="266"/>
      <c r="P358" s="266"/>
      <c r="Q358" s="266"/>
      <c r="R358" s="266"/>
    </row>
    <row r="359" spans="1:18" ht="30" customHeight="1">
      <c r="A359" s="204" t="str">
        <f>IF(ISBLANK(D359)," ",263-COUNTBLANK($D$6:D359))</f>
        <v xml:space="preserve"> </v>
      </c>
      <c r="B359" s="202"/>
      <c r="C359" s="202"/>
      <c r="D359" s="202"/>
      <c r="E359" s="304"/>
      <c r="F359" s="211"/>
      <c r="G359" s="203"/>
      <c r="H359" s="203"/>
      <c r="I359" s="295"/>
      <c r="J359" s="264" t="str">
        <f t="shared" si="5"/>
        <v/>
      </c>
      <c r="K359" s="265"/>
      <c r="L359" s="266"/>
      <c r="M359" s="266"/>
      <c r="N359" s="266"/>
      <c r="O359" s="266"/>
      <c r="P359" s="266"/>
      <c r="Q359" s="266"/>
      <c r="R359" s="266"/>
    </row>
    <row r="360" spans="1:18" ht="30" customHeight="1">
      <c r="A360" s="204" t="str">
        <f>IF(ISBLANK(D360)," ",264-COUNTBLANK($D$6:D360))</f>
        <v xml:space="preserve"> </v>
      </c>
      <c r="B360" s="202"/>
      <c r="C360" s="202"/>
      <c r="D360" s="202"/>
      <c r="E360" s="304"/>
      <c r="F360" s="211"/>
      <c r="G360" s="203"/>
      <c r="H360" s="203"/>
      <c r="I360" s="295"/>
      <c r="J360" s="264" t="str">
        <f t="shared" si="5"/>
        <v/>
      </c>
      <c r="K360" s="265"/>
      <c r="L360" s="266"/>
      <c r="M360" s="266"/>
      <c r="N360" s="266"/>
      <c r="O360" s="266"/>
      <c r="P360" s="266"/>
      <c r="Q360" s="266"/>
      <c r="R360" s="266"/>
    </row>
    <row r="361" spans="1:18" ht="30" customHeight="1">
      <c r="A361" s="204" t="str">
        <f>IF(ISBLANK(D361)," ",265-COUNTBLANK($D$6:D361))</f>
        <v xml:space="preserve"> </v>
      </c>
      <c r="B361" s="202"/>
      <c r="C361" s="202"/>
      <c r="D361" s="202"/>
      <c r="E361" s="304"/>
      <c r="F361" s="211"/>
      <c r="G361" s="203"/>
      <c r="H361" s="203"/>
      <c r="I361" s="295"/>
      <c r="J361" s="264" t="str">
        <f t="shared" si="5"/>
        <v/>
      </c>
      <c r="K361" s="265"/>
      <c r="L361" s="266"/>
      <c r="M361" s="266"/>
      <c r="N361" s="266"/>
      <c r="O361" s="266"/>
      <c r="P361" s="266"/>
      <c r="Q361" s="266"/>
      <c r="R361" s="266"/>
    </row>
    <row r="362" spans="1:18" ht="30" customHeight="1">
      <c r="A362" s="204" t="str">
        <f>IF(ISBLANK(D362)," ",266-COUNTBLANK($D$6:D362))</f>
        <v xml:space="preserve"> </v>
      </c>
      <c r="B362" s="202"/>
      <c r="C362" s="202"/>
      <c r="D362" s="202"/>
      <c r="E362" s="304"/>
      <c r="F362" s="211"/>
      <c r="G362" s="203"/>
      <c r="H362" s="203"/>
      <c r="I362" s="295"/>
      <c r="J362" s="264" t="str">
        <f t="shared" si="5"/>
        <v/>
      </c>
      <c r="K362" s="265"/>
      <c r="L362" s="266"/>
      <c r="M362" s="266"/>
      <c r="N362" s="266"/>
      <c r="O362" s="266"/>
      <c r="P362" s="266"/>
      <c r="Q362" s="266"/>
      <c r="R362" s="266"/>
    </row>
    <row r="363" spans="1:18" ht="30" customHeight="1">
      <c r="A363" s="204" t="str">
        <f>IF(ISBLANK(D363)," ",267-COUNTBLANK($D$6:D363))</f>
        <v xml:space="preserve"> </v>
      </c>
      <c r="B363" s="202"/>
      <c r="C363" s="202"/>
      <c r="D363" s="202"/>
      <c r="E363" s="304"/>
      <c r="F363" s="211"/>
      <c r="G363" s="203"/>
      <c r="H363" s="203"/>
      <c r="I363" s="295"/>
      <c r="J363" s="264" t="str">
        <f t="shared" si="5"/>
        <v/>
      </c>
      <c r="K363" s="265"/>
      <c r="L363" s="266"/>
      <c r="M363" s="266"/>
      <c r="N363" s="266"/>
      <c r="O363" s="266"/>
      <c r="P363" s="266"/>
      <c r="Q363" s="266"/>
      <c r="R363" s="266"/>
    </row>
    <row r="364" spans="1:18" ht="30" customHeight="1">
      <c r="A364" s="204" t="str">
        <f>IF(ISBLANK(D364)," ",268-COUNTBLANK($D$6:D364))</f>
        <v xml:space="preserve"> </v>
      </c>
      <c r="B364" s="202"/>
      <c r="C364" s="202"/>
      <c r="D364" s="202"/>
      <c r="E364" s="304"/>
      <c r="F364" s="211"/>
      <c r="G364" s="203"/>
      <c r="H364" s="203"/>
      <c r="I364" s="295"/>
      <c r="J364" s="264" t="str">
        <f t="shared" si="5"/>
        <v/>
      </c>
      <c r="K364" s="265"/>
      <c r="L364" s="266"/>
      <c r="M364" s="266"/>
      <c r="N364" s="266"/>
      <c r="O364" s="266"/>
      <c r="P364" s="266"/>
      <c r="Q364" s="266"/>
      <c r="R364" s="266"/>
    </row>
    <row r="365" spans="1:18" ht="30" customHeight="1">
      <c r="A365" s="204" t="str">
        <f>IF(ISBLANK(D365)," ",269-COUNTBLANK($D$6:D365))</f>
        <v xml:space="preserve"> </v>
      </c>
      <c r="B365" s="202"/>
      <c r="C365" s="202"/>
      <c r="D365" s="202"/>
      <c r="E365" s="304"/>
      <c r="F365" s="211"/>
      <c r="G365" s="203"/>
      <c r="H365" s="203"/>
      <c r="I365" s="295"/>
      <c r="J365" s="264" t="str">
        <f t="shared" si="5"/>
        <v/>
      </c>
      <c r="K365" s="265"/>
      <c r="L365" s="266"/>
      <c r="M365" s="266"/>
      <c r="N365" s="266"/>
      <c r="O365" s="266"/>
      <c r="P365" s="266"/>
      <c r="Q365" s="266"/>
      <c r="R365" s="266"/>
    </row>
    <row r="366" spans="1:18" ht="30" customHeight="1">
      <c r="A366" s="204" t="str">
        <f>IF(ISBLANK(D366)," ",270-COUNTBLANK($D$6:D366))</f>
        <v xml:space="preserve"> </v>
      </c>
      <c r="B366" s="202"/>
      <c r="C366" s="202"/>
      <c r="D366" s="202"/>
      <c r="E366" s="304"/>
      <c r="F366" s="211"/>
      <c r="G366" s="203"/>
      <c r="H366" s="203"/>
      <c r="I366" s="295"/>
      <c r="J366" s="264" t="str">
        <f t="shared" si="5"/>
        <v/>
      </c>
      <c r="K366" s="267"/>
      <c r="L366" s="266"/>
      <c r="M366" s="266"/>
      <c r="N366" s="266"/>
      <c r="O366" s="266"/>
      <c r="P366" s="266"/>
      <c r="Q366" s="266"/>
      <c r="R366" s="268"/>
    </row>
    <row r="367" spans="1:18" ht="30" customHeight="1">
      <c r="A367" s="204" t="str">
        <f>IF(ISBLANK(D367)," ",271-COUNTBLANK($D$6:D367))</f>
        <v xml:space="preserve"> </v>
      </c>
      <c r="B367" s="202"/>
      <c r="C367" s="202"/>
      <c r="D367" s="202"/>
      <c r="E367" s="304"/>
      <c r="F367" s="211"/>
      <c r="G367" s="203"/>
      <c r="H367" s="203"/>
      <c r="I367" s="295"/>
      <c r="J367" s="264" t="str">
        <f t="shared" si="5"/>
        <v/>
      </c>
      <c r="K367" s="267"/>
      <c r="L367" s="266"/>
      <c r="M367" s="266"/>
      <c r="N367" s="266"/>
      <c r="O367" s="266"/>
      <c r="P367" s="266"/>
      <c r="Q367" s="266"/>
      <c r="R367" s="268"/>
    </row>
    <row r="368" spans="1:18" ht="30" customHeight="1">
      <c r="A368" s="204" t="str">
        <f>IF(ISBLANK(D368)," ",272-COUNTBLANK($D$6:D368))</f>
        <v xml:space="preserve"> </v>
      </c>
      <c r="B368" s="202"/>
      <c r="C368" s="202"/>
      <c r="D368" s="202"/>
      <c r="E368" s="304"/>
      <c r="F368" s="211"/>
      <c r="G368" s="203"/>
      <c r="H368" s="203"/>
      <c r="I368" s="295"/>
      <c r="J368" s="264" t="str">
        <f t="shared" si="5"/>
        <v/>
      </c>
      <c r="K368" s="267"/>
      <c r="L368" s="266"/>
      <c r="M368" s="266"/>
      <c r="N368" s="266"/>
      <c r="O368" s="266"/>
      <c r="P368" s="266"/>
      <c r="Q368" s="266"/>
      <c r="R368" s="268"/>
    </row>
    <row r="369" spans="1:21" ht="30" customHeight="1">
      <c r="A369" s="308" t="str">
        <f>IF(ISBLANK(D369)," ",274-COUNTBLANK($D$6:D369))</f>
        <v xml:space="preserve"> </v>
      </c>
      <c r="B369" s="300"/>
      <c r="C369" s="309"/>
      <c r="D369" s="310"/>
      <c r="E369" s="301"/>
      <c r="F369" s="302"/>
      <c r="G369" s="286"/>
      <c r="H369" s="286"/>
      <c r="I369" s="307"/>
      <c r="J369" s="264" t="str">
        <f t="shared" si="5"/>
        <v/>
      </c>
      <c r="K369" s="265"/>
      <c r="L369" s="266"/>
      <c r="M369" s="266"/>
      <c r="N369" s="266"/>
      <c r="O369" s="266"/>
      <c r="P369" s="266"/>
      <c r="Q369" s="266"/>
      <c r="R369" s="288"/>
      <c r="S369" s="266"/>
      <c r="T369" s="266"/>
      <c r="U369" s="266"/>
    </row>
    <row r="370" spans="1:21" ht="30" customHeight="1">
      <c r="A370" s="261" t="str">
        <f>IF(ISBLANK(D370)," ",275-COUNTBLANK($D$6:D370))</f>
        <v xml:space="preserve"> </v>
      </c>
      <c r="B370" s="200"/>
      <c r="C370" s="200"/>
      <c r="D370" s="200"/>
      <c r="E370" s="303"/>
      <c r="F370" s="210"/>
      <c r="G370" s="201"/>
      <c r="H370" s="201"/>
      <c r="I370" s="295"/>
      <c r="J370" s="264" t="str">
        <f t="shared" si="5"/>
        <v/>
      </c>
      <c r="K370" s="267"/>
      <c r="L370" s="266"/>
      <c r="M370" s="266"/>
      <c r="N370" s="266"/>
      <c r="O370" s="266"/>
      <c r="P370" s="266"/>
      <c r="Q370" s="266"/>
      <c r="R370" s="288"/>
      <c r="S370" s="266"/>
      <c r="T370" s="266"/>
      <c r="U370" s="266"/>
    </row>
    <row r="371" spans="1:21" ht="30" customHeight="1">
      <c r="A371" s="204" t="str">
        <f>IF(ISBLANK(D371)," ",276-COUNTBLANK($D$6:D371))</f>
        <v xml:space="preserve"> </v>
      </c>
      <c r="B371" s="202"/>
      <c r="C371" s="202"/>
      <c r="D371" s="202"/>
      <c r="E371" s="304"/>
      <c r="F371" s="211"/>
      <c r="G371" s="203"/>
      <c r="H371" s="203"/>
      <c r="I371" s="295"/>
      <c r="J371" s="264" t="str">
        <f t="shared" si="5"/>
        <v/>
      </c>
      <c r="K371" s="265"/>
      <c r="L371" s="266"/>
      <c r="M371" s="266"/>
      <c r="N371" s="266"/>
      <c r="O371" s="266"/>
      <c r="P371" s="266"/>
      <c r="Q371" s="266"/>
      <c r="R371" s="266"/>
    </row>
    <row r="372" spans="1:21" ht="30" customHeight="1">
      <c r="A372" s="204" t="str">
        <f>IF(ISBLANK(D372)," ",277-COUNTBLANK($D$6:D372))</f>
        <v xml:space="preserve"> </v>
      </c>
      <c r="B372" s="202"/>
      <c r="C372" s="202"/>
      <c r="D372" s="202"/>
      <c r="E372" s="304"/>
      <c r="F372" s="211"/>
      <c r="G372" s="203"/>
      <c r="H372" s="203"/>
      <c r="I372" s="295"/>
      <c r="J372" s="264" t="str">
        <f t="shared" si="5"/>
        <v/>
      </c>
      <c r="K372" s="265"/>
      <c r="L372" s="266"/>
      <c r="M372" s="266"/>
      <c r="N372" s="266"/>
      <c r="O372" s="266"/>
      <c r="P372" s="266"/>
      <c r="Q372" s="266"/>
      <c r="R372" s="266"/>
    </row>
    <row r="373" spans="1:21" ht="30" customHeight="1">
      <c r="A373" s="204" t="str">
        <f>IF(ISBLANK(D373)," ",278-COUNTBLANK($D$6:D373))</f>
        <v xml:space="preserve"> </v>
      </c>
      <c r="B373" s="202"/>
      <c r="C373" s="202"/>
      <c r="D373" s="202"/>
      <c r="E373" s="304"/>
      <c r="F373" s="211"/>
      <c r="G373" s="203"/>
      <c r="H373" s="203"/>
      <c r="I373" s="295"/>
      <c r="J373" s="264" t="str">
        <f t="shared" si="5"/>
        <v/>
      </c>
      <c r="K373" s="265"/>
      <c r="L373" s="266"/>
      <c r="M373" s="266"/>
      <c r="N373" s="266"/>
      <c r="O373" s="266"/>
      <c r="P373" s="266"/>
      <c r="Q373" s="266"/>
      <c r="R373" s="266"/>
    </row>
    <row r="374" spans="1:21" ht="30" customHeight="1">
      <c r="A374" s="204" t="str">
        <f>IF(ISBLANK(D374)," ",279-COUNTBLANK($D$6:D374))</f>
        <v xml:space="preserve"> </v>
      </c>
      <c r="B374" s="202"/>
      <c r="C374" s="202"/>
      <c r="D374" s="202"/>
      <c r="E374" s="304"/>
      <c r="F374" s="211"/>
      <c r="G374" s="203"/>
      <c r="H374" s="203"/>
      <c r="I374" s="295"/>
      <c r="J374" s="264" t="str">
        <f t="shared" si="5"/>
        <v/>
      </c>
      <c r="K374" s="265"/>
      <c r="L374" s="266"/>
      <c r="M374" s="266"/>
      <c r="N374" s="266"/>
      <c r="O374" s="266"/>
      <c r="P374" s="266"/>
      <c r="Q374" s="266"/>
      <c r="R374" s="266"/>
    </row>
    <row r="375" spans="1:21" ht="30" customHeight="1">
      <c r="A375" s="204" t="str">
        <f>IF(ISBLANK(D375)," ",280-COUNTBLANK($D$6:D375))</f>
        <v xml:space="preserve"> </v>
      </c>
      <c r="B375" s="202"/>
      <c r="C375" s="202"/>
      <c r="D375" s="202"/>
      <c r="E375" s="304"/>
      <c r="F375" s="211"/>
      <c r="G375" s="203"/>
      <c r="H375" s="203"/>
      <c r="I375" s="295"/>
      <c r="J375" s="264" t="str">
        <f t="shared" si="5"/>
        <v/>
      </c>
      <c r="K375" s="265"/>
      <c r="L375" s="266"/>
      <c r="M375" s="266"/>
      <c r="N375" s="266"/>
      <c r="O375" s="266"/>
      <c r="P375" s="266"/>
      <c r="Q375" s="266"/>
      <c r="R375" s="266"/>
    </row>
    <row r="376" spans="1:21" ht="30" customHeight="1">
      <c r="A376" s="204" t="str">
        <f>IF(ISBLANK(D376)," ",281-COUNTBLANK($D$6:D376))</f>
        <v xml:space="preserve"> </v>
      </c>
      <c r="B376" s="202"/>
      <c r="C376" s="202"/>
      <c r="D376" s="202"/>
      <c r="E376" s="304"/>
      <c r="F376" s="211"/>
      <c r="G376" s="203"/>
      <c r="H376" s="203"/>
      <c r="I376" s="295"/>
      <c r="J376" s="264" t="str">
        <f t="shared" si="5"/>
        <v/>
      </c>
      <c r="K376" s="265"/>
      <c r="L376" s="266"/>
      <c r="M376" s="266"/>
      <c r="N376" s="266"/>
      <c r="O376" s="266"/>
      <c r="P376" s="266"/>
      <c r="Q376" s="266"/>
      <c r="R376" s="266"/>
    </row>
    <row r="377" spans="1:21" ht="30" customHeight="1">
      <c r="A377" s="204" t="str">
        <f>IF(ISBLANK(D377)," ",282-COUNTBLANK($D$6:D377))</f>
        <v xml:space="preserve"> </v>
      </c>
      <c r="B377" s="202"/>
      <c r="C377" s="202"/>
      <c r="D377" s="202"/>
      <c r="E377" s="304"/>
      <c r="F377" s="211"/>
      <c r="G377" s="203"/>
      <c r="H377" s="203"/>
      <c r="I377" s="295"/>
      <c r="J377" s="264" t="str">
        <f t="shared" si="5"/>
        <v/>
      </c>
      <c r="K377" s="265"/>
      <c r="L377" s="266"/>
      <c r="M377" s="266"/>
      <c r="N377" s="266"/>
      <c r="O377" s="266"/>
      <c r="P377" s="266"/>
      <c r="Q377" s="266"/>
      <c r="R377" s="266"/>
    </row>
    <row r="378" spans="1:21" ht="30" customHeight="1">
      <c r="A378" s="204" t="str">
        <f>IF(ISBLANK(D378)," ",283-COUNTBLANK($D$6:D378))</f>
        <v xml:space="preserve"> </v>
      </c>
      <c r="B378" s="202"/>
      <c r="C378" s="202"/>
      <c r="D378" s="202"/>
      <c r="E378" s="304"/>
      <c r="F378" s="211"/>
      <c r="G378" s="203"/>
      <c r="H378" s="203"/>
      <c r="I378" s="295"/>
      <c r="J378" s="264" t="str">
        <f t="shared" si="5"/>
        <v/>
      </c>
      <c r="K378" s="265"/>
      <c r="L378" s="266"/>
      <c r="M378" s="266"/>
      <c r="N378" s="266"/>
      <c r="O378" s="266"/>
      <c r="P378" s="266"/>
      <c r="Q378" s="266"/>
      <c r="R378" s="266"/>
    </row>
    <row r="379" spans="1:21" ht="30" customHeight="1">
      <c r="A379" s="204" t="str">
        <f>IF(ISBLANK(D379)," ",284-COUNTBLANK($D$6:D379))</f>
        <v xml:space="preserve"> </v>
      </c>
      <c r="B379" s="202"/>
      <c r="C379" s="202"/>
      <c r="D379" s="202"/>
      <c r="E379" s="304"/>
      <c r="F379" s="211"/>
      <c r="G379" s="203"/>
      <c r="H379" s="203"/>
      <c r="I379" s="295"/>
      <c r="J379" s="264" t="str">
        <f t="shared" si="5"/>
        <v/>
      </c>
      <c r="K379" s="265"/>
      <c r="L379" s="266"/>
      <c r="M379" s="266"/>
      <c r="N379" s="266"/>
      <c r="O379" s="266"/>
      <c r="P379" s="266"/>
      <c r="Q379" s="266"/>
      <c r="R379" s="266"/>
    </row>
    <row r="380" spans="1:21" ht="30" customHeight="1">
      <c r="A380" s="204" t="str">
        <f>IF(ISBLANK(D380)," ",285-COUNTBLANK($D$6:D380))</f>
        <v xml:space="preserve"> </v>
      </c>
      <c r="B380" s="202"/>
      <c r="C380" s="202"/>
      <c r="D380" s="202"/>
      <c r="E380" s="304"/>
      <c r="F380" s="211"/>
      <c r="G380" s="203"/>
      <c r="H380" s="203"/>
      <c r="I380" s="295"/>
      <c r="J380" s="264" t="str">
        <f t="shared" si="5"/>
        <v/>
      </c>
      <c r="K380" s="265"/>
      <c r="L380" s="266"/>
      <c r="M380" s="266"/>
      <c r="N380" s="266"/>
      <c r="O380" s="266"/>
      <c r="P380" s="266"/>
      <c r="Q380" s="266"/>
      <c r="R380" s="266"/>
    </row>
    <row r="381" spans="1:21" ht="30" customHeight="1">
      <c r="A381" s="204" t="str">
        <f>IF(ISBLANK(D381)," ",286-COUNTBLANK($D$6:D381))</f>
        <v xml:space="preserve"> </v>
      </c>
      <c r="B381" s="202"/>
      <c r="C381" s="202"/>
      <c r="D381" s="202"/>
      <c r="E381" s="304"/>
      <c r="F381" s="211"/>
      <c r="G381" s="203"/>
      <c r="H381" s="203"/>
      <c r="I381" s="295"/>
      <c r="J381" s="264" t="str">
        <f t="shared" si="5"/>
        <v/>
      </c>
      <c r="K381" s="265"/>
      <c r="L381" s="266"/>
      <c r="M381" s="266"/>
      <c r="N381" s="266"/>
      <c r="O381" s="266"/>
      <c r="P381" s="266"/>
      <c r="Q381" s="266"/>
      <c r="R381" s="266"/>
    </row>
    <row r="382" spans="1:21" ht="30" customHeight="1">
      <c r="A382" s="204" t="str">
        <f>IF(ISBLANK(D382)," ",287-COUNTBLANK($D$6:D382))</f>
        <v xml:space="preserve"> </v>
      </c>
      <c r="B382" s="202"/>
      <c r="C382" s="202"/>
      <c r="D382" s="202"/>
      <c r="E382" s="304"/>
      <c r="F382" s="211"/>
      <c r="G382" s="203"/>
      <c r="H382" s="203"/>
      <c r="I382" s="295"/>
      <c r="J382" s="264" t="str">
        <f t="shared" si="5"/>
        <v/>
      </c>
      <c r="K382" s="265"/>
      <c r="L382" s="266"/>
      <c r="M382" s="266"/>
      <c r="N382" s="266"/>
      <c r="O382" s="266"/>
      <c r="P382" s="266"/>
      <c r="Q382" s="266"/>
      <c r="R382" s="266"/>
    </row>
    <row r="383" spans="1:21" ht="30" customHeight="1">
      <c r="A383" s="204" t="str">
        <f>IF(ISBLANK(D383)," ",288-COUNTBLANK($D$6:D383))</f>
        <v xml:space="preserve"> </v>
      </c>
      <c r="B383" s="202"/>
      <c r="C383" s="202"/>
      <c r="D383" s="202"/>
      <c r="E383" s="304"/>
      <c r="F383" s="211"/>
      <c r="G383" s="203"/>
      <c r="H383" s="203"/>
      <c r="I383" s="295"/>
      <c r="J383" s="264" t="str">
        <f t="shared" si="5"/>
        <v/>
      </c>
      <c r="K383" s="265"/>
      <c r="L383" s="266"/>
      <c r="M383" s="266"/>
      <c r="N383" s="266"/>
      <c r="O383" s="266"/>
      <c r="P383" s="266"/>
      <c r="Q383" s="266"/>
      <c r="R383" s="266"/>
    </row>
    <row r="384" spans="1:21" ht="30" customHeight="1">
      <c r="A384" s="204" t="str">
        <f>IF(ISBLANK(D384)," ",289-COUNTBLANK($D$6:D384))</f>
        <v xml:space="preserve"> </v>
      </c>
      <c r="B384" s="202"/>
      <c r="C384" s="202"/>
      <c r="D384" s="202"/>
      <c r="E384" s="304"/>
      <c r="F384" s="211"/>
      <c r="G384" s="203"/>
      <c r="H384" s="203"/>
      <c r="I384" s="295"/>
      <c r="J384" s="264" t="str">
        <f t="shared" si="5"/>
        <v/>
      </c>
      <c r="K384" s="265"/>
      <c r="L384" s="266"/>
      <c r="M384" s="266"/>
      <c r="N384" s="266"/>
      <c r="O384" s="266"/>
      <c r="P384" s="266"/>
      <c r="Q384" s="266"/>
      <c r="R384" s="266"/>
    </row>
    <row r="385" spans="1:21" ht="30" customHeight="1">
      <c r="A385" s="204" t="str">
        <f>IF(ISBLANK(D385)," ",290-COUNTBLANK($D$6:D385))</f>
        <v xml:space="preserve"> </v>
      </c>
      <c r="B385" s="202"/>
      <c r="C385" s="202"/>
      <c r="D385" s="202"/>
      <c r="E385" s="304"/>
      <c r="F385" s="211"/>
      <c r="G385" s="203"/>
      <c r="H385" s="203"/>
      <c r="I385" s="295"/>
      <c r="J385" s="264" t="str">
        <f t="shared" si="5"/>
        <v/>
      </c>
      <c r="K385" s="265"/>
      <c r="L385" s="266"/>
      <c r="M385" s="266"/>
      <c r="N385" s="266"/>
      <c r="O385" s="266"/>
      <c r="P385" s="266"/>
      <c r="Q385" s="266"/>
      <c r="R385" s="266"/>
    </row>
    <row r="386" spans="1:21" ht="30" customHeight="1">
      <c r="A386" s="204" t="str">
        <f>IF(ISBLANK(D386)," ",291-COUNTBLANK($D$6:D386))</f>
        <v xml:space="preserve"> </v>
      </c>
      <c r="B386" s="202"/>
      <c r="C386" s="202"/>
      <c r="D386" s="202"/>
      <c r="E386" s="304"/>
      <c r="F386" s="211"/>
      <c r="G386" s="203"/>
      <c r="H386" s="203"/>
      <c r="I386" s="295"/>
      <c r="J386" s="264" t="str">
        <f t="shared" si="5"/>
        <v/>
      </c>
      <c r="K386" s="267"/>
      <c r="L386" s="266"/>
      <c r="M386" s="266"/>
      <c r="N386" s="266"/>
      <c r="O386" s="266"/>
      <c r="P386" s="266"/>
      <c r="Q386" s="266"/>
      <c r="R386" s="268"/>
    </row>
    <row r="387" spans="1:21" ht="30" customHeight="1">
      <c r="A387" s="204" t="str">
        <f>IF(ISBLANK(D387)," ",292-COUNTBLANK($D$6:D387))</f>
        <v xml:space="preserve"> </v>
      </c>
      <c r="B387" s="202"/>
      <c r="C387" s="202"/>
      <c r="D387" s="202"/>
      <c r="E387" s="304"/>
      <c r="F387" s="211"/>
      <c r="G387" s="203"/>
      <c r="H387" s="203"/>
      <c r="I387" s="295"/>
      <c r="J387" s="264" t="str">
        <f t="shared" si="5"/>
        <v/>
      </c>
      <c r="K387" s="267"/>
      <c r="L387" s="266"/>
      <c r="M387" s="266"/>
      <c r="N387" s="266"/>
      <c r="O387" s="266"/>
      <c r="P387" s="266"/>
      <c r="Q387" s="266"/>
      <c r="R387" s="268"/>
    </row>
    <row r="388" spans="1:21" ht="30" customHeight="1">
      <c r="A388" s="204" t="str">
        <f>IF(ISBLANK(D388)," ",293-COUNTBLANK($D$6:D388))</f>
        <v xml:space="preserve"> </v>
      </c>
      <c r="B388" s="202"/>
      <c r="C388" s="202"/>
      <c r="D388" s="202"/>
      <c r="E388" s="304"/>
      <c r="F388" s="211"/>
      <c r="G388" s="203"/>
      <c r="H388" s="203"/>
      <c r="I388" s="295"/>
      <c r="J388" s="264" t="str">
        <f t="shared" si="5"/>
        <v/>
      </c>
      <c r="K388" s="267"/>
      <c r="L388" s="266"/>
      <c r="M388" s="266"/>
      <c r="N388" s="266"/>
      <c r="O388" s="266"/>
      <c r="P388" s="266"/>
      <c r="Q388" s="266"/>
      <c r="R388" s="268"/>
    </row>
    <row r="389" spans="1:21" ht="30" customHeight="1">
      <c r="A389" s="308" t="str">
        <f>IF(ISBLANK(D389)," ",295-COUNTBLANK($D$6:D389))</f>
        <v xml:space="preserve"> </v>
      </c>
      <c r="B389" s="300"/>
      <c r="C389" s="309"/>
      <c r="D389" s="310"/>
      <c r="E389" s="301"/>
      <c r="F389" s="302"/>
      <c r="G389" s="286"/>
      <c r="H389" s="286"/>
      <c r="I389" s="307"/>
      <c r="J389" s="264" t="str">
        <f t="shared" si="5"/>
        <v/>
      </c>
      <c r="K389" s="265"/>
      <c r="L389" s="266"/>
      <c r="M389" s="266"/>
      <c r="N389" s="266"/>
      <c r="O389" s="266"/>
      <c r="P389" s="266"/>
      <c r="Q389" s="266"/>
      <c r="R389" s="288"/>
      <c r="S389" s="266"/>
      <c r="T389" s="266"/>
      <c r="U389" s="266"/>
    </row>
    <row r="390" spans="1:21" ht="30" customHeight="1">
      <c r="A390" s="261" t="str">
        <f>IF(ISBLANK(D390)," ",296-COUNTBLANK($D$6:D390))</f>
        <v xml:space="preserve"> </v>
      </c>
      <c r="B390" s="200"/>
      <c r="C390" s="200"/>
      <c r="D390" s="200"/>
      <c r="E390" s="303"/>
      <c r="F390" s="210"/>
      <c r="G390" s="201"/>
      <c r="H390" s="201"/>
      <c r="I390" s="295"/>
      <c r="J390" s="264" t="str">
        <f t="shared" ref="J390:J453" si="6">CONCATENATE(D390,G390)</f>
        <v/>
      </c>
      <c r="K390" s="267"/>
      <c r="L390" s="266"/>
      <c r="M390" s="266"/>
      <c r="N390" s="266"/>
      <c r="O390" s="266"/>
      <c r="P390" s="266"/>
      <c r="Q390" s="266"/>
      <c r="R390" s="288"/>
      <c r="S390" s="266"/>
      <c r="T390" s="266"/>
      <c r="U390" s="266"/>
    </row>
    <row r="391" spans="1:21" ht="30" customHeight="1">
      <c r="A391" s="204" t="str">
        <f>IF(ISBLANK(D391)," ",297-COUNTBLANK($D$6:D391))</f>
        <v xml:space="preserve"> </v>
      </c>
      <c r="B391" s="202"/>
      <c r="C391" s="202"/>
      <c r="D391" s="202"/>
      <c r="E391" s="304"/>
      <c r="F391" s="211"/>
      <c r="G391" s="203"/>
      <c r="H391" s="203"/>
      <c r="I391" s="295"/>
      <c r="J391" s="264" t="str">
        <f t="shared" si="6"/>
        <v/>
      </c>
      <c r="K391" s="265"/>
      <c r="L391" s="266"/>
      <c r="M391" s="266"/>
      <c r="N391" s="266"/>
      <c r="O391" s="266"/>
      <c r="P391" s="266"/>
      <c r="Q391" s="266"/>
      <c r="R391" s="266"/>
    </row>
    <row r="392" spans="1:21" ht="30" customHeight="1">
      <c r="A392" s="204" t="str">
        <f>IF(ISBLANK(D392)," ",298-COUNTBLANK($D$6:D392))</f>
        <v xml:space="preserve"> </v>
      </c>
      <c r="B392" s="202"/>
      <c r="C392" s="202"/>
      <c r="D392" s="202"/>
      <c r="E392" s="304"/>
      <c r="F392" s="211"/>
      <c r="G392" s="203"/>
      <c r="H392" s="203"/>
      <c r="I392" s="295"/>
      <c r="J392" s="264" t="str">
        <f t="shared" si="6"/>
        <v/>
      </c>
      <c r="K392" s="265"/>
      <c r="L392" s="266"/>
      <c r="M392" s="266"/>
      <c r="N392" s="266"/>
      <c r="O392" s="266"/>
      <c r="P392" s="266"/>
      <c r="Q392" s="266"/>
      <c r="R392" s="266"/>
    </row>
    <row r="393" spans="1:21" ht="30" customHeight="1">
      <c r="A393" s="204" t="str">
        <f>IF(ISBLANK(D393)," ",299-COUNTBLANK($D$6:D393))</f>
        <v xml:space="preserve"> </v>
      </c>
      <c r="B393" s="202"/>
      <c r="C393" s="202"/>
      <c r="D393" s="202"/>
      <c r="E393" s="304"/>
      <c r="F393" s="211"/>
      <c r="G393" s="203"/>
      <c r="H393" s="203"/>
      <c r="I393" s="295"/>
      <c r="J393" s="264" t="str">
        <f t="shared" si="6"/>
        <v/>
      </c>
      <c r="K393" s="265"/>
      <c r="L393" s="266"/>
      <c r="M393" s="266"/>
      <c r="N393" s="266"/>
      <c r="O393" s="266"/>
      <c r="P393" s="266"/>
      <c r="Q393" s="266"/>
      <c r="R393" s="266"/>
    </row>
    <row r="394" spans="1:21" ht="30" customHeight="1">
      <c r="A394" s="204" t="str">
        <f>IF(ISBLANK(D394)," ",300-COUNTBLANK($D$6:D394))</f>
        <v xml:space="preserve"> </v>
      </c>
      <c r="B394" s="202"/>
      <c r="C394" s="202"/>
      <c r="D394" s="202"/>
      <c r="E394" s="304"/>
      <c r="F394" s="211"/>
      <c r="G394" s="203"/>
      <c r="H394" s="203"/>
      <c r="I394" s="295"/>
      <c r="J394" s="264" t="str">
        <f t="shared" si="6"/>
        <v/>
      </c>
      <c r="K394" s="265"/>
      <c r="L394" s="266"/>
      <c r="M394" s="266"/>
      <c r="N394" s="266"/>
      <c r="O394" s="266"/>
      <c r="P394" s="266"/>
      <c r="Q394" s="266"/>
      <c r="R394" s="266"/>
    </row>
    <row r="395" spans="1:21" ht="30" customHeight="1">
      <c r="A395" s="204" t="str">
        <f>IF(ISBLANK(D395)," ",301-COUNTBLANK($D$6:D395))</f>
        <v xml:space="preserve"> </v>
      </c>
      <c r="B395" s="202"/>
      <c r="C395" s="202"/>
      <c r="D395" s="202"/>
      <c r="E395" s="304"/>
      <c r="F395" s="211"/>
      <c r="G395" s="203"/>
      <c r="H395" s="203"/>
      <c r="I395" s="295"/>
      <c r="J395" s="264" t="str">
        <f t="shared" si="6"/>
        <v/>
      </c>
      <c r="K395" s="265"/>
      <c r="L395" s="266"/>
      <c r="M395" s="266"/>
      <c r="N395" s="266"/>
      <c r="O395" s="266"/>
      <c r="P395" s="266"/>
      <c r="Q395" s="266"/>
      <c r="R395" s="266"/>
    </row>
    <row r="396" spans="1:21" ht="30" customHeight="1">
      <c r="A396" s="204" t="str">
        <f>IF(ISBLANK(D396)," ",302-COUNTBLANK($D$6:D396))</f>
        <v xml:space="preserve"> </v>
      </c>
      <c r="B396" s="202"/>
      <c r="C396" s="202"/>
      <c r="D396" s="202"/>
      <c r="E396" s="304"/>
      <c r="F396" s="211"/>
      <c r="G396" s="203"/>
      <c r="H396" s="203"/>
      <c r="I396" s="295"/>
      <c r="J396" s="264" t="str">
        <f t="shared" si="6"/>
        <v/>
      </c>
      <c r="K396" s="265"/>
      <c r="L396" s="266"/>
      <c r="M396" s="266"/>
      <c r="N396" s="266"/>
      <c r="O396" s="266"/>
      <c r="P396" s="266"/>
      <c r="Q396" s="266"/>
      <c r="R396" s="266"/>
    </row>
    <row r="397" spans="1:21" ht="30" customHeight="1">
      <c r="A397" s="204" t="str">
        <f>IF(ISBLANK(D397)," ",303-COUNTBLANK($D$6:D397))</f>
        <v xml:space="preserve"> </v>
      </c>
      <c r="B397" s="202"/>
      <c r="C397" s="202"/>
      <c r="D397" s="202"/>
      <c r="E397" s="304"/>
      <c r="F397" s="211"/>
      <c r="G397" s="203"/>
      <c r="H397" s="203"/>
      <c r="I397" s="295"/>
      <c r="J397" s="264" t="str">
        <f t="shared" si="6"/>
        <v/>
      </c>
      <c r="K397" s="265"/>
      <c r="L397" s="266"/>
      <c r="M397" s="266"/>
      <c r="N397" s="266"/>
      <c r="O397" s="266"/>
      <c r="P397" s="266"/>
      <c r="Q397" s="266"/>
      <c r="R397" s="266"/>
    </row>
    <row r="398" spans="1:21" ht="30" customHeight="1">
      <c r="A398" s="204" t="str">
        <f>IF(ISBLANK(D398)," ",304-COUNTBLANK($D$6:D398))</f>
        <v xml:space="preserve"> </v>
      </c>
      <c r="B398" s="202"/>
      <c r="C398" s="202"/>
      <c r="D398" s="202"/>
      <c r="E398" s="304"/>
      <c r="F398" s="211"/>
      <c r="G398" s="203"/>
      <c r="H398" s="203"/>
      <c r="I398" s="295"/>
      <c r="J398" s="264" t="str">
        <f t="shared" si="6"/>
        <v/>
      </c>
      <c r="K398" s="265"/>
      <c r="L398" s="266"/>
      <c r="M398" s="266"/>
      <c r="N398" s="266"/>
      <c r="O398" s="266"/>
      <c r="P398" s="266"/>
      <c r="Q398" s="266"/>
      <c r="R398" s="266"/>
    </row>
    <row r="399" spans="1:21" ht="30" customHeight="1">
      <c r="A399" s="204" t="str">
        <f>IF(ISBLANK(D399)," ",305-COUNTBLANK($D$6:D399))</f>
        <v xml:space="preserve"> </v>
      </c>
      <c r="B399" s="202"/>
      <c r="C399" s="202"/>
      <c r="D399" s="202"/>
      <c r="E399" s="304"/>
      <c r="F399" s="211"/>
      <c r="G399" s="203"/>
      <c r="H399" s="203"/>
      <c r="I399" s="295"/>
      <c r="J399" s="264" t="str">
        <f t="shared" si="6"/>
        <v/>
      </c>
      <c r="K399" s="265"/>
      <c r="L399" s="266"/>
      <c r="M399" s="266"/>
      <c r="N399" s="266"/>
      <c r="O399" s="266"/>
      <c r="P399" s="266"/>
      <c r="Q399" s="266"/>
      <c r="R399" s="266"/>
    </row>
    <row r="400" spans="1:21" ht="30" customHeight="1">
      <c r="A400" s="204" t="str">
        <f>IF(ISBLANK(D400)," ",306-COUNTBLANK($D$6:D400))</f>
        <v xml:space="preserve"> </v>
      </c>
      <c r="B400" s="202"/>
      <c r="C400" s="202"/>
      <c r="D400" s="202"/>
      <c r="E400" s="304"/>
      <c r="F400" s="211"/>
      <c r="G400" s="203"/>
      <c r="H400" s="203"/>
      <c r="I400" s="295"/>
      <c r="J400" s="264" t="str">
        <f t="shared" si="6"/>
        <v/>
      </c>
      <c r="K400" s="265"/>
      <c r="L400" s="266"/>
      <c r="M400" s="266"/>
      <c r="N400" s="266"/>
      <c r="O400" s="266"/>
      <c r="P400" s="266"/>
      <c r="Q400" s="266"/>
      <c r="R400" s="266"/>
    </row>
    <row r="401" spans="1:21" ht="30" customHeight="1">
      <c r="A401" s="204" t="str">
        <f>IF(ISBLANK(D401)," ",307-COUNTBLANK($D$6:D401))</f>
        <v xml:space="preserve"> </v>
      </c>
      <c r="B401" s="202"/>
      <c r="C401" s="202"/>
      <c r="D401" s="202"/>
      <c r="E401" s="304"/>
      <c r="F401" s="211"/>
      <c r="G401" s="203"/>
      <c r="H401" s="203"/>
      <c r="I401" s="295"/>
      <c r="J401" s="264" t="str">
        <f t="shared" si="6"/>
        <v/>
      </c>
      <c r="K401" s="265"/>
      <c r="L401" s="266"/>
      <c r="M401" s="266"/>
      <c r="N401" s="266"/>
      <c r="O401" s="266"/>
      <c r="P401" s="266"/>
      <c r="Q401" s="266"/>
      <c r="R401" s="266"/>
    </row>
    <row r="402" spans="1:21" ht="30" customHeight="1">
      <c r="A402" s="204" t="str">
        <f>IF(ISBLANK(D402)," ",308-COUNTBLANK($D$6:D402))</f>
        <v xml:space="preserve"> </v>
      </c>
      <c r="B402" s="202"/>
      <c r="C402" s="202"/>
      <c r="D402" s="202"/>
      <c r="E402" s="304"/>
      <c r="F402" s="211"/>
      <c r="G402" s="203"/>
      <c r="H402" s="203"/>
      <c r="I402" s="295"/>
      <c r="J402" s="264" t="str">
        <f t="shared" si="6"/>
        <v/>
      </c>
      <c r="K402" s="265"/>
      <c r="L402" s="266"/>
      <c r="M402" s="266"/>
      <c r="N402" s="266"/>
      <c r="O402" s="266"/>
      <c r="P402" s="266"/>
      <c r="Q402" s="266"/>
      <c r="R402" s="266"/>
    </row>
    <row r="403" spans="1:21" ht="30" customHeight="1">
      <c r="A403" s="204" t="str">
        <f>IF(ISBLANK(D403)," ",309-COUNTBLANK($D$6:D403))</f>
        <v xml:space="preserve"> </v>
      </c>
      <c r="B403" s="202"/>
      <c r="C403" s="202"/>
      <c r="D403" s="202"/>
      <c r="E403" s="304"/>
      <c r="F403" s="211"/>
      <c r="G403" s="203"/>
      <c r="H403" s="203"/>
      <c r="I403" s="295"/>
      <c r="J403" s="264" t="str">
        <f t="shared" si="6"/>
        <v/>
      </c>
      <c r="K403" s="265"/>
      <c r="L403" s="266"/>
      <c r="M403" s="266"/>
      <c r="N403" s="266"/>
      <c r="O403" s="266"/>
      <c r="P403" s="266"/>
      <c r="Q403" s="266"/>
      <c r="R403" s="266"/>
    </row>
    <row r="404" spans="1:21" ht="30" customHeight="1">
      <c r="A404" s="204" t="str">
        <f>IF(ISBLANK(D404)," ",310-COUNTBLANK($D$6:D404))</f>
        <v xml:space="preserve"> </v>
      </c>
      <c r="B404" s="202"/>
      <c r="C404" s="202"/>
      <c r="D404" s="202"/>
      <c r="E404" s="304"/>
      <c r="F404" s="211"/>
      <c r="G404" s="203"/>
      <c r="H404" s="203"/>
      <c r="I404" s="295"/>
      <c r="J404" s="264" t="str">
        <f t="shared" si="6"/>
        <v/>
      </c>
      <c r="K404" s="265"/>
      <c r="L404" s="266"/>
      <c r="M404" s="266"/>
      <c r="N404" s="266"/>
      <c r="O404" s="266"/>
      <c r="P404" s="266"/>
      <c r="Q404" s="266"/>
      <c r="R404" s="266"/>
    </row>
    <row r="405" spans="1:21" ht="30" customHeight="1">
      <c r="A405" s="204" t="str">
        <f>IF(ISBLANK(D405)," ",311-COUNTBLANK($D$6:D405))</f>
        <v xml:space="preserve"> </v>
      </c>
      <c r="B405" s="202"/>
      <c r="C405" s="202"/>
      <c r="D405" s="202"/>
      <c r="E405" s="304"/>
      <c r="F405" s="211"/>
      <c r="G405" s="203"/>
      <c r="H405" s="203"/>
      <c r="I405" s="295"/>
      <c r="J405" s="264" t="str">
        <f t="shared" si="6"/>
        <v/>
      </c>
      <c r="K405" s="265"/>
      <c r="L405" s="266"/>
      <c r="M405" s="266"/>
      <c r="N405" s="266"/>
      <c r="O405" s="266"/>
      <c r="P405" s="266"/>
      <c r="Q405" s="266"/>
      <c r="R405" s="266"/>
    </row>
    <row r="406" spans="1:21" ht="30" customHeight="1">
      <c r="A406" s="204" t="str">
        <f>IF(ISBLANK(D406)," ",312-COUNTBLANK($D$6:D406))</f>
        <v xml:space="preserve"> </v>
      </c>
      <c r="B406" s="202"/>
      <c r="C406" s="202"/>
      <c r="D406" s="202"/>
      <c r="E406" s="304"/>
      <c r="F406" s="211"/>
      <c r="G406" s="203"/>
      <c r="H406" s="203"/>
      <c r="I406" s="295"/>
      <c r="J406" s="264" t="str">
        <f t="shared" si="6"/>
        <v/>
      </c>
      <c r="K406" s="267"/>
      <c r="L406" s="266"/>
      <c r="M406" s="266"/>
      <c r="N406" s="266"/>
      <c r="O406" s="266"/>
      <c r="P406" s="266"/>
      <c r="Q406" s="266"/>
      <c r="R406" s="268"/>
    </row>
    <row r="407" spans="1:21" ht="30" customHeight="1">
      <c r="A407" s="204" t="str">
        <f>IF(ISBLANK(D407)," ",313-COUNTBLANK($D$6:D407))</f>
        <v xml:space="preserve"> </v>
      </c>
      <c r="B407" s="202"/>
      <c r="C407" s="202"/>
      <c r="D407" s="202"/>
      <c r="E407" s="304"/>
      <c r="F407" s="211"/>
      <c r="G407" s="203"/>
      <c r="H407" s="203"/>
      <c r="I407" s="295"/>
      <c r="J407" s="264" t="str">
        <f t="shared" si="6"/>
        <v/>
      </c>
      <c r="K407" s="267"/>
      <c r="L407" s="266"/>
      <c r="M407" s="266"/>
      <c r="N407" s="266"/>
      <c r="O407" s="266"/>
      <c r="P407" s="266"/>
      <c r="Q407" s="266"/>
      <c r="R407" s="268"/>
    </row>
    <row r="408" spans="1:21" ht="30" customHeight="1">
      <c r="A408" s="204" t="str">
        <f>IF(ISBLANK(D408)," ",314-COUNTBLANK($D$6:D408))</f>
        <v xml:space="preserve"> </v>
      </c>
      <c r="B408" s="202"/>
      <c r="C408" s="202"/>
      <c r="D408" s="202"/>
      <c r="E408" s="304"/>
      <c r="F408" s="211"/>
      <c r="G408" s="203"/>
      <c r="H408" s="203"/>
      <c r="I408" s="295"/>
      <c r="J408" s="264" t="str">
        <f t="shared" si="6"/>
        <v/>
      </c>
      <c r="K408" s="267"/>
      <c r="L408" s="266"/>
      <c r="M408" s="266"/>
      <c r="N408" s="266"/>
      <c r="O408" s="266"/>
      <c r="P408" s="266"/>
      <c r="Q408" s="266"/>
      <c r="R408" s="268"/>
    </row>
    <row r="409" spans="1:21" ht="30" customHeight="1">
      <c r="A409" s="308" t="str">
        <f>IF(ISBLANK(D409)," ",316-COUNTBLANK($D$6:D409))</f>
        <v xml:space="preserve"> </v>
      </c>
      <c r="B409" s="300"/>
      <c r="C409" s="309"/>
      <c r="D409" s="310"/>
      <c r="E409" s="301"/>
      <c r="F409" s="302"/>
      <c r="G409" s="286"/>
      <c r="H409" s="286"/>
      <c r="I409" s="307"/>
      <c r="J409" s="264" t="str">
        <f t="shared" si="6"/>
        <v/>
      </c>
      <c r="K409" s="265"/>
      <c r="L409" s="266"/>
      <c r="M409" s="266"/>
      <c r="N409" s="266"/>
      <c r="O409" s="266"/>
      <c r="P409" s="266"/>
      <c r="Q409" s="266"/>
      <c r="R409" s="288"/>
      <c r="S409" s="266"/>
      <c r="T409" s="266"/>
      <c r="U409" s="266"/>
    </row>
    <row r="410" spans="1:21" ht="30" customHeight="1">
      <c r="A410" s="261" t="str">
        <f>IF(ISBLANK(D410)," ",317-COUNTBLANK($D$6:D410))</f>
        <v xml:space="preserve"> </v>
      </c>
      <c r="B410" s="200"/>
      <c r="C410" s="200"/>
      <c r="D410" s="200"/>
      <c r="E410" s="303"/>
      <c r="F410" s="210"/>
      <c r="G410" s="201"/>
      <c r="H410" s="201"/>
      <c r="I410" s="295"/>
      <c r="J410" s="264" t="str">
        <f t="shared" si="6"/>
        <v/>
      </c>
      <c r="K410" s="267"/>
      <c r="L410" s="266"/>
      <c r="M410" s="266"/>
      <c r="N410" s="266"/>
      <c r="O410" s="266"/>
      <c r="P410" s="266"/>
      <c r="Q410" s="266"/>
      <c r="R410" s="288"/>
      <c r="S410" s="266"/>
      <c r="T410" s="266"/>
      <c r="U410" s="266"/>
    </row>
    <row r="411" spans="1:21" ht="30" customHeight="1">
      <c r="A411" s="204" t="str">
        <f>IF(ISBLANK(D411)," ",318-COUNTBLANK($D$6:D411))</f>
        <v xml:space="preserve"> </v>
      </c>
      <c r="B411" s="202"/>
      <c r="C411" s="202"/>
      <c r="D411" s="202"/>
      <c r="E411" s="304"/>
      <c r="F411" s="211"/>
      <c r="G411" s="203"/>
      <c r="H411" s="203"/>
      <c r="I411" s="295"/>
      <c r="J411" s="264" t="str">
        <f t="shared" si="6"/>
        <v/>
      </c>
      <c r="K411" s="265"/>
      <c r="L411" s="266"/>
      <c r="M411" s="266"/>
      <c r="N411" s="266"/>
      <c r="O411" s="266"/>
      <c r="P411" s="266"/>
      <c r="Q411" s="266"/>
      <c r="R411" s="266"/>
    </row>
    <row r="412" spans="1:21" ht="30" customHeight="1">
      <c r="A412" s="204" t="str">
        <f>IF(ISBLANK(D412)," ",319-COUNTBLANK($D$6:D412))</f>
        <v xml:space="preserve"> </v>
      </c>
      <c r="B412" s="202"/>
      <c r="C412" s="202"/>
      <c r="D412" s="202"/>
      <c r="E412" s="304"/>
      <c r="F412" s="211"/>
      <c r="G412" s="203"/>
      <c r="H412" s="203"/>
      <c r="I412" s="295"/>
      <c r="J412" s="264" t="str">
        <f t="shared" si="6"/>
        <v/>
      </c>
      <c r="K412" s="265"/>
      <c r="L412" s="266"/>
      <c r="M412" s="266"/>
      <c r="N412" s="266"/>
      <c r="O412" s="266"/>
      <c r="P412" s="266"/>
      <c r="Q412" s="266"/>
      <c r="R412" s="266"/>
    </row>
    <row r="413" spans="1:21" ht="30" customHeight="1">
      <c r="A413" s="204" t="str">
        <f>IF(ISBLANK(D413)," ",320-COUNTBLANK($D$6:D413))</f>
        <v xml:space="preserve"> </v>
      </c>
      <c r="B413" s="202"/>
      <c r="C413" s="202"/>
      <c r="D413" s="202"/>
      <c r="E413" s="304"/>
      <c r="F413" s="211"/>
      <c r="G413" s="203"/>
      <c r="H413" s="203"/>
      <c r="I413" s="295"/>
      <c r="J413" s="264" t="str">
        <f t="shared" si="6"/>
        <v/>
      </c>
      <c r="K413" s="265"/>
      <c r="L413" s="266"/>
      <c r="M413" s="266"/>
      <c r="N413" s="266"/>
      <c r="O413" s="266"/>
      <c r="P413" s="266"/>
      <c r="Q413" s="266"/>
      <c r="R413" s="266"/>
    </row>
    <row r="414" spans="1:21" ht="30" customHeight="1">
      <c r="A414" s="204" t="str">
        <f>IF(ISBLANK(D414)," ",321-COUNTBLANK($D$6:D414))</f>
        <v xml:space="preserve"> </v>
      </c>
      <c r="B414" s="202"/>
      <c r="C414" s="202"/>
      <c r="D414" s="202"/>
      <c r="E414" s="304"/>
      <c r="F414" s="211"/>
      <c r="G414" s="203"/>
      <c r="H414" s="203"/>
      <c r="I414" s="295"/>
      <c r="J414" s="264" t="str">
        <f t="shared" si="6"/>
        <v/>
      </c>
      <c r="K414" s="265"/>
      <c r="L414" s="266"/>
      <c r="M414" s="266"/>
      <c r="N414" s="266"/>
      <c r="O414" s="266"/>
      <c r="P414" s="266"/>
      <c r="Q414" s="266"/>
      <c r="R414" s="266"/>
    </row>
    <row r="415" spans="1:21" ht="30" customHeight="1">
      <c r="A415" s="204" t="str">
        <f>IF(ISBLANK(D415)," ",322-COUNTBLANK($D$6:D415))</f>
        <v xml:space="preserve"> </v>
      </c>
      <c r="B415" s="202"/>
      <c r="C415" s="202"/>
      <c r="D415" s="202"/>
      <c r="E415" s="304"/>
      <c r="F415" s="211"/>
      <c r="G415" s="203"/>
      <c r="H415" s="203"/>
      <c r="I415" s="295"/>
      <c r="J415" s="264" t="str">
        <f t="shared" si="6"/>
        <v/>
      </c>
      <c r="K415" s="265"/>
      <c r="L415" s="266"/>
      <c r="M415" s="266"/>
      <c r="N415" s="266"/>
      <c r="O415" s="266"/>
      <c r="P415" s="266"/>
      <c r="Q415" s="266"/>
      <c r="R415" s="266"/>
    </row>
    <row r="416" spans="1:21" ht="30" customHeight="1">
      <c r="A416" s="204" t="str">
        <f>IF(ISBLANK(D416)," ",323-COUNTBLANK($D$6:D416))</f>
        <v xml:space="preserve"> </v>
      </c>
      <c r="B416" s="202"/>
      <c r="C416" s="202"/>
      <c r="D416" s="202"/>
      <c r="E416" s="304"/>
      <c r="F416" s="211"/>
      <c r="G416" s="203"/>
      <c r="H416" s="203"/>
      <c r="I416" s="295"/>
      <c r="J416" s="264" t="str">
        <f t="shared" si="6"/>
        <v/>
      </c>
      <c r="K416" s="265"/>
      <c r="L416" s="266"/>
      <c r="M416" s="266"/>
      <c r="N416" s="266"/>
      <c r="O416" s="266"/>
      <c r="P416" s="266"/>
      <c r="Q416" s="266"/>
      <c r="R416" s="266"/>
    </row>
    <row r="417" spans="1:21" ht="30" customHeight="1">
      <c r="A417" s="204" t="str">
        <f>IF(ISBLANK(D417)," ",324-COUNTBLANK($D$6:D417))</f>
        <v xml:space="preserve"> </v>
      </c>
      <c r="B417" s="202"/>
      <c r="C417" s="202"/>
      <c r="D417" s="202"/>
      <c r="E417" s="304"/>
      <c r="F417" s="211"/>
      <c r="G417" s="203"/>
      <c r="H417" s="203"/>
      <c r="I417" s="295"/>
      <c r="J417" s="264" t="str">
        <f t="shared" si="6"/>
        <v/>
      </c>
      <c r="K417" s="265"/>
      <c r="L417" s="266"/>
      <c r="M417" s="266"/>
      <c r="N417" s="266"/>
      <c r="O417" s="266"/>
      <c r="P417" s="266"/>
      <c r="Q417" s="266"/>
      <c r="R417" s="266"/>
    </row>
    <row r="418" spans="1:21" ht="30" customHeight="1">
      <c r="A418" s="204" t="str">
        <f>IF(ISBLANK(D418)," ",325-COUNTBLANK($D$6:D418))</f>
        <v xml:space="preserve"> </v>
      </c>
      <c r="B418" s="202"/>
      <c r="C418" s="202"/>
      <c r="D418" s="202"/>
      <c r="E418" s="304"/>
      <c r="F418" s="211"/>
      <c r="G418" s="203"/>
      <c r="H418" s="203"/>
      <c r="I418" s="295"/>
      <c r="J418" s="264" t="str">
        <f t="shared" si="6"/>
        <v/>
      </c>
      <c r="K418" s="265"/>
      <c r="L418" s="266"/>
      <c r="M418" s="266"/>
      <c r="N418" s="266"/>
      <c r="O418" s="266"/>
      <c r="P418" s="266"/>
      <c r="Q418" s="266"/>
      <c r="R418" s="266"/>
    </row>
    <row r="419" spans="1:21" ht="30" customHeight="1">
      <c r="A419" s="204" t="str">
        <f>IF(ISBLANK(D419)," ",326-COUNTBLANK($D$6:D419))</f>
        <v xml:space="preserve"> </v>
      </c>
      <c r="B419" s="202"/>
      <c r="C419" s="202"/>
      <c r="D419" s="202"/>
      <c r="E419" s="304"/>
      <c r="F419" s="211"/>
      <c r="G419" s="203"/>
      <c r="H419" s="203"/>
      <c r="I419" s="295"/>
      <c r="J419" s="264" t="str">
        <f t="shared" si="6"/>
        <v/>
      </c>
      <c r="K419" s="265"/>
      <c r="L419" s="266"/>
      <c r="M419" s="266"/>
      <c r="N419" s="266"/>
      <c r="O419" s="266"/>
      <c r="P419" s="266"/>
      <c r="Q419" s="266"/>
      <c r="R419" s="266"/>
    </row>
    <row r="420" spans="1:21" ht="30" customHeight="1">
      <c r="A420" s="204" t="str">
        <f>IF(ISBLANK(D420)," ",327-COUNTBLANK($D$6:D420))</f>
        <v xml:space="preserve"> </v>
      </c>
      <c r="B420" s="202"/>
      <c r="C420" s="202"/>
      <c r="D420" s="202"/>
      <c r="E420" s="304"/>
      <c r="F420" s="211"/>
      <c r="G420" s="203"/>
      <c r="H420" s="203"/>
      <c r="I420" s="295"/>
      <c r="J420" s="264" t="str">
        <f t="shared" si="6"/>
        <v/>
      </c>
      <c r="K420" s="265"/>
      <c r="L420" s="266"/>
      <c r="M420" s="266"/>
      <c r="N420" s="266"/>
      <c r="O420" s="266"/>
      <c r="P420" s="266"/>
      <c r="Q420" s="266"/>
      <c r="R420" s="266"/>
    </row>
    <row r="421" spans="1:21" ht="30" customHeight="1">
      <c r="A421" s="204" t="str">
        <f>IF(ISBLANK(D421)," ",328-COUNTBLANK($D$6:D421))</f>
        <v xml:space="preserve"> </v>
      </c>
      <c r="B421" s="202"/>
      <c r="C421" s="202"/>
      <c r="D421" s="202"/>
      <c r="E421" s="304"/>
      <c r="F421" s="211"/>
      <c r="G421" s="203"/>
      <c r="H421" s="203"/>
      <c r="I421" s="295"/>
      <c r="J421" s="264" t="str">
        <f t="shared" si="6"/>
        <v/>
      </c>
      <c r="K421" s="265"/>
      <c r="L421" s="266"/>
      <c r="M421" s="266"/>
      <c r="N421" s="266"/>
      <c r="O421" s="266"/>
      <c r="P421" s="266"/>
      <c r="Q421" s="266"/>
      <c r="R421" s="266"/>
    </row>
    <row r="422" spans="1:21" ht="30" customHeight="1">
      <c r="A422" s="204" t="str">
        <f>IF(ISBLANK(D422)," ",329-COUNTBLANK($D$6:D422))</f>
        <v xml:space="preserve"> </v>
      </c>
      <c r="B422" s="202"/>
      <c r="C422" s="202"/>
      <c r="D422" s="202"/>
      <c r="E422" s="304"/>
      <c r="F422" s="211"/>
      <c r="G422" s="203"/>
      <c r="H422" s="203"/>
      <c r="I422" s="295"/>
      <c r="J422" s="264" t="str">
        <f t="shared" si="6"/>
        <v/>
      </c>
      <c r="K422" s="265"/>
      <c r="L422" s="266"/>
      <c r="M422" s="266"/>
      <c r="N422" s="266"/>
      <c r="O422" s="266"/>
      <c r="P422" s="266"/>
      <c r="Q422" s="266"/>
      <c r="R422" s="266"/>
    </row>
    <row r="423" spans="1:21" ht="30" customHeight="1">
      <c r="A423" s="204" t="str">
        <f>IF(ISBLANK(D423)," ",330-COUNTBLANK($D$6:D423))</f>
        <v xml:space="preserve"> </v>
      </c>
      <c r="B423" s="202"/>
      <c r="C423" s="202"/>
      <c r="D423" s="202"/>
      <c r="E423" s="304"/>
      <c r="F423" s="211"/>
      <c r="G423" s="203"/>
      <c r="H423" s="203"/>
      <c r="I423" s="295"/>
      <c r="J423" s="264" t="str">
        <f t="shared" si="6"/>
        <v/>
      </c>
      <c r="K423" s="265"/>
      <c r="L423" s="266"/>
      <c r="M423" s="266"/>
      <c r="N423" s="266"/>
      <c r="O423" s="266"/>
      <c r="P423" s="266"/>
      <c r="Q423" s="266"/>
      <c r="R423" s="266"/>
    </row>
    <row r="424" spans="1:21" ht="30" customHeight="1">
      <c r="A424" s="204" t="str">
        <f>IF(ISBLANK(D424)," ",331-COUNTBLANK($D$6:D424))</f>
        <v xml:space="preserve"> </v>
      </c>
      <c r="B424" s="202"/>
      <c r="C424" s="202"/>
      <c r="D424" s="202"/>
      <c r="E424" s="304"/>
      <c r="F424" s="211"/>
      <c r="G424" s="203"/>
      <c r="H424" s="203"/>
      <c r="I424" s="295"/>
      <c r="J424" s="264" t="str">
        <f t="shared" si="6"/>
        <v/>
      </c>
      <c r="K424" s="265"/>
      <c r="L424" s="266"/>
      <c r="M424" s="266"/>
      <c r="N424" s="266"/>
      <c r="O424" s="266"/>
      <c r="P424" s="266"/>
      <c r="Q424" s="266"/>
      <c r="R424" s="266"/>
    </row>
    <row r="425" spans="1:21" ht="27.75" customHeight="1">
      <c r="A425" s="204" t="str">
        <f>IF(ISBLANK(D425)," ",332-COUNTBLANK($D$6:D425))</f>
        <v xml:space="preserve"> </v>
      </c>
      <c r="B425" s="202"/>
      <c r="C425" s="202"/>
      <c r="D425" s="202"/>
      <c r="E425" s="304"/>
      <c r="F425" s="211"/>
      <c r="G425" s="203"/>
      <c r="H425" s="203"/>
      <c r="I425" s="295"/>
      <c r="J425" s="264" t="str">
        <f t="shared" si="6"/>
        <v/>
      </c>
      <c r="K425" s="265"/>
      <c r="L425" s="266"/>
      <c r="M425" s="266"/>
      <c r="N425" s="266"/>
      <c r="O425" s="266"/>
      <c r="P425" s="266"/>
      <c r="Q425" s="266"/>
      <c r="R425" s="266"/>
    </row>
    <row r="426" spans="1:21" ht="27.75" customHeight="1">
      <c r="A426" s="204" t="str">
        <f>IF(ISBLANK(D426)," ",333-COUNTBLANK($D$6:D426))</f>
        <v xml:space="preserve"> </v>
      </c>
      <c r="B426" s="202"/>
      <c r="C426" s="202"/>
      <c r="D426" s="202"/>
      <c r="E426" s="304"/>
      <c r="F426" s="211"/>
      <c r="G426" s="203"/>
      <c r="H426" s="203"/>
      <c r="I426" s="295"/>
      <c r="J426" s="264" t="str">
        <f t="shared" si="6"/>
        <v/>
      </c>
      <c r="K426" s="267"/>
      <c r="L426" s="266"/>
      <c r="M426" s="266"/>
      <c r="N426" s="266"/>
      <c r="O426" s="266"/>
      <c r="P426" s="266"/>
      <c r="Q426" s="266"/>
      <c r="R426" s="268"/>
    </row>
    <row r="427" spans="1:21" ht="27.75" customHeight="1">
      <c r="A427" s="204" t="str">
        <f>IF(ISBLANK(D427)," ",334-COUNTBLANK($D$6:D427))</f>
        <v xml:space="preserve"> </v>
      </c>
      <c r="B427" s="202"/>
      <c r="C427" s="202"/>
      <c r="D427" s="202"/>
      <c r="E427" s="304"/>
      <c r="F427" s="211"/>
      <c r="G427" s="203"/>
      <c r="H427" s="203"/>
      <c r="I427" s="295"/>
      <c r="J427" s="264" t="str">
        <f t="shared" si="6"/>
        <v/>
      </c>
      <c r="K427" s="267"/>
      <c r="L427" s="266"/>
      <c r="M427" s="266"/>
      <c r="N427" s="266"/>
      <c r="O427" s="266"/>
      <c r="P427" s="266"/>
      <c r="Q427" s="266"/>
      <c r="R427" s="268"/>
    </row>
    <row r="428" spans="1:21" ht="27.75" customHeight="1">
      <c r="A428" s="204" t="str">
        <f>IF(ISBLANK(D428)," ",335-COUNTBLANK($D$6:D428))</f>
        <v xml:space="preserve"> </v>
      </c>
      <c r="B428" s="202"/>
      <c r="C428" s="202"/>
      <c r="D428" s="202"/>
      <c r="E428" s="304"/>
      <c r="F428" s="211"/>
      <c r="G428" s="203"/>
      <c r="H428" s="203"/>
      <c r="I428" s="295"/>
      <c r="J428" s="264" t="str">
        <f t="shared" si="6"/>
        <v/>
      </c>
      <c r="K428" s="267"/>
      <c r="L428" s="266"/>
      <c r="M428" s="266"/>
      <c r="N428" s="266"/>
      <c r="O428" s="266"/>
      <c r="P428" s="266"/>
      <c r="Q428" s="266"/>
      <c r="R428" s="268"/>
    </row>
    <row r="429" spans="1:21" ht="27.75" customHeight="1">
      <c r="A429" s="308" t="str">
        <f>IF(ISBLANK(D429)," ",337-COUNTBLANK($D$6:D429))</f>
        <v xml:space="preserve"> </v>
      </c>
      <c r="B429" s="300"/>
      <c r="C429" s="309"/>
      <c r="D429" s="310"/>
      <c r="E429" s="301"/>
      <c r="F429" s="302"/>
      <c r="G429" s="286"/>
      <c r="H429" s="286"/>
      <c r="I429" s="307"/>
      <c r="J429" s="264" t="str">
        <f t="shared" si="6"/>
        <v/>
      </c>
      <c r="K429" s="265"/>
      <c r="L429" s="266"/>
      <c r="M429" s="266"/>
      <c r="N429" s="266"/>
      <c r="O429" s="266"/>
      <c r="P429" s="266"/>
      <c r="Q429" s="266"/>
      <c r="R429" s="288"/>
      <c r="S429" s="266"/>
      <c r="T429" s="266"/>
      <c r="U429" s="266"/>
    </row>
    <row r="430" spans="1:21" ht="27.75" customHeight="1">
      <c r="A430" s="261" t="str">
        <f>IF(ISBLANK(D430)," ",338-COUNTBLANK($D$6:D430))</f>
        <v xml:space="preserve"> </v>
      </c>
      <c r="B430" s="200"/>
      <c r="C430" s="200"/>
      <c r="D430" s="200"/>
      <c r="E430" s="303"/>
      <c r="F430" s="210"/>
      <c r="G430" s="201"/>
      <c r="H430" s="201"/>
      <c r="I430" s="295"/>
      <c r="J430" s="264" t="str">
        <f t="shared" si="6"/>
        <v/>
      </c>
      <c r="K430" s="267"/>
      <c r="L430" s="266"/>
      <c r="M430" s="266"/>
      <c r="N430" s="266"/>
      <c r="O430" s="266"/>
      <c r="P430" s="266"/>
      <c r="Q430" s="266"/>
      <c r="R430" s="288"/>
      <c r="S430" s="266"/>
      <c r="T430" s="266"/>
      <c r="U430" s="266"/>
    </row>
    <row r="431" spans="1:21" ht="27.75" customHeight="1">
      <c r="A431" s="204" t="str">
        <f>IF(ISBLANK(D431)," ",339-COUNTBLANK($D$6:D431))</f>
        <v xml:space="preserve"> </v>
      </c>
      <c r="B431" s="202"/>
      <c r="C431" s="202"/>
      <c r="D431" s="202"/>
      <c r="E431" s="304"/>
      <c r="F431" s="211"/>
      <c r="G431" s="203"/>
      <c r="H431" s="203"/>
      <c r="I431" s="295"/>
      <c r="J431" s="264" t="str">
        <f t="shared" si="6"/>
        <v/>
      </c>
      <c r="K431" s="265"/>
      <c r="L431" s="266"/>
      <c r="M431" s="266"/>
      <c r="N431" s="266"/>
      <c r="O431" s="266"/>
      <c r="P431" s="266"/>
      <c r="Q431" s="266"/>
      <c r="R431" s="266"/>
    </row>
    <row r="432" spans="1:21" ht="27.75" customHeight="1">
      <c r="A432" s="204" t="str">
        <f>IF(ISBLANK(D432)," ",340-COUNTBLANK($D$6:D432))</f>
        <v xml:space="preserve"> </v>
      </c>
      <c r="B432" s="202"/>
      <c r="C432" s="202"/>
      <c r="D432" s="202"/>
      <c r="E432" s="304"/>
      <c r="F432" s="211"/>
      <c r="G432" s="203"/>
      <c r="H432" s="203"/>
      <c r="I432" s="295"/>
      <c r="J432" s="264" t="str">
        <f t="shared" si="6"/>
        <v/>
      </c>
      <c r="K432" s="265"/>
      <c r="L432" s="266"/>
      <c r="M432" s="266"/>
      <c r="N432" s="266"/>
      <c r="O432" s="266"/>
      <c r="P432" s="266"/>
      <c r="Q432" s="266"/>
      <c r="R432" s="266"/>
    </row>
    <row r="433" spans="1:18" ht="27.75" customHeight="1">
      <c r="A433" s="204" t="str">
        <f>IF(ISBLANK(D433)," ",341-COUNTBLANK($D$6:D433))</f>
        <v xml:space="preserve"> </v>
      </c>
      <c r="B433" s="202"/>
      <c r="C433" s="202"/>
      <c r="D433" s="202"/>
      <c r="E433" s="304"/>
      <c r="F433" s="211"/>
      <c r="G433" s="203"/>
      <c r="H433" s="203"/>
      <c r="I433" s="295"/>
      <c r="J433" s="264" t="str">
        <f t="shared" si="6"/>
        <v/>
      </c>
      <c r="K433" s="265"/>
      <c r="L433" s="266"/>
      <c r="M433" s="266"/>
      <c r="N433" s="266"/>
      <c r="O433" s="266"/>
      <c r="P433" s="266"/>
      <c r="Q433" s="266"/>
      <c r="R433" s="266"/>
    </row>
    <row r="434" spans="1:18" ht="27.75" customHeight="1">
      <c r="A434" s="204" t="str">
        <f>IF(ISBLANK(D434)," ",342-COUNTBLANK($D$6:D434))</f>
        <v xml:space="preserve"> </v>
      </c>
      <c r="B434" s="202"/>
      <c r="C434" s="202"/>
      <c r="D434" s="202"/>
      <c r="E434" s="304"/>
      <c r="F434" s="211"/>
      <c r="G434" s="203"/>
      <c r="H434" s="203"/>
      <c r="I434" s="295"/>
      <c r="J434" s="264" t="str">
        <f t="shared" si="6"/>
        <v/>
      </c>
      <c r="K434" s="265"/>
      <c r="L434" s="266"/>
      <c r="M434" s="266"/>
      <c r="N434" s="266"/>
      <c r="O434" s="266"/>
      <c r="P434" s="266"/>
      <c r="Q434" s="266"/>
      <c r="R434" s="266"/>
    </row>
    <row r="435" spans="1:18" ht="27.75" customHeight="1">
      <c r="A435" s="204" t="str">
        <f>IF(ISBLANK(D435)," ",343-COUNTBLANK($D$6:D435))</f>
        <v xml:space="preserve"> </v>
      </c>
      <c r="B435" s="202"/>
      <c r="C435" s="202"/>
      <c r="D435" s="202"/>
      <c r="E435" s="304"/>
      <c r="F435" s="211"/>
      <c r="G435" s="203"/>
      <c r="H435" s="203"/>
      <c r="I435" s="295"/>
      <c r="J435" s="264" t="str">
        <f t="shared" si="6"/>
        <v/>
      </c>
      <c r="K435" s="265"/>
      <c r="L435" s="266"/>
      <c r="M435" s="266"/>
      <c r="N435" s="266"/>
      <c r="O435" s="266"/>
      <c r="P435" s="266"/>
      <c r="Q435" s="266"/>
      <c r="R435" s="266"/>
    </row>
    <row r="436" spans="1:18" ht="27.75" customHeight="1">
      <c r="A436" s="204" t="str">
        <f>IF(ISBLANK(D436)," ",344-COUNTBLANK($D$6:D436))</f>
        <v xml:space="preserve"> </v>
      </c>
      <c r="B436" s="202"/>
      <c r="C436" s="202"/>
      <c r="D436" s="202"/>
      <c r="E436" s="304"/>
      <c r="F436" s="211"/>
      <c r="G436" s="203"/>
      <c r="H436" s="203"/>
      <c r="I436" s="295"/>
      <c r="J436" s="264" t="str">
        <f t="shared" si="6"/>
        <v/>
      </c>
      <c r="K436" s="265"/>
      <c r="L436" s="266"/>
      <c r="M436" s="266"/>
      <c r="N436" s="266"/>
      <c r="O436" s="266"/>
      <c r="P436" s="266"/>
      <c r="Q436" s="266"/>
      <c r="R436" s="266"/>
    </row>
    <row r="437" spans="1:18" ht="27.75" customHeight="1">
      <c r="A437" s="204" t="str">
        <f>IF(ISBLANK(D437)," ",345-COUNTBLANK($D$6:D437))</f>
        <v xml:space="preserve"> </v>
      </c>
      <c r="B437" s="202"/>
      <c r="C437" s="202"/>
      <c r="D437" s="202"/>
      <c r="E437" s="304"/>
      <c r="F437" s="211"/>
      <c r="G437" s="203"/>
      <c r="H437" s="203"/>
      <c r="I437" s="295"/>
      <c r="J437" s="264" t="str">
        <f t="shared" si="6"/>
        <v/>
      </c>
      <c r="K437" s="265"/>
      <c r="L437" s="266"/>
      <c r="M437" s="266"/>
      <c r="N437" s="266"/>
      <c r="O437" s="266"/>
      <c r="P437" s="266"/>
      <c r="Q437" s="266"/>
      <c r="R437" s="266"/>
    </row>
    <row r="438" spans="1:18" ht="27.75" customHeight="1">
      <c r="A438" s="204" t="str">
        <f>IF(ISBLANK(D438)," ",346-COUNTBLANK($D$6:D438))</f>
        <v xml:space="preserve"> </v>
      </c>
      <c r="B438" s="202"/>
      <c r="C438" s="202"/>
      <c r="D438" s="202"/>
      <c r="E438" s="304"/>
      <c r="F438" s="211"/>
      <c r="G438" s="203"/>
      <c r="H438" s="203"/>
      <c r="I438" s="295"/>
      <c r="J438" s="264" t="str">
        <f t="shared" si="6"/>
        <v/>
      </c>
      <c r="K438" s="265"/>
      <c r="L438" s="266"/>
      <c r="M438" s="266"/>
      <c r="N438" s="266"/>
      <c r="O438" s="266"/>
      <c r="P438" s="266"/>
      <c r="Q438" s="266"/>
      <c r="R438" s="266"/>
    </row>
    <row r="439" spans="1:18" ht="27.75" customHeight="1">
      <c r="A439" s="204" t="str">
        <f>IF(ISBLANK(D439)," ",347-COUNTBLANK($D$6:D439))</f>
        <v xml:space="preserve"> </v>
      </c>
      <c r="B439" s="202"/>
      <c r="C439" s="202"/>
      <c r="D439" s="202"/>
      <c r="E439" s="304"/>
      <c r="F439" s="211"/>
      <c r="G439" s="203"/>
      <c r="H439" s="203"/>
      <c r="I439" s="295"/>
      <c r="J439" s="264" t="str">
        <f t="shared" si="6"/>
        <v/>
      </c>
      <c r="K439" s="265"/>
      <c r="L439" s="266"/>
      <c r="M439" s="266"/>
      <c r="N439" s="266"/>
      <c r="O439" s="266"/>
      <c r="P439" s="266"/>
      <c r="Q439" s="266"/>
      <c r="R439" s="266"/>
    </row>
    <row r="440" spans="1:18" ht="27.75" customHeight="1">
      <c r="A440" s="204" t="str">
        <f>IF(ISBLANK(D440)," ",348-COUNTBLANK($D$6:D440))</f>
        <v xml:space="preserve"> </v>
      </c>
      <c r="B440" s="202"/>
      <c r="C440" s="202"/>
      <c r="D440" s="202"/>
      <c r="E440" s="304"/>
      <c r="F440" s="211"/>
      <c r="G440" s="203"/>
      <c r="H440" s="203"/>
      <c r="I440" s="295"/>
      <c r="J440" s="264" t="str">
        <f t="shared" si="6"/>
        <v/>
      </c>
      <c r="K440" s="265"/>
      <c r="L440" s="266"/>
      <c r="M440" s="266"/>
      <c r="N440" s="266"/>
      <c r="O440" s="266"/>
      <c r="P440" s="266"/>
      <c r="Q440" s="266"/>
      <c r="R440" s="266"/>
    </row>
    <row r="441" spans="1:18" ht="27.75" customHeight="1">
      <c r="A441" s="204" t="str">
        <f>IF(ISBLANK(D441)," ",349-COUNTBLANK($D$6:D441))</f>
        <v xml:space="preserve"> </v>
      </c>
      <c r="B441" s="202"/>
      <c r="C441" s="202"/>
      <c r="D441" s="202"/>
      <c r="E441" s="304"/>
      <c r="F441" s="211"/>
      <c r="G441" s="203"/>
      <c r="H441" s="203"/>
      <c r="I441" s="295"/>
      <c r="J441" s="264" t="str">
        <f t="shared" si="6"/>
        <v/>
      </c>
      <c r="K441" s="265"/>
      <c r="L441" s="266"/>
      <c r="M441" s="266"/>
      <c r="N441" s="266"/>
      <c r="O441" s="266"/>
      <c r="P441" s="266"/>
      <c r="Q441" s="266"/>
      <c r="R441" s="266"/>
    </row>
    <row r="442" spans="1:18" ht="27.75" customHeight="1">
      <c r="A442" s="204" t="str">
        <f>IF(ISBLANK(D442)," ",350-COUNTBLANK($D$6:D442))</f>
        <v xml:space="preserve"> </v>
      </c>
      <c r="B442" s="202"/>
      <c r="C442" s="202"/>
      <c r="D442" s="202"/>
      <c r="E442" s="304"/>
      <c r="F442" s="211"/>
      <c r="G442" s="203"/>
      <c r="H442" s="203"/>
      <c r="I442" s="295"/>
      <c r="J442" s="264" t="str">
        <f t="shared" si="6"/>
        <v/>
      </c>
      <c r="K442" s="265"/>
      <c r="L442" s="266"/>
      <c r="M442" s="266"/>
      <c r="N442" s="266"/>
      <c r="O442" s="266"/>
      <c r="P442" s="266"/>
      <c r="Q442" s="266"/>
      <c r="R442" s="266"/>
    </row>
    <row r="443" spans="1:18" ht="27.75" customHeight="1">
      <c r="A443" s="204" t="str">
        <f>IF(ISBLANK(D443)," ",351-COUNTBLANK($D$6:D443))</f>
        <v xml:space="preserve"> </v>
      </c>
      <c r="B443" s="202"/>
      <c r="C443" s="202"/>
      <c r="D443" s="202"/>
      <c r="E443" s="304"/>
      <c r="F443" s="211"/>
      <c r="G443" s="203"/>
      <c r="H443" s="203"/>
      <c r="I443" s="295"/>
      <c r="J443" s="264" t="str">
        <f t="shared" si="6"/>
        <v/>
      </c>
      <c r="K443" s="265"/>
      <c r="L443" s="266"/>
      <c r="M443" s="266"/>
      <c r="N443" s="266"/>
      <c r="O443" s="266"/>
      <c r="P443" s="266"/>
      <c r="Q443" s="266"/>
      <c r="R443" s="266"/>
    </row>
    <row r="444" spans="1:18" ht="27.75" customHeight="1">
      <c r="A444" s="204" t="str">
        <f>IF(ISBLANK(D444)," ",352-COUNTBLANK($D$6:D444))</f>
        <v xml:space="preserve"> </v>
      </c>
      <c r="B444" s="202"/>
      <c r="C444" s="202"/>
      <c r="D444" s="202"/>
      <c r="E444" s="304"/>
      <c r="F444" s="211"/>
      <c r="G444" s="203"/>
      <c r="H444" s="203"/>
      <c r="I444" s="295"/>
      <c r="J444" s="264" t="str">
        <f t="shared" si="6"/>
        <v/>
      </c>
      <c r="K444" s="265"/>
      <c r="L444" s="266"/>
      <c r="M444" s="266"/>
      <c r="N444" s="266"/>
      <c r="O444" s="266"/>
      <c r="P444" s="266"/>
      <c r="Q444" s="266"/>
      <c r="R444" s="266"/>
    </row>
    <row r="445" spans="1:18" ht="27.75" customHeight="1">
      <c r="A445" s="204" t="str">
        <f>IF(ISBLANK(D445)," ",353-COUNTBLANK($D$6:D445))</f>
        <v xml:space="preserve"> </v>
      </c>
      <c r="B445" s="202"/>
      <c r="C445" s="202"/>
      <c r="D445" s="202"/>
      <c r="E445" s="304"/>
      <c r="F445" s="211"/>
      <c r="G445" s="203"/>
      <c r="H445" s="203"/>
      <c r="I445" s="295"/>
      <c r="J445" s="264" t="str">
        <f t="shared" si="6"/>
        <v/>
      </c>
      <c r="K445" s="265"/>
      <c r="L445" s="266"/>
      <c r="M445" s="266"/>
      <c r="N445" s="266"/>
      <c r="O445" s="266"/>
      <c r="P445" s="266"/>
      <c r="Q445" s="266"/>
      <c r="R445" s="266"/>
    </row>
    <row r="446" spans="1:18" ht="27.75" customHeight="1">
      <c r="A446" s="204" t="str">
        <f>IF(ISBLANK(D446)," ",354-COUNTBLANK($D$6:D446))</f>
        <v xml:space="preserve"> </v>
      </c>
      <c r="B446" s="202"/>
      <c r="C446" s="202"/>
      <c r="D446" s="202"/>
      <c r="E446" s="304"/>
      <c r="F446" s="211"/>
      <c r="G446" s="203"/>
      <c r="H446" s="203"/>
      <c r="I446" s="295"/>
      <c r="J446" s="264" t="str">
        <f t="shared" si="6"/>
        <v/>
      </c>
      <c r="K446" s="267"/>
      <c r="L446" s="266"/>
      <c r="M446" s="266"/>
      <c r="N446" s="266"/>
      <c r="O446" s="266"/>
      <c r="P446" s="266"/>
      <c r="Q446" s="266"/>
      <c r="R446" s="268"/>
    </row>
    <row r="447" spans="1:18" ht="27.75" customHeight="1">
      <c r="A447" s="204" t="str">
        <f>IF(ISBLANK(D447)," ",355-COUNTBLANK($D$6:D447))</f>
        <v xml:space="preserve"> </v>
      </c>
      <c r="B447" s="202"/>
      <c r="C447" s="202"/>
      <c r="D447" s="202"/>
      <c r="E447" s="304"/>
      <c r="F447" s="211"/>
      <c r="G447" s="203"/>
      <c r="H447" s="203"/>
      <c r="I447" s="295"/>
      <c r="J447" s="264" t="str">
        <f t="shared" si="6"/>
        <v/>
      </c>
      <c r="K447" s="267"/>
      <c r="L447" s="266"/>
      <c r="M447" s="266"/>
      <c r="N447" s="266"/>
      <c r="O447" s="266"/>
      <c r="P447" s="266"/>
      <c r="Q447" s="266"/>
      <c r="R447" s="268"/>
    </row>
    <row r="448" spans="1:18" ht="27.75" customHeight="1">
      <c r="A448" s="204" t="str">
        <f>IF(ISBLANK(D448)," ",356-COUNTBLANK($D$6:D448))</f>
        <v xml:space="preserve"> </v>
      </c>
      <c r="B448" s="202"/>
      <c r="C448" s="202"/>
      <c r="D448" s="202"/>
      <c r="E448" s="304"/>
      <c r="F448" s="211"/>
      <c r="G448" s="203"/>
      <c r="H448" s="203"/>
      <c r="I448" s="295"/>
      <c r="J448" s="264" t="str">
        <f t="shared" si="6"/>
        <v/>
      </c>
      <c r="K448" s="267"/>
      <c r="L448" s="266"/>
      <c r="M448" s="266"/>
      <c r="N448" s="266"/>
      <c r="O448" s="266"/>
      <c r="P448" s="266"/>
      <c r="Q448" s="266"/>
      <c r="R448" s="268"/>
    </row>
    <row r="449" spans="1:21" ht="27.75" customHeight="1">
      <c r="A449" s="308" t="str">
        <f>IF(ISBLANK(D449)," ",358-COUNTBLANK($D$6:D449))</f>
        <v xml:space="preserve"> </v>
      </c>
      <c r="B449" s="300"/>
      <c r="C449" s="309"/>
      <c r="D449" s="310"/>
      <c r="E449" s="301"/>
      <c r="F449" s="302"/>
      <c r="G449" s="286"/>
      <c r="H449" s="286"/>
      <c r="I449" s="307"/>
      <c r="J449" s="264" t="str">
        <f t="shared" si="6"/>
        <v/>
      </c>
      <c r="K449" s="265"/>
      <c r="L449" s="266"/>
      <c r="M449" s="266"/>
      <c r="N449" s="266"/>
      <c r="O449" s="266"/>
      <c r="P449" s="266"/>
      <c r="Q449" s="266"/>
      <c r="R449" s="288"/>
      <c r="S449" s="266"/>
      <c r="T449" s="266"/>
      <c r="U449" s="266"/>
    </row>
    <row r="450" spans="1:21" ht="27.75" customHeight="1">
      <c r="A450" s="261" t="str">
        <f>IF(ISBLANK(D450)," ",359-COUNTBLANK($D$6:D450))</f>
        <v xml:space="preserve"> </v>
      </c>
      <c r="B450" s="200"/>
      <c r="C450" s="200"/>
      <c r="D450" s="200"/>
      <c r="E450" s="303"/>
      <c r="F450" s="210"/>
      <c r="G450" s="201"/>
      <c r="H450" s="201"/>
      <c r="I450" s="295"/>
      <c r="J450" s="264" t="str">
        <f t="shared" si="6"/>
        <v/>
      </c>
      <c r="K450" s="267"/>
      <c r="L450" s="266"/>
      <c r="M450" s="266"/>
      <c r="N450" s="266"/>
      <c r="O450" s="266"/>
      <c r="P450" s="266"/>
      <c r="Q450" s="266"/>
      <c r="R450" s="288"/>
      <c r="S450" s="266"/>
      <c r="T450" s="266"/>
      <c r="U450" s="266"/>
    </row>
    <row r="451" spans="1:21" ht="27.75" customHeight="1">
      <c r="A451" s="204" t="str">
        <f>IF(ISBLANK(D451)," ",360-COUNTBLANK($D$6:D451))</f>
        <v xml:space="preserve"> </v>
      </c>
      <c r="B451" s="202"/>
      <c r="C451" s="202"/>
      <c r="D451" s="202"/>
      <c r="E451" s="304"/>
      <c r="F451" s="211"/>
      <c r="G451" s="203"/>
      <c r="H451" s="203"/>
      <c r="I451" s="295"/>
      <c r="J451" s="264" t="str">
        <f t="shared" si="6"/>
        <v/>
      </c>
      <c r="K451" s="265"/>
      <c r="L451" s="266"/>
      <c r="M451" s="266"/>
      <c r="N451" s="266"/>
      <c r="O451" s="266"/>
      <c r="P451" s="266"/>
      <c r="Q451" s="266"/>
      <c r="R451" s="266"/>
    </row>
    <row r="452" spans="1:21" ht="27.75" customHeight="1">
      <c r="A452" s="204" t="str">
        <f>IF(ISBLANK(D452)," ",361-COUNTBLANK($D$6:D452))</f>
        <v xml:space="preserve"> </v>
      </c>
      <c r="B452" s="202"/>
      <c r="C452" s="202"/>
      <c r="D452" s="202"/>
      <c r="E452" s="304"/>
      <c r="F452" s="211"/>
      <c r="G452" s="203"/>
      <c r="H452" s="203"/>
      <c r="I452" s="295"/>
      <c r="J452" s="264" t="str">
        <f t="shared" si="6"/>
        <v/>
      </c>
      <c r="K452" s="265"/>
      <c r="L452" s="266"/>
      <c r="M452" s="266"/>
      <c r="N452" s="266"/>
      <c r="O452" s="266"/>
      <c r="P452" s="266"/>
      <c r="Q452" s="266"/>
      <c r="R452" s="266"/>
    </row>
    <row r="453" spans="1:21" ht="27.75" customHeight="1">
      <c r="A453" s="204" t="str">
        <f>IF(ISBLANK(D453)," ",362-COUNTBLANK($D$6:D453))</f>
        <v xml:space="preserve"> </v>
      </c>
      <c r="B453" s="202"/>
      <c r="C453" s="202"/>
      <c r="D453" s="202"/>
      <c r="E453" s="304"/>
      <c r="F453" s="211"/>
      <c r="G453" s="203"/>
      <c r="H453" s="203"/>
      <c r="I453" s="295"/>
      <c r="J453" s="264" t="str">
        <f t="shared" si="6"/>
        <v/>
      </c>
      <c r="K453" s="265"/>
      <c r="L453" s="266"/>
      <c r="M453" s="266"/>
      <c r="N453" s="266"/>
      <c r="O453" s="266"/>
      <c r="P453" s="266"/>
      <c r="Q453" s="266"/>
      <c r="R453" s="266"/>
    </row>
    <row r="454" spans="1:21" ht="27.75" customHeight="1">
      <c r="A454" s="204" t="str">
        <f>IF(ISBLANK(D454)," ",363-COUNTBLANK($D$6:D454))</f>
        <v xml:space="preserve"> </v>
      </c>
      <c r="B454" s="202"/>
      <c r="C454" s="202"/>
      <c r="D454" s="202"/>
      <c r="E454" s="304"/>
      <c r="F454" s="211"/>
      <c r="G454" s="203"/>
      <c r="H454" s="203"/>
      <c r="I454" s="295"/>
      <c r="J454" s="264" t="str">
        <f t="shared" ref="J454:J517" si="7">CONCATENATE(D454,G454)</f>
        <v/>
      </c>
      <c r="K454" s="265"/>
      <c r="L454" s="266"/>
      <c r="M454" s="266"/>
      <c r="N454" s="266"/>
      <c r="O454" s="266"/>
      <c r="P454" s="266"/>
      <c r="Q454" s="266"/>
      <c r="R454" s="266"/>
    </row>
    <row r="455" spans="1:21" ht="27.75" customHeight="1">
      <c r="A455" s="204" t="str">
        <f>IF(ISBLANK(D455)," ",364-COUNTBLANK($D$6:D455))</f>
        <v xml:space="preserve"> </v>
      </c>
      <c r="B455" s="202"/>
      <c r="C455" s="202"/>
      <c r="D455" s="202"/>
      <c r="E455" s="304"/>
      <c r="F455" s="211"/>
      <c r="G455" s="203"/>
      <c r="H455" s="203"/>
      <c r="I455" s="295"/>
      <c r="J455" s="264" t="str">
        <f t="shared" si="7"/>
        <v/>
      </c>
      <c r="K455" s="265"/>
      <c r="L455" s="266"/>
      <c r="M455" s="266"/>
      <c r="N455" s="266"/>
      <c r="O455" s="266"/>
      <c r="P455" s="266"/>
      <c r="Q455" s="266"/>
      <c r="R455" s="266"/>
    </row>
    <row r="456" spans="1:21" ht="27.75" customHeight="1">
      <c r="A456" s="204" t="str">
        <f>IF(ISBLANK(D456)," ",365-COUNTBLANK($D$6:D456))</f>
        <v xml:space="preserve"> </v>
      </c>
      <c r="B456" s="202"/>
      <c r="C456" s="202"/>
      <c r="D456" s="202"/>
      <c r="E456" s="304"/>
      <c r="F456" s="211"/>
      <c r="G456" s="203"/>
      <c r="H456" s="203"/>
      <c r="I456" s="295"/>
      <c r="J456" s="264" t="str">
        <f t="shared" si="7"/>
        <v/>
      </c>
      <c r="K456" s="265"/>
      <c r="L456" s="266"/>
      <c r="M456" s="266"/>
      <c r="N456" s="266"/>
      <c r="O456" s="266"/>
      <c r="P456" s="266"/>
      <c r="Q456" s="266"/>
      <c r="R456" s="266"/>
    </row>
    <row r="457" spans="1:21" ht="27.75" customHeight="1">
      <c r="A457" s="204" t="str">
        <f>IF(ISBLANK(D457)," ",366-COUNTBLANK($D$6:D457))</f>
        <v xml:space="preserve"> </v>
      </c>
      <c r="B457" s="202"/>
      <c r="C457" s="202"/>
      <c r="D457" s="202"/>
      <c r="E457" s="304"/>
      <c r="F457" s="211"/>
      <c r="G457" s="203"/>
      <c r="H457" s="203"/>
      <c r="I457" s="295"/>
      <c r="J457" s="264" t="str">
        <f t="shared" si="7"/>
        <v/>
      </c>
      <c r="K457" s="265"/>
      <c r="L457" s="266"/>
      <c r="M457" s="266"/>
      <c r="N457" s="266"/>
      <c r="O457" s="266"/>
      <c r="P457" s="266"/>
      <c r="Q457" s="266"/>
      <c r="R457" s="266"/>
    </row>
    <row r="458" spans="1:21" ht="27.75" customHeight="1">
      <c r="A458" s="204" t="str">
        <f>IF(ISBLANK(D458)," ",367-COUNTBLANK($D$6:D458))</f>
        <v xml:space="preserve"> </v>
      </c>
      <c r="B458" s="202"/>
      <c r="C458" s="202"/>
      <c r="D458" s="202"/>
      <c r="E458" s="304"/>
      <c r="F458" s="211"/>
      <c r="G458" s="203"/>
      <c r="H458" s="203"/>
      <c r="I458" s="295"/>
      <c r="J458" s="264" t="str">
        <f t="shared" si="7"/>
        <v/>
      </c>
      <c r="K458" s="265"/>
      <c r="L458" s="266"/>
      <c r="M458" s="266"/>
      <c r="N458" s="266"/>
      <c r="O458" s="266"/>
      <c r="P458" s="266"/>
      <c r="Q458" s="266"/>
      <c r="R458" s="266"/>
    </row>
    <row r="459" spans="1:21" ht="27.75" customHeight="1">
      <c r="A459" s="204" t="str">
        <f>IF(ISBLANK(D459)," ",368-COUNTBLANK($D$6:D459))</f>
        <v xml:space="preserve"> </v>
      </c>
      <c r="B459" s="202"/>
      <c r="C459" s="202"/>
      <c r="D459" s="202"/>
      <c r="E459" s="304"/>
      <c r="F459" s="211"/>
      <c r="G459" s="203"/>
      <c r="H459" s="203"/>
      <c r="I459" s="295"/>
      <c r="J459" s="264" t="str">
        <f t="shared" si="7"/>
        <v/>
      </c>
      <c r="K459" s="265"/>
      <c r="L459" s="266"/>
      <c r="M459" s="266"/>
      <c r="N459" s="266"/>
      <c r="O459" s="266"/>
      <c r="P459" s="266"/>
      <c r="Q459" s="266"/>
      <c r="R459" s="266"/>
    </row>
    <row r="460" spans="1:21" ht="27.75" customHeight="1">
      <c r="A460" s="204" t="str">
        <f>IF(ISBLANK(D460)," ",369-COUNTBLANK($D$6:D460))</f>
        <v xml:space="preserve"> </v>
      </c>
      <c r="B460" s="202"/>
      <c r="C460" s="202"/>
      <c r="D460" s="202"/>
      <c r="E460" s="304"/>
      <c r="F460" s="211"/>
      <c r="G460" s="203"/>
      <c r="H460" s="203"/>
      <c r="I460" s="295"/>
      <c r="J460" s="264" t="str">
        <f t="shared" si="7"/>
        <v/>
      </c>
      <c r="K460" s="265"/>
      <c r="L460" s="266"/>
      <c r="M460" s="266"/>
      <c r="N460" s="266"/>
      <c r="O460" s="266"/>
      <c r="P460" s="266"/>
      <c r="Q460" s="266"/>
      <c r="R460" s="266"/>
    </row>
    <row r="461" spans="1:21" ht="27.75" customHeight="1">
      <c r="A461" s="204" t="str">
        <f>IF(ISBLANK(D461)," ",370-COUNTBLANK($D$6:D461))</f>
        <v xml:space="preserve"> </v>
      </c>
      <c r="B461" s="202"/>
      <c r="C461" s="202"/>
      <c r="D461" s="202"/>
      <c r="E461" s="304"/>
      <c r="F461" s="211"/>
      <c r="G461" s="203"/>
      <c r="H461" s="203"/>
      <c r="I461" s="295"/>
      <c r="J461" s="264" t="str">
        <f t="shared" si="7"/>
        <v/>
      </c>
      <c r="K461" s="265"/>
      <c r="L461" s="266"/>
      <c r="M461" s="266"/>
      <c r="N461" s="266"/>
      <c r="O461" s="266"/>
      <c r="P461" s="266"/>
      <c r="Q461" s="266"/>
      <c r="R461" s="266"/>
    </row>
    <row r="462" spans="1:21" ht="27.75" customHeight="1">
      <c r="A462" s="204" t="str">
        <f>IF(ISBLANK(D462)," ",371-COUNTBLANK($D$6:D462))</f>
        <v xml:space="preserve"> </v>
      </c>
      <c r="B462" s="202"/>
      <c r="C462" s="202"/>
      <c r="D462" s="202"/>
      <c r="E462" s="304"/>
      <c r="F462" s="211"/>
      <c r="G462" s="203"/>
      <c r="H462" s="203"/>
      <c r="I462" s="295"/>
      <c r="J462" s="264" t="str">
        <f t="shared" si="7"/>
        <v/>
      </c>
      <c r="K462" s="265"/>
      <c r="L462" s="266"/>
      <c r="M462" s="266"/>
      <c r="N462" s="266"/>
      <c r="O462" s="266"/>
      <c r="P462" s="266"/>
      <c r="Q462" s="266"/>
      <c r="R462" s="266"/>
    </row>
    <row r="463" spans="1:21" ht="27.75" customHeight="1">
      <c r="A463" s="204" t="str">
        <f>IF(ISBLANK(D463)," ",372-COUNTBLANK($D$6:D463))</f>
        <v xml:space="preserve"> </v>
      </c>
      <c r="B463" s="202"/>
      <c r="C463" s="202"/>
      <c r="D463" s="202"/>
      <c r="E463" s="304"/>
      <c r="F463" s="211"/>
      <c r="G463" s="203"/>
      <c r="H463" s="203"/>
      <c r="I463" s="295"/>
      <c r="J463" s="264" t="str">
        <f t="shared" si="7"/>
        <v/>
      </c>
      <c r="K463" s="265"/>
      <c r="L463" s="266"/>
      <c r="M463" s="266"/>
      <c r="N463" s="266"/>
      <c r="O463" s="266"/>
      <c r="P463" s="266"/>
      <c r="Q463" s="266"/>
      <c r="R463" s="266"/>
    </row>
    <row r="464" spans="1:21" ht="27.75" customHeight="1">
      <c r="A464" s="204" t="str">
        <f>IF(ISBLANK(D464)," ",373-COUNTBLANK($D$6:D464))</f>
        <v xml:space="preserve"> </v>
      </c>
      <c r="B464" s="202"/>
      <c r="C464" s="202"/>
      <c r="D464" s="202"/>
      <c r="E464" s="304"/>
      <c r="F464" s="211"/>
      <c r="G464" s="203"/>
      <c r="H464" s="203"/>
      <c r="I464" s="295"/>
      <c r="J464" s="264" t="str">
        <f t="shared" si="7"/>
        <v/>
      </c>
      <c r="K464" s="265"/>
      <c r="L464" s="266"/>
      <c r="M464" s="266"/>
      <c r="N464" s="266"/>
      <c r="O464" s="266"/>
      <c r="P464" s="266"/>
      <c r="Q464" s="266"/>
      <c r="R464" s="266"/>
    </row>
    <row r="465" spans="1:21" ht="27.75" customHeight="1">
      <c r="A465" s="204" t="str">
        <f>IF(ISBLANK(D465)," ",374-COUNTBLANK($D$6:D465))</f>
        <v xml:space="preserve"> </v>
      </c>
      <c r="B465" s="202"/>
      <c r="C465" s="202"/>
      <c r="D465" s="202"/>
      <c r="E465" s="304"/>
      <c r="F465" s="211"/>
      <c r="G465" s="203"/>
      <c r="H465" s="203"/>
      <c r="I465" s="295"/>
      <c r="J465" s="264" t="str">
        <f t="shared" si="7"/>
        <v/>
      </c>
      <c r="K465" s="265"/>
      <c r="L465" s="266"/>
      <c r="M465" s="266"/>
      <c r="N465" s="266"/>
      <c r="O465" s="266"/>
      <c r="P465" s="266"/>
      <c r="Q465" s="266"/>
      <c r="R465" s="266"/>
    </row>
    <row r="466" spans="1:21" ht="27.75" customHeight="1">
      <c r="A466" s="204" t="str">
        <f>IF(ISBLANK(D466)," ",375-COUNTBLANK($D$6:D466))</f>
        <v xml:space="preserve"> </v>
      </c>
      <c r="B466" s="202"/>
      <c r="C466" s="202"/>
      <c r="D466" s="202"/>
      <c r="E466" s="304"/>
      <c r="F466" s="211"/>
      <c r="G466" s="203"/>
      <c r="H466" s="203"/>
      <c r="I466" s="295"/>
      <c r="J466" s="264" t="str">
        <f t="shared" si="7"/>
        <v/>
      </c>
      <c r="K466" s="267"/>
      <c r="L466" s="266"/>
      <c r="M466" s="266"/>
      <c r="N466" s="266"/>
      <c r="O466" s="266"/>
      <c r="P466" s="266"/>
      <c r="Q466" s="266"/>
      <c r="R466" s="268"/>
    </row>
    <row r="467" spans="1:21" ht="27.75" customHeight="1">
      <c r="A467" s="204" t="str">
        <f>IF(ISBLANK(D467)," ",376-COUNTBLANK($D$6:D467))</f>
        <v xml:space="preserve"> </v>
      </c>
      <c r="B467" s="202"/>
      <c r="C467" s="202"/>
      <c r="D467" s="202"/>
      <c r="E467" s="304"/>
      <c r="F467" s="211"/>
      <c r="G467" s="203"/>
      <c r="H467" s="203"/>
      <c r="I467" s="295"/>
      <c r="J467" s="264" t="str">
        <f t="shared" si="7"/>
        <v/>
      </c>
      <c r="K467" s="267"/>
      <c r="L467" s="266"/>
      <c r="M467" s="266"/>
      <c r="N467" s="266"/>
      <c r="O467" s="266"/>
      <c r="P467" s="266"/>
      <c r="Q467" s="266"/>
      <c r="R467" s="268"/>
    </row>
    <row r="468" spans="1:21" ht="27.75" customHeight="1">
      <c r="A468" s="204" t="str">
        <f>IF(ISBLANK(D468)," ",377-COUNTBLANK($D$6:D468))</f>
        <v xml:space="preserve"> </v>
      </c>
      <c r="B468" s="202"/>
      <c r="C468" s="202"/>
      <c r="D468" s="202"/>
      <c r="E468" s="304"/>
      <c r="F468" s="211"/>
      <c r="G468" s="203"/>
      <c r="H468" s="203"/>
      <c r="I468" s="295"/>
      <c r="J468" s="264" t="str">
        <f t="shared" si="7"/>
        <v/>
      </c>
      <c r="K468" s="267"/>
      <c r="L468" s="266"/>
      <c r="M468" s="266"/>
      <c r="N468" s="266"/>
      <c r="O468" s="266"/>
      <c r="P468" s="266"/>
      <c r="Q468" s="266"/>
      <c r="R468" s="268"/>
    </row>
    <row r="469" spans="1:21" ht="27.75" customHeight="1">
      <c r="A469" s="308" t="str">
        <f>IF(ISBLANK(D469)," ",379-COUNTBLANK($D$6:D469))</f>
        <v xml:space="preserve"> </v>
      </c>
      <c r="B469" s="300"/>
      <c r="C469" s="309"/>
      <c r="D469" s="310"/>
      <c r="E469" s="301"/>
      <c r="F469" s="302"/>
      <c r="G469" s="286"/>
      <c r="H469" s="286"/>
      <c r="I469" s="307"/>
      <c r="J469" s="264" t="str">
        <f t="shared" si="7"/>
        <v/>
      </c>
      <c r="K469" s="265"/>
      <c r="L469" s="266"/>
      <c r="M469" s="266"/>
      <c r="N469" s="266"/>
      <c r="O469" s="266"/>
      <c r="P469" s="266"/>
      <c r="Q469" s="266"/>
      <c r="R469" s="288"/>
      <c r="S469" s="266"/>
      <c r="T469" s="266"/>
      <c r="U469" s="266"/>
    </row>
    <row r="470" spans="1:21" ht="27.75" customHeight="1">
      <c r="A470" s="261" t="str">
        <f>IF(ISBLANK(D470)," ",380-COUNTBLANK($D$6:D470))</f>
        <v xml:space="preserve"> </v>
      </c>
      <c r="B470" s="200"/>
      <c r="C470" s="200"/>
      <c r="D470" s="200"/>
      <c r="E470" s="303"/>
      <c r="F470" s="210"/>
      <c r="G470" s="201"/>
      <c r="H470" s="201"/>
      <c r="I470" s="295"/>
      <c r="J470" s="264" t="str">
        <f t="shared" si="7"/>
        <v/>
      </c>
      <c r="K470" s="267"/>
      <c r="L470" s="266"/>
      <c r="M470" s="266"/>
      <c r="N470" s="266"/>
      <c r="O470" s="266"/>
      <c r="P470" s="266"/>
      <c r="Q470" s="266"/>
      <c r="R470" s="288"/>
      <c r="S470" s="266"/>
      <c r="T470" s="266"/>
      <c r="U470" s="266"/>
    </row>
    <row r="471" spans="1:21" ht="27.75" customHeight="1">
      <c r="A471" s="204" t="str">
        <f>IF(ISBLANK(D471)," ",381-COUNTBLANK($D$6:D471))</f>
        <v xml:space="preserve"> </v>
      </c>
      <c r="B471" s="202"/>
      <c r="C471" s="202"/>
      <c r="D471" s="202"/>
      <c r="E471" s="304"/>
      <c r="F471" s="211"/>
      <c r="G471" s="203"/>
      <c r="H471" s="203"/>
      <c r="I471" s="295"/>
      <c r="J471" s="264" t="str">
        <f t="shared" si="7"/>
        <v/>
      </c>
      <c r="K471" s="265"/>
      <c r="L471" s="266"/>
      <c r="M471" s="266"/>
      <c r="N471" s="266"/>
      <c r="O471" s="266"/>
      <c r="P471" s="266"/>
      <c r="Q471" s="266"/>
      <c r="R471" s="266"/>
    </row>
    <row r="472" spans="1:21" ht="27.75" customHeight="1">
      <c r="A472" s="204" t="str">
        <f>IF(ISBLANK(D472)," ",382-COUNTBLANK($D$6:D472))</f>
        <v xml:space="preserve"> </v>
      </c>
      <c r="B472" s="202"/>
      <c r="C472" s="202"/>
      <c r="D472" s="202"/>
      <c r="E472" s="304"/>
      <c r="F472" s="211"/>
      <c r="G472" s="203"/>
      <c r="H472" s="203"/>
      <c r="I472" s="295"/>
      <c r="J472" s="264" t="str">
        <f t="shared" si="7"/>
        <v/>
      </c>
      <c r="K472" s="265"/>
      <c r="L472" s="266"/>
      <c r="M472" s="266"/>
      <c r="N472" s="266"/>
      <c r="O472" s="266"/>
      <c r="P472" s="266"/>
      <c r="Q472" s="266"/>
      <c r="R472" s="266"/>
    </row>
    <row r="473" spans="1:21" ht="27.75" customHeight="1">
      <c r="A473" s="204" t="str">
        <f>IF(ISBLANK(D473)," ",383-COUNTBLANK($D$6:D473))</f>
        <v xml:space="preserve"> </v>
      </c>
      <c r="B473" s="202"/>
      <c r="C473" s="202"/>
      <c r="D473" s="202"/>
      <c r="E473" s="304"/>
      <c r="F473" s="211"/>
      <c r="G473" s="203"/>
      <c r="H473" s="203"/>
      <c r="I473" s="295"/>
      <c r="J473" s="264" t="str">
        <f t="shared" si="7"/>
        <v/>
      </c>
      <c r="K473" s="265"/>
      <c r="L473" s="266"/>
      <c r="M473" s="266"/>
      <c r="N473" s="266"/>
      <c r="O473" s="266"/>
      <c r="P473" s="266"/>
      <c r="Q473" s="266"/>
      <c r="R473" s="266"/>
    </row>
    <row r="474" spans="1:21" ht="27.75" customHeight="1">
      <c r="A474" s="204" t="str">
        <f>IF(ISBLANK(D474)," ",384-COUNTBLANK($D$6:D474))</f>
        <v xml:space="preserve"> </v>
      </c>
      <c r="B474" s="202"/>
      <c r="C474" s="202"/>
      <c r="D474" s="202"/>
      <c r="E474" s="304"/>
      <c r="F474" s="211"/>
      <c r="G474" s="203"/>
      <c r="H474" s="203"/>
      <c r="I474" s="295"/>
      <c r="J474" s="264" t="str">
        <f t="shared" si="7"/>
        <v/>
      </c>
      <c r="K474" s="265"/>
      <c r="L474" s="266"/>
      <c r="M474" s="266"/>
      <c r="N474" s="266"/>
      <c r="O474" s="266"/>
      <c r="P474" s="266"/>
      <c r="Q474" s="266"/>
      <c r="R474" s="266"/>
    </row>
    <row r="475" spans="1:21" ht="27.75" customHeight="1">
      <c r="A475" s="204" t="str">
        <f>IF(ISBLANK(D475)," ",385-COUNTBLANK($D$6:D475))</f>
        <v xml:space="preserve"> </v>
      </c>
      <c r="B475" s="202"/>
      <c r="C475" s="202"/>
      <c r="D475" s="202"/>
      <c r="E475" s="304"/>
      <c r="F475" s="211"/>
      <c r="G475" s="203"/>
      <c r="H475" s="203"/>
      <c r="I475" s="295"/>
      <c r="J475" s="264" t="str">
        <f t="shared" si="7"/>
        <v/>
      </c>
      <c r="K475" s="265"/>
      <c r="L475" s="266"/>
      <c r="M475" s="266"/>
      <c r="N475" s="266"/>
      <c r="O475" s="266"/>
      <c r="P475" s="266"/>
      <c r="Q475" s="266"/>
      <c r="R475" s="266"/>
    </row>
    <row r="476" spans="1:21" ht="27.75" customHeight="1">
      <c r="A476" s="204" t="str">
        <f>IF(ISBLANK(D476)," ",386-COUNTBLANK($D$6:D476))</f>
        <v xml:space="preserve"> </v>
      </c>
      <c r="B476" s="202"/>
      <c r="C476" s="202"/>
      <c r="D476" s="202"/>
      <c r="E476" s="304"/>
      <c r="F476" s="211"/>
      <c r="G476" s="203"/>
      <c r="H476" s="203"/>
      <c r="I476" s="295"/>
      <c r="J476" s="264" t="str">
        <f t="shared" si="7"/>
        <v/>
      </c>
      <c r="K476" s="265"/>
      <c r="L476" s="266"/>
      <c r="M476" s="266"/>
      <c r="N476" s="266"/>
      <c r="O476" s="266"/>
      <c r="P476" s="266"/>
      <c r="Q476" s="266"/>
      <c r="R476" s="266"/>
    </row>
    <row r="477" spans="1:21" ht="27.75" customHeight="1">
      <c r="A477" s="204" t="str">
        <f>IF(ISBLANK(D477)," ",387-COUNTBLANK($D$6:D477))</f>
        <v xml:space="preserve"> </v>
      </c>
      <c r="B477" s="202"/>
      <c r="C477" s="202"/>
      <c r="D477" s="202"/>
      <c r="E477" s="304"/>
      <c r="F477" s="211"/>
      <c r="G477" s="203"/>
      <c r="H477" s="203"/>
      <c r="I477" s="295"/>
      <c r="J477" s="264" t="str">
        <f t="shared" si="7"/>
        <v/>
      </c>
      <c r="K477" s="265"/>
      <c r="L477" s="266"/>
      <c r="M477" s="266"/>
      <c r="N477" s="266"/>
      <c r="O477" s="266"/>
      <c r="P477" s="266"/>
      <c r="Q477" s="266"/>
      <c r="R477" s="266"/>
    </row>
    <row r="478" spans="1:21" ht="27.75" customHeight="1">
      <c r="A478" s="204" t="str">
        <f>IF(ISBLANK(D478)," ",388-COUNTBLANK($D$6:D478))</f>
        <v xml:space="preserve"> </v>
      </c>
      <c r="B478" s="202"/>
      <c r="C478" s="202"/>
      <c r="D478" s="202"/>
      <c r="E478" s="304"/>
      <c r="F478" s="211"/>
      <c r="G478" s="203"/>
      <c r="H478" s="203"/>
      <c r="I478" s="295"/>
      <c r="J478" s="264" t="str">
        <f t="shared" si="7"/>
        <v/>
      </c>
      <c r="K478" s="265"/>
      <c r="L478" s="266"/>
      <c r="M478" s="266"/>
      <c r="N478" s="266"/>
      <c r="O478" s="266"/>
      <c r="P478" s="266"/>
      <c r="Q478" s="266"/>
      <c r="R478" s="266"/>
    </row>
    <row r="479" spans="1:21" ht="27.75" customHeight="1">
      <c r="A479" s="204" t="str">
        <f>IF(ISBLANK(D479)," ",389-COUNTBLANK($D$6:D479))</f>
        <v xml:space="preserve"> </v>
      </c>
      <c r="B479" s="202"/>
      <c r="C479" s="202"/>
      <c r="D479" s="202"/>
      <c r="E479" s="304"/>
      <c r="F479" s="211"/>
      <c r="G479" s="203"/>
      <c r="H479" s="203"/>
      <c r="I479" s="295"/>
      <c r="J479" s="264" t="str">
        <f t="shared" si="7"/>
        <v/>
      </c>
      <c r="K479" s="265"/>
      <c r="L479" s="266"/>
      <c r="M479" s="266"/>
      <c r="N479" s="266"/>
      <c r="O479" s="266"/>
      <c r="P479" s="266"/>
      <c r="Q479" s="266"/>
      <c r="R479" s="266"/>
    </row>
    <row r="480" spans="1:21" ht="27.75" customHeight="1">
      <c r="A480" s="204" t="str">
        <f>IF(ISBLANK(D480)," ",390-COUNTBLANK($D$6:D480))</f>
        <v xml:space="preserve"> </v>
      </c>
      <c r="B480" s="202"/>
      <c r="C480" s="202"/>
      <c r="D480" s="202"/>
      <c r="E480" s="304"/>
      <c r="F480" s="211"/>
      <c r="G480" s="203"/>
      <c r="H480" s="203"/>
      <c r="I480" s="295"/>
      <c r="J480" s="264" t="str">
        <f t="shared" si="7"/>
        <v/>
      </c>
      <c r="K480" s="265"/>
      <c r="L480" s="266"/>
      <c r="M480" s="266"/>
      <c r="N480" s="266"/>
      <c r="O480" s="266"/>
      <c r="P480" s="266"/>
      <c r="Q480" s="266"/>
      <c r="R480" s="266"/>
    </row>
    <row r="481" spans="1:21" ht="27.75" customHeight="1">
      <c r="A481" s="204" t="str">
        <f>IF(ISBLANK(D481)," ",391-COUNTBLANK($D$6:D481))</f>
        <v xml:space="preserve"> </v>
      </c>
      <c r="B481" s="202"/>
      <c r="C481" s="202"/>
      <c r="D481" s="202"/>
      <c r="E481" s="304"/>
      <c r="F481" s="211"/>
      <c r="G481" s="203"/>
      <c r="H481" s="203"/>
      <c r="I481" s="295"/>
      <c r="J481" s="264" t="str">
        <f t="shared" si="7"/>
        <v/>
      </c>
      <c r="K481" s="265"/>
      <c r="L481" s="266"/>
      <c r="M481" s="266"/>
      <c r="N481" s="266"/>
      <c r="O481" s="266"/>
      <c r="P481" s="266"/>
      <c r="Q481" s="266"/>
      <c r="R481" s="266"/>
    </row>
    <row r="482" spans="1:21" ht="27.75" customHeight="1">
      <c r="A482" s="204" t="str">
        <f>IF(ISBLANK(D482)," ",392-COUNTBLANK($D$6:D482))</f>
        <v xml:space="preserve"> </v>
      </c>
      <c r="B482" s="202"/>
      <c r="C482" s="202"/>
      <c r="D482" s="202"/>
      <c r="E482" s="304"/>
      <c r="F482" s="211"/>
      <c r="G482" s="203"/>
      <c r="H482" s="203"/>
      <c r="I482" s="295"/>
      <c r="J482" s="264" t="str">
        <f t="shared" si="7"/>
        <v/>
      </c>
      <c r="K482" s="265"/>
      <c r="L482" s="266"/>
      <c r="M482" s="266"/>
      <c r="N482" s="266"/>
      <c r="O482" s="266"/>
      <c r="P482" s="266"/>
      <c r="Q482" s="266"/>
      <c r="R482" s="266"/>
    </row>
    <row r="483" spans="1:21" ht="27.75" customHeight="1">
      <c r="A483" s="204" t="str">
        <f>IF(ISBLANK(D483)," ",393-COUNTBLANK($D$6:D483))</f>
        <v xml:space="preserve"> </v>
      </c>
      <c r="B483" s="202"/>
      <c r="C483" s="202"/>
      <c r="D483" s="202"/>
      <c r="E483" s="304"/>
      <c r="F483" s="211"/>
      <c r="G483" s="203"/>
      <c r="H483" s="203"/>
      <c r="I483" s="295"/>
      <c r="J483" s="264" t="str">
        <f t="shared" si="7"/>
        <v/>
      </c>
      <c r="K483" s="265"/>
      <c r="L483" s="266"/>
      <c r="M483" s="266"/>
      <c r="N483" s="266"/>
      <c r="O483" s="266"/>
      <c r="P483" s="266"/>
      <c r="Q483" s="266"/>
      <c r="R483" s="266"/>
    </row>
    <row r="484" spans="1:21" ht="27.75" customHeight="1">
      <c r="A484" s="204" t="str">
        <f>IF(ISBLANK(D484)," ",394-COUNTBLANK($D$6:D484))</f>
        <v xml:space="preserve"> </v>
      </c>
      <c r="B484" s="202"/>
      <c r="C484" s="202"/>
      <c r="D484" s="202"/>
      <c r="E484" s="304"/>
      <c r="F484" s="211"/>
      <c r="G484" s="203"/>
      <c r="H484" s="203"/>
      <c r="I484" s="295"/>
      <c r="J484" s="264" t="str">
        <f t="shared" si="7"/>
        <v/>
      </c>
      <c r="K484" s="265"/>
      <c r="L484" s="266"/>
      <c r="M484" s="266"/>
      <c r="N484" s="266"/>
      <c r="O484" s="266"/>
      <c r="P484" s="266"/>
      <c r="Q484" s="266"/>
      <c r="R484" s="266"/>
    </row>
    <row r="485" spans="1:21" ht="27.75" customHeight="1">
      <c r="A485" s="204" t="str">
        <f>IF(ISBLANK(D485)," ",395-COUNTBLANK($D$6:D485))</f>
        <v xml:space="preserve"> </v>
      </c>
      <c r="B485" s="202"/>
      <c r="C485" s="202"/>
      <c r="D485" s="202"/>
      <c r="E485" s="304"/>
      <c r="F485" s="211"/>
      <c r="G485" s="203"/>
      <c r="H485" s="203"/>
      <c r="I485" s="295"/>
      <c r="J485" s="264" t="str">
        <f t="shared" si="7"/>
        <v/>
      </c>
      <c r="K485" s="265"/>
      <c r="L485" s="266"/>
      <c r="M485" s="266"/>
      <c r="N485" s="266"/>
      <c r="O485" s="266"/>
      <c r="P485" s="266"/>
      <c r="Q485" s="266"/>
      <c r="R485" s="266"/>
    </row>
    <row r="486" spans="1:21" ht="27.75" customHeight="1">
      <c r="A486" s="204" t="str">
        <f>IF(ISBLANK(D486)," ",396-COUNTBLANK($D$6:D486))</f>
        <v xml:space="preserve"> </v>
      </c>
      <c r="B486" s="202"/>
      <c r="C486" s="202"/>
      <c r="D486" s="202"/>
      <c r="E486" s="304"/>
      <c r="F486" s="211"/>
      <c r="G486" s="203"/>
      <c r="H486" s="203"/>
      <c r="I486" s="295"/>
      <c r="J486" s="264" t="str">
        <f t="shared" si="7"/>
        <v/>
      </c>
      <c r="K486" s="267"/>
      <c r="L486" s="266"/>
      <c r="M486" s="266"/>
      <c r="N486" s="266"/>
      <c r="O486" s="266"/>
      <c r="P486" s="266"/>
      <c r="Q486" s="266"/>
      <c r="R486" s="268"/>
    </row>
    <row r="487" spans="1:21" ht="27.75" customHeight="1">
      <c r="A487" s="204" t="str">
        <f>IF(ISBLANK(D487)," ",397-COUNTBLANK($D$6:D487))</f>
        <v xml:space="preserve"> </v>
      </c>
      <c r="B487" s="202"/>
      <c r="C487" s="202"/>
      <c r="D487" s="202"/>
      <c r="E487" s="304"/>
      <c r="F487" s="211"/>
      <c r="G487" s="203"/>
      <c r="H487" s="203"/>
      <c r="I487" s="295"/>
      <c r="J487" s="264" t="str">
        <f t="shared" si="7"/>
        <v/>
      </c>
      <c r="K487" s="267"/>
      <c r="L487" s="266"/>
      <c r="M487" s="266"/>
      <c r="N487" s="266"/>
      <c r="O487" s="266"/>
      <c r="P487" s="266"/>
      <c r="Q487" s="266"/>
      <c r="R487" s="268"/>
    </row>
    <row r="488" spans="1:21" ht="27.75" customHeight="1">
      <c r="A488" s="204" t="str">
        <f>IF(ISBLANK(D488)," ",398-COUNTBLANK($D$6:D488))</f>
        <v xml:space="preserve"> </v>
      </c>
      <c r="B488" s="202"/>
      <c r="C488" s="202"/>
      <c r="D488" s="202"/>
      <c r="E488" s="304"/>
      <c r="F488" s="211"/>
      <c r="G488" s="203"/>
      <c r="H488" s="203"/>
      <c r="I488" s="295"/>
      <c r="J488" s="264" t="str">
        <f t="shared" si="7"/>
        <v/>
      </c>
      <c r="K488" s="267"/>
      <c r="L488" s="266"/>
      <c r="M488" s="266"/>
      <c r="N488" s="266"/>
      <c r="O488" s="266"/>
      <c r="P488" s="266"/>
      <c r="Q488" s="266"/>
      <c r="R488" s="268"/>
    </row>
    <row r="489" spans="1:21" ht="27.75" customHeight="1">
      <c r="A489" s="308" t="str">
        <f>IF(ISBLANK(D489)," ",400-COUNTBLANK($D$6:D489))</f>
        <v xml:space="preserve"> </v>
      </c>
      <c r="B489" s="300"/>
      <c r="C489" s="309"/>
      <c r="D489" s="310"/>
      <c r="E489" s="301"/>
      <c r="F489" s="302"/>
      <c r="G489" s="286"/>
      <c r="H489" s="286"/>
      <c r="I489" s="307"/>
      <c r="J489" s="264" t="str">
        <f t="shared" si="7"/>
        <v/>
      </c>
      <c r="K489" s="265"/>
      <c r="L489" s="266"/>
      <c r="M489" s="266"/>
      <c r="N489" s="266"/>
      <c r="O489" s="266"/>
      <c r="P489" s="266"/>
      <c r="Q489" s="266"/>
      <c r="R489" s="288"/>
      <c r="S489" s="266"/>
      <c r="T489" s="266"/>
      <c r="U489" s="266"/>
    </row>
    <row r="490" spans="1:21" ht="27.75" customHeight="1">
      <c r="A490" s="261" t="str">
        <f>IF(ISBLANK(D490)," ",401-COUNTBLANK($D$6:D490))</f>
        <v xml:space="preserve"> </v>
      </c>
      <c r="B490" s="200"/>
      <c r="C490" s="200"/>
      <c r="D490" s="200"/>
      <c r="E490" s="303"/>
      <c r="F490" s="210"/>
      <c r="G490" s="201"/>
      <c r="H490" s="201"/>
      <c r="I490" s="295"/>
      <c r="J490" s="264" t="str">
        <f t="shared" si="7"/>
        <v/>
      </c>
      <c r="K490" s="267"/>
      <c r="L490" s="266"/>
      <c r="M490" s="266"/>
      <c r="N490" s="266"/>
      <c r="O490" s="266"/>
      <c r="P490" s="266"/>
      <c r="Q490" s="266"/>
      <c r="R490" s="288"/>
      <c r="S490" s="266"/>
      <c r="T490" s="266"/>
      <c r="U490" s="266"/>
    </row>
    <row r="491" spans="1:21" ht="27.75" customHeight="1">
      <c r="A491" s="204" t="str">
        <f>IF(ISBLANK(D491)," ",402-COUNTBLANK($D$6:D491))</f>
        <v xml:space="preserve"> </v>
      </c>
      <c r="B491" s="202"/>
      <c r="C491" s="202"/>
      <c r="D491" s="202"/>
      <c r="E491" s="304"/>
      <c r="F491" s="211"/>
      <c r="G491" s="203"/>
      <c r="H491" s="203"/>
      <c r="I491" s="295"/>
      <c r="J491" s="264" t="str">
        <f t="shared" si="7"/>
        <v/>
      </c>
      <c r="K491" s="265"/>
      <c r="L491" s="266"/>
      <c r="M491" s="266"/>
      <c r="N491" s="266"/>
      <c r="O491" s="266"/>
      <c r="P491" s="266"/>
      <c r="Q491" s="266"/>
      <c r="R491" s="266"/>
    </row>
    <row r="492" spans="1:21" ht="27.75" customHeight="1">
      <c r="A492" s="204" t="str">
        <f>IF(ISBLANK(D492)," ",403-COUNTBLANK($D$6:D492))</f>
        <v xml:space="preserve"> </v>
      </c>
      <c r="B492" s="202"/>
      <c r="C492" s="202"/>
      <c r="D492" s="202"/>
      <c r="E492" s="304"/>
      <c r="F492" s="211"/>
      <c r="G492" s="203"/>
      <c r="H492" s="203"/>
      <c r="I492" s="295"/>
      <c r="J492" s="264" t="str">
        <f t="shared" si="7"/>
        <v/>
      </c>
      <c r="K492" s="265"/>
      <c r="L492" s="266"/>
      <c r="M492" s="266"/>
      <c r="N492" s="266"/>
      <c r="O492" s="266"/>
      <c r="P492" s="266"/>
      <c r="Q492" s="266"/>
      <c r="R492" s="266"/>
    </row>
    <row r="493" spans="1:21" ht="27.75" customHeight="1">
      <c r="A493" s="204" t="str">
        <f>IF(ISBLANK(D493)," ",404-COUNTBLANK($D$6:D493))</f>
        <v xml:space="preserve"> </v>
      </c>
      <c r="B493" s="202"/>
      <c r="C493" s="202"/>
      <c r="D493" s="202"/>
      <c r="E493" s="304"/>
      <c r="F493" s="211"/>
      <c r="G493" s="203"/>
      <c r="H493" s="203"/>
      <c r="I493" s="295"/>
      <c r="J493" s="264" t="str">
        <f t="shared" si="7"/>
        <v/>
      </c>
      <c r="K493" s="265"/>
      <c r="L493" s="266"/>
      <c r="M493" s="266"/>
      <c r="N493" s="266"/>
      <c r="O493" s="266"/>
      <c r="P493" s="266"/>
      <c r="Q493" s="266"/>
      <c r="R493" s="266"/>
    </row>
    <row r="494" spans="1:21" ht="27.75" customHeight="1">
      <c r="A494" s="204" t="str">
        <f>IF(ISBLANK(D494)," ",405-COUNTBLANK($D$6:D494))</f>
        <v xml:space="preserve"> </v>
      </c>
      <c r="B494" s="202"/>
      <c r="C494" s="202"/>
      <c r="D494" s="202"/>
      <c r="E494" s="304"/>
      <c r="F494" s="211"/>
      <c r="G494" s="203"/>
      <c r="H494" s="203"/>
      <c r="I494" s="295"/>
      <c r="J494" s="264" t="str">
        <f t="shared" si="7"/>
        <v/>
      </c>
      <c r="K494" s="265"/>
      <c r="L494" s="266"/>
      <c r="M494" s="266"/>
      <c r="N494" s="266"/>
      <c r="O494" s="266"/>
      <c r="P494" s="266"/>
      <c r="Q494" s="266"/>
      <c r="R494" s="266"/>
    </row>
    <row r="495" spans="1:21" ht="27.75" customHeight="1">
      <c r="A495" s="204" t="str">
        <f>IF(ISBLANK(D495)," ",406-COUNTBLANK($D$6:D495))</f>
        <v xml:space="preserve"> </v>
      </c>
      <c r="B495" s="202"/>
      <c r="C495" s="202"/>
      <c r="D495" s="202"/>
      <c r="E495" s="304"/>
      <c r="F495" s="211"/>
      <c r="G495" s="203"/>
      <c r="H495" s="203"/>
      <c r="I495" s="295"/>
      <c r="J495" s="264" t="str">
        <f t="shared" si="7"/>
        <v/>
      </c>
      <c r="K495" s="265"/>
      <c r="L495" s="266"/>
      <c r="M495" s="266"/>
      <c r="N495" s="266"/>
      <c r="O495" s="266"/>
      <c r="P495" s="266"/>
      <c r="Q495" s="266"/>
      <c r="R495" s="266"/>
    </row>
    <row r="496" spans="1:21" ht="27.75" customHeight="1">
      <c r="A496" s="204" t="str">
        <f>IF(ISBLANK(D496)," ",407-COUNTBLANK($D$6:D496))</f>
        <v xml:space="preserve"> </v>
      </c>
      <c r="B496" s="202"/>
      <c r="C496" s="202"/>
      <c r="D496" s="202"/>
      <c r="E496" s="304"/>
      <c r="F496" s="211"/>
      <c r="G496" s="203"/>
      <c r="H496" s="203"/>
      <c r="I496" s="295"/>
      <c r="J496" s="264" t="str">
        <f t="shared" si="7"/>
        <v/>
      </c>
      <c r="K496" s="265"/>
      <c r="L496" s="266"/>
      <c r="M496" s="266"/>
      <c r="N496" s="266"/>
      <c r="O496" s="266"/>
      <c r="P496" s="266"/>
      <c r="Q496" s="266"/>
      <c r="R496" s="266"/>
    </row>
    <row r="497" spans="1:21" ht="27.75" customHeight="1">
      <c r="A497" s="204" t="str">
        <f>IF(ISBLANK(D497)," ",408-COUNTBLANK($D$6:D497))</f>
        <v xml:space="preserve"> </v>
      </c>
      <c r="B497" s="202"/>
      <c r="C497" s="202"/>
      <c r="D497" s="202"/>
      <c r="E497" s="304"/>
      <c r="F497" s="211"/>
      <c r="G497" s="203"/>
      <c r="H497" s="203"/>
      <c r="I497" s="295"/>
      <c r="J497" s="264" t="str">
        <f t="shared" si="7"/>
        <v/>
      </c>
      <c r="K497" s="265"/>
      <c r="L497" s="266"/>
      <c r="M497" s="266"/>
      <c r="N497" s="266"/>
      <c r="O497" s="266"/>
      <c r="P497" s="266"/>
      <c r="Q497" s="266"/>
      <c r="R497" s="266"/>
    </row>
    <row r="498" spans="1:21" ht="27.75" customHeight="1">
      <c r="A498" s="204" t="str">
        <f>IF(ISBLANK(D498)," ",409-COUNTBLANK($D$6:D498))</f>
        <v xml:space="preserve"> </v>
      </c>
      <c r="B498" s="202"/>
      <c r="C498" s="202"/>
      <c r="D498" s="202"/>
      <c r="E498" s="304"/>
      <c r="F498" s="211"/>
      <c r="G498" s="203"/>
      <c r="H498" s="203"/>
      <c r="I498" s="295"/>
      <c r="J498" s="264" t="str">
        <f t="shared" si="7"/>
        <v/>
      </c>
      <c r="K498" s="265"/>
      <c r="L498" s="266"/>
      <c r="M498" s="266"/>
      <c r="N498" s="266"/>
      <c r="O498" s="266"/>
      <c r="P498" s="266"/>
      <c r="Q498" s="266"/>
      <c r="R498" s="266"/>
    </row>
    <row r="499" spans="1:21" ht="27.75" customHeight="1">
      <c r="A499" s="204" t="str">
        <f>IF(ISBLANK(D499)," ",410-COUNTBLANK($D$6:D499))</f>
        <v xml:space="preserve"> </v>
      </c>
      <c r="B499" s="202"/>
      <c r="C499" s="202"/>
      <c r="D499" s="202"/>
      <c r="E499" s="304"/>
      <c r="F499" s="211"/>
      <c r="G499" s="203"/>
      <c r="H499" s="203"/>
      <c r="I499" s="295"/>
      <c r="J499" s="264" t="str">
        <f t="shared" si="7"/>
        <v/>
      </c>
      <c r="K499" s="265"/>
      <c r="L499" s="266"/>
      <c r="M499" s="266"/>
      <c r="N499" s="266"/>
      <c r="O499" s="266"/>
      <c r="P499" s="266"/>
      <c r="Q499" s="266"/>
      <c r="R499" s="266"/>
    </row>
    <row r="500" spans="1:21" ht="27.75" customHeight="1">
      <c r="A500" s="204" t="str">
        <f>IF(ISBLANK(D500)," ",411-COUNTBLANK($D$6:D500))</f>
        <v xml:space="preserve"> </v>
      </c>
      <c r="B500" s="202"/>
      <c r="C500" s="202"/>
      <c r="D500" s="202"/>
      <c r="E500" s="304"/>
      <c r="F500" s="211"/>
      <c r="G500" s="203"/>
      <c r="H500" s="203"/>
      <c r="I500" s="295"/>
      <c r="J500" s="264" t="str">
        <f t="shared" si="7"/>
        <v/>
      </c>
      <c r="K500" s="265"/>
      <c r="L500" s="266"/>
      <c r="M500" s="266"/>
      <c r="N500" s="266"/>
      <c r="O500" s="266"/>
      <c r="P500" s="266"/>
      <c r="Q500" s="266"/>
      <c r="R500" s="266"/>
    </row>
    <row r="501" spans="1:21" ht="27.75" customHeight="1">
      <c r="A501" s="204" t="str">
        <f>IF(ISBLANK(D501)," ",412-COUNTBLANK($D$6:D501))</f>
        <v xml:space="preserve"> </v>
      </c>
      <c r="B501" s="202"/>
      <c r="C501" s="202"/>
      <c r="D501" s="202"/>
      <c r="E501" s="304"/>
      <c r="F501" s="211"/>
      <c r="G501" s="203"/>
      <c r="H501" s="203"/>
      <c r="I501" s="295"/>
      <c r="J501" s="264" t="str">
        <f t="shared" si="7"/>
        <v/>
      </c>
      <c r="K501" s="265"/>
      <c r="L501" s="266"/>
      <c r="M501" s="266"/>
      <c r="N501" s="266"/>
      <c r="O501" s="266"/>
      <c r="P501" s="266"/>
      <c r="Q501" s="266"/>
      <c r="R501" s="266"/>
    </row>
    <row r="502" spans="1:21" ht="27.75" customHeight="1">
      <c r="A502" s="204" t="str">
        <f>IF(ISBLANK(D502)," ",413-COUNTBLANK($D$6:D502))</f>
        <v xml:space="preserve"> </v>
      </c>
      <c r="B502" s="202"/>
      <c r="C502" s="202"/>
      <c r="D502" s="202"/>
      <c r="E502" s="304"/>
      <c r="F502" s="211"/>
      <c r="G502" s="203"/>
      <c r="H502" s="203"/>
      <c r="I502" s="295"/>
      <c r="J502" s="264" t="str">
        <f t="shared" si="7"/>
        <v/>
      </c>
      <c r="K502" s="265"/>
      <c r="L502" s="266"/>
      <c r="M502" s="266"/>
      <c r="N502" s="266"/>
      <c r="O502" s="266"/>
      <c r="P502" s="266"/>
      <c r="Q502" s="266"/>
      <c r="R502" s="266"/>
    </row>
    <row r="503" spans="1:21" ht="27.75" customHeight="1">
      <c r="A503" s="204" t="str">
        <f>IF(ISBLANK(D503)," ",414-COUNTBLANK($D$6:D503))</f>
        <v xml:space="preserve"> </v>
      </c>
      <c r="B503" s="202"/>
      <c r="C503" s="202"/>
      <c r="D503" s="202"/>
      <c r="E503" s="304"/>
      <c r="F503" s="211"/>
      <c r="G503" s="203"/>
      <c r="H503" s="203"/>
      <c r="I503" s="295"/>
      <c r="J503" s="264" t="str">
        <f t="shared" si="7"/>
        <v/>
      </c>
      <c r="K503" s="265"/>
      <c r="L503" s="266"/>
      <c r="M503" s="266"/>
      <c r="N503" s="266"/>
      <c r="O503" s="266"/>
      <c r="P503" s="266"/>
      <c r="Q503" s="266"/>
      <c r="R503" s="266"/>
    </row>
    <row r="504" spans="1:21" ht="27.75" customHeight="1">
      <c r="A504" s="204" t="str">
        <f>IF(ISBLANK(D504)," ",415-COUNTBLANK($D$6:D504))</f>
        <v xml:space="preserve"> </v>
      </c>
      <c r="B504" s="202"/>
      <c r="C504" s="202"/>
      <c r="D504" s="202"/>
      <c r="E504" s="304"/>
      <c r="F504" s="211"/>
      <c r="G504" s="203"/>
      <c r="H504" s="203"/>
      <c r="I504" s="295"/>
      <c r="J504" s="264" t="str">
        <f t="shared" si="7"/>
        <v/>
      </c>
      <c r="K504" s="265"/>
      <c r="L504" s="266"/>
      <c r="M504" s="266"/>
      <c r="N504" s="266"/>
      <c r="O504" s="266"/>
      <c r="P504" s="266"/>
      <c r="Q504" s="266"/>
      <c r="R504" s="266"/>
    </row>
    <row r="505" spans="1:21" ht="27.75" customHeight="1">
      <c r="A505" s="204" t="str">
        <f>IF(ISBLANK(D505)," ",416-COUNTBLANK($D$6:D505))</f>
        <v xml:space="preserve"> </v>
      </c>
      <c r="B505" s="202"/>
      <c r="C505" s="202"/>
      <c r="D505" s="202"/>
      <c r="E505" s="304"/>
      <c r="F505" s="211"/>
      <c r="G505" s="203"/>
      <c r="H505" s="203"/>
      <c r="I505" s="295"/>
      <c r="J505" s="264" t="str">
        <f t="shared" si="7"/>
        <v/>
      </c>
      <c r="K505" s="265"/>
      <c r="L505" s="266"/>
      <c r="M505" s="266"/>
      <c r="N505" s="266"/>
      <c r="O505" s="266"/>
      <c r="P505" s="266"/>
      <c r="Q505" s="266"/>
      <c r="R505" s="266"/>
    </row>
    <row r="506" spans="1:21" ht="27.75" customHeight="1">
      <c r="A506" s="204" t="str">
        <f>IF(ISBLANK(D506)," ",417-COUNTBLANK($D$6:D506))</f>
        <v xml:space="preserve"> </v>
      </c>
      <c r="B506" s="202"/>
      <c r="C506" s="202"/>
      <c r="D506" s="202"/>
      <c r="E506" s="304"/>
      <c r="F506" s="211"/>
      <c r="G506" s="203"/>
      <c r="H506" s="203"/>
      <c r="I506" s="295"/>
      <c r="J506" s="264" t="str">
        <f t="shared" si="7"/>
        <v/>
      </c>
      <c r="K506" s="267"/>
      <c r="L506" s="266"/>
      <c r="M506" s="266"/>
      <c r="N506" s="266"/>
      <c r="O506" s="266"/>
      <c r="P506" s="266"/>
      <c r="Q506" s="266"/>
      <c r="R506" s="268"/>
    </row>
    <row r="507" spans="1:21" ht="27.75" customHeight="1">
      <c r="A507" s="204" t="str">
        <f>IF(ISBLANK(D507)," ",418-COUNTBLANK($D$6:D507))</f>
        <v xml:space="preserve"> </v>
      </c>
      <c r="B507" s="202"/>
      <c r="C507" s="202"/>
      <c r="D507" s="202"/>
      <c r="E507" s="304"/>
      <c r="F507" s="211"/>
      <c r="G507" s="203"/>
      <c r="H507" s="203"/>
      <c r="I507" s="295"/>
      <c r="J507" s="264" t="str">
        <f t="shared" si="7"/>
        <v/>
      </c>
      <c r="K507" s="267"/>
      <c r="L507" s="266"/>
      <c r="M507" s="266"/>
      <c r="N507" s="266"/>
      <c r="O507" s="266"/>
      <c r="P507" s="266"/>
      <c r="Q507" s="266"/>
      <c r="R507" s="268"/>
    </row>
    <row r="508" spans="1:21" ht="27.75" customHeight="1">
      <c r="A508" s="204" t="str">
        <f>IF(ISBLANK(D508)," ",419-COUNTBLANK($D$6:D508))</f>
        <v xml:space="preserve"> </v>
      </c>
      <c r="B508" s="202"/>
      <c r="C508" s="202"/>
      <c r="D508" s="202"/>
      <c r="E508" s="304"/>
      <c r="F508" s="211"/>
      <c r="G508" s="203"/>
      <c r="H508" s="203"/>
      <c r="I508" s="295"/>
      <c r="J508" s="264" t="str">
        <f t="shared" si="7"/>
        <v/>
      </c>
      <c r="K508" s="267"/>
      <c r="L508" s="266"/>
      <c r="M508" s="266"/>
      <c r="N508" s="266"/>
      <c r="O508" s="266"/>
      <c r="P508" s="266"/>
      <c r="Q508" s="266"/>
      <c r="R508" s="268"/>
    </row>
    <row r="509" spans="1:21" ht="27.75" customHeight="1">
      <c r="A509" s="308" t="str">
        <f>IF(ISBLANK(D509)," ",421-COUNTBLANK($D$6:D509))</f>
        <v xml:space="preserve"> </v>
      </c>
      <c r="B509" s="300"/>
      <c r="C509" s="309"/>
      <c r="D509" s="310"/>
      <c r="E509" s="301"/>
      <c r="F509" s="302"/>
      <c r="G509" s="286"/>
      <c r="H509" s="286"/>
      <c r="I509" s="307"/>
      <c r="J509" s="264" t="str">
        <f t="shared" si="7"/>
        <v/>
      </c>
      <c r="K509" s="265"/>
      <c r="L509" s="266"/>
      <c r="M509" s="266"/>
      <c r="N509" s="266"/>
      <c r="O509" s="266"/>
      <c r="P509" s="266"/>
      <c r="Q509" s="266"/>
      <c r="R509" s="288"/>
      <c r="S509" s="266"/>
      <c r="T509" s="266"/>
      <c r="U509" s="266"/>
    </row>
    <row r="510" spans="1:21" ht="27.75" customHeight="1">
      <c r="A510" s="241" t="str">
        <f>IF(ISBLANK(D510)," ",422-COUNTBLANK($D$6:D510))</f>
        <v xml:space="preserve"> </v>
      </c>
      <c r="J510" s="264" t="str">
        <f t="shared" si="7"/>
        <v/>
      </c>
      <c r="K510" s="267"/>
      <c r="L510" s="266"/>
      <c r="M510" s="266"/>
      <c r="N510" s="266"/>
      <c r="O510" s="266"/>
      <c r="P510" s="266"/>
      <c r="Q510" s="266"/>
      <c r="R510" s="288"/>
      <c r="S510" s="266"/>
      <c r="T510" s="266"/>
      <c r="U510" s="266"/>
    </row>
    <row r="511" spans="1:21" ht="27.75" customHeight="1">
      <c r="A511" s="241" t="str">
        <f>IF(ISBLANK(D511)," ",423-COUNTBLANK($D$6:D511))</f>
        <v xml:space="preserve"> </v>
      </c>
      <c r="J511" s="264" t="str">
        <f t="shared" si="7"/>
        <v/>
      </c>
      <c r="K511" s="265"/>
      <c r="L511" s="266"/>
      <c r="M511" s="266"/>
      <c r="N511" s="266"/>
      <c r="O511" s="266"/>
      <c r="P511" s="266"/>
      <c r="Q511" s="266"/>
      <c r="R511" s="266"/>
    </row>
    <row r="512" spans="1:21" ht="27.75" customHeight="1">
      <c r="A512" s="241" t="str">
        <f>IF(ISBLANK(D512)," ",424-COUNTBLANK($D$6:D512))</f>
        <v xml:space="preserve"> </v>
      </c>
      <c r="J512" s="264" t="str">
        <f t="shared" si="7"/>
        <v/>
      </c>
      <c r="K512" s="265"/>
      <c r="L512" s="266"/>
      <c r="M512" s="266"/>
      <c r="N512" s="266"/>
      <c r="O512" s="266"/>
      <c r="P512" s="266"/>
      <c r="Q512" s="266"/>
      <c r="R512" s="266"/>
    </row>
    <row r="513" spans="1:18" ht="27.75" customHeight="1">
      <c r="A513" s="241" t="str">
        <f>IF(ISBLANK(D513)," ",425-COUNTBLANK($D$6:D513))</f>
        <v xml:space="preserve"> </v>
      </c>
      <c r="J513" s="264" t="str">
        <f t="shared" si="7"/>
        <v/>
      </c>
      <c r="K513" s="265"/>
      <c r="L513" s="266"/>
      <c r="M513" s="266"/>
      <c r="N513" s="266"/>
      <c r="O513" s="266"/>
      <c r="P513" s="266"/>
      <c r="Q513" s="266"/>
      <c r="R513" s="266"/>
    </row>
    <row r="514" spans="1:18" ht="27.75" customHeight="1">
      <c r="A514" s="241" t="str">
        <f>IF(ISBLANK(D514)," ",426-COUNTBLANK($D$6:D514))</f>
        <v xml:space="preserve"> </v>
      </c>
      <c r="J514" s="264" t="str">
        <f t="shared" si="7"/>
        <v/>
      </c>
      <c r="K514" s="265"/>
      <c r="L514" s="266"/>
      <c r="M514" s="266"/>
      <c r="N514" s="266"/>
      <c r="O514" s="266"/>
      <c r="P514" s="266"/>
      <c r="Q514" s="266"/>
      <c r="R514" s="266"/>
    </row>
    <row r="515" spans="1:18" ht="27.75" customHeight="1">
      <c r="A515" s="241" t="str">
        <f>IF(ISBLANK(D515)," ",427-COUNTBLANK($D$6:D515))</f>
        <v xml:space="preserve"> </v>
      </c>
      <c r="J515" s="264" t="str">
        <f t="shared" si="7"/>
        <v/>
      </c>
      <c r="K515" s="265"/>
      <c r="L515" s="266"/>
      <c r="M515" s="266"/>
      <c r="N515" s="266"/>
      <c r="O515" s="266"/>
      <c r="P515" s="266"/>
      <c r="Q515" s="266"/>
      <c r="R515" s="266"/>
    </row>
    <row r="516" spans="1:18" ht="27.75" customHeight="1">
      <c r="A516" s="241" t="str">
        <f>IF(ISBLANK(D516)," ",428-COUNTBLANK($D$6:D516))</f>
        <v xml:space="preserve"> </v>
      </c>
      <c r="J516" s="264" t="str">
        <f t="shared" si="7"/>
        <v/>
      </c>
      <c r="K516" s="265"/>
      <c r="L516" s="266"/>
      <c r="M516" s="266"/>
      <c r="N516" s="266"/>
      <c r="O516" s="266"/>
      <c r="P516" s="266"/>
      <c r="Q516" s="266"/>
      <c r="R516" s="266"/>
    </row>
    <row r="517" spans="1:18" ht="27.75" customHeight="1">
      <c r="A517" s="241" t="str">
        <f>IF(ISBLANK(D517)," ",429-COUNTBLANK($D$6:D517))</f>
        <v xml:space="preserve"> </v>
      </c>
      <c r="J517" s="264" t="str">
        <f t="shared" si="7"/>
        <v/>
      </c>
      <c r="K517" s="265"/>
      <c r="L517" s="266"/>
      <c r="M517" s="266"/>
      <c r="N517" s="266"/>
      <c r="O517" s="266"/>
      <c r="P517" s="266"/>
      <c r="Q517" s="266"/>
      <c r="R517" s="266"/>
    </row>
    <row r="518" spans="1:18" ht="27.75" customHeight="1">
      <c r="A518" s="241" t="str">
        <f>IF(ISBLANK(D518)," ",430-COUNTBLANK($D$6:D518))</f>
        <v xml:space="preserve"> </v>
      </c>
      <c r="J518" s="264" t="str">
        <f t="shared" ref="J518:J581" si="8">CONCATENATE(D518,G518)</f>
        <v/>
      </c>
      <c r="K518" s="265"/>
      <c r="L518" s="266"/>
      <c r="M518" s="266"/>
      <c r="N518" s="266"/>
      <c r="O518" s="266"/>
      <c r="P518" s="266"/>
      <c r="Q518" s="266"/>
      <c r="R518" s="266"/>
    </row>
    <row r="519" spans="1:18" ht="27.75" customHeight="1">
      <c r="A519" s="241" t="str">
        <f>IF(ISBLANK(D519)," ",431-COUNTBLANK($D$6:D519))</f>
        <v xml:space="preserve"> </v>
      </c>
      <c r="J519" s="264" t="str">
        <f t="shared" si="8"/>
        <v/>
      </c>
      <c r="K519" s="265"/>
      <c r="L519" s="266"/>
      <c r="M519" s="266"/>
      <c r="N519" s="266"/>
      <c r="O519" s="266"/>
      <c r="P519" s="266"/>
      <c r="Q519" s="266"/>
      <c r="R519" s="266"/>
    </row>
    <row r="520" spans="1:18" ht="27.75" customHeight="1">
      <c r="A520" s="241" t="str">
        <f>IF(ISBLANK(D520)," ",432-COUNTBLANK($D$6:D520))</f>
        <v xml:space="preserve"> </v>
      </c>
      <c r="J520" s="264" t="str">
        <f t="shared" si="8"/>
        <v/>
      </c>
      <c r="K520" s="265"/>
      <c r="L520" s="266"/>
      <c r="M520" s="266"/>
      <c r="N520" s="266"/>
      <c r="O520" s="266"/>
      <c r="P520" s="266"/>
      <c r="Q520" s="266"/>
      <c r="R520" s="266"/>
    </row>
    <row r="521" spans="1:18" ht="27.75" customHeight="1">
      <c r="A521" s="241" t="str">
        <f>IF(ISBLANK(D521)," ",433-COUNTBLANK($D$6:D521))</f>
        <v xml:space="preserve"> </v>
      </c>
      <c r="J521" s="264" t="str">
        <f t="shared" si="8"/>
        <v/>
      </c>
      <c r="K521" s="265"/>
      <c r="L521" s="266"/>
      <c r="M521" s="266"/>
      <c r="N521" s="266"/>
      <c r="O521" s="266"/>
      <c r="P521" s="266"/>
      <c r="Q521" s="266"/>
      <c r="R521" s="266"/>
    </row>
    <row r="522" spans="1:18" ht="27.75" customHeight="1">
      <c r="A522" s="241" t="str">
        <f>IF(ISBLANK(D522)," ",434-COUNTBLANK($D$6:D522))</f>
        <v xml:space="preserve"> </v>
      </c>
      <c r="J522" s="264" t="str">
        <f t="shared" si="8"/>
        <v/>
      </c>
      <c r="K522" s="265"/>
      <c r="L522" s="266"/>
      <c r="M522" s="266"/>
      <c r="N522" s="266"/>
      <c r="O522" s="266"/>
      <c r="P522" s="266"/>
      <c r="Q522" s="266"/>
      <c r="R522" s="266"/>
    </row>
    <row r="523" spans="1:18" ht="27.75" customHeight="1">
      <c r="A523" s="241" t="str">
        <f>IF(ISBLANK(D523)," ",435-COUNTBLANK($D$6:D523))</f>
        <v xml:space="preserve"> </v>
      </c>
      <c r="J523" s="264" t="str">
        <f t="shared" si="8"/>
        <v/>
      </c>
      <c r="K523" s="265"/>
      <c r="L523" s="266"/>
      <c r="M523" s="266"/>
      <c r="N523" s="266"/>
      <c r="O523" s="266"/>
      <c r="P523" s="266"/>
      <c r="Q523" s="266"/>
      <c r="R523" s="266"/>
    </row>
    <row r="524" spans="1:18" ht="27.75" customHeight="1">
      <c r="A524" s="241" t="str">
        <f>IF(ISBLANK(D524)," ",436-COUNTBLANK($D$6:D524))</f>
        <v xml:space="preserve"> </v>
      </c>
      <c r="J524" s="264" t="str">
        <f t="shared" si="8"/>
        <v/>
      </c>
      <c r="K524" s="265"/>
      <c r="L524" s="266"/>
      <c r="M524" s="266"/>
      <c r="N524" s="266"/>
      <c r="O524" s="266"/>
      <c r="P524" s="266"/>
      <c r="Q524" s="266"/>
      <c r="R524" s="266"/>
    </row>
    <row r="525" spans="1:18" ht="27.75" customHeight="1">
      <c r="A525" s="241" t="str">
        <f>IF(ISBLANK(D525)," ",437-COUNTBLANK($D$6:D525))</f>
        <v xml:space="preserve"> </v>
      </c>
      <c r="J525" s="264" t="str">
        <f t="shared" si="8"/>
        <v/>
      </c>
      <c r="K525" s="265"/>
      <c r="L525" s="266"/>
      <c r="M525" s="266"/>
      <c r="N525" s="266"/>
      <c r="O525" s="266"/>
      <c r="P525" s="266"/>
      <c r="Q525" s="266"/>
      <c r="R525" s="266"/>
    </row>
    <row r="526" spans="1:18" ht="27.75" customHeight="1">
      <c r="A526" s="241" t="str">
        <f>IF(ISBLANK(D526)," ",438-COUNTBLANK($D$6:D526))</f>
        <v xml:space="preserve"> </v>
      </c>
      <c r="J526" s="264" t="str">
        <f t="shared" si="8"/>
        <v/>
      </c>
      <c r="K526" s="267"/>
      <c r="L526" s="266"/>
      <c r="M526" s="266"/>
      <c r="N526" s="266"/>
      <c r="O526" s="266"/>
      <c r="P526" s="266"/>
      <c r="Q526" s="266"/>
      <c r="R526" s="268"/>
    </row>
    <row r="527" spans="1:18" ht="27.75" customHeight="1">
      <c r="A527" s="241" t="str">
        <f>IF(ISBLANK(D527)," ",439-COUNTBLANK($D$6:D527))</f>
        <v xml:space="preserve"> </v>
      </c>
      <c r="J527" s="264" t="str">
        <f t="shared" si="8"/>
        <v/>
      </c>
      <c r="K527" s="267"/>
      <c r="L527" s="266"/>
      <c r="M527" s="266"/>
      <c r="N527" s="266"/>
      <c r="O527" s="266"/>
      <c r="P527" s="266"/>
      <c r="Q527" s="266"/>
      <c r="R527" s="268"/>
    </row>
    <row r="528" spans="1:18" ht="27.75" customHeight="1">
      <c r="A528" s="241" t="str">
        <f>IF(ISBLANK(D528)," ",440-COUNTBLANK($D$6:D528))</f>
        <v xml:space="preserve"> </v>
      </c>
      <c r="J528" s="264" t="str">
        <f t="shared" si="8"/>
        <v/>
      </c>
      <c r="K528" s="267"/>
      <c r="L528" s="266"/>
      <c r="M528" s="266"/>
      <c r="N528" s="266"/>
      <c r="O528" s="266"/>
      <c r="P528" s="266"/>
      <c r="Q528" s="266"/>
      <c r="R528" s="268"/>
    </row>
    <row r="529" spans="1:21" ht="27.75" customHeight="1">
      <c r="A529" s="241" t="str">
        <f>IF(ISBLANK(D529)," ",442-COUNTBLANK($D$6:D529))</f>
        <v xml:space="preserve"> </v>
      </c>
      <c r="J529" s="264" t="str">
        <f t="shared" si="8"/>
        <v/>
      </c>
      <c r="K529" s="265"/>
      <c r="L529" s="266"/>
      <c r="M529" s="266"/>
      <c r="N529" s="266"/>
      <c r="O529" s="266"/>
      <c r="P529" s="266"/>
      <c r="Q529" s="266"/>
      <c r="R529" s="288"/>
      <c r="S529" s="266"/>
      <c r="T529" s="266"/>
      <c r="U529" s="266"/>
    </row>
    <row r="530" spans="1:21" ht="27.75" customHeight="1">
      <c r="A530" s="241" t="str">
        <f>IF(ISBLANK(D530)," ",443-COUNTBLANK($D$6:D530))</f>
        <v xml:space="preserve"> </v>
      </c>
      <c r="J530" s="264" t="str">
        <f t="shared" si="8"/>
        <v/>
      </c>
      <c r="K530" s="267"/>
      <c r="L530" s="266"/>
      <c r="M530" s="266"/>
      <c r="N530" s="266"/>
      <c r="O530" s="266"/>
      <c r="P530" s="266"/>
      <c r="Q530" s="266"/>
      <c r="R530" s="288"/>
      <c r="S530" s="266"/>
      <c r="T530" s="266"/>
      <c r="U530" s="266"/>
    </row>
    <row r="531" spans="1:21" ht="27.75" customHeight="1">
      <c r="A531" s="241" t="str">
        <f>IF(ISBLANK(D531)," ",444-COUNTBLANK($D$6:D531))</f>
        <v xml:space="preserve"> </v>
      </c>
      <c r="J531" s="264" t="str">
        <f t="shared" si="8"/>
        <v/>
      </c>
      <c r="K531" s="265"/>
      <c r="L531" s="266"/>
      <c r="M531" s="266"/>
      <c r="N531" s="266"/>
      <c r="O531" s="266"/>
      <c r="P531" s="266"/>
      <c r="Q531" s="266"/>
      <c r="R531" s="266"/>
    </row>
    <row r="532" spans="1:21" ht="27.75" customHeight="1">
      <c r="A532" s="241" t="str">
        <f>IF(ISBLANK(D532)," ",445-COUNTBLANK($D$6:D532))</f>
        <v xml:space="preserve"> </v>
      </c>
      <c r="J532" s="264" t="str">
        <f t="shared" si="8"/>
        <v/>
      </c>
      <c r="K532" s="265"/>
      <c r="L532" s="266"/>
      <c r="M532" s="266"/>
      <c r="N532" s="266"/>
      <c r="O532" s="266"/>
      <c r="P532" s="266"/>
      <c r="Q532" s="266"/>
      <c r="R532" s="266"/>
    </row>
    <row r="533" spans="1:21" ht="27.75" customHeight="1">
      <c r="A533" s="241" t="str">
        <f>IF(ISBLANK(D533)," ",446-COUNTBLANK($D$6:D533))</f>
        <v xml:space="preserve"> </v>
      </c>
      <c r="J533" s="264" t="str">
        <f t="shared" si="8"/>
        <v/>
      </c>
      <c r="K533" s="265"/>
      <c r="L533" s="266"/>
      <c r="M533" s="266"/>
      <c r="N533" s="266"/>
      <c r="O533" s="266"/>
      <c r="P533" s="266"/>
      <c r="Q533" s="266"/>
      <c r="R533" s="266"/>
    </row>
    <row r="534" spans="1:21" ht="27.75" customHeight="1">
      <c r="A534" s="241" t="str">
        <f>IF(ISBLANK(D534)," ",447-COUNTBLANK($D$6:D534))</f>
        <v xml:space="preserve"> </v>
      </c>
      <c r="J534" s="264" t="str">
        <f t="shared" si="8"/>
        <v/>
      </c>
      <c r="K534" s="265"/>
      <c r="L534" s="266"/>
      <c r="M534" s="266"/>
      <c r="N534" s="266"/>
      <c r="O534" s="266"/>
      <c r="P534" s="266"/>
      <c r="Q534" s="266"/>
      <c r="R534" s="266"/>
    </row>
    <row r="535" spans="1:21" ht="27.75" customHeight="1">
      <c r="A535" s="241" t="str">
        <f>IF(ISBLANK(D535)," ",448-COUNTBLANK($D$6:D535))</f>
        <v xml:space="preserve"> </v>
      </c>
      <c r="J535" s="264" t="str">
        <f t="shared" si="8"/>
        <v/>
      </c>
      <c r="K535" s="265"/>
      <c r="L535" s="266"/>
      <c r="M535" s="266"/>
      <c r="N535" s="266"/>
      <c r="O535" s="266"/>
      <c r="P535" s="266"/>
      <c r="Q535" s="266"/>
      <c r="R535" s="266"/>
    </row>
    <row r="536" spans="1:21" ht="27.75" customHeight="1">
      <c r="A536" s="241" t="str">
        <f>IF(ISBLANK(D536)," ",449-COUNTBLANK($D$6:D536))</f>
        <v xml:space="preserve"> </v>
      </c>
      <c r="J536" s="264" t="str">
        <f t="shared" si="8"/>
        <v/>
      </c>
      <c r="K536" s="265"/>
      <c r="L536" s="266"/>
      <c r="M536" s="266"/>
      <c r="N536" s="266"/>
      <c r="O536" s="266"/>
      <c r="P536" s="266"/>
      <c r="Q536" s="266"/>
      <c r="R536" s="266"/>
    </row>
    <row r="537" spans="1:21" ht="27.75" customHeight="1">
      <c r="A537" s="241" t="str">
        <f>IF(ISBLANK(D537)," ",450-COUNTBLANK($D$6:D537))</f>
        <v xml:space="preserve"> </v>
      </c>
      <c r="J537" s="264" t="str">
        <f t="shared" si="8"/>
        <v/>
      </c>
      <c r="K537" s="265"/>
      <c r="L537" s="266"/>
      <c r="M537" s="266"/>
      <c r="N537" s="266"/>
      <c r="O537" s="266"/>
      <c r="P537" s="266"/>
      <c r="Q537" s="266"/>
      <c r="R537" s="266"/>
    </row>
    <row r="538" spans="1:21" ht="27.75" customHeight="1">
      <c r="A538" s="241" t="str">
        <f>IF(ISBLANK(D538)," ",451-COUNTBLANK($D$6:D538))</f>
        <v xml:space="preserve"> </v>
      </c>
      <c r="J538" s="264" t="str">
        <f t="shared" si="8"/>
        <v/>
      </c>
      <c r="K538" s="265"/>
      <c r="L538" s="266"/>
      <c r="M538" s="266"/>
      <c r="N538" s="266"/>
      <c r="O538" s="266"/>
      <c r="P538" s="266"/>
      <c r="Q538" s="266"/>
      <c r="R538" s="266"/>
    </row>
    <row r="539" spans="1:21" ht="27.75" customHeight="1">
      <c r="A539" s="241" t="str">
        <f>IF(ISBLANK(D539)," ",452-COUNTBLANK($D$6:D539))</f>
        <v xml:space="preserve"> </v>
      </c>
      <c r="J539" s="264" t="str">
        <f t="shared" si="8"/>
        <v/>
      </c>
      <c r="K539" s="265"/>
      <c r="L539" s="266"/>
      <c r="M539" s="266"/>
      <c r="N539" s="266"/>
      <c r="O539" s="266"/>
      <c r="P539" s="266"/>
      <c r="Q539" s="266"/>
      <c r="R539" s="266"/>
    </row>
    <row r="540" spans="1:21" ht="27.75" customHeight="1">
      <c r="A540" s="241" t="str">
        <f>IF(ISBLANK(D540)," ",453-COUNTBLANK($D$6:D540))</f>
        <v xml:space="preserve"> </v>
      </c>
      <c r="J540" s="264" t="str">
        <f t="shared" si="8"/>
        <v/>
      </c>
      <c r="K540" s="265"/>
      <c r="L540" s="266"/>
      <c r="M540" s="266"/>
      <c r="N540" s="266"/>
      <c r="O540" s="266"/>
      <c r="P540" s="266"/>
      <c r="Q540" s="266"/>
      <c r="R540" s="266"/>
    </row>
    <row r="541" spans="1:21" ht="27.75" customHeight="1">
      <c r="A541" s="241" t="str">
        <f>IF(ISBLANK(D541)," ",454-COUNTBLANK($D$6:D541))</f>
        <v xml:space="preserve"> </v>
      </c>
      <c r="J541" s="264" t="str">
        <f t="shared" si="8"/>
        <v/>
      </c>
      <c r="K541" s="265"/>
      <c r="L541" s="266"/>
      <c r="M541" s="266"/>
      <c r="N541" s="266"/>
      <c r="O541" s="266"/>
      <c r="P541" s="266"/>
      <c r="Q541" s="266"/>
      <c r="R541" s="266"/>
    </row>
    <row r="542" spans="1:21" ht="27.75" customHeight="1">
      <c r="A542" s="241" t="str">
        <f>IF(ISBLANK(D542)," ",455-COUNTBLANK($D$6:D542))</f>
        <v xml:space="preserve"> </v>
      </c>
      <c r="J542" s="264" t="str">
        <f t="shared" si="8"/>
        <v/>
      </c>
      <c r="K542" s="265"/>
      <c r="L542" s="266"/>
      <c r="M542" s="266"/>
      <c r="N542" s="266"/>
      <c r="O542" s="266"/>
      <c r="P542" s="266"/>
      <c r="Q542" s="266"/>
      <c r="R542" s="266"/>
    </row>
    <row r="543" spans="1:21" ht="27.75" customHeight="1">
      <c r="A543" s="241" t="str">
        <f>IF(ISBLANK(D543)," ",456-COUNTBLANK($D$6:D543))</f>
        <v xml:space="preserve"> </v>
      </c>
      <c r="J543" s="264" t="str">
        <f t="shared" si="8"/>
        <v/>
      </c>
      <c r="K543" s="265"/>
      <c r="L543" s="266"/>
      <c r="M543" s="266"/>
      <c r="N543" s="266"/>
      <c r="O543" s="266"/>
      <c r="P543" s="266"/>
      <c r="Q543" s="266"/>
      <c r="R543" s="266"/>
    </row>
    <row r="544" spans="1:21" ht="27.75" customHeight="1">
      <c r="A544" s="241" t="str">
        <f>IF(ISBLANK(D544)," ",457-COUNTBLANK($D$6:D544))</f>
        <v xml:space="preserve"> </v>
      </c>
      <c r="J544" s="264" t="str">
        <f t="shared" si="8"/>
        <v/>
      </c>
      <c r="K544" s="265"/>
      <c r="L544" s="266"/>
      <c r="M544" s="266"/>
      <c r="N544" s="266"/>
      <c r="O544" s="266"/>
      <c r="P544" s="266"/>
      <c r="Q544" s="266"/>
      <c r="R544" s="266"/>
    </row>
    <row r="545" spans="1:21" ht="27.75" customHeight="1">
      <c r="A545" s="241" t="str">
        <f>IF(ISBLANK(D545)," ",458-COUNTBLANK($D$6:D545))</f>
        <v xml:space="preserve"> </v>
      </c>
      <c r="J545" s="264" t="str">
        <f t="shared" si="8"/>
        <v/>
      </c>
      <c r="K545" s="265"/>
      <c r="L545" s="266"/>
      <c r="M545" s="266"/>
      <c r="N545" s="266"/>
      <c r="O545" s="266"/>
      <c r="P545" s="266"/>
      <c r="Q545" s="266"/>
      <c r="R545" s="266"/>
    </row>
    <row r="546" spans="1:21" ht="27.75" customHeight="1">
      <c r="A546" s="241" t="str">
        <f>IF(ISBLANK(D546)," ",459-COUNTBLANK($D$6:D546))</f>
        <v xml:space="preserve"> </v>
      </c>
      <c r="J546" s="264" t="str">
        <f t="shared" si="8"/>
        <v/>
      </c>
      <c r="K546" s="267"/>
      <c r="L546" s="266"/>
      <c r="M546" s="266"/>
      <c r="N546" s="266"/>
      <c r="O546" s="266"/>
      <c r="P546" s="266"/>
      <c r="Q546" s="266"/>
      <c r="R546" s="268"/>
    </row>
    <row r="547" spans="1:21" ht="27.75" customHeight="1">
      <c r="A547" s="241" t="str">
        <f>IF(ISBLANK(D547)," ",460-COUNTBLANK($D$6:D547))</f>
        <v xml:space="preserve"> </v>
      </c>
      <c r="J547" s="264" t="str">
        <f t="shared" si="8"/>
        <v/>
      </c>
      <c r="K547" s="267"/>
      <c r="L547" s="266"/>
      <c r="M547" s="266"/>
      <c r="N547" s="266"/>
      <c r="O547" s="266"/>
      <c r="P547" s="266"/>
      <c r="Q547" s="266"/>
      <c r="R547" s="268"/>
    </row>
    <row r="548" spans="1:21" ht="27.75" customHeight="1">
      <c r="A548" s="241" t="str">
        <f>IF(ISBLANK(D548)," ",461-COUNTBLANK($D$6:D548))</f>
        <v xml:space="preserve"> </v>
      </c>
      <c r="J548" s="264" t="str">
        <f t="shared" si="8"/>
        <v/>
      </c>
      <c r="K548" s="267"/>
      <c r="L548" s="266"/>
      <c r="M548" s="266"/>
      <c r="N548" s="266"/>
      <c r="O548" s="266"/>
      <c r="P548" s="266"/>
      <c r="Q548" s="266"/>
      <c r="R548" s="268"/>
    </row>
    <row r="549" spans="1:21" ht="27.75" customHeight="1">
      <c r="A549" s="241" t="str">
        <f>IF(ISBLANK(D549)," ",463-COUNTBLANK($D$6:D549))</f>
        <v xml:space="preserve"> </v>
      </c>
      <c r="J549" s="264" t="str">
        <f t="shared" si="8"/>
        <v/>
      </c>
      <c r="K549" s="265"/>
      <c r="L549" s="266"/>
      <c r="M549" s="266"/>
      <c r="N549" s="266"/>
      <c r="O549" s="266"/>
      <c r="P549" s="266"/>
      <c r="Q549" s="266"/>
      <c r="R549" s="288"/>
      <c r="S549" s="266"/>
      <c r="T549" s="266"/>
      <c r="U549" s="266"/>
    </row>
    <row r="550" spans="1:21" ht="27.75" customHeight="1">
      <c r="A550" s="241" t="str">
        <f>IF(ISBLANK(D550)," ",464-COUNTBLANK($D$6:D550))</f>
        <v xml:space="preserve"> </v>
      </c>
      <c r="J550" s="264" t="str">
        <f t="shared" si="8"/>
        <v/>
      </c>
      <c r="K550" s="267"/>
      <c r="L550" s="266"/>
      <c r="M550" s="266"/>
      <c r="N550" s="266"/>
      <c r="O550" s="266"/>
      <c r="P550" s="266"/>
      <c r="Q550" s="266"/>
      <c r="R550" s="288"/>
      <c r="S550" s="266"/>
      <c r="T550" s="266"/>
      <c r="U550" s="266"/>
    </row>
    <row r="551" spans="1:21" ht="27.75" customHeight="1">
      <c r="A551" s="241" t="str">
        <f>IF(ISBLANK(D551)," ",465-COUNTBLANK($D$6:D551))</f>
        <v xml:space="preserve"> </v>
      </c>
      <c r="J551" s="264" t="str">
        <f t="shared" si="8"/>
        <v/>
      </c>
      <c r="K551" s="265"/>
      <c r="L551" s="266"/>
      <c r="M551" s="266"/>
      <c r="N551" s="266"/>
      <c r="O551" s="266"/>
      <c r="P551" s="266"/>
      <c r="Q551" s="266"/>
      <c r="R551" s="266"/>
    </row>
    <row r="552" spans="1:21" ht="27.75" customHeight="1">
      <c r="A552" s="241" t="str">
        <f>IF(ISBLANK(D552)," ",466-COUNTBLANK($D$6:D552))</f>
        <v xml:space="preserve"> </v>
      </c>
      <c r="J552" s="264" t="str">
        <f t="shared" si="8"/>
        <v/>
      </c>
      <c r="K552" s="265"/>
      <c r="L552" s="266"/>
      <c r="M552" s="266"/>
      <c r="N552" s="266"/>
      <c r="O552" s="266"/>
      <c r="P552" s="266"/>
      <c r="Q552" s="266"/>
      <c r="R552" s="266"/>
    </row>
    <row r="553" spans="1:21" ht="27.75" customHeight="1">
      <c r="A553" s="241" t="str">
        <f>IF(ISBLANK(D553)," ",467-COUNTBLANK($D$6:D553))</f>
        <v xml:space="preserve"> </v>
      </c>
      <c r="J553" s="264" t="str">
        <f t="shared" si="8"/>
        <v/>
      </c>
      <c r="K553" s="265"/>
      <c r="L553" s="266"/>
      <c r="M553" s="266"/>
      <c r="N553" s="266"/>
      <c r="O553" s="266"/>
      <c r="P553" s="266"/>
      <c r="Q553" s="266"/>
      <c r="R553" s="266"/>
    </row>
    <row r="554" spans="1:21" ht="27.75" customHeight="1">
      <c r="A554" s="241" t="str">
        <f>IF(ISBLANK(D554)," ",468-COUNTBLANK($D$6:D554))</f>
        <v xml:space="preserve"> </v>
      </c>
      <c r="J554" s="264" t="str">
        <f t="shared" si="8"/>
        <v/>
      </c>
      <c r="K554" s="265"/>
      <c r="L554" s="266"/>
      <c r="M554" s="266"/>
      <c r="N554" s="266"/>
      <c r="O554" s="266"/>
      <c r="P554" s="266"/>
      <c r="Q554" s="266"/>
      <c r="R554" s="266"/>
    </row>
    <row r="555" spans="1:21" ht="27.75" customHeight="1">
      <c r="A555" s="241" t="str">
        <f>IF(ISBLANK(D555)," ",469-COUNTBLANK($D$6:D555))</f>
        <v xml:space="preserve"> </v>
      </c>
      <c r="J555" s="264" t="str">
        <f t="shared" si="8"/>
        <v/>
      </c>
      <c r="K555" s="265"/>
      <c r="L555" s="266"/>
      <c r="M555" s="266"/>
      <c r="N555" s="266"/>
      <c r="O555" s="266"/>
      <c r="P555" s="266"/>
      <c r="Q555" s="266"/>
      <c r="R555" s="266"/>
    </row>
    <row r="556" spans="1:21" ht="27.75" customHeight="1">
      <c r="A556" s="241" t="str">
        <f>IF(ISBLANK(D556)," ",470-COUNTBLANK($D$6:D556))</f>
        <v xml:space="preserve"> </v>
      </c>
      <c r="J556" s="264" t="str">
        <f t="shared" si="8"/>
        <v/>
      </c>
      <c r="K556" s="265"/>
      <c r="L556" s="266"/>
      <c r="M556" s="266"/>
      <c r="N556" s="266"/>
      <c r="O556" s="266"/>
      <c r="P556" s="266"/>
      <c r="Q556" s="266"/>
      <c r="R556" s="266"/>
    </row>
    <row r="557" spans="1:21" ht="27.75" customHeight="1">
      <c r="A557" s="241" t="str">
        <f>IF(ISBLANK(D557)," ",471-COUNTBLANK($D$6:D557))</f>
        <v xml:space="preserve"> </v>
      </c>
      <c r="J557" s="264" t="str">
        <f t="shared" si="8"/>
        <v/>
      </c>
      <c r="K557" s="265"/>
      <c r="L557" s="266"/>
      <c r="M557" s="266"/>
      <c r="N557" s="266"/>
      <c r="O557" s="266"/>
      <c r="P557" s="266"/>
      <c r="Q557" s="266"/>
      <c r="R557" s="266"/>
    </row>
    <row r="558" spans="1:21" ht="27.75" customHeight="1">
      <c r="A558" s="241" t="str">
        <f>IF(ISBLANK(D558)," ",472-COUNTBLANK($D$6:D558))</f>
        <v xml:space="preserve"> </v>
      </c>
      <c r="J558" s="264" t="str">
        <f t="shared" si="8"/>
        <v/>
      </c>
      <c r="K558" s="265"/>
      <c r="L558" s="266"/>
      <c r="M558" s="266"/>
      <c r="N558" s="266"/>
      <c r="O558" s="266"/>
      <c r="P558" s="266"/>
      <c r="Q558" s="266"/>
      <c r="R558" s="266"/>
    </row>
    <row r="559" spans="1:21" ht="27.75" customHeight="1">
      <c r="A559" s="241" t="str">
        <f>IF(ISBLANK(D559)," ",473-COUNTBLANK($D$6:D559))</f>
        <v xml:space="preserve"> </v>
      </c>
      <c r="J559" s="264" t="str">
        <f t="shared" si="8"/>
        <v/>
      </c>
      <c r="K559" s="265"/>
      <c r="L559" s="266"/>
      <c r="M559" s="266"/>
      <c r="N559" s="266"/>
      <c r="O559" s="266"/>
      <c r="P559" s="266"/>
      <c r="Q559" s="266"/>
      <c r="R559" s="266"/>
    </row>
    <row r="560" spans="1:21" ht="27.75" customHeight="1">
      <c r="A560" s="241" t="str">
        <f>IF(ISBLANK(D560)," ",474-COUNTBLANK($D$6:D560))</f>
        <v xml:space="preserve"> </v>
      </c>
      <c r="J560" s="264" t="str">
        <f t="shared" si="8"/>
        <v/>
      </c>
      <c r="K560" s="265"/>
      <c r="L560" s="266"/>
      <c r="M560" s="266"/>
      <c r="N560" s="266"/>
      <c r="O560" s="266"/>
      <c r="P560" s="266"/>
      <c r="Q560" s="266"/>
      <c r="R560" s="266"/>
    </row>
    <row r="561" spans="1:21" ht="27.75" customHeight="1">
      <c r="A561" s="241" t="str">
        <f>IF(ISBLANK(D561)," ",475-COUNTBLANK($D$6:D561))</f>
        <v xml:space="preserve"> </v>
      </c>
      <c r="J561" s="264" t="str">
        <f t="shared" si="8"/>
        <v/>
      </c>
      <c r="K561" s="265"/>
      <c r="L561" s="266"/>
      <c r="M561" s="266"/>
      <c r="N561" s="266"/>
      <c r="O561" s="266"/>
      <c r="P561" s="266"/>
      <c r="Q561" s="266"/>
      <c r="R561" s="266"/>
    </row>
    <row r="562" spans="1:21" ht="27.75" customHeight="1">
      <c r="A562" s="241" t="str">
        <f>IF(ISBLANK(D562)," ",476-COUNTBLANK($D$6:D562))</f>
        <v xml:space="preserve"> </v>
      </c>
      <c r="J562" s="264" t="str">
        <f t="shared" si="8"/>
        <v/>
      </c>
      <c r="K562" s="265"/>
      <c r="L562" s="266"/>
      <c r="M562" s="266"/>
      <c r="N562" s="266"/>
      <c r="O562" s="266"/>
      <c r="P562" s="266"/>
      <c r="Q562" s="266"/>
      <c r="R562" s="266"/>
    </row>
    <row r="563" spans="1:21" ht="27.75" customHeight="1">
      <c r="A563" s="241" t="str">
        <f>IF(ISBLANK(D563)," ",477-COUNTBLANK($D$6:D563))</f>
        <v xml:space="preserve"> </v>
      </c>
      <c r="J563" s="264" t="str">
        <f t="shared" si="8"/>
        <v/>
      </c>
      <c r="K563" s="265"/>
      <c r="L563" s="266"/>
      <c r="M563" s="266"/>
      <c r="N563" s="266"/>
      <c r="O563" s="266"/>
      <c r="P563" s="266"/>
      <c r="Q563" s="266"/>
      <c r="R563" s="266"/>
    </row>
    <row r="564" spans="1:21" ht="27.75" customHeight="1">
      <c r="A564" s="241" t="str">
        <f>IF(ISBLANK(D564)," ",478-COUNTBLANK($D$6:D564))</f>
        <v xml:space="preserve"> </v>
      </c>
      <c r="J564" s="264" t="str">
        <f t="shared" si="8"/>
        <v/>
      </c>
      <c r="K564" s="265"/>
      <c r="L564" s="266"/>
      <c r="M564" s="266"/>
      <c r="N564" s="266"/>
      <c r="O564" s="266"/>
      <c r="P564" s="266"/>
      <c r="Q564" s="266"/>
      <c r="R564" s="266"/>
    </row>
    <row r="565" spans="1:21" ht="27.75" customHeight="1">
      <c r="A565" s="241" t="str">
        <f>IF(ISBLANK(D565)," ",479-COUNTBLANK($D$6:D565))</f>
        <v xml:space="preserve"> </v>
      </c>
      <c r="J565" s="264" t="str">
        <f t="shared" si="8"/>
        <v/>
      </c>
      <c r="K565" s="265"/>
      <c r="L565" s="266"/>
      <c r="M565" s="266"/>
      <c r="N565" s="266"/>
      <c r="O565" s="266"/>
      <c r="P565" s="266"/>
      <c r="Q565" s="266"/>
      <c r="R565" s="266"/>
    </row>
    <row r="566" spans="1:21" ht="27.75" customHeight="1">
      <c r="A566" s="241" t="str">
        <f>IF(ISBLANK(D566)," ",480-COUNTBLANK($D$6:D566))</f>
        <v xml:space="preserve"> </v>
      </c>
      <c r="J566" s="264" t="str">
        <f t="shared" si="8"/>
        <v/>
      </c>
      <c r="K566" s="267"/>
      <c r="L566" s="266"/>
      <c r="M566" s="266"/>
      <c r="N566" s="266"/>
      <c r="O566" s="266"/>
      <c r="P566" s="266"/>
      <c r="Q566" s="266"/>
      <c r="R566" s="268"/>
    </row>
    <row r="567" spans="1:21" ht="27.75" customHeight="1">
      <c r="A567" s="241" t="str">
        <f>IF(ISBLANK(D567)," ",481-COUNTBLANK($D$6:D567))</f>
        <v xml:space="preserve"> </v>
      </c>
      <c r="J567" s="264" t="str">
        <f t="shared" si="8"/>
        <v/>
      </c>
      <c r="K567" s="267"/>
      <c r="L567" s="266"/>
      <c r="M567" s="266"/>
      <c r="N567" s="266"/>
      <c r="O567" s="266"/>
      <c r="P567" s="266"/>
      <c r="Q567" s="266"/>
      <c r="R567" s="268"/>
    </row>
    <row r="568" spans="1:21" ht="27.75" customHeight="1">
      <c r="A568" s="241" t="str">
        <f>IF(ISBLANK(D568)," ",482-COUNTBLANK($D$6:D568))</f>
        <v xml:space="preserve"> </v>
      </c>
      <c r="J568" s="264" t="str">
        <f t="shared" si="8"/>
        <v/>
      </c>
      <c r="K568" s="267"/>
      <c r="L568" s="266"/>
      <c r="M568" s="266"/>
      <c r="N568" s="266"/>
      <c r="O568" s="266"/>
      <c r="P568" s="266"/>
      <c r="Q568" s="266"/>
      <c r="R568" s="268"/>
    </row>
    <row r="569" spans="1:21" ht="27.75" customHeight="1">
      <c r="A569" s="241" t="str">
        <f>IF(ISBLANK(D569)," ",484-COUNTBLANK($D$6:D569))</f>
        <v xml:space="preserve"> </v>
      </c>
      <c r="J569" s="264" t="str">
        <f t="shared" si="8"/>
        <v/>
      </c>
      <c r="K569" s="265"/>
      <c r="L569" s="266"/>
      <c r="M569" s="266"/>
      <c r="N569" s="266"/>
      <c r="O569" s="266"/>
      <c r="P569" s="266"/>
      <c r="Q569" s="266"/>
      <c r="R569" s="288"/>
      <c r="S569" s="266"/>
      <c r="T569" s="266"/>
      <c r="U569" s="266"/>
    </row>
    <row r="570" spans="1:21" ht="27.75" customHeight="1">
      <c r="A570" s="241" t="str">
        <f>IF(ISBLANK(D570)," ",485-COUNTBLANK($D$6:D570))</f>
        <v xml:space="preserve"> </v>
      </c>
      <c r="J570" s="264" t="str">
        <f t="shared" si="8"/>
        <v/>
      </c>
      <c r="K570" s="267"/>
      <c r="L570" s="266"/>
      <c r="M570" s="266"/>
      <c r="N570" s="266"/>
      <c r="O570" s="266"/>
      <c r="P570" s="266"/>
      <c r="Q570" s="266"/>
      <c r="R570" s="288"/>
      <c r="S570" s="266"/>
      <c r="T570" s="266"/>
      <c r="U570" s="266"/>
    </row>
    <row r="571" spans="1:21" ht="27.75" customHeight="1">
      <c r="A571" s="241" t="str">
        <f>IF(ISBLANK(D571)," ",486-COUNTBLANK($D$6:D571))</f>
        <v xml:space="preserve"> </v>
      </c>
      <c r="J571" s="264" t="str">
        <f t="shared" si="8"/>
        <v/>
      </c>
      <c r="K571" s="265"/>
      <c r="L571" s="266"/>
      <c r="M571" s="266"/>
      <c r="N571" s="266"/>
      <c r="O571" s="266"/>
      <c r="P571" s="266"/>
      <c r="Q571" s="266"/>
      <c r="R571" s="266"/>
    </row>
    <row r="572" spans="1:21" ht="27.75" customHeight="1">
      <c r="A572" s="241" t="str">
        <f>IF(ISBLANK(D572)," ",487-COUNTBLANK($D$6:D572))</f>
        <v xml:space="preserve"> </v>
      </c>
      <c r="J572" s="264" t="str">
        <f t="shared" si="8"/>
        <v/>
      </c>
      <c r="K572" s="265"/>
      <c r="L572" s="266"/>
      <c r="M572" s="266"/>
      <c r="N572" s="266"/>
      <c r="O572" s="266"/>
      <c r="P572" s="266"/>
      <c r="Q572" s="266"/>
      <c r="R572" s="266"/>
    </row>
    <row r="573" spans="1:21" ht="27.75" customHeight="1">
      <c r="A573" s="241" t="str">
        <f>IF(ISBLANK(D573)," ",488-COUNTBLANK($D$6:D573))</f>
        <v xml:space="preserve"> </v>
      </c>
      <c r="J573" s="264" t="str">
        <f t="shared" si="8"/>
        <v/>
      </c>
      <c r="K573" s="265"/>
      <c r="L573" s="266"/>
      <c r="M573" s="266"/>
      <c r="N573" s="266"/>
      <c r="O573" s="266"/>
      <c r="P573" s="266"/>
      <c r="Q573" s="266"/>
      <c r="R573" s="266"/>
    </row>
    <row r="574" spans="1:21" ht="27.75" customHeight="1">
      <c r="A574" s="241" t="str">
        <f>IF(ISBLANK(D574)," ",489-COUNTBLANK($D$6:D574))</f>
        <v xml:space="preserve"> </v>
      </c>
      <c r="J574" s="264" t="str">
        <f t="shared" si="8"/>
        <v/>
      </c>
      <c r="K574" s="265"/>
      <c r="L574" s="266"/>
      <c r="M574" s="266"/>
      <c r="N574" s="266"/>
      <c r="O574" s="266"/>
      <c r="P574" s="266"/>
      <c r="Q574" s="266"/>
      <c r="R574" s="266"/>
    </row>
    <row r="575" spans="1:21" ht="27.75" customHeight="1">
      <c r="A575" s="241" t="str">
        <f>IF(ISBLANK(D575)," ",490-COUNTBLANK($D$6:D575))</f>
        <v xml:space="preserve"> </v>
      </c>
      <c r="J575" s="264" t="str">
        <f t="shared" si="8"/>
        <v/>
      </c>
      <c r="K575" s="265"/>
      <c r="L575" s="266"/>
      <c r="M575" s="266"/>
      <c r="N575" s="266"/>
      <c r="O575" s="266"/>
      <c r="P575" s="266"/>
      <c r="Q575" s="266"/>
      <c r="R575" s="266"/>
    </row>
    <row r="576" spans="1:21" ht="27.75" customHeight="1">
      <c r="A576" s="241" t="str">
        <f>IF(ISBLANK(D576)," ",491-COUNTBLANK($D$6:D576))</f>
        <v xml:space="preserve"> </v>
      </c>
      <c r="J576" s="264" t="str">
        <f t="shared" si="8"/>
        <v/>
      </c>
      <c r="K576" s="265"/>
      <c r="L576" s="266"/>
      <c r="M576" s="266"/>
      <c r="N576" s="266"/>
      <c r="O576" s="266"/>
      <c r="P576" s="266"/>
      <c r="Q576" s="266"/>
      <c r="R576" s="266"/>
    </row>
    <row r="577" spans="1:21" ht="27.75" customHeight="1">
      <c r="A577" s="241" t="str">
        <f>IF(ISBLANK(D577)," ",492-COUNTBLANK($D$6:D577))</f>
        <v xml:space="preserve"> </v>
      </c>
      <c r="J577" s="264" t="str">
        <f t="shared" si="8"/>
        <v/>
      </c>
      <c r="K577" s="265"/>
      <c r="L577" s="266"/>
      <c r="M577" s="266"/>
      <c r="N577" s="266"/>
      <c r="O577" s="266"/>
      <c r="P577" s="266"/>
      <c r="Q577" s="266"/>
      <c r="R577" s="266"/>
    </row>
    <row r="578" spans="1:21" ht="27.75" customHeight="1">
      <c r="A578" s="241" t="str">
        <f>IF(ISBLANK(D578)," ",493-COUNTBLANK($D$6:D578))</f>
        <v xml:space="preserve"> </v>
      </c>
      <c r="J578" s="264" t="str">
        <f t="shared" si="8"/>
        <v/>
      </c>
      <c r="K578" s="265"/>
      <c r="L578" s="266"/>
      <c r="M578" s="266"/>
      <c r="N578" s="266"/>
      <c r="O578" s="266"/>
      <c r="P578" s="266"/>
      <c r="Q578" s="266"/>
      <c r="R578" s="266"/>
    </row>
    <row r="579" spans="1:21" ht="27.75" customHeight="1">
      <c r="A579" s="241" t="str">
        <f>IF(ISBLANK(D579)," ",494-COUNTBLANK($D$6:D579))</f>
        <v xml:space="preserve"> </v>
      </c>
      <c r="J579" s="264" t="str">
        <f t="shared" si="8"/>
        <v/>
      </c>
      <c r="K579" s="265"/>
      <c r="L579" s="266"/>
      <c r="M579" s="266"/>
      <c r="N579" s="266"/>
      <c r="O579" s="266"/>
      <c r="P579" s="266"/>
      <c r="Q579" s="266"/>
      <c r="R579" s="266"/>
    </row>
    <row r="580" spans="1:21" ht="27.75" customHeight="1">
      <c r="A580" s="241" t="str">
        <f>IF(ISBLANK(D580)," ",495-COUNTBLANK($D$6:D580))</f>
        <v xml:space="preserve"> </v>
      </c>
      <c r="J580" s="264" t="str">
        <f t="shared" si="8"/>
        <v/>
      </c>
      <c r="K580" s="265"/>
      <c r="L580" s="266"/>
      <c r="M580" s="266"/>
      <c r="N580" s="266"/>
      <c r="O580" s="266"/>
      <c r="P580" s="266"/>
      <c r="Q580" s="266"/>
      <c r="R580" s="266"/>
    </row>
    <row r="581" spans="1:21" ht="27.75" customHeight="1">
      <c r="A581" s="241" t="str">
        <f>IF(ISBLANK(D581)," ",496-COUNTBLANK($D$6:D581))</f>
        <v xml:space="preserve"> </v>
      </c>
      <c r="J581" s="264" t="str">
        <f t="shared" si="8"/>
        <v/>
      </c>
      <c r="K581" s="265"/>
      <c r="L581" s="266"/>
      <c r="M581" s="266"/>
      <c r="N581" s="266"/>
      <c r="O581" s="266"/>
      <c r="P581" s="266"/>
      <c r="Q581" s="266"/>
      <c r="R581" s="266"/>
    </row>
    <row r="582" spans="1:21" ht="27.75" customHeight="1">
      <c r="A582" s="241" t="str">
        <f>IF(ISBLANK(D582)," ",497-COUNTBLANK($D$6:D582))</f>
        <v xml:space="preserve"> </v>
      </c>
      <c r="J582" s="264" t="str">
        <f t="shared" ref="J582:J608" si="9">CONCATENATE(D582,G582)</f>
        <v/>
      </c>
      <c r="K582" s="265"/>
      <c r="L582" s="266"/>
      <c r="M582" s="266"/>
      <c r="N582" s="266"/>
      <c r="O582" s="266"/>
      <c r="P582" s="266"/>
      <c r="Q582" s="266"/>
      <c r="R582" s="266"/>
    </row>
    <row r="583" spans="1:21" ht="27.75" customHeight="1">
      <c r="A583" s="241" t="str">
        <f>IF(ISBLANK(D583)," ",498-COUNTBLANK($D$6:D583))</f>
        <v xml:space="preserve"> </v>
      </c>
      <c r="J583" s="264" t="str">
        <f t="shared" si="9"/>
        <v/>
      </c>
      <c r="K583" s="265"/>
      <c r="L583" s="266"/>
      <c r="M583" s="266"/>
      <c r="N583" s="266"/>
      <c r="O583" s="266"/>
      <c r="P583" s="266"/>
      <c r="Q583" s="266"/>
      <c r="R583" s="266"/>
    </row>
    <row r="584" spans="1:21" ht="27.75" customHeight="1">
      <c r="A584" s="241" t="str">
        <f>IF(ISBLANK(D584)," ",499-COUNTBLANK($D$6:D584))</f>
        <v xml:space="preserve"> </v>
      </c>
      <c r="J584" s="264" t="str">
        <f t="shared" si="9"/>
        <v/>
      </c>
      <c r="K584" s="265"/>
      <c r="L584" s="266"/>
      <c r="M584" s="266"/>
      <c r="N584" s="266"/>
      <c r="O584" s="266"/>
      <c r="P584" s="266"/>
      <c r="Q584" s="266"/>
      <c r="R584" s="266"/>
    </row>
    <row r="585" spans="1:21" ht="27.75" customHeight="1">
      <c r="A585" s="241" t="str">
        <f>IF(ISBLANK(D585)," ",500-COUNTBLANK($D$6:D585))</f>
        <v xml:space="preserve"> </v>
      </c>
      <c r="J585" s="264" t="str">
        <f t="shared" si="9"/>
        <v/>
      </c>
      <c r="K585" s="265"/>
      <c r="L585" s="266"/>
      <c r="M585" s="266"/>
      <c r="N585" s="266"/>
      <c r="O585" s="266"/>
      <c r="P585" s="266"/>
      <c r="Q585" s="266"/>
      <c r="R585" s="266"/>
    </row>
    <row r="586" spans="1:21" ht="27.75" customHeight="1">
      <c r="A586" s="241" t="str">
        <f>IF(ISBLANK(D586)," ",501-COUNTBLANK($D$6:D586))</f>
        <v xml:space="preserve"> </v>
      </c>
      <c r="J586" s="264" t="str">
        <f t="shared" si="9"/>
        <v/>
      </c>
      <c r="K586" s="267"/>
      <c r="L586" s="266"/>
      <c r="M586" s="266"/>
      <c r="N586" s="266"/>
      <c r="O586" s="266"/>
      <c r="P586" s="266"/>
      <c r="Q586" s="266"/>
      <c r="R586" s="268"/>
    </row>
    <row r="587" spans="1:21" ht="27.75" customHeight="1">
      <c r="A587" s="241" t="str">
        <f>IF(ISBLANK(D587)," ",502-COUNTBLANK($D$6:D587))</f>
        <v xml:space="preserve"> </v>
      </c>
      <c r="J587" s="264" t="str">
        <f t="shared" si="9"/>
        <v/>
      </c>
      <c r="K587" s="267"/>
      <c r="L587" s="266"/>
      <c r="M587" s="266"/>
      <c r="N587" s="266"/>
      <c r="O587" s="266"/>
      <c r="P587" s="266"/>
      <c r="Q587" s="266"/>
      <c r="R587" s="268"/>
    </row>
    <row r="588" spans="1:21" ht="27.75" customHeight="1">
      <c r="A588" s="241" t="str">
        <f>IF(ISBLANK(D588)," ",503-COUNTBLANK($D$6:D588))</f>
        <v xml:space="preserve"> </v>
      </c>
      <c r="J588" s="264" t="str">
        <f t="shared" si="9"/>
        <v/>
      </c>
      <c r="K588" s="267"/>
      <c r="L588" s="266"/>
      <c r="M588" s="266"/>
      <c r="N588" s="266"/>
      <c r="O588" s="266"/>
      <c r="P588" s="266"/>
      <c r="Q588" s="266"/>
      <c r="R588" s="268"/>
    </row>
    <row r="589" spans="1:21" ht="27.75" customHeight="1">
      <c r="A589" s="241" t="str">
        <f>IF(ISBLANK(D589)," ",505-COUNTBLANK($D$6:D589))</f>
        <v xml:space="preserve"> </v>
      </c>
      <c r="J589" s="264" t="str">
        <f t="shared" si="9"/>
        <v/>
      </c>
      <c r="K589" s="265"/>
      <c r="L589" s="266"/>
      <c r="M589" s="266"/>
      <c r="N589" s="266"/>
      <c r="O589" s="266"/>
      <c r="P589" s="266"/>
      <c r="Q589" s="266"/>
      <c r="R589" s="288"/>
      <c r="S589" s="266"/>
      <c r="T589" s="266"/>
      <c r="U589" s="266"/>
    </row>
    <row r="590" spans="1:21" ht="27.75" customHeight="1">
      <c r="A590" s="241" t="str">
        <f>IF(ISBLANK(D590)," ",506-COUNTBLANK($D$6:D590))</f>
        <v xml:space="preserve"> </v>
      </c>
      <c r="J590" s="264" t="str">
        <f t="shared" si="9"/>
        <v/>
      </c>
      <c r="K590" s="267"/>
      <c r="L590" s="266"/>
      <c r="M590" s="266"/>
      <c r="N590" s="266"/>
      <c r="O590" s="266"/>
      <c r="P590" s="266"/>
      <c r="Q590" s="266"/>
      <c r="R590" s="288"/>
      <c r="S590" s="266"/>
      <c r="T590" s="266"/>
      <c r="U590" s="266"/>
    </row>
    <row r="591" spans="1:21">
      <c r="A591" s="241" t="str">
        <f>IF(ISBLANK(D591)," ",507-COUNTBLANK($D$6:D591))</f>
        <v xml:space="preserve"> </v>
      </c>
      <c r="J591" s="264" t="str">
        <f t="shared" si="9"/>
        <v/>
      </c>
      <c r="K591" s="316"/>
      <c r="L591" s="315"/>
      <c r="M591" s="315"/>
      <c r="N591" s="315"/>
      <c r="O591" s="315"/>
      <c r="P591" s="315"/>
      <c r="Q591" s="315"/>
      <c r="R591" s="315"/>
    </row>
    <row r="592" spans="1:21">
      <c r="A592" s="241" t="str">
        <f>IF(ISBLANK(D592)," ",508-COUNTBLANK($D$6:D592))</f>
        <v xml:space="preserve"> </v>
      </c>
      <c r="J592" s="264" t="str">
        <f t="shared" si="9"/>
        <v/>
      </c>
      <c r="K592" s="316"/>
      <c r="L592" s="315"/>
      <c r="M592" s="315"/>
      <c r="N592" s="315"/>
      <c r="O592" s="315"/>
      <c r="P592" s="315"/>
      <c r="Q592" s="315"/>
      <c r="R592" s="315"/>
    </row>
    <row r="593" spans="1:28">
      <c r="A593" s="241" t="str">
        <f>IF(ISBLANK(D593)," ",509-COUNTBLANK($D$6:D593))</f>
        <v xml:space="preserve"> </v>
      </c>
      <c r="J593" s="264" t="str">
        <f t="shared" si="9"/>
        <v/>
      </c>
    </row>
    <row r="594" spans="1:28">
      <c r="A594" s="241" t="str">
        <f>IF(ISBLANK(D594)," ",510-COUNTBLANK($D$6:D594))</f>
        <v xml:space="preserve"> </v>
      </c>
      <c r="J594" s="264" t="str">
        <f t="shared" si="9"/>
        <v/>
      </c>
    </row>
    <row r="595" spans="1:28">
      <c r="A595" s="241" t="str">
        <f>IF(ISBLANK(D595)," ",511-COUNTBLANK($D$6:D595))</f>
        <v xml:space="preserve"> </v>
      </c>
      <c r="J595" s="264" t="str">
        <f t="shared" si="9"/>
        <v/>
      </c>
    </row>
    <row r="596" spans="1:28">
      <c r="A596" s="241" t="str">
        <f>IF(ISBLANK(D596)," ",512-COUNTBLANK($D$6:D596))</f>
        <v xml:space="preserve"> </v>
      </c>
      <c r="J596" s="264" t="str">
        <f t="shared" si="9"/>
        <v/>
      </c>
    </row>
    <row r="597" spans="1:28">
      <c r="A597" s="241" t="str">
        <f>IF(ISBLANK(D597)," ",513-COUNTBLANK($D$6:D597))</f>
        <v xml:space="preserve"> </v>
      </c>
      <c r="J597" s="264" t="str">
        <f t="shared" si="9"/>
        <v/>
      </c>
    </row>
    <row r="598" spans="1:28">
      <c r="A598" s="241" t="str">
        <f>IF(ISBLANK(D598)," ",514-COUNTBLANK($D$6:D598))</f>
        <v xml:space="preserve"> </v>
      </c>
      <c r="J598" s="264" t="str">
        <f t="shared" si="9"/>
        <v/>
      </c>
    </row>
    <row r="599" spans="1:28">
      <c r="A599" s="241" t="str">
        <f>IF(ISBLANK(D599)," ",515-COUNTBLANK($D$6:D599))</f>
        <v xml:space="preserve"> </v>
      </c>
      <c r="J599" s="264" t="str">
        <f t="shared" si="9"/>
        <v/>
      </c>
    </row>
    <row r="600" spans="1:28">
      <c r="A600" s="241" t="str">
        <f>IF(ISBLANK(D600)," ",516-COUNTBLANK($D$6:D600))</f>
        <v xml:space="preserve"> </v>
      </c>
      <c r="J600" s="264" t="str">
        <f t="shared" si="9"/>
        <v/>
      </c>
    </row>
    <row r="601" spans="1:28">
      <c r="A601" s="241" t="str">
        <f>IF(ISBLANK(D601)," ",517-COUNTBLANK($D$6:D601))</f>
        <v xml:space="preserve"> </v>
      </c>
      <c r="J601" s="264" t="str">
        <f t="shared" si="9"/>
        <v/>
      </c>
    </row>
    <row r="602" spans="1:28">
      <c r="A602" s="241" t="str">
        <f>IF(ISBLANK(D602)," ",518-COUNTBLANK($D$6:D602))</f>
        <v xml:space="preserve"> </v>
      </c>
      <c r="J602" s="264" t="str">
        <f t="shared" si="9"/>
        <v/>
      </c>
    </row>
    <row r="603" spans="1:28">
      <c r="A603" s="241" t="str">
        <f>IF(ISBLANK(D603)," ",519-COUNTBLANK($D$6:D603))</f>
        <v xml:space="preserve"> </v>
      </c>
      <c r="J603" s="264" t="str">
        <f t="shared" si="9"/>
        <v/>
      </c>
    </row>
    <row r="604" spans="1:28">
      <c r="A604" s="241" t="str">
        <f>IF(ISBLANK(D604)," ",520-COUNTBLANK($D$6:D604))</f>
        <v xml:space="preserve"> </v>
      </c>
      <c r="J604" s="264" t="str">
        <f t="shared" si="9"/>
        <v/>
      </c>
    </row>
    <row r="605" spans="1:28">
      <c r="A605" s="241" t="str">
        <f>IF(ISBLANK(D605)," ",521-COUNTBLANK($D$6:D605))</f>
        <v xml:space="preserve"> </v>
      </c>
      <c r="J605" s="264" t="str">
        <f t="shared" si="9"/>
        <v/>
      </c>
    </row>
    <row r="606" spans="1:28">
      <c r="A606" s="241" t="str">
        <f>IF(ISBLANK(D606)," ",522-COUNTBLANK($D$6:D606))</f>
        <v xml:space="preserve"> </v>
      </c>
      <c r="J606" s="264" t="str">
        <f t="shared" si="9"/>
        <v/>
      </c>
    </row>
    <row r="607" spans="1:28">
      <c r="A607" s="241" t="str">
        <f>IF(ISBLANK(D607)," ",523-COUNTBLANK($D$6:D607))</f>
        <v xml:space="preserve"> </v>
      </c>
      <c r="J607" s="264" t="str">
        <f t="shared" si="9"/>
        <v/>
      </c>
    </row>
    <row r="608" spans="1:28" s="317" customFormat="1">
      <c r="A608" s="241" t="str">
        <f>IF(ISBLANK(D608)," ",524-COUNTBLANK($D$6:D608))</f>
        <v xml:space="preserve"> </v>
      </c>
      <c r="B608" s="311"/>
      <c r="C608" s="311"/>
      <c r="D608" s="241"/>
      <c r="E608" s="312"/>
      <c r="F608" s="313"/>
      <c r="G608" s="314"/>
      <c r="H608" s="241"/>
      <c r="I608" s="241"/>
      <c r="J608" s="264" t="str">
        <f t="shared" si="9"/>
        <v/>
      </c>
      <c r="L608" s="241"/>
      <c r="M608" s="241"/>
      <c r="N608" s="241"/>
      <c r="O608" s="241"/>
      <c r="P608" s="241"/>
      <c r="Q608" s="241"/>
      <c r="R608" s="241"/>
      <c r="S608" s="241"/>
      <c r="T608" s="241"/>
      <c r="U608" s="241"/>
      <c r="V608" s="241"/>
      <c r="W608" s="241"/>
      <c r="X608" s="241"/>
      <c r="Y608" s="241"/>
      <c r="Z608" s="241"/>
      <c r="AA608" s="241"/>
      <c r="AB608" s="241"/>
    </row>
  </sheetData>
  <mergeCells count="6">
    <mergeCell ref="J4:J5"/>
    <mergeCell ref="K4:K5"/>
    <mergeCell ref="B4:C4"/>
    <mergeCell ref="D4:D5"/>
    <mergeCell ref="G4:H4"/>
    <mergeCell ref="I4:I5"/>
  </mergeCells>
  <phoneticPr fontId="5" type="noConversion"/>
  <printOptions horizontalCentered="1" verticalCentered="1"/>
  <pageMargins left="0.19685039370078741" right="0.19685039370078741" top="1.3779527559055118" bottom="0.59055118110236227" header="0.59055118110236227" footer="0.19685039370078741"/>
  <pageSetup paperSize="9" scale="63" orientation="portrait" horizontalDpi="4294967293" r:id="rId1"/>
  <headerFooter alignWithMargins="0"/>
  <rowBreaks count="3" manualBreakCount="3">
    <brk id="105" max="11" man="1"/>
    <brk id="125" max="11" man="1"/>
    <brk id="165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U597"/>
  <sheetViews>
    <sheetView showGridLines="0" showZeros="0" view="pageBreakPreview" zoomScale="115" zoomScaleNormal="40" zoomScaleSheetLayoutView="115" workbookViewId="0">
      <selection activeCell="G10" sqref="G10"/>
    </sheetView>
  </sheetViews>
  <sheetFormatPr defaultRowHeight="11.25"/>
  <cols>
    <col min="1" max="1" width="4.33203125" style="241" customWidth="1"/>
    <col min="2" max="3" width="6.33203125" style="311" customWidth="1"/>
    <col min="4" max="4" width="3.77734375" style="241" customWidth="1"/>
    <col min="5" max="5" width="7.77734375" style="312" customWidth="1"/>
    <col min="6" max="6" width="7.77734375" style="313" customWidth="1"/>
    <col min="7" max="7" width="8.33203125" style="314" customWidth="1"/>
    <col min="8" max="8" width="17.44140625" style="241" customWidth="1"/>
    <col min="9" max="9" width="6.77734375" style="241" customWidth="1"/>
    <col min="10" max="10" width="20.77734375" style="315" customWidth="1"/>
    <col min="11" max="11" width="9.77734375" style="317" customWidth="1"/>
    <col min="12" max="17" width="9.77734375" style="241" customWidth="1"/>
    <col min="18" max="18" width="10.77734375" style="241" customWidth="1"/>
    <col min="19" max="16384" width="8.88671875" style="241"/>
  </cols>
  <sheetData>
    <row r="1" spans="1:18" ht="30" customHeight="1">
      <c r="A1" s="232" t="s">
        <v>64</v>
      </c>
      <c r="B1" s="233"/>
      <c r="C1" s="233"/>
      <c r="D1" s="234"/>
      <c r="E1" s="235"/>
      <c r="F1" s="236"/>
      <c r="G1" s="234"/>
      <c r="H1" s="234"/>
      <c r="I1" s="237"/>
      <c r="J1" s="238"/>
      <c r="K1" s="239"/>
      <c r="L1" s="240"/>
      <c r="M1" s="240"/>
      <c r="N1" s="240"/>
      <c r="O1" s="240"/>
      <c r="P1" s="240"/>
      <c r="Q1" s="240"/>
      <c r="R1" s="240"/>
    </row>
    <row r="2" spans="1:18" ht="19.899999999999999" customHeight="1">
      <c r="A2" s="242"/>
      <c r="B2" s="243"/>
      <c r="C2" s="243"/>
      <c r="D2" s="240"/>
      <c r="E2" s="244"/>
      <c r="F2" s="245"/>
      <c r="G2" s="246"/>
      <c r="H2" s="247"/>
      <c r="I2" s="250"/>
      <c r="J2" s="246"/>
      <c r="K2" s="239"/>
      <c r="L2" s="240"/>
      <c r="M2" s="240"/>
      <c r="N2" s="240"/>
      <c r="O2" s="240"/>
      <c r="P2" s="240"/>
      <c r="Q2" s="240"/>
      <c r="R2" s="240"/>
    </row>
    <row r="3" spans="1:18" ht="10.15" customHeight="1">
      <c r="A3" s="251"/>
      <c r="B3" s="252"/>
      <c r="C3" s="252"/>
      <c r="D3" s="253"/>
      <c r="E3" s="254"/>
      <c r="F3" s="255"/>
      <c r="G3" s="256"/>
      <c r="H3" s="253"/>
      <c r="I3" s="257"/>
      <c r="J3" s="258"/>
      <c r="K3" s="239"/>
      <c r="L3" s="240"/>
      <c r="M3" s="240"/>
      <c r="N3" s="240"/>
      <c r="O3" s="240"/>
      <c r="P3" s="240"/>
      <c r="Q3" s="240"/>
      <c r="R3" s="240"/>
    </row>
    <row r="4" spans="1:18" ht="30" customHeight="1">
      <c r="A4" s="107" t="s">
        <v>45</v>
      </c>
      <c r="B4" s="367" t="s">
        <v>46</v>
      </c>
      <c r="C4" s="368"/>
      <c r="D4" s="369" t="s">
        <v>47</v>
      </c>
      <c r="E4" s="206" t="s">
        <v>48</v>
      </c>
      <c r="F4" s="323" t="s">
        <v>49</v>
      </c>
      <c r="G4" s="367" t="s">
        <v>296</v>
      </c>
      <c r="H4" s="368"/>
      <c r="I4" s="371" t="s">
        <v>37</v>
      </c>
      <c r="J4" s="363" t="s">
        <v>37</v>
      </c>
      <c r="K4" s="365" t="s">
        <v>76</v>
      </c>
      <c r="L4" s="240"/>
      <c r="M4" s="259"/>
      <c r="N4" s="259"/>
      <c r="O4" s="259"/>
      <c r="P4" s="259"/>
      <c r="Q4" s="259"/>
      <c r="R4" s="259"/>
    </row>
    <row r="5" spans="1:18" ht="30" customHeight="1">
      <c r="A5" s="62" t="s">
        <v>53</v>
      </c>
      <c r="B5" s="65" t="s">
        <v>301</v>
      </c>
      <c r="C5" s="65" t="s">
        <v>302</v>
      </c>
      <c r="D5" s="370"/>
      <c r="E5" s="208" t="s">
        <v>65</v>
      </c>
      <c r="F5" s="65" t="s">
        <v>293</v>
      </c>
      <c r="G5" s="65" t="s">
        <v>55</v>
      </c>
      <c r="H5" s="64" t="s">
        <v>56</v>
      </c>
      <c r="I5" s="372"/>
      <c r="J5" s="364"/>
      <c r="K5" s="366"/>
      <c r="L5" s="259"/>
      <c r="M5" s="260"/>
      <c r="N5" s="260"/>
      <c r="O5" s="260"/>
      <c r="P5" s="260"/>
      <c r="Q5" s="260"/>
      <c r="R5" s="240"/>
    </row>
    <row r="6" spans="1:18" ht="30" customHeight="1">
      <c r="A6" s="261">
        <v>1</v>
      </c>
      <c r="B6" s="200" t="s">
        <v>575</v>
      </c>
      <c r="C6" s="200"/>
      <c r="D6" s="200" t="s">
        <v>90</v>
      </c>
      <c r="E6" s="262">
        <v>80</v>
      </c>
      <c r="F6" s="262">
        <v>80</v>
      </c>
      <c r="G6" s="201" t="s">
        <v>994</v>
      </c>
      <c r="H6" s="201" t="s">
        <v>995</v>
      </c>
      <c r="I6" s="263"/>
      <c r="J6" s="264" t="str">
        <f t="shared" ref="J6:J37" si="0">CONCATENATE(D6,G6)</f>
        <v>대공</v>
      </c>
      <c r="K6" s="265">
        <v>11900</v>
      </c>
      <c r="L6" s="266"/>
      <c r="M6" s="266"/>
      <c r="N6" s="266"/>
      <c r="O6" s="266"/>
      <c r="P6" s="266"/>
      <c r="Q6" s="266"/>
      <c r="R6" s="266"/>
    </row>
    <row r="7" spans="1:18" ht="30" customHeight="1">
      <c r="A7" s="282">
        <v>2</v>
      </c>
      <c r="B7" s="202" t="s">
        <v>576</v>
      </c>
      <c r="C7" s="202"/>
      <c r="D7" s="202" t="s">
        <v>135</v>
      </c>
      <c r="E7" s="207">
        <v>1827</v>
      </c>
      <c r="F7" s="207">
        <v>1827</v>
      </c>
      <c r="G7" s="203" t="s">
        <v>994</v>
      </c>
      <c r="H7" s="203" t="s">
        <v>995</v>
      </c>
      <c r="I7" s="205"/>
      <c r="J7" s="264" t="str">
        <f t="shared" si="0"/>
        <v>임공</v>
      </c>
      <c r="K7" s="265">
        <v>5350</v>
      </c>
      <c r="L7" s="266"/>
      <c r="M7" s="266"/>
      <c r="N7" s="266"/>
      <c r="O7" s="266"/>
      <c r="P7" s="266"/>
      <c r="Q7" s="266"/>
      <c r="R7" s="266"/>
    </row>
    <row r="8" spans="1:18" ht="30" customHeight="1">
      <c r="A8" s="282">
        <v>3</v>
      </c>
      <c r="B8" s="202" t="s">
        <v>577</v>
      </c>
      <c r="C8" s="202"/>
      <c r="D8" s="202" t="s">
        <v>307</v>
      </c>
      <c r="E8" s="207">
        <v>1105</v>
      </c>
      <c r="F8" s="207">
        <v>1105</v>
      </c>
      <c r="G8" s="203" t="s">
        <v>994</v>
      </c>
      <c r="H8" s="203" t="s">
        <v>995</v>
      </c>
      <c r="I8" s="205"/>
      <c r="J8" s="264" t="str">
        <f t="shared" si="0"/>
        <v>전공</v>
      </c>
      <c r="K8" s="265">
        <v>7440</v>
      </c>
      <c r="L8" s="266"/>
      <c r="M8" s="266"/>
      <c r="N8" s="266"/>
      <c r="O8" s="266"/>
      <c r="P8" s="266"/>
      <c r="Q8" s="266"/>
      <c r="R8" s="266"/>
    </row>
    <row r="9" spans="1:18" ht="30" customHeight="1">
      <c r="A9" s="282">
        <v>4</v>
      </c>
      <c r="B9" s="202" t="s">
        <v>578</v>
      </c>
      <c r="C9" s="202"/>
      <c r="D9" s="202" t="s">
        <v>135</v>
      </c>
      <c r="E9" s="207">
        <v>1808</v>
      </c>
      <c r="F9" s="207">
        <v>1808</v>
      </c>
      <c r="G9" s="203" t="s">
        <v>994</v>
      </c>
      <c r="H9" s="203" t="s">
        <v>995</v>
      </c>
      <c r="I9" s="205"/>
      <c r="J9" s="264" t="str">
        <f t="shared" si="0"/>
        <v>임공</v>
      </c>
      <c r="K9" s="265">
        <v>5350</v>
      </c>
      <c r="L9" s="266"/>
      <c r="M9" s="266"/>
      <c r="N9" s="266"/>
      <c r="O9" s="266"/>
      <c r="P9" s="266"/>
      <c r="Q9" s="266"/>
      <c r="R9" s="266"/>
    </row>
    <row r="10" spans="1:18" ht="30" customHeight="1">
      <c r="A10" s="282">
        <v>5</v>
      </c>
      <c r="B10" s="202" t="s">
        <v>579</v>
      </c>
      <c r="C10" s="202"/>
      <c r="D10" s="202" t="s">
        <v>135</v>
      </c>
      <c r="E10" s="207">
        <v>6172</v>
      </c>
      <c r="F10" s="207">
        <v>6172</v>
      </c>
      <c r="G10" s="203" t="s">
        <v>994</v>
      </c>
      <c r="H10" s="203" t="s">
        <v>995</v>
      </c>
      <c r="I10" s="205"/>
      <c r="J10" s="264" t="str">
        <f t="shared" si="0"/>
        <v>임공</v>
      </c>
      <c r="K10" s="265">
        <v>5100</v>
      </c>
      <c r="L10" s="266"/>
      <c r="M10" s="266"/>
      <c r="N10" s="266"/>
      <c r="O10" s="266"/>
      <c r="P10" s="266"/>
      <c r="Q10" s="266"/>
      <c r="R10" s="266"/>
    </row>
    <row r="11" spans="1:18" ht="30" customHeight="1">
      <c r="A11" s="282">
        <v>6</v>
      </c>
      <c r="B11" s="202" t="s">
        <v>580</v>
      </c>
      <c r="C11" s="202"/>
      <c r="D11" s="202" t="s">
        <v>135</v>
      </c>
      <c r="E11" s="207">
        <v>663</v>
      </c>
      <c r="F11" s="207">
        <v>663</v>
      </c>
      <c r="G11" s="203" t="s">
        <v>1106</v>
      </c>
      <c r="H11" s="203" t="s">
        <v>1107</v>
      </c>
      <c r="I11" s="205"/>
      <c r="J11" s="264" t="str">
        <f t="shared" si="0"/>
        <v>임㈜**산업</v>
      </c>
      <c r="K11" s="267">
        <v>5350</v>
      </c>
      <c r="L11" s="266"/>
      <c r="M11" s="266"/>
      <c r="N11" s="266"/>
      <c r="O11" s="266"/>
      <c r="P11" s="266"/>
      <c r="Q11" s="266"/>
      <c r="R11" s="268"/>
    </row>
    <row r="12" spans="1:18" ht="30" customHeight="1">
      <c r="A12" s="282">
        <v>7</v>
      </c>
      <c r="B12" s="202" t="s">
        <v>581</v>
      </c>
      <c r="C12" s="202"/>
      <c r="D12" s="202" t="s">
        <v>135</v>
      </c>
      <c r="E12" s="207">
        <v>153</v>
      </c>
      <c r="F12" s="207">
        <v>153</v>
      </c>
      <c r="G12" s="203" t="s">
        <v>994</v>
      </c>
      <c r="H12" s="203" t="s">
        <v>995</v>
      </c>
      <c r="I12" s="205"/>
      <c r="J12" s="264" t="str">
        <f t="shared" si="0"/>
        <v>임공</v>
      </c>
      <c r="K12" s="267">
        <v>5510</v>
      </c>
      <c r="L12" s="266"/>
      <c r="M12" s="266"/>
      <c r="N12" s="266"/>
      <c r="O12" s="266"/>
      <c r="P12" s="266"/>
      <c r="Q12" s="266"/>
      <c r="R12" s="268"/>
    </row>
    <row r="13" spans="1:18" ht="30" customHeight="1">
      <c r="A13" s="282">
        <v>8</v>
      </c>
      <c r="B13" s="202" t="s">
        <v>582</v>
      </c>
      <c r="C13" s="202"/>
      <c r="D13" s="202" t="s">
        <v>135</v>
      </c>
      <c r="E13" s="207">
        <v>22</v>
      </c>
      <c r="F13" s="207">
        <v>22</v>
      </c>
      <c r="G13" s="203" t="s">
        <v>97</v>
      </c>
      <c r="H13" s="203" t="s">
        <v>7</v>
      </c>
      <c r="I13" s="205"/>
      <c r="J13" s="264" t="str">
        <f t="shared" si="0"/>
        <v>임공</v>
      </c>
      <c r="K13" s="267">
        <v>5200</v>
      </c>
      <c r="L13" s="266"/>
      <c r="M13" s="266"/>
      <c r="N13" s="266"/>
      <c r="O13" s="266"/>
      <c r="P13" s="266"/>
      <c r="Q13" s="266"/>
      <c r="R13" s="268"/>
    </row>
    <row r="14" spans="1:18" ht="30" customHeight="1">
      <c r="A14" s="282">
        <v>9</v>
      </c>
      <c r="B14" s="202" t="s">
        <v>583</v>
      </c>
      <c r="C14" s="202"/>
      <c r="D14" s="202" t="s">
        <v>135</v>
      </c>
      <c r="E14" s="207">
        <v>244</v>
      </c>
      <c r="F14" s="207">
        <v>244</v>
      </c>
      <c r="G14" s="203" t="s">
        <v>994</v>
      </c>
      <c r="H14" s="203" t="s">
        <v>995</v>
      </c>
      <c r="I14" s="205"/>
      <c r="J14" s="264" t="str">
        <f t="shared" si="0"/>
        <v>임공</v>
      </c>
      <c r="K14" s="267">
        <v>5510</v>
      </c>
      <c r="L14" s="266"/>
      <c r="M14" s="266"/>
      <c r="N14" s="266"/>
      <c r="O14" s="266"/>
      <c r="P14" s="266"/>
      <c r="Q14" s="266"/>
      <c r="R14" s="268"/>
    </row>
    <row r="15" spans="1:18" ht="30" customHeight="1">
      <c r="A15" s="282">
        <v>10</v>
      </c>
      <c r="B15" s="202" t="s">
        <v>584</v>
      </c>
      <c r="C15" s="202"/>
      <c r="D15" s="202" t="s">
        <v>135</v>
      </c>
      <c r="E15" s="207">
        <v>394</v>
      </c>
      <c r="F15" s="207">
        <v>394</v>
      </c>
      <c r="G15" s="203" t="s">
        <v>97</v>
      </c>
      <c r="H15" s="203" t="s">
        <v>7</v>
      </c>
      <c r="I15" s="205"/>
      <c r="J15" s="264" t="str">
        <f t="shared" si="0"/>
        <v>임공</v>
      </c>
      <c r="K15" s="267">
        <v>5200</v>
      </c>
      <c r="L15" s="266"/>
      <c r="M15" s="266"/>
      <c r="N15" s="266"/>
      <c r="O15" s="266"/>
      <c r="P15" s="266"/>
      <c r="Q15" s="266"/>
      <c r="R15" s="268"/>
    </row>
    <row r="16" spans="1:18" ht="30" customHeight="1">
      <c r="A16" s="282">
        <v>11</v>
      </c>
      <c r="B16" s="202" t="s">
        <v>585</v>
      </c>
      <c r="C16" s="202"/>
      <c r="D16" s="202" t="s">
        <v>135</v>
      </c>
      <c r="E16" s="207">
        <v>532</v>
      </c>
      <c r="F16" s="207">
        <v>532</v>
      </c>
      <c r="G16" s="203" t="s">
        <v>994</v>
      </c>
      <c r="H16" s="203" t="s">
        <v>995</v>
      </c>
      <c r="I16" s="205"/>
      <c r="J16" s="264" t="str">
        <f t="shared" si="0"/>
        <v>임공</v>
      </c>
      <c r="K16" s="267">
        <v>6420</v>
      </c>
      <c r="L16" s="266"/>
      <c r="M16" s="266"/>
      <c r="N16" s="266"/>
      <c r="O16" s="266"/>
      <c r="P16" s="266"/>
      <c r="Q16" s="266"/>
      <c r="R16" s="268"/>
    </row>
    <row r="17" spans="1:18" ht="30" customHeight="1">
      <c r="A17" s="282">
        <v>12</v>
      </c>
      <c r="B17" s="202" t="s">
        <v>586</v>
      </c>
      <c r="C17" s="202"/>
      <c r="D17" s="202" t="s">
        <v>135</v>
      </c>
      <c r="E17" s="207">
        <v>150</v>
      </c>
      <c r="F17" s="207">
        <v>150</v>
      </c>
      <c r="G17" s="203" t="s">
        <v>994</v>
      </c>
      <c r="H17" s="203" t="s">
        <v>995</v>
      </c>
      <c r="I17" s="205"/>
      <c r="J17" s="264" t="str">
        <f t="shared" si="0"/>
        <v>임공</v>
      </c>
      <c r="K17" s="267">
        <v>9130</v>
      </c>
      <c r="L17" s="266"/>
      <c r="M17" s="266"/>
      <c r="N17" s="266"/>
      <c r="O17" s="266"/>
      <c r="P17" s="266"/>
      <c r="Q17" s="266"/>
      <c r="R17" s="268"/>
    </row>
    <row r="18" spans="1:18" ht="30" customHeight="1">
      <c r="A18" s="282">
        <v>13</v>
      </c>
      <c r="B18" s="202" t="s">
        <v>587</v>
      </c>
      <c r="C18" s="202"/>
      <c r="D18" s="202" t="s">
        <v>135</v>
      </c>
      <c r="E18" s="207">
        <v>4079</v>
      </c>
      <c r="F18" s="207">
        <v>4079</v>
      </c>
      <c r="G18" s="203" t="s">
        <v>994</v>
      </c>
      <c r="H18" s="203" t="s">
        <v>995</v>
      </c>
      <c r="I18" s="205"/>
      <c r="J18" s="264" t="str">
        <f t="shared" si="0"/>
        <v>임공</v>
      </c>
      <c r="K18" s="267">
        <v>5100</v>
      </c>
      <c r="L18" s="266"/>
      <c r="M18" s="266"/>
      <c r="N18" s="266"/>
      <c r="O18" s="266"/>
      <c r="P18" s="266"/>
      <c r="Q18" s="266"/>
      <c r="R18" s="268"/>
    </row>
    <row r="19" spans="1:18" ht="30" customHeight="1">
      <c r="A19" s="282">
        <v>14</v>
      </c>
      <c r="B19" s="202" t="s">
        <v>588</v>
      </c>
      <c r="C19" s="202"/>
      <c r="D19" s="202" t="s">
        <v>89</v>
      </c>
      <c r="E19" s="207">
        <v>10</v>
      </c>
      <c r="F19" s="207">
        <v>10</v>
      </c>
      <c r="G19" s="203" t="s">
        <v>994</v>
      </c>
      <c r="H19" s="203" t="s">
        <v>995</v>
      </c>
      <c r="I19" s="205"/>
      <c r="J19" s="264" t="str">
        <f t="shared" si="0"/>
        <v>답공</v>
      </c>
      <c r="K19" s="267">
        <v>7720</v>
      </c>
      <c r="L19" s="266"/>
      <c r="M19" s="266"/>
      <c r="N19" s="266"/>
      <c r="O19" s="266"/>
      <c r="P19" s="266"/>
      <c r="Q19" s="266"/>
      <c r="R19" s="268"/>
    </row>
    <row r="20" spans="1:18" ht="30" customHeight="1">
      <c r="A20" s="282">
        <v>15</v>
      </c>
      <c r="B20" s="202" t="s">
        <v>589</v>
      </c>
      <c r="C20" s="202"/>
      <c r="D20" s="202" t="s">
        <v>135</v>
      </c>
      <c r="E20" s="207">
        <v>7876</v>
      </c>
      <c r="F20" s="207">
        <v>7876</v>
      </c>
      <c r="G20" s="203" t="s">
        <v>994</v>
      </c>
      <c r="H20" s="203" t="s">
        <v>995</v>
      </c>
      <c r="I20" s="205"/>
      <c r="J20" s="264" t="str">
        <f t="shared" si="0"/>
        <v>임공</v>
      </c>
      <c r="K20" s="267">
        <v>5250</v>
      </c>
      <c r="L20" s="266"/>
      <c r="M20" s="266"/>
      <c r="N20" s="266"/>
      <c r="O20" s="266"/>
      <c r="P20" s="266"/>
      <c r="Q20" s="266"/>
      <c r="R20" s="268"/>
    </row>
    <row r="21" spans="1:18" ht="30" customHeight="1">
      <c r="A21" s="282">
        <v>16</v>
      </c>
      <c r="B21" s="202" t="s">
        <v>590</v>
      </c>
      <c r="C21" s="202"/>
      <c r="D21" s="202" t="s">
        <v>135</v>
      </c>
      <c r="E21" s="207">
        <v>132</v>
      </c>
      <c r="F21" s="207">
        <v>132</v>
      </c>
      <c r="G21" s="203" t="s">
        <v>994</v>
      </c>
      <c r="H21" s="203" t="s">
        <v>995</v>
      </c>
      <c r="I21" s="205"/>
      <c r="J21" s="264" t="str">
        <f t="shared" si="0"/>
        <v>임공</v>
      </c>
      <c r="K21" s="267">
        <v>5200</v>
      </c>
      <c r="L21" s="266"/>
      <c r="M21" s="266"/>
      <c r="N21" s="266"/>
      <c r="O21" s="266"/>
      <c r="P21" s="266"/>
      <c r="Q21" s="266"/>
      <c r="R21" s="268"/>
    </row>
    <row r="22" spans="1:18" ht="30" customHeight="1">
      <c r="A22" s="282">
        <v>17</v>
      </c>
      <c r="B22" s="202" t="s">
        <v>591</v>
      </c>
      <c r="C22" s="202"/>
      <c r="D22" s="202" t="s">
        <v>135</v>
      </c>
      <c r="E22" s="207">
        <v>2635</v>
      </c>
      <c r="F22" s="207">
        <v>2635</v>
      </c>
      <c r="G22" s="203" t="s">
        <v>994</v>
      </c>
      <c r="H22" s="203" t="s">
        <v>995</v>
      </c>
      <c r="I22" s="269"/>
      <c r="J22" s="264" t="str">
        <f t="shared" si="0"/>
        <v>임공</v>
      </c>
      <c r="K22" s="267">
        <v>5200</v>
      </c>
      <c r="L22" s="266"/>
      <c r="M22" s="266"/>
      <c r="N22" s="266"/>
      <c r="O22" s="266"/>
      <c r="P22" s="266"/>
      <c r="Q22" s="266"/>
      <c r="R22" s="268"/>
    </row>
    <row r="23" spans="1:18" ht="30" customHeight="1">
      <c r="A23" s="282">
        <v>18</v>
      </c>
      <c r="B23" s="202" t="s">
        <v>592</v>
      </c>
      <c r="C23" s="202"/>
      <c r="D23" s="202" t="s">
        <v>135</v>
      </c>
      <c r="E23" s="207">
        <v>4039</v>
      </c>
      <c r="F23" s="207">
        <v>4039</v>
      </c>
      <c r="G23" s="203" t="s">
        <v>994</v>
      </c>
      <c r="H23" s="203" t="s">
        <v>995</v>
      </c>
      <c r="I23" s="205"/>
      <c r="J23" s="264" t="str">
        <f t="shared" si="0"/>
        <v>임공</v>
      </c>
      <c r="K23" s="267">
        <v>5100</v>
      </c>
      <c r="L23" s="266"/>
      <c r="M23" s="266"/>
      <c r="N23" s="266"/>
      <c r="O23" s="266"/>
      <c r="P23" s="266"/>
      <c r="Q23" s="266"/>
      <c r="R23" s="268"/>
    </row>
    <row r="24" spans="1:18" ht="30" customHeight="1">
      <c r="A24" s="282">
        <v>19</v>
      </c>
      <c r="B24" s="202" t="s">
        <v>593</v>
      </c>
      <c r="C24" s="202"/>
      <c r="D24" s="202" t="s">
        <v>135</v>
      </c>
      <c r="E24" s="207">
        <v>368</v>
      </c>
      <c r="F24" s="207">
        <v>368</v>
      </c>
      <c r="G24" s="203" t="s">
        <v>994</v>
      </c>
      <c r="H24" s="203" t="s">
        <v>995</v>
      </c>
      <c r="I24" s="205"/>
      <c r="J24" s="264" t="str">
        <f t="shared" si="0"/>
        <v>임공</v>
      </c>
      <c r="K24" s="267">
        <v>5200</v>
      </c>
      <c r="L24" s="266"/>
      <c r="M24" s="266"/>
      <c r="N24" s="266"/>
      <c r="O24" s="266"/>
      <c r="P24" s="266"/>
      <c r="Q24" s="266"/>
      <c r="R24" s="268"/>
    </row>
    <row r="25" spans="1:18" ht="30" customHeight="1">
      <c r="A25" s="282">
        <v>20</v>
      </c>
      <c r="B25" s="270" t="s">
        <v>594</v>
      </c>
      <c r="C25" s="270"/>
      <c r="D25" s="270" t="s">
        <v>135</v>
      </c>
      <c r="E25" s="271">
        <v>1251</v>
      </c>
      <c r="F25" s="271">
        <v>1251</v>
      </c>
      <c r="G25" s="272" t="s">
        <v>994</v>
      </c>
      <c r="H25" s="272" t="s">
        <v>995</v>
      </c>
      <c r="I25" s="273"/>
      <c r="J25" s="264" t="str">
        <f t="shared" si="0"/>
        <v>임공</v>
      </c>
      <c r="K25" s="267">
        <v>5200</v>
      </c>
      <c r="L25" s="266"/>
      <c r="M25" s="266"/>
      <c r="N25" s="266"/>
      <c r="O25" s="266"/>
      <c r="P25" s="266"/>
      <c r="Q25" s="266"/>
      <c r="R25" s="268"/>
    </row>
    <row r="26" spans="1:18" ht="30" customHeight="1">
      <c r="A26" s="282">
        <v>21</v>
      </c>
      <c r="B26" s="200" t="s">
        <v>595</v>
      </c>
      <c r="C26" s="200"/>
      <c r="D26" s="200" t="s">
        <v>135</v>
      </c>
      <c r="E26" s="262">
        <v>219</v>
      </c>
      <c r="F26" s="262">
        <v>219</v>
      </c>
      <c r="G26" s="201" t="s">
        <v>596</v>
      </c>
      <c r="H26" s="201" t="s">
        <v>597</v>
      </c>
      <c r="I26" s="263"/>
      <c r="J26" s="264" t="str">
        <f t="shared" si="0"/>
        <v>임손영자
 외1인</v>
      </c>
      <c r="K26" s="267">
        <v>5200</v>
      </c>
      <c r="L26" s="266"/>
      <c r="M26" s="266"/>
      <c r="N26" s="266"/>
      <c r="O26" s="266"/>
      <c r="P26" s="266"/>
      <c r="Q26" s="266"/>
      <c r="R26" s="268"/>
    </row>
    <row r="27" spans="1:18" ht="30" customHeight="1">
      <c r="A27" s="282">
        <v>22</v>
      </c>
      <c r="B27" s="202" t="s">
        <v>598</v>
      </c>
      <c r="C27" s="202"/>
      <c r="D27" s="202" t="s">
        <v>307</v>
      </c>
      <c r="E27" s="207">
        <v>62</v>
      </c>
      <c r="F27" s="207">
        <v>62</v>
      </c>
      <c r="G27" s="203" t="s">
        <v>994</v>
      </c>
      <c r="H27" s="203" t="s">
        <v>995</v>
      </c>
      <c r="I27" s="205"/>
      <c r="J27" s="264" t="str">
        <f t="shared" si="0"/>
        <v>전공</v>
      </c>
      <c r="K27" s="267">
        <v>6600</v>
      </c>
      <c r="L27" s="266"/>
      <c r="M27" s="266"/>
      <c r="N27" s="266"/>
      <c r="O27" s="266"/>
      <c r="P27" s="266"/>
      <c r="Q27" s="266"/>
      <c r="R27" s="268"/>
    </row>
    <row r="28" spans="1:18" s="331" customFormat="1" ht="30" customHeight="1">
      <c r="A28" s="282">
        <v>23</v>
      </c>
      <c r="B28" s="202" t="s">
        <v>599</v>
      </c>
      <c r="C28" s="202"/>
      <c r="D28" s="202" t="s">
        <v>135</v>
      </c>
      <c r="E28" s="207">
        <v>4119</v>
      </c>
      <c r="F28" s="207">
        <v>4119</v>
      </c>
      <c r="G28" s="203" t="s">
        <v>600</v>
      </c>
      <c r="H28" s="203" t="s">
        <v>597</v>
      </c>
      <c r="I28" s="205"/>
      <c r="J28" s="264" t="str">
        <f t="shared" si="0"/>
        <v>임손영자 
외1인</v>
      </c>
      <c r="K28" s="328">
        <v>4980</v>
      </c>
      <c r="L28" s="329"/>
      <c r="M28" s="329"/>
      <c r="N28" s="329"/>
      <c r="O28" s="329"/>
      <c r="P28" s="329"/>
      <c r="Q28" s="329"/>
      <c r="R28" s="330"/>
    </row>
    <row r="29" spans="1:18" ht="30" customHeight="1">
      <c r="A29" s="282">
        <v>24</v>
      </c>
      <c r="B29" s="202" t="s">
        <v>601</v>
      </c>
      <c r="C29" s="202"/>
      <c r="D29" s="202" t="s">
        <v>89</v>
      </c>
      <c r="E29" s="207">
        <v>92</v>
      </c>
      <c r="F29" s="207">
        <v>92</v>
      </c>
      <c r="G29" s="203" t="s">
        <v>994</v>
      </c>
      <c r="H29" s="203" t="s">
        <v>995</v>
      </c>
      <c r="I29" s="205"/>
      <c r="J29" s="264" t="str">
        <f t="shared" si="0"/>
        <v>답공</v>
      </c>
      <c r="K29" s="267">
        <v>7130</v>
      </c>
      <c r="L29" s="266"/>
      <c r="M29" s="266"/>
      <c r="N29" s="266"/>
      <c r="O29" s="266"/>
      <c r="P29" s="266"/>
      <c r="Q29" s="266"/>
      <c r="R29" s="268"/>
    </row>
    <row r="30" spans="1:18" ht="30" customHeight="1">
      <c r="A30" s="282">
        <v>25</v>
      </c>
      <c r="B30" s="202" t="s">
        <v>602</v>
      </c>
      <c r="C30" s="202"/>
      <c r="D30" s="202" t="s">
        <v>89</v>
      </c>
      <c r="E30" s="207">
        <v>83</v>
      </c>
      <c r="F30" s="207">
        <v>83</v>
      </c>
      <c r="G30" s="203" t="s">
        <v>994</v>
      </c>
      <c r="H30" s="203" t="s">
        <v>995</v>
      </c>
      <c r="I30" s="205"/>
      <c r="J30" s="264" t="str">
        <f t="shared" si="0"/>
        <v>답공</v>
      </c>
      <c r="K30" s="267">
        <v>8200</v>
      </c>
      <c r="L30" s="266"/>
      <c r="M30" s="266"/>
      <c r="N30" s="266"/>
      <c r="O30" s="266"/>
      <c r="P30" s="266"/>
      <c r="Q30" s="266"/>
      <c r="R30" s="268"/>
    </row>
    <row r="31" spans="1:18" ht="30" customHeight="1">
      <c r="A31" s="282">
        <v>26</v>
      </c>
      <c r="B31" s="202" t="s">
        <v>603</v>
      </c>
      <c r="C31" s="202"/>
      <c r="D31" s="202" t="s">
        <v>89</v>
      </c>
      <c r="E31" s="207">
        <v>67</v>
      </c>
      <c r="F31" s="207">
        <v>67</v>
      </c>
      <c r="G31" s="203" t="s">
        <v>994</v>
      </c>
      <c r="H31" s="203" t="s">
        <v>995</v>
      </c>
      <c r="I31" s="205"/>
      <c r="J31" s="264" t="str">
        <f t="shared" si="0"/>
        <v>답공</v>
      </c>
      <c r="K31" s="267">
        <v>7600</v>
      </c>
      <c r="L31" s="266"/>
      <c r="M31" s="266"/>
      <c r="N31" s="266"/>
      <c r="O31" s="266"/>
      <c r="P31" s="266"/>
      <c r="Q31" s="266"/>
      <c r="R31" s="268"/>
    </row>
    <row r="32" spans="1:18" ht="30" customHeight="1">
      <c r="A32" s="282">
        <v>27</v>
      </c>
      <c r="B32" s="202" t="s">
        <v>604</v>
      </c>
      <c r="C32" s="202"/>
      <c r="D32" s="202" t="s">
        <v>89</v>
      </c>
      <c r="E32" s="207">
        <v>175</v>
      </c>
      <c r="F32" s="207">
        <v>175</v>
      </c>
      <c r="G32" s="203" t="s">
        <v>994</v>
      </c>
      <c r="H32" s="203" t="s">
        <v>995</v>
      </c>
      <c r="I32" s="205"/>
      <c r="J32" s="264" t="str">
        <f t="shared" si="0"/>
        <v>답공</v>
      </c>
      <c r="K32" s="267">
        <v>7600</v>
      </c>
      <c r="L32" s="266"/>
      <c r="M32" s="266"/>
      <c r="N32" s="266"/>
      <c r="O32" s="266"/>
      <c r="P32" s="266"/>
      <c r="Q32" s="266"/>
      <c r="R32" s="268"/>
    </row>
    <row r="33" spans="1:18" ht="30" customHeight="1">
      <c r="A33" s="282">
        <v>28</v>
      </c>
      <c r="B33" s="202" t="s">
        <v>605</v>
      </c>
      <c r="C33" s="202"/>
      <c r="D33" s="202" t="s">
        <v>89</v>
      </c>
      <c r="E33" s="207">
        <v>1088</v>
      </c>
      <c r="F33" s="207">
        <v>1088</v>
      </c>
      <c r="G33" s="203" t="s">
        <v>994</v>
      </c>
      <c r="H33" s="203" t="s">
        <v>995</v>
      </c>
      <c r="I33" s="205"/>
      <c r="J33" s="264" t="str">
        <f t="shared" si="0"/>
        <v>답공</v>
      </c>
      <c r="K33" s="267">
        <v>8010</v>
      </c>
      <c r="L33" s="266"/>
      <c r="M33" s="266"/>
      <c r="N33" s="266"/>
      <c r="O33" s="266"/>
      <c r="P33" s="266"/>
      <c r="Q33" s="266"/>
      <c r="R33" s="268"/>
    </row>
    <row r="34" spans="1:18" ht="30" customHeight="1">
      <c r="A34" s="282">
        <v>29</v>
      </c>
      <c r="B34" s="202" t="s">
        <v>606</v>
      </c>
      <c r="C34" s="202"/>
      <c r="D34" s="202" t="s">
        <v>89</v>
      </c>
      <c r="E34" s="207">
        <v>618</v>
      </c>
      <c r="F34" s="207">
        <v>618</v>
      </c>
      <c r="G34" s="203" t="s">
        <v>994</v>
      </c>
      <c r="H34" s="203" t="s">
        <v>995</v>
      </c>
      <c r="I34" s="205"/>
      <c r="J34" s="264" t="str">
        <f t="shared" si="0"/>
        <v>답공</v>
      </c>
      <c r="K34" s="267">
        <v>7600</v>
      </c>
      <c r="L34" s="266"/>
      <c r="M34" s="266"/>
      <c r="N34" s="266"/>
      <c r="O34" s="266"/>
      <c r="P34" s="266"/>
      <c r="Q34" s="266"/>
      <c r="R34" s="268"/>
    </row>
    <row r="35" spans="1:18" ht="30" customHeight="1">
      <c r="A35" s="282">
        <v>30</v>
      </c>
      <c r="B35" s="202" t="s">
        <v>607</v>
      </c>
      <c r="C35" s="202"/>
      <c r="D35" s="202" t="s">
        <v>89</v>
      </c>
      <c r="E35" s="207">
        <v>130</v>
      </c>
      <c r="F35" s="207">
        <v>130</v>
      </c>
      <c r="G35" s="203" t="s">
        <v>994</v>
      </c>
      <c r="H35" s="203" t="s">
        <v>995</v>
      </c>
      <c r="I35" s="205"/>
      <c r="J35" s="264" t="str">
        <f t="shared" si="0"/>
        <v>답공</v>
      </c>
      <c r="K35" s="267">
        <v>7600</v>
      </c>
      <c r="L35" s="266"/>
      <c r="M35" s="266"/>
      <c r="N35" s="266"/>
      <c r="O35" s="266"/>
      <c r="P35" s="266"/>
      <c r="Q35" s="266"/>
      <c r="R35" s="268"/>
    </row>
    <row r="36" spans="1:18" ht="30" customHeight="1">
      <c r="A36" s="282">
        <v>31</v>
      </c>
      <c r="B36" s="202" t="s">
        <v>608</v>
      </c>
      <c r="C36" s="202"/>
      <c r="D36" s="202" t="s">
        <v>307</v>
      </c>
      <c r="E36" s="207">
        <v>379</v>
      </c>
      <c r="F36" s="207">
        <v>379</v>
      </c>
      <c r="G36" s="203" t="s">
        <v>994</v>
      </c>
      <c r="H36" s="203" t="s">
        <v>995</v>
      </c>
      <c r="I36" s="205"/>
      <c r="J36" s="264" t="str">
        <f t="shared" si="0"/>
        <v>전공</v>
      </c>
      <c r="K36" s="267">
        <v>9060</v>
      </c>
      <c r="L36" s="266"/>
      <c r="M36" s="266"/>
      <c r="N36" s="266"/>
      <c r="O36" s="266"/>
      <c r="P36" s="266"/>
      <c r="Q36" s="266"/>
      <c r="R36" s="268"/>
    </row>
    <row r="37" spans="1:18" ht="30" customHeight="1">
      <c r="A37" s="282">
        <v>32</v>
      </c>
      <c r="B37" s="202" t="s">
        <v>609</v>
      </c>
      <c r="C37" s="202"/>
      <c r="D37" s="202" t="s">
        <v>135</v>
      </c>
      <c r="E37" s="207">
        <v>50</v>
      </c>
      <c r="F37" s="207">
        <v>50</v>
      </c>
      <c r="G37" s="203" t="s">
        <v>994</v>
      </c>
      <c r="H37" s="203" t="s">
        <v>995</v>
      </c>
      <c r="I37" s="205"/>
      <c r="J37" s="264" t="str">
        <f t="shared" si="0"/>
        <v>임공</v>
      </c>
      <c r="K37" s="267">
        <v>7150</v>
      </c>
      <c r="L37" s="266"/>
      <c r="M37" s="266"/>
      <c r="N37" s="266"/>
      <c r="O37" s="266"/>
      <c r="P37" s="266"/>
      <c r="Q37" s="266"/>
      <c r="R37" s="268"/>
    </row>
    <row r="38" spans="1:18" ht="30" customHeight="1">
      <c r="A38" s="282">
        <v>33</v>
      </c>
      <c r="B38" s="202" t="s">
        <v>610</v>
      </c>
      <c r="C38" s="202"/>
      <c r="D38" s="202" t="s">
        <v>135</v>
      </c>
      <c r="E38" s="207">
        <v>1468</v>
      </c>
      <c r="F38" s="207">
        <v>1468</v>
      </c>
      <c r="G38" s="203" t="s">
        <v>308</v>
      </c>
      <c r="H38" s="203" t="s">
        <v>611</v>
      </c>
      <c r="I38" s="205"/>
      <c r="J38" s="264" t="str">
        <f t="shared" ref="J38:J69" si="1">CONCATENATE(D38,G38)</f>
        <v>임국</v>
      </c>
      <c r="K38" s="267">
        <v>6630</v>
      </c>
      <c r="L38" s="266"/>
      <c r="M38" s="266"/>
      <c r="N38" s="266"/>
      <c r="O38" s="266"/>
      <c r="P38" s="266"/>
      <c r="Q38" s="266"/>
      <c r="R38" s="268"/>
    </row>
    <row r="39" spans="1:18" ht="30" customHeight="1">
      <c r="A39" s="282">
        <v>34</v>
      </c>
      <c r="B39" s="202" t="s">
        <v>612</v>
      </c>
      <c r="C39" s="202"/>
      <c r="D39" s="202" t="s">
        <v>307</v>
      </c>
      <c r="E39" s="207">
        <v>604</v>
      </c>
      <c r="F39" s="207">
        <v>604</v>
      </c>
      <c r="G39" s="203" t="s">
        <v>994</v>
      </c>
      <c r="H39" s="203" t="s">
        <v>995</v>
      </c>
      <c r="I39" s="205"/>
      <c r="J39" s="264" t="str">
        <f t="shared" si="1"/>
        <v>전공</v>
      </c>
      <c r="K39" s="267">
        <v>9190</v>
      </c>
      <c r="L39" s="266"/>
      <c r="M39" s="266"/>
      <c r="N39" s="266"/>
      <c r="O39" s="266"/>
      <c r="P39" s="266"/>
      <c r="Q39" s="266"/>
      <c r="R39" s="268"/>
    </row>
    <row r="40" spans="1:18" ht="30" customHeight="1">
      <c r="A40" s="282">
        <v>35</v>
      </c>
      <c r="B40" s="202" t="s">
        <v>613</v>
      </c>
      <c r="C40" s="202"/>
      <c r="D40" s="202" t="s">
        <v>135</v>
      </c>
      <c r="E40" s="207">
        <v>17</v>
      </c>
      <c r="F40" s="207">
        <v>17</v>
      </c>
      <c r="G40" s="203" t="s">
        <v>308</v>
      </c>
      <c r="H40" s="203" t="s">
        <v>611</v>
      </c>
      <c r="I40" s="205"/>
      <c r="J40" s="264" t="str">
        <f t="shared" si="1"/>
        <v>임국</v>
      </c>
      <c r="K40" s="267">
        <v>6630</v>
      </c>
      <c r="L40" s="266"/>
      <c r="M40" s="266"/>
      <c r="N40" s="266"/>
      <c r="O40" s="266"/>
      <c r="P40" s="266"/>
      <c r="Q40" s="266"/>
      <c r="R40" s="268"/>
    </row>
    <row r="41" spans="1:18" ht="30" customHeight="1">
      <c r="A41" s="282">
        <v>36</v>
      </c>
      <c r="B41" s="202" t="s">
        <v>614</v>
      </c>
      <c r="C41" s="202"/>
      <c r="D41" s="202" t="s">
        <v>135</v>
      </c>
      <c r="E41" s="207">
        <v>843</v>
      </c>
      <c r="F41" s="207">
        <v>843</v>
      </c>
      <c r="G41" s="203" t="s">
        <v>994</v>
      </c>
      <c r="H41" s="203" t="s">
        <v>995</v>
      </c>
      <c r="I41" s="205"/>
      <c r="J41" s="264" t="str">
        <f t="shared" si="1"/>
        <v>임공</v>
      </c>
      <c r="K41" s="267">
        <v>6630</v>
      </c>
      <c r="L41" s="266"/>
      <c r="M41" s="266"/>
      <c r="N41" s="266"/>
      <c r="O41" s="266"/>
      <c r="P41" s="266"/>
      <c r="Q41" s="266"/>
      <c r="R41" s="268"/>
    </row>
    <row r="42" spans="1:18" ht="30" customHeight="1">
      <c r="A42" s="282">
        <v>37</v>
      </c>
      <c r="B42" s="202" t="s">
        <v>615</v>
      </c>
      <c r="C42" s="202"/>
      <c r="D42" s="202" t="s">
        <v>135</v>
      </c>
      <c r="E42" s="207">
        <v>171</v>
      </c>
      <c r="F42" s="207">
        <v>171</v>
      </c>
      <c r="G42" s="203" t="s">
        <v>994</v>
      </c>
      <c r="H42" s="203" t="s">
        <v>995</v>
      </c>
      <c r="I42" s="205"/>
      <c r="J42" s="264" t="str">
        <f t="shared" si="1"/>
        <v>임공</v>
      </c>
      <c r="K42" s="267">
        <v>6100</v>
      </c>
      <c r="L42" s="266"/>
      <c r="M42" s="266"/>
      <c r="N42" s="266"/>
      <c r="O42" s="266"/>
      <c r="P42" s="266"/>
      <c r="Q42" s="266"/>
      <c r="R42" s="268"/>
    </row>
    <row r="43" spans="1:18" ht="30" customHeight="1">
      <c r="A43" s="282">
        <v>38</v>
      </c>
      <c r="B43" s="202" t="s">
        <v>616</v>
      </c>
      <c r="C43" s="202"/>
      <c r="D43" s="202" t="s">
        <v>89</v>
      </c>
      <c r="E43" s="207">
        <v>1083</v>
      </c>
      <c r="F43" s="279">
        <v>1083</v>
      </c>
      <c r="G43" s="203" t="s">
        <v>994</v>
      </c>
      <c r="H43" s="203" t="s">
        <v>995</v>
      </c>
      <c r="I43" s="205"/>
      <c r="J43" s="264" t="str">
        <f t="shared" si="1"/>
        <v>답공</v>
      </c>
      <c r="K43" s="267">
        <v>8200</v>
      </c>
      <c r="L43" s="266"/>
      <c r="M43" s="266"/>
      <c r="N43" s="266"/>
      <c r="O43" s="266"/>
      <c r="P43" s="266"/>
      <c r="Q43" s="266"/>
      <c r="R43" s="268"/>
    </row>
    <row r="44" spans="1:18" ht="30" customHeight="1">
      <c r="A44" s="282">
        <v>39</v>
      </c>
      <c r="B44" s="202" t="s">
        <v>617</v>
      </c>
      <c r="C44" s="202"/>
      <c r="D44" s="202" t="s">
        <v>89</v>
      </c>
      <c r="E44" s="207">
        <v>1460</v>
      </c>
      <c r="F44" s="207">
        <v>1460</v>
      </c>
      <c r="G44" s="203" t="s">
        <v>994</v>
      </c>
      <c r="H44" s="203" t="s">
        <v>995</v>
      </c>
      <c r="I44" s="205"/>
      <c r="J44" s="264" t="str">
        <f t="shared" si="1"/>
        <v>답공</v>
      </c>
      <c r="K44" s="267">
        <v>7830</v>
      </c>
      <c r="L44" s="266"/>
      <c r="M44" s="266"/>
      <c r="N44" s="266"/>
      <c r="O44" s="266"/>
      <c r="P44" s="266"/>
      <c r="Q44" s="266"/>
      <c r="R44" s="268"/>
    </row>
    <row r="45" spans="1:18" ht="30" customHeight="1">
      <c r="A45" s="282">
        <v>40</v>
      </c>
      <c r="B45" s="270" t="s">
        <v>618</v>
      </c>
      <c r="C45" s="270"/>
      <c r="D45" s="270" t="s">
        <v>89</v>
      </c>
      <c r="E45" s="271">
        <v>44</v>
      </c>
      <c r="F45" s="271">
        <v>44</v>
      </c>
      <c r="G45" s="272" t="s">
        <v>994</v>
      </c>
      <c r="H45" s="272" t="s">
        <v>995</v>
      </c>
      <c r="I45" s="273"/>
      <c r="J45" s="264" t="str">
        <f t="shared" si="1"/>
        <v>답공</v>
      </c>
      <c r="K45" s="267">
        <v>7410</v>
      </c>
      <c r="L45" s="266"/>
      <c r="M45" s="266"/>
      <c r="N45" s="266"/>
      <c r="O45" s="266"/>
      <c r="P45" s="266"/>
      <c r="Q45" s="266"/>
      <c r="R45" s="268"/>
    </row>
    <row r="46" spans="1:18" ht="30" customHeight="1">
      <c r="A46" s="282">
        <v>41</v>
      </c>
      <c r="B46" s="200" t="s">
        <v>619</v>
      </c>
      <c r="C46" s="200"/>
      <c r="D46" s="200" t="s">
        <v>89</v>
      </c>
      <c r="E46" s="262">
        <v>183</v>
      </c>
      <c r="F46" s="262">
        <v>183</v>
      </c>
      <c r="G46" s="201" t="s">
        <v>994</v>
      </c>
      <c r="H46" s="201" t="s">
        <v>995</v>
      </c>
      <c r="I46" s="263"/>
      <c r="J46" s="264" t="str">
        <f t="shared" si="1"/>
        <v>답공</v>
      </c>
      <c r="K46" s="267">
        <v>7410</v>
      </c>
      <c r="L46" s="266"/>
      <c r="M46" s="266"/>
      <c r="N46" s="266"/>
      <c r="O46" s="266"/>
      <c r="P46" s="266"/>
      <c r="Q46" s="266"/>
      <c r="R46" s="268"/>
    </row>
    <row r="47" spans="1:18" ht="30" customHeight="1">
      <c r="A47" s="282">
        <v>42</v>
      </c>
      <c r="B47" s="202" t="s">
        <v>620</v>
      </c>
      <c r="C47" s="202"/>
      <c r="D47" s="202" t="s">
        <v>89</v>
      </c>
      <c r="E47" s="207">
        <v>1701</v>
      </c>
      <c r="F47" s="207">
        <v>1701</v>
      </c>
      <c r="G47" s="203" t="s">
        <v>994</v>
      </c>
      <c r="H47" s="203" t="s">
        <v>995</v>
      </c>
      <c r="I47" s="205"/>
      <c r="J47" s="264" t="str">
        <f t="shared" si="1"/>
        <v>답공</v>
      </c>
      <c r="K47" s="267">
        <v>7830</v>
      </c>
      <c r="L47" s="266"/>
      <c r="M47" s="266"/>
      <c r="N47" s="266"/>
      <c r="O47" s="266"/>
      <c r="P47" s="266"/>
      <c r="Q47" s="266"/>
      <c r="R47" s="268"/>
    </row>
    <row r="48" spans="1:18" ht="30" customHeight="1">
      <c r="A48" s="282">
        <v>43</v>
      </c>
      <c r="B48" s="202" t="s">
        <v>621</v>
      </c>
      <c r="C48" s="202"/>
      <c r="D48" s="202" t="s">
        <v>622</v>
      </c>
      <c r="E48" s="207">
        <v>546</v>
      </c>
      <c r="F48" s="207">
        <v>546</v>
      </c>
      <c r="G48" s="203" t="s">
        <v>308</v>
      </c>
      <c r="H48" s="203" t="s">
        <v>102</v>
      </c>
      <c r="I48" s="205"/>
      <c r="J48" s="264" t="str">
        <f t="shared" si="1"/>
        <v>제국</v>
      </c>
      <c r="K48" s="267"/>
      <c r="L48" s="266"/>
      <c r="M48" s="266"/>
      <c r="N48" s="266"/>
      <c r="O48" s="266"/>
      <c r="P48" s="266"/>
      <c r="Q48" s="266"/>
      <c r="R48" s="268"/>
    </row>
    <row r="49" spans="1:18" ht="30" customHeight="1">
      <c r="A49" s="282">
        <v>44</v>
      </c>
      <c r="B49" s="202" t="s">
        <v>623</v>
      </c>
      <c r="C49" s="202"/>
      <c r="D49" s="202" t="s">
        <v>258</v>
      </c>
      <c r="E49" s="207">
        <v>2433</v>
      </c>
      <c r="F49" s="207">
        <v>2433</v>
      </c>
      <c r="G49" s="203" t="s">
        <v>994</v>
      </c>
      <c r="H49" s="203" t="s">
        <v>995</v>
      </c>
      <c r="I49" s="205"/>
      <c r="J49" s="264" t="str">
        <f t="shared" si="1"/>
        <v>잡공</v>
      </c>
      <c r="K49" s="267">
        <v>8960</v>
      </c>
      <c r="L49" s="266"/>
      <c r="M49" s="266"/>
      <c r="N49" s="266"/>
      <c r="O49" s="266"/>
      <c r="P49" s="266"/>
      <c r="Q49" s="266"/>
      <c r="R49" s="268"/>
    </row>
    <row r="50" spans="1:18" ht="30" customHeight="1">
      <c r="A50" s="282">
        <v>45</v>
      </c>
      <c r="B50" s="202" t="s">
        <v>624</v>
      </c>
      <c r="C50" s="202"/>
      <c r="D50" s="202" t="s">
        <v>135</v>
      </c>
      <c r="E50" s="207">
        <v>517</v>
      </c>
      <c r="F50" s="207">
        <v>517</v>
      </c>
      <c r="G50" s="203" t="s">
        <v>97</v>
      </c>
      <c r="H50" s="203" t="s">
        <v>380</v>
      </c>
      <c r="I50" s="280"/>
      <c r="J50" s="264" t="str">
        <f t="shared" si="1"/>
        <v>임공</v>
      </c>
      <c r="K50" s="267">
        <v>4930</v>
      </c>
      <c r="L50" s="266"/>
      <c r="M50" s="266"/>
      <c r="N50" s="266"/>
      <c r="O50" s="266"/>
      <c r="P50" s="266"/>
      <c r="Q50" s="266"/>
      <c r="R50" s="268"/>
    </row>
    <row r="51" spans="1:18" ht="30" customHeight="1">
      <c r="A51" s="282">
        <v>46</v>
      </c>
      <c r="B51" s="202" t="s">
        <v>625</v>
      </c>
      <c r="C51" s="202"/>
      <c r="D51" s="202" t="s">
        <v>135</v>
      </c>
      <c r="E51" s="207">
        <v>63</v>
      </c>
      <c r="F51" s="207">
        <v>63</v>
      </c>
      <c r="G51" s="203" t="s">
        <v>994</v>
      </c>
      <c r="H51" s="203" t="s">
        <v>995</v>
      </c>
      <c r="I51" s="280"/>
      <c r="J51" s="264" t="str">
        <f t="shared" si="1"/>
        <v>임공</v>
      </c>
      <c r="K51" s="267">
        <v>5350</v>
      </c>
      <c r="L51" s="266"/>
      <c r="M51" s="266"/>
      <c r="N51" s="266"/>
      <c r="O51" s="266"/>
      <c r="P51" s="266"/>
      <c r="Q51" s="266"/>
      <c r="R51" s="268"/>
    </row>
    <row r="52" spans="1:18" ht="30" customHeight="1">
      <c r="A52" s="282">
        <v>47</v>
      </c>
      <c r="B52" s="202" t="s">
        <v>626</v>
      </c>
      <c r="C52" s="202"/>
      <c r="D52" s="202" t="s">
        <v>135</v>
      </c>
      <c r="E52" s="207">
        <v>1710</v>
      </c>
      <c r="F52" s="207">
        <v>1710</v>
      </c>
      <c r="G52" s="203" t="s">
        <v>308</v>
      </c>
      <c r="H52" s="203" t="s">
        <v>611</v>
      </c>
      <c r="I52" s="280"/>
      <c r="J52" s="264" t="str">
        <f t="shared" si="1"/>
        <v>임국</v>
      </c>
      <c r="K52" s="267">
        <v>4940</v>
      </c>
      <c r="L52" s="266"/>
      <c r="M52" s="266"/>
      <c r="N52" s="266"/>
      <c r="O52" s="266"/>
      <c r="P52" s="266"/>
      <c r="Q52" s="266"/>
      <c r="R52" s="268"/>
    </row>
    <row r="53" spans="1:18" ht="30" customHeight="1">
      <c r="A53" s="282">
        <v>48</v>
      </c>
      <c r="B53" s="202" t="s">
        <v>627</v>
      </c>
      <c r="C53" s="202"/>
      <c r="D53" s="202" t="s">
        <v>135</v>
      </c>
      <c r="E53" s="207">
        <v>602</v>
      </c>
      <c r="F53" s="207">
        <v>602</v>
      </c>
      <c r="G53" s="203" t="s">
        <v>994</v>
      </c>
      <c r="H53" s="203" t="s">
        <v>995</v>
      </c>
      <c r="I53" s="280"/>
      <c r="J53" s="264" t="str">
        <f t="shared" si="1"/>
        <v>임공</v>
      </c>
      <c r="K53" s="267">
        <v>4940</v>
      </c>
      <c r="L53" s="266"/>
      <c r="M53" s="266"/>
      <c r="N53" s="266"/>
      <c r="O53" s="266"/>
      <c r="P53" s="266"/>
      <c r="Q53" s="266"/>
      <c r="R53" s="268"/>
    </row>
    <row r="54" spans="1:18" ht="30" customHeight="1">
      <c r="A54" s="282">
        <v>49</v>
      </c>
      <c r="B54" s="202" t="s">
        <v>628</v>
      </c>
      <c r="C54" s="202"/>
      <c r="D54" s="202" t="s">
        <v>307</v>
      </c>
      <c r="E54" s="207">
        <v>130</v>
      </c>
      <c r="F54" s="207">
        <v>130</v>
      </c>
      <c r="G54" s="203" t="s">
        <v>994</v>
      </c>
      <c r="H54" s="203" t="s">
        <v>995</v>
      </c>
      <c r="I54" s="280"/>
      <c r="J54" s="264" t="str">
        <f t="shared" si="1"/>
        <v>전공</v>
      </c>
      <c r="K54" s="267">
        <v>7600</v>
      </c>
      <c r="L54" s="266"/>
      <c r="M54" s="266"/>
      <c r="N54" s="266"/>
      <c r="O54" s="266"/>
      <c r="P54" s="266"/>
      <c r="Q54" s="266"/>
      <c r="R54" s="268"/>
    </row>
    <row r="55" spans="1:18" ht="30" customHeight="1">
      <c r="A55" s="282">
        <v>50</v>
      </c>
      <c r="B55" s="202" t="s">
        <v>629</v>
      </c>
      <c r="C55" s="202"/>
      <c r="D55" s="202" t="s">
        <v>89</v>
      </c>
      <c r="E55" s="207">
        <v>1775</v>
      </c>
      <c r="F55" s="207">
        <v>1775</v>
      </c>
      <c r="G55" s="203" t="s">
        <v>994</v>
      </c>
      <c r="H55" s="203" t="s">
        <v>995</v>
      </c>
      <c r="I55" s="280"/>
      <c r="J55" s="264" t="str">
        <f t="shared" si="1"/>
        <v>답공</v>
      </c>
      <c r="K55" s="267">
        <v>7600</v>
      </c>
      <c r="L55" s="266"/>
      <c r="M55" s="266"/>
      <c r="N55" s="266"/>
      <c r="O55" s="266"/>
      <c r="P55" s="266"/>
      <c r="Q55" s="266"/>
      <c r="R55" s="268"/>
    </row>
    <row r="56" spans="1:18" ht="30" customHeight="1">
      <c r="A56" s="282">
        <v>51</v>
      </c>
      <c r="B56" s="202" t="s">
        <v>742</v>
      </c>
      <c r="C56" s="202"/>
      <c r="D56" s="202" t="s">
        <v>89</v>
      </c>
      <c r="E56" s="207">
        <v>2266</v>
      </c>
      <c r="F56" s="207">
        <v>2266</v>
      </c>
      <c r="G56" s="203" t="s">
        <v>97</v>
      </c>
      <c r="H56" s="203" t="s">
        <v>7</v>
      </c>
      <c r="I56" s="280"/>
      <c r="J56" s="264" t="str">
        <f t="shared" si="1"/>
        <v>답공</v>
      </c>
      <c r="K56" s="267">
        <v>8170</v>
      </c>
      <c r="L56" s="266"/>
      <c r="M56" s="266"/>
      <c r="N56" s="266"/>
      <c r="O56" s="266"/>
      <c r="P56" s="266"/>
      <c r="Q56" s="266"/>
      <c r="R56" s="268"/>
    </row>
    <row r="57" spans="1:18" ht="30" customHeight="1">
      <c r="A57" s="282">
        <v>52</v>
      </c>
      <c r="B57" s="202" t="s">
        <v>630</v>
      </c>
      <c r="C57" s="202"/>
      <c r="D57" s="202" t="s">
        <v>89</v>
      </c>
      <c r="E57" s="207">
        <v>17</v>
      </c>
      <c r="F57" s="207">
        <v>17</v>
      </c>
      <c r="G57" s="203" t="s">
        <v>994</v>
      </c>
      <c r="H57" s="203" t="s">
        <v>995</v>
      </c>
      <c r="I57" s="280"/>
      <c r="J57" s="264" t="str">
        <f t="shared" si="1"/>
        <v>답공</v>
      </c>
      <c r="K57" s="267">
        <v>8010</v>
      </c>
      <c r="L57" s="266"/>
      <c r="M57" s="266"/>
      <c r="N57" s="266"/>
      <c r="O57" s="266"/>
      <c r="P57" s="266"/>
      <c r="Q57" s="266"/>
      <c r="R57" s="268"/>
    </row>
    <row r="58" spans="1:18" ht="30" customHeight="1">
      <c r="A58" s="282">
        <v>53</v>
      </c>
      <c r="B58" s="202" t="s">
        <v>631</v>
      </c>
      <c r="C58" s="202"/>
      <c r="D58" s="202" t="s">
        <v>89</v>
      </c>
      <c r="E58" s="207">
        <v>65</v>
      </c>
      <c r="F58" s="207">
        <v>65</v>
      </c>
      <c r="G58" s="203" t="s">
        <v>994</v>
      </c>
      <c r="H58" s="203" t="s">
        <v>995</v>
      </c>
      <c r="I58" s="280"/>
      <c r="J58" s="264" t="str">
        <f t="shared" si="1"/>
        <v>답공</v>
      </c>
      <c r="K58" s="267">
        <v>8170</v>
      </c>
      <c r="L58" s="266"/>
      <c r="M58" s="266"/>
      <c r="N58" s="266"/>
      <c r="O58" s="266"/>
      <c r="P58" s="266"/>
      <c r="Q58" s="266"/>
      <c r="R58" s="268"/>
    </row>
    <row r="59" spans="1:18" ht="30" customHeight="1">
      <c r="A59" s="282">
        <v>54</v>
      </c>
      <c r="B59" s="202" t="s">
        <v>632</v>
      </c>
      <c r="C59" s="202"/>
      <c r="D59" s="202" t="s">
        <v>84</v>
      </c>
      <c r="E59" s="207">
        <v>189</v>
      </c>
      <c r="F59" s="207">
        <v>189</v>
      </c>
      <c r="G59" s="203" t="s">
        <v>308</v>
      </c>
      <c r="H59" s="203" t="s">
        <v>102</v>
      </c>
      <c r="I59" s="280"/>
      <c r="J59" s="264" t="str">
        <f t="shared" si="1"/>
        <v>도국</v>
      </c>
      <c r="K59" s="267"/>
      <c r="L59" s="266"/>
      <c r="M59" s="266"/>
      <c r="N59" s="266"/>
      <c r="O59" s="266"/>
      <c r="P59" s="266"/>
      <c r="Q59" s="266"/>
      <c r="R59" s="268"/>
    </row>
    <row r="60" spans="1:18" ht="30" customHeight="1">
      <c r="A60" s="282">
        <v>55</v>
      </c>
      <c r="B60" s="202" t="s">
        <v>633</v>
      </c>
      <c r="C60" s="202"/>
      <c r="D60" s="202" t="s">
        <v>258</v>
      </c>
      <c r="E60" s="207">
        <v>139</v>
      </c>
      <c r="F60" s="207">
        <v>139</v>
      </c>
      <c r="G60" s="203" t="s">
        <v>994</v>
      </c>
      <c r="H60" s="203" t="s">
        <v>995</v>
      </c>
      <c r="I60" s="280"/>
      <c r="J60" s="264" t="str">
        <f t="shared" si="1"/>
        <v>잡공</v>
      </c>
      <c r="K60" s="267">
        <v>8810</v>
      </c>
      <c r="L60" s="266"/>
      <c r="M60" s="266"/>
      <c r="N60" s="266"/>
      <c r="O60" s="266"/>
      <c r="P60" s="266"/>
      <c r="Q60" s="266"/>
      <c r="R60" s="268"/>
    </row>
    <row r="61" spans="1:18" ht="30" customHeight="1">
      <c r="A61" s="282">
        <v>56</v>
      </c>
      <c r="B61" s="202" t="s">
        <v>634</v>
      </c>
      <c r="C61" s="202"/>
      <c r="D61" s="202" t="s">
        <v>258</v>
      </c>
      <c r="E61" s="207">
        <v>76</v>
      </c>
      <c r="F61" s="207">
        <v>76</v>
      </c>
      <c r="G61" s="203" t="s">
        <v>994</v>
      </c>
      <c r="H61" s="203" t="s">
        <v>995</v>
      </c>
      <c r="I61" s="280"/>
      <c r="J61" s="264" t="str">
        <f t="shared" si="1"/>
        <v>잡공</v>
      </c>
      <c r="K61" s="267">
        <v>8960</v>
      </c>
      <c r="L61" s="266"/>
      <c r="M61" s="266"/>
      <c r="N61" s="266"/>
      <c r="O61" s="266"/>
      <c r="P61" s="266"/>
      <c r="Q61" s="266"/>
      <c r="R61" s="268"/>
    </row>
    <row r="62" spans="1:18" ht="30" customHeight="1">
      <c r="A62" s="282">
        <v>57</v>
      </c>
      <c r="B62" s="202" t="s">
        <v>635</v>
      </c>
      <c r="C62" s="202"/>
      <c r="D62" s="202" t="s">
        <v>258</v>
      </c>
      <c r="E62" s="207">
        <v>29</v>
      </c>
      <c r="F62" s="207">
        <v>29</v>
      </c>
      <c r="G62" s="203" t="s">
        <v>994</v>
      </c>
      <c r="H62" s="203" t="s">
        <v>995</v>
      </c>
      <c r="I62" s="280"/>
      <c r="J62" s="264" t="str">
        <f t="shared" si="1"/>
        <v>잡공</v>
      </c>
      <c r="K62" s="267">
        <v>8960</v>
      </c>
      <c r="L62" s="266"/>
      <c r="M62" s="266"/>
      <c r="N62" s="266"/>
      <c r="O62" s="266"/>
      <c r="P62" s="266"/>
      <c r="Q62" s="266"/>
      <c r="R62" s="268"/>
    </row>
    <row r="63" spans="1:18" ht="30" customHeight="1">
      <c r="A63" s="282">
        <v>58</v>
      </c>
      <c r="B63" s="202" t="s">
        <v>636</v>
      </c>
      <c r="C63" s="202"/>
      <c r="D63" s="202" t="s">
        <v>258</v>
      </c>
      <c r="E63" s="207">
        <v>2315</v>
      </c>
      <c r="F63" s="207">
        <v>2315</v>
      </c>
      <c r="G63" s="203" t="s">
        <v>994</v>
      </c>
      <c r="H63" s="203" t="s">
        <v>995</v>
      </c>
      <c r="I63" s="280"/>
      <c r="J63" s="264" t="str">
        <f t="shared" si="1"/>
        <v>잡공</v>
      </c>
      <c r="K63" s="267">
        <v>8960</v>
      </c>
      <c r="L63" s="266"/>
      <c r="M63" s="266"/>
      <c r="N63" s="266"/>
      <c r="O63" s="266"/>
      <c r="P63" s="266"/>
      <c r="Q63" s="266"/>
      <c r="R63" s="268"/>
    </row>
    <row r="64" spans="1:18" ht="30" customHeight="1">
      <c r="A64" s="282">
        <v>59</v>
      </c>
      <c r="B64" s="202" t="s">
        <v>637</v>
      </c>
      <c r="C64" s="202"/>
      <c r="D64" s="202" t="s">
        <v>88</v>
      </c>
      <c r="E64" s="207">
        <v>6617</v>
      </c>
      <c r="F64" s="207">
        <v>6617</v>
      </c>
      <c r="G64" s="203" t="s">
        <v>994</v>
      </c>
      <c r="H64" s="203" t="s">
        <v>995</v>
      </c>
      <c r="I64" s="280"/>
      <c r="J64" s="264" t="str">
        <f t="shared" si="1"/>
        <v>임공</v>
      </c>
      <c r="K64" s="267">
        <v>6840</v>
      </c>
      <c r="L64" s="266"/>
      <c r="M64" s="266"/>
      <c r="N64" s="266"/>
      <c r="O64" s="266"/>
      <c r="P64" s="266"/>
      <c r="Q64" s="266"/>
      <c r="R64" s="268"/>
    </row>
    <row r="65" spans="1:18" ht="30" customHeight="1">
      <c r="A65" s="282">
        <v>60</v>
      </c>
      <c r="B65" s="202" t="s">
        <v>638</v>
      </c>
      <c r="C65" s="202"/>
      <c r="D65" s="202" t="s">
        <v>88</v>
      </c>
      <c r="E65" s="207">
        <v>18</v>
      </c>
      <c r="F65" s="207">
        <v>18</v>
      </c>
      <c r="G65" s="203" t="s">
        <v>994</v>
      </c>
      <c r="H65" s="203" t="s">
        <v>995</v>
      </c>
      <c r="I65" s="280"/>
      <c r="J65" s="264" t="str">
        <f t="shared" si="1"/>
        <v>임공</v>
      </c>
      <c r="K65" s="267">
        <v>5100</v>
      </c>
      <c r="L65" s="266"/>
      <c r="M65" s="266"/>
      <c r="N65" s="266"/>
      <c r="O65" s="266"/>
      <c r="P65" s="266"/>
      <c r="Q65" s="266"/>
      <c r="R65" s="268"/>
    </row>
    <row r="66" spans="1:18" ht="30" customHeight="1">
      <c r="A66" s="282">
        <v>61</v>
      </c>
      <c r="B66" s="202" t="s">
        <v>639</v>
      </c>
      <c r="C66" s="202"/>
      <c r="D66" s="202" t="s">
        <v>88</v>
      </c>
      <c r="E66" s="207">
        <v>601</v>
      </c>
      <c r="F66" s="207">
        <v>601</v>
      </c>
      <c r="G66" s="203" t="s">
        <v>994</v>
      </c>
      <c r="H66" s="203" t="s">
        <v>995</v>
      </c>
      <c r="I66" s="280"/>
      <c r="J66" s="264" t="str">
        <f t="shared" si="1"/>
        <v>임공</v>
      </c>
      <c r="K66" s="267">
        <v>6970</v>
      </c>
      <c r="L66" s="266"/>
      <c r="M66" s="266"/>
      <c r="N66" s="266"/>
      <c r="O66" s="266"/>
      <c r="P66" s="266"/>
      <c r="Q66" s="266"/>
      <c r="R66" s="268"/>
    </row>
    <row r="67" spans="1:18" ht="30" customHeight="1">
      <c r="A67" s="282">
        <v>62</v>
      </c>
      <c r="B67" s="202" t="s">
        <v>640</v>
      </c>
      <c r="C67" s="202"/>
      <c r="D67" s="202" t="s">
        <v>88</v>
      </c>
      <c r="E67" s="207">
        <v>3228</v>
      </c>
      <c r="F67" s="207">
        <v>3228</v>
      </c>
      <c r="G67" s="203" t="s">
        <v>994</v>
      </c>
      <c r="H67" s="203" t="s">
        <v>995</v>
      </c>
      <c r="I67" s="280"/>
      <c r="J67" s="264" t="str">
        <f t="shared" si="1"/>
        <v>임공</v>
      </c>
      <c r="K67" s="267">
        <v>6970</v>
      </c>
      <c r="L67" s="266"/>
      <c r="M67" s="266"/>
      <c r="N67" s="266"/>
      <c r="O67" s="266"/>
      <c r="P67" s="266"/>
      <c r="Q67" s="266"/>
      <c r="R67" s="268"/>
    </row>
    <row r="68" spans="1:18" ht="30" customHeight="1">
      <c r="A68" s="282">
        <v>63</v>
      </c>
      <c r="B68" s="202" t="s">
        <v>641</v>
      </c>
      <c r="C68" s="202"/>
      <c r="D68" s="202" t="s">
        <v>88</v>
      </c>
      <c r="E68" s="207">
        <v>6580</v>
      </c>
      <c r="F68" s="207">
        <v>6580</v>
      </c>
      <c r="G68" s="203" t="s">
        <v>994</v>
      </c>
      <c r="H68" s="203" t="s">
        <v>995</v>
      </c>
      <c r="I68" s="280"/>
      <c r="J68" s="264" t="str">
        <f t="shared" si="1"/>
        <v>임공</v>
      </c>
      <c r="K68" s="267">
        <v>9590</v>
      </c>
      <c r="L68" s="266"/>
      <c r="M68" s="266"/>
      <c r="N68" s="266"/>
      <c r="O68" s="266"/>
      <c r="P68" s="266"/>
      <c r="Q68" s="266"/>
      <c r="R68" s="268"/>
    </row>
    <row r="69" spans="1:18" ht="30" customHeight="1">
      <c r="A69" s="282">
        <v>64</v>
      </c>
      <c r="B69" s="202" t="s">
        <v>642</v>
      </c>
      <c r="C69" s="202"/>
      <c r="D69" s="202" t="s">
        <v>89</v>
      </c>
      <c r="E69" s="207">
        <v>65</v>
      </c>
      <c r="F69" s="207">
        <v>65</v>
      </c>
      <c r="G69" s="203" t="s">
        <v>994</v>
      </c>
      <c r="H69" s="203" t="s">
        <v>995</v>
      </c>
      <c r="I69" s="280"/>
      <c r="J69" s="264" t="str">
        <f t="shared" si="1"/>
        <v>답공</v>
      </c>
      <c r="K69" s="267">
        <v>9570</v>
      </c>
      <c r="L69" s="266"/>
      <c r="M69" s="266"/>
      <c r="N69" s="266"/>
      <c r="O69" s="266"/>
      <c r="P69" s="266"/>
      <c r="Q69" s="266"/>
      <c r="R69" s="268"/>
    </row>
    <row r="70" spans="1:18" ht="30" customHeight="1">
      <c r="A70" s="282">
        <v>65</v>
      </c>
      <c r="B70" s="202" t="s">
        <v>643</v>
      </c>
      <c r="C70" s="202"/>
      <c r="D70" s="202" t="s">
        <v>84</v>
      </c>
      <c r="E70" s="207">
        <v>71</v>
      </c>
      <c r="F70" s="207">
        <v>71</v>
      </c>
      <c r="G70" s="203" t="s">
        <v>994</v>
      </c>
      <c r="H70" s="203" t="s">
        <v>995</v>
      </c>
      <c r="I70" s="280"/>
      <c r="J70" s="264" t="str">
        <f t="shared" ref="J70:J101" si="2">CONCATENATE(D70,G70)</f>
        <v>도공</v>
      </c>
      <c r="K70" s="267">
        <v>2470</v>
      </c>
      <c r="L70" s="266"/>
      <c r="M70" s="266"/>
      <c r="N70" s="266"/>
      <c r="O70" s="266"/>
      <c r="P70" s="266"/>
      <c r="Q70" s="266"/>
      <c r="R70" s="268"/>
    </row>
    <row r="71" spans="1:18" ht="30" customHeight="1">
      <c r="A71" s="282">
        <v>66</v>
      </c>
      <c r="B71" s="202" t="s">
        <v>644</v>
      </c>
      <c r="C71" s="202"/>
      <c r="D71" s="202" t="s">
        <v>84</v>
      </c>
      <c r="E71" s="207">
        <v>57</v>
      </c>
      <c r="F71" s="207">
        <v>57</v>
      </c>
      <c r="G71" s="203" t="s">
        <v>994</v>
      </c>
      <c r="H71" s="203" t="s">
        <v>995</v>
      </c>
      <c r="I71" s="280"/>
      <c r="J71" s="264" t="str">
        <f t="shared" si="2"/>
        <v>도공</v>
      </c>
      <c r="K71" s="267">
        <v>2470</v>
      </c>
      <c r="L71" s="266"/>
      <c r="M71" s="266"/>
      <c r="N71" s="266"/>
      <c r="O71" s="266"/>
      <c r="P71" s="266"/>
      <c r="Q71" s="266"/>
      <c r="R71" s="268"/>
    </row>
    <row r="72" spans="1:18" ht="30" customHeight="1">
      <c r="A72" s="282">
        <v>67</v>
      </c>
      <c r="B72" s="202" t="s">
        <v>645</v>
      </c>
      <c r="C72" s="202"/>
      <c r="D72" s="202" t="s">
        <v>135</v>
      </c>
      <c r="E72" s="207">
        <v>994</v>
      </c>
      <c r="F72" s="207">
        <v>994</v>
      </c>
      <c r="G72" s="203" t="s">
        <v>994</v>
      </c>
      <c r="H72" s="203" t="s">
        <v>995</v>
      </c>
      <c r="I72" s="280"/>
      <c r="J72" s="264" t="str">
        <f t="shared" si="2"/>
        <v>임공</v>
      </c>
      <c r="K72" s="267">
        <v>9640</v>
      </c>
      <c r="L72" s="266"/>
      <c r="M72" s="266"/>
      <c r="N72" s="266"/>
      <c r="O72" s="266"/>
      <c r="P72" s="266"/>
      <c r="Q72" s="266"/>
      <c r="R72" s="268"/>
    </row>
    <row r="73" spans="1:18" ht="30" customHeight="1">
      <c r="A73" s="282">
        <v>68</v>
      </c>
      <c r="B73" s="202" t="s">
        <v>646</v>
      </c>
      <c r="C73" s="202"/>
      <c r="D73" s="202" t="s">
        <v>89</v>
      </c>
      <c r="E73" s="207">
        <v>78</v>
      </c>
      <c r="F73" s="207">
        <v>78</v>
      </c>
      <c r="G73" s="203" t="s">
        <v>994</v>
      </c>
      <c r="H73" s="203" t="s">
        <v>995</v>
      </c>
      <c r="I73" s="280"/>
      <c r="J73" s="264" t="str">
        <f t="shared" si="2"/>
        <v>답공</v>
      </c>
      <c r="K73" s="267">
        <v>2730</v>
      </c>
      <c r="L73" s="266"/>
      <c r="M73" s="266"/>
      <c r="N73" s="266"/>
      <c r="O73" s="266"/>
      <c r="P73" s="266"/>
      <c r="Q73" s="266"/>
      <c r="R73" s="268"/>
    </row>
    <row r="74" spans="1:18" ht="30" customHeight="1">
      <c r="A74" s="282">
        <v>69</v>
      </c>
      <c r="B74" s="202" t="s">
        <v>647</v>
      </c>
      <c r="C74" s="202"/>
      <c r="D74" s="202" t="s">
        <v>84</v>
      </c>
      <c r="E74" s="207">
        <v>479</v>
      </c>
      <c r="F74" s="207">
        <v>63</v>
      </c>
      <c r="G74" s="203" t="s">
        <v>97</v>
      </c>
      <c r="H74" s="203" t="s">
        <v>7</v>
      </c>
      <c r="I74" s="280"/>
      <c r="J74" s="264" t="str">
        <f t="shared" si="2"/>
        <v>도공</v>
      </c>
      <c r="K74" s="267"/>
      <c r="L74" s="266"/>
      <c r="M74" s="266"/>
      <c r="N74" s="266"/>
      <c r="O74" s="266"/>
      <c r="P74" s="266"/>
      <c r="Q74" s="266"/>
      <c r="R74" s="268"/>
    </row>
    <row r="75" spans="1:18" ht="30" customHeight="1">
      <c r="A75" s="282">
        <v>70</v>
      </c>
      <c r="B75" s="202" t="s">
        <v>648</v>
      </c>
      <c r="C75" s="202"/>
      <c r="D75" s="202" t="s">
        <v>84</v>
      </c>
      <c r="E75" s="207">
        <v>13</v>
      </c>
      <c r="F75" s="207">
        <v>3</v>
      </c>
      <c r="G75" s="203" t="s">
        <v>97</v>
      </c>
      <c r="H75" s="203" t="s">
        <v>7</v>
      </c>
      <c r="I75" s="280"/>
      <c r="J75" s="264" t="str">
        <f t="shared" si="2"/>
        <v>도공</v>
      </c>
      <c r="K75" s="267"/>
      <c r="L75" s="266"/>
      <c r="M75" s="266"/>
      <c r="N75" s="266"/>
      <c r="O75" s="266"/>
      <c r="P75" s="266"/>
      <c r="Q75" s="266"/>
      <c r="R75" s="268"/>
    </row>
    <row r="76" spans="1:18" ht="30" customHeight="1">
      <c r="A76" s="282">
        <v>71</v>
      </c>
      <c r="B76" s="202" t="s">
        <v>86</v>
      </c>
      <c r="C76" s="202"/>
      <c r="D76" s="202" t="s">
        <v>84</v>
      </c>
      <c r="E76" s="207">
        <v>112</v>
      </c>
      <c r="F76" s="207">
        <v>3</v>
      </c>
      <c r="G76" s="203" t="s">
        <v>97</v>
      </c>
      <c r="H76" s="203" t="s">
        <v>7</v>
      </c>
      <c r="I76" s="280"/>
      <c r="J76" s="264" t="str">
        <f t="shared" si="2"/>
        <v>도공</v>
      </c>
      <c r="K76" s="267"/>
      <c r="L76" s="266"/>
      <c r="M76" s="266"/>
      <c r="N76" s="266"/>
      <c r="O76" s="266"/>
      <c r="P76" s="266"/>
      <c r="Q76" s="266"/>
      <c r="R76" s="268"/>
    </row>
    <row r="77" spans="1:18" ht="30" customHeight="1">
      <c r="A77" s="282">
        <v>72</v>
      </c>
      <c r="B77" s="202" t="s">
        <v>650</v>
      </c>
      <c r="C77" s="202"/>
      <c r="D77" s="202" t="s">
        <v>84</v>
      </c>
      <c r="E77" s="207">
        <v>15</v>
      </c>
      <c r="F77" s="207">
        <v>15</v>
      </c>
      <c r="G77" s="203" t="s">
        <v>97</v>
      </c>
      <c r="H77" s="203" t="s">
        <v>7</v>
      </c>
      <c r="I77" s="280"/>
      <c r="J77" s="264" t="str">
        <f t="shared" si="2"/>
        <v>도공</v>
      </c>
      <c r="K77" s="267"/>
      <c r="L77" s="266"/>
      <c r="M77" s="266"/>
      <c r="N77" s="266"/>
      <c r="O77" s="266"/>
      <c r="P77" s="266"/>
      <c r="Q77" s="266"/>
      <c r="R77" s="268"/>
    </row>
    <row r="78" spans="1:18" ht="30" customHeight="1">
      <c r="A78" s="282">
        <v>73</v>
      </c>
      <c r="B78" s="202" t="s">
        <v>651</v>
      </c>
      <c r="C78" s="202"/>
      <c r="D78" s="202" t="s">
        <v>135</v>
      </c>
      <c r="E78" s="207">
        <v>99</v>
      </c>
      <c r="F78" s="207">
        <v>99</v>
      </c>
      <c r="G78" s="203" t="s">
        <v>994</v>
      </c>
      <c r="H78" s="203" t="s">
        <v>995</v>
      </c>
      <c r="I78" s="280"/>
      <c r="J78" s="264" t="str">
        <f t="shared" si="2"/>
        <v>임공</v>
      </c>
      <c r="K78" s="267">
        <v>10400</v>
      </c>
      <c r="L78" s="266"/>
      <c r="M78" s="266"/>
      <c r="N78" s="266"/>
      <c r="O78" s="266"/>
      <c r="P78" s="266"/>
      <c r="Q78" s="266"/>
      <c r="R78" s="268"/>
    </row>
    <row r="79" spans="1:18" ht="30" customHeight="1">
      <c r="A79" s="282">
        <v>74</v>
      </c>
      <c r="B79" s="202" t="s">
        <v>652</v>
      </c>
      <c r="C79" s="202"/>
      <c r="D79" s="202" t="s">
        <v>307</v>
      </c>
      <c r="E79" s="207">
        <v>213</v>
      </c>
      <c r="F79" s="207">
        <v>213</v>
      </c>
      <c r="G79" s="203" t="s">
        <v>97</v>
      </c>
      <c r="H79" s="203" t="s">
        <v>7</v>
      </c>
      <c r="I79" s="280"/>
      <c r="J79" s="264" t="str">
        <f t="shared" si="2"/>
        <v>전공</v>
      </c>
      <c r="K79" s="267">
        <v>10400</v>
      </c>
      <c r="L79" s="266"/>
      <c r="M79" s="266"/>
      <c r="N79" s="266"/>
      <c r="O79" s="266"/>
      <c r="P79" s="266"/>
      <c r="Q79" s="266"/>
      <c r="R79" s="268"/>
    </row>
    <row r="80" spans="1:18" ht="30" customHeight="1">
      <c r="A80" s="282">
        <v>75</v>
      </c>
      <c r="B80" s="202" t="s">
        <v>92</v>
      </c>
      <c r="C80" s="202"/>
      <c r="D80" s="202" t="s">
        <v>307</v>
      </c>
      <c r="E80" s="207">
        <v>223</v>
      </c>
      <c r="F80" s="207">
        <v>223</v>
      </c>
      <c r="G80" s="203" t="s">
        <v>97</v>
      </c>
      <c r="H80" s="203" t="s">
        <v>7</v>
      </c>
      <c r="I80" s="280"/>
      <c r="J80" s="264" t="str">
        <f t="shared" si="2"/>
        <v>전공</v>
      </c>
      <c r="K80" s="267">
        <v>10400</v>
      </c>
      <c r="L80" s="266"/>
      <c r="M80" s="266"/>
      <c r="N80" s="266"/>
      <c r="O80" s="266"/>
      <c r="P80" s="266"/>
      <c r="Q80" s="266"/>
      <c r="R80" s="268"/>
    </row>
    <row r="81" spans="1:18" ht="30" customHeight="1">
      <c r="A81" s="282">
        <v>76</v>
      </c>
      <c r="B81" s="202" t="s">
        <v>653</v>
      </c>
      <c r="C81" s="202"/>
      <c r="D81" s="202" t="s">
        <v>84</v>
      </c>
      <c r="E81" s="285">
        <v>368</v>
      </c>
      <c r="F81" s="279">
        <v>368</v>
      </c>
      <c r="G81" s="203" t="s">
        <v>97</v>
      </c>
      <c r="H81" s="203" t="s">
        <v>7</v>
      </c>
      <c r="I81" s="280"/>
      <c r="J81" s="264" t="str">
        <f t="shared" si="2"/>
        <v>도공</v>
      </c>
      <c r="K81" s="267"/>
      <c r="L81" s="266"/>
      <c r="M81" s="266"/>
      <c r="N81" s="266"/>
      <c r="O81" s="266"/>
      <c r="P81" s="266"/>
      <c r="Q81" s="266"/>
      <c r="R81" s="268"/>
    </row>
    <row r="82" spans="1:18" ht="30" customHeight="1">
      <c r="A82" s="282">
        <v>77</v>
      </c>
      <c r="B82" s="202" t="s">
        <v>654</v>
      </c>
      <c r="C82" s="202"/>
      <c r="D82" s="202" t="s">
        <v>307</v>
      </c>
      <c r="E82" s="285">
        <v>26</v>
      </c>
      <c r="F82" s="279">
        <v>26</v>
      </c>
      <c r="G82" s="203" t="s">
        <v>97</v>
      </c>
      <c r="H82" s="203" t="s">
        <v>7</v>
      </c>
      <c r="I82" s="280"/>
      <c r="J82" s="264" t="str">
        <f t="shared" si="2"/>
        <v>전공</v>
      </c>
      <c r="K82" s="267">
        <v>10400</v>
      </c>
      <c r="L82" s="266"/>
      <c r="M82" s="266"/>
      <c r="N82" s="266"/>
      <c r="O82" s="266"/>
      <c r="P82" s="266"/>
      <c r="Q82" s="266"/>
      <c r="R82" s="268"/>
    </row>
    <row r="83" spans="1:18" ht="30" customHeight="1">
      <c r="A83" s="282">
        <v>78</v>
      </c>
      <c r="B83" s="202" t="s">
        <v>655</v>
      </c>
      <c r="C83" s="202"/>
      <c r="D83" s="202" t="s">
        <v>84</v>
      </c>
      <c r="E83" s="207">
        <v>351</v>
      </c>
      <c r="F83" s="207">
        <v>351</v>
      </c>
      <c r="G83" s="203" t="s">
        <v>97</v>
      </c>
      <c r="H83" s="203" t="s">
        <v>7</v>
      </c>
      <c r="I83" s="280"/>
      <c r="J83" s="264" t="str">
        <f t="shared" si="2"/>
        <v>도공</v>
      </c>
      <c r="K83" s="267"/>
      <c r="L83" s="266"/>
      <c r="M83" s="266"/>
      <c r="N83" s="266"/>
      <c r="O83" s="266"/>
      <c r="P83" s="266"/>
      <c r="Q83" s="266"/>
      <c r="R83" s="268"/>
    </row>
    <row r="84" spans="1:18" ht="30" customHeight="1">
      <c r="A84" s="282">
        <v>79</v>
      </c>
      <c r="B84" s="202" t="s">
        <v>656</v>
      </c>
      <c r="C84" s="202"/>
      <c r="D84" s="202" t="s">
        <v>84</v>
      </c>
      <c r="E84" s="207">
        <v>400</v>
      </c>
      <c r="F84" s="207">
        <v>231</v>
      </c>
      <c r="G84" s="203" t="s">
        <v>308</v>
      </c>
      <c r="H84" s="203" t="s">
        <v>102</v>
      </c>
      <c r="I84" s="280"/>
      <c r="J84" s="264" t="str">
        <f t="shared" si="2"/>
        <v>도국</v>
      </c>
      <c r="K84" s="267"/>
      <c r="L84" s="266"/>
      <c r="M84" s="266"/>
      <c r="N84" s="266"/>
      <c r="O84" s="266"/>
      <c r="P84" s="266"/>
      <c r="Q84" s="266"/>
      <c r="R84" s="268"/>
    </row>
    <row r="85" spans="1:18" ht="30" customHeight="1">
      <c r="A85" s="282">
        <v>80</v>
      </c>
      <c r="B85" s="202" t="s">
        <v>657</v>
      </c>
      <c r="C85" s="202"/>
      <c r="D85" s="202" t="s">
        <v>90</v>
      </c>
      <c r="E85" s="207">
        <v>158</v>
      </c>
      <c r="F85" s="207">
        <v>158</v>
      </c>
      <c r="G85" s="203" t="s">
        <v>994</v>
      </c>
      <c r="H85" s="203" t="s">
        <v>995</v>
      </c>
      <c r="I85" s="281"/>
      <c r="J85" s="264" t="str">
        <f t="shared" si="2"/>
        <v>대공</v>
      </c>
      <c r="K85" s="267">
        <v>13600</v>
      </c>
      <c r="L85" s="266"/>
      <c r="M85" s="266"/>
      <c r="N85" s="266"/>
      <c r="O85" s="266"/>
      <c r="P85" s="266"/>
      <c r="Q85" s="266"/>
      <c r="R85" s="268"/>
    </row>
    <row r="86" spans="1:18" ht="30" customHeight="1">
      <c r="A86" s="282">
        <v>81</v>
      </c>
      <c r="B86" s="202" t="s">
        <v>658</v>
      </c>
      <c r="C86" s="202"/>
      <c r="D86" s="202" t="s">
        <v>84</v>
      </c>
      <c r="E86" s="207">
        <v>36</v>
      </c>
      <c r="F86" s="207">
        <v>36</v>
      </c>
      <c r="G86" s="203" t="s">
        <v>308</v>
      </c>
      <c r="H86" s="203" t="s">
        <v>102</v>
      </c>
      <c r="I86" s="284"/>
      <c r="J86" s="264" t="str">
        <f t="shared" si="2"/>
        <v>도국</v>
      </c>
      <c r="K86" s="267"/>
      <c r="L86" s="266"/>
      <c r="M86" s="266"/>
      <c r="N86" s="266"/>
      <c r="O86" s="266"/>
      <c r="P86" s="266"/>
      <c r="Q86" s="266"/>
      <c r="R86" s="268"/>
    </row>
    <row r="87" spans="1:18" ht="30" customHeight="1">
      <c r="A87" s="282">
        <v>82</v>
      </c>
      <c r="B87" s="202" t="s">
        <v>659</v>
      </c>
      <c r="C87" s="202"/>
      <c r="D87" s="202" t="s">
        <v>307</v>
      </c>
      <c r="E87" s="207">
        <v>682</v>
      </c>
      <c r="F87" s="207">
        <v>225</v>
      </c>
      <c r="G87" s="203" t="s">
        <v>994</v>
      </c>
      <c r="H87" s="203" t="s">
        <v>995</v>
      </c>
      <c r="I87" s="280"/>
      <c r="J87" s="264" t="str">
        <f t="shared" si="2"/>
        <v>전공</v>
      </c>
      <c r="K87" s="267">
        <v>67900</v>
      </c>
      <c r="L87" s="266"/>
      <c r="M87" s="266"/>
      <c r="N87" s="266"/>
      <c r="O87" s="266"/>
      <c r="P87" s="266"/>
      <c r="Q87" s="266"/>
      <c r="R87" s="268"/>
    </row>
    <row r="88" spans="1:18" ht="30" customHeight="1">
      <c r="A88" s="282">
        <v>83</v>
      </c>
      <c r="B88" s="202" t="s">
        <v>660</v>
      </c>
      <c r="C88" s="202"/>
      <c r="D88" s="202" t="s">
        <v>84</v>
      </c>
      <c r="E88" s="207">
        <v>33</v>
      </c>
      <c r="F88" s="207">
        <v>33</v>
      </c>
      <c r="G88" s="203" t="s">
        <v>308</v>
      </c>
      <c r="H88" s="203" t="s">
        <v>102</v>
      </c>
      <c r="I88" s="280"/>
      <c r="J88" s="264" t="str">
        <f t="shared" si="2"/>
        <v>도국</v>
      </c>
      <c r="K88" s="267"/>
      <c r="L88" s="266"/>
      <c r="M88" s="266"/>
      <c r="N88" s="266"/>
      <c r="O88" s="266"/>
      <c r="P88" s="266"/>
      <c r="Q88" s="266"/>
      <c r="R88" s="268"/>
    </row>
    <row r="89" spans="1:18" ht="30" customHeight="1">
      <c r="A89" s="282">
        <v>84</v>
      </c>
      <c r="B89" s="202" t="s">
        <v>661</v>
      </c>
      <c r="C89" s="202"/>
      <c r="D89" s="202" t="s">
        <v>307</v>
      </c>
      <c r="E89" s="207">
        <v>17</v>
      </c>
      <c r="F89" s="207">
        <v>17</v>
      </c>
      <c r="G89" s="203" t="s">
        <v>994</v>
      </c>
      <c r="H89" s="203" t="s">
        <v>995</v>
      </c>
      <c r="I89" s="280"/>
      <c r="J89" s="264" t="str">
        <f t="shared" si="2"/>
        <v>전공</v>
      </c>
      <c r="K89" s="267">
        <v>67900</v>
      </c>
      <c r="L89" s="266"/>
      <c r="M89" s="266"/>
      <c r="N89" s="266"/>
      <c r="O89" s="266"/>
      <c r="P89" s="266"/>
      <c r="Q89" s="266"/>
      <c r="R89" s="268"/>
    </row>
    <row r="90" spans="1:18" ht="30" customHeight="1">
      <c r="A90" s="282">
        <v>85</v>
      </c>
      <c r="B90" s="202" t="s">
        <v>662</v>
      </c>
      <c r="C90" s="202"/>
      <c r="D90" s="202" t="s">
        <v>258</v>
      </c>
      <c r="E90" s="207">
        <v>292</v>
      </c>
      <c r="F90" s="207">
        <v>292</v>
      </c>
      <c r="G90" s="203" t="s">
        <v>994</v>
      </c>
      <c r="H90" s="203" t="s">
        <v>995</v>
      </c>
      <c r="I90" s="280"/>
      <c r="J90" s="264" t="str">
        <f t="shared" si="2"/>
        <v>잡공</v>
      </c>
      <c r="K90" s="267">
        <v>8960</v>
      </c>
      <c r="L90" s="266"/>
      <c r="M90" s="266"/>
      <c r="N90" s="266"/>
      <c r="O90" s="266"/>
      <c r="P90" s="266"/>
      <c r="Q90" s="266"/>
      <c r="R90" s="268"/>
    </row>
    <row r="91" spans="1:18" ht="30" customHeight="1">
      <c r="A91" s="282">
        <v>86</v>
      </c>
      <c r="B91" s="202" t="s">
        <v>663</v>
      </c>
      <c r="C91" s="202"/>
      <c r="D91" s="202" t="s">
        <v>258</v>
      </c>
      <c r="E91" s="207">
        <v>23</v>
      </c>
      <c r="F91" s="207">
        <v>23</v>
      </c>
      <c r="G91" s="203" t="s">
        <v>664</v>
      </c>
      <c r="H91" s="203" t="s">
        <v>665</v>
      </c>
      <c r="I91" s="280"/>
      <c r="J91" s="264" t="str">
        <f t="shared" si="2"/>
        <v>잡박대우</v>
      </c>
      <c r="K91" s="267">
        <v>8960</v>
      </c>
      <c r="L91" s="266"/>
      <c r="M91" s="266"/>
      <c r="N91" s="266"/>
      <c r="O91" s="266"/>
      <c r="P91" s="266"/>
      <c r="Q91" s="266"/>
      <c r="R91" s="268"/>
    </row>
    <row r="92" spans="1:18" ht="30" customHeight="1">
      <c r="A92" s="282">
        <v>87</v>
      </c>
      <c r="B92" s="202" t="s">
        <v>666</v>
      </c>
      <c r="C92" s="202"/>
      <c r="D92" s="202" t="s">
        <v>307</v>
      </c>
      <c r="E92" s="207">
        <v>387</v>
      </c>
      <c r="F92" s="207">
        <v>387</v>
      </c>
      <c r="G92" s="203" t="s">
        <v>994</v>
      </c>
      <c r="H92" s="203" t="s">
        <v>995</v>
      </c>
      <c r="I92" s="280"/>
      <c r="J92" s="264" t="str">
        <f t="shared" si="2"/>
        <v>전공</v>
      </c>
      <c r="K92" s="267">
        <v>7900</v>
      </c>
      <c r="L92" s="266"/>
      <c r="M92" s="266"/>
      <c r="N92" s="266"/>
      <c r="O92" s="266"/>
      <c r="P92" s="266"/>
      <c r="Q92" s="266"/>
      <c r="R92" s="268"/>
    </row>
    <row r="93" spans="1:18" ht="30" customHeight="1">
      <c r="A93" s="282">
        <v>88</v>
      </c>
      <c r="B93" s="202" t="s">
        <v>667</v>
      </c>
      <c r="C93" s="202"/>
      <c r="D93" s="202" t="s">
        <v>307</v>
      </c>
      <c r="E93" s="207">
        <v>33</v>
      </c>
      <c r="F93" s="207">
        <v>33</v>
      </c>
      <c r="G93" s="203" t="s">
        <v>994</v>
      </c>
      <c r="H93" s="203" t="s">
        <v>995</v>
      </c>
      <c r="I93" s="280"/>
      <c r="J93" s="264" t="str">
        <f t="shared" si="2"/>
        <v>전공</v>
      </c>
      <c r="K93" s="267">
        <v>7500</v>
      </c>
      <c r="L93" s="266"/>
      <c r="M93" s="266"/>
      <c r="N93" s="266"/>
      <c r="O93" s="266"/>
      <c r="P93" s="266"/>
      <c r="Q93" s="266"/>
      <c r="R93" s="268"/>
    </row>
    <row r="94" spans="1:18" ht="30" customHeight="1">
      <c r="A94" s="282">
        <v>89</v>
      </c>
      <c r="B94" s="202" t="s">
        <v>668</v>
      </c>
      <c r="C94" s="202"/>
      <c r="D94" s="202" t="s">
        <v>307</v>
      </c>
      <c r="E94" s="207">
        <v>330</v>
      </c>
      <c r="F94" s="207">
        <v>330</v>
      </c>
      <c r="G94" s="203" t="s">
        <v>994</v>
      </c>
      <c r="H94" s="203" t="s">
        <v>995</v>
      </c>
      <c r="I94" s="280"/>
      <c r="J94" s="264" t="str">
        <f t="shared" si="2"/>
        <v>전공</v>
      </c>
      <c r="K94" s="267">
        <v>7650</v>
      </c>
      <c r="L94" s="266"/>
      <c r="M94" s="266"/>
      <c r="N94" s="266"/>
      <c r="O94" s="266"/>
      <c r="P94" s="266"/>
      <c r="Q94" s="266"/>
      <c r="R94" s="268"/>
    </row>
    <row r="95" spans="1:18" ht="30" customHeight="1">
      <c r="A95" s="282">
        <v>90</v>
      </c>
      <c r="B95" s="202" t="s">
        <v>669</v>
      </c>
      <c r="C95" s="202"/>
      <c r="D95" s="202" t="s">
        <v>307</v>
      </c>
      <c r="E95" s="207">
        <v>15</v>
      </c>
      <c r="F95" s="207">
        <v>15</v>
      </c>
      <c r="G95" s="203" t="s">
        <v>994</v>
      </c>
      <c r="H95" s="203" t="s">
        <v>995</v>
      </c>
      <c r="I95" s="280"/>
      <c r="J95" s="264" t="str">
        <f t="shared" si="2"/>
        <v>전공</v>
      </c>
      <c r="K95" s="267">
        <v>7500</v>
      </c>
      <c r="L95" s="266"/>
      <c r="M95" s="266"/>
      <c r="N95" s="266"/>
      <c r="O95" s="266"/>
      <c r="P95" s="266"/>
      <c r="Q95" s="266"/>
      <c r="R95" s="268"/>
    </row>
    <row r="96" spans="1:18" ht="30" customHeight="1">
      <c r="A96" s="282">
        <v>91</v>
      </c>
      <c r="B96" s="202" t="s">
        <v>670</v>
      </c>
      <c r="C96" s="202"/>
      <c r="D96" s="202" t="s">
        <v>307</v>
      </c>
      <c r="E96" s="207">
        <v>140</v>
      </c>
      <c r="F96" s="207">
        <v>140</v>
      </c>
      <c r="G96" s="203" t="s">
        <v>994</v>
      </c>
      <c r="H96" s="203" t="s">
        <v>995</v>
      </c>
      <c r="I96" s="280"/>
      <c r="J96" s="264" t="str">
        <f t="shared" si="2"/>
        <v>전공</v>
      </c>
      <c r="K96" s="267">
        <v>7500</v>
      </c>
      <c r="L96" s="266"/>
      <c r="M96" s="266"/>
      <c r="N96" s="266"/>
      <c r="O96" s="266"/>
      <c r="P96" s="266"/>
      <c r="Q96" s="266"/>
      <c r="R96" s="268"/>
    </row>
    <row r="97" spans="1:18" ht="30" customHeight="1">
      <c r="A97" s="282">
        <v>92</v>
      </c>
      <c r="B97" s="202" t="s">
        <v>671</v>
      </c>
      <c r="C97" s="202"/>
      <c r="D97" s="202" t="s">
        <v>135</v>
      </c>
      <c r="E97" s="207">
        <v>43</v>
      </c>
      <c r="F97" s="207">
        <v>43</v>
      </c>
      <c r="G97" s="203" t="s">
        <v>994</v>
      </c>
      <c r="H97" s="203" t="s">
        <v>995</v>
      </c>
      <c r="I97" s="280"/>
      <c r="J97" s="264" t="str">
        <f t="shared" si="2"/>
        <v>임공</v>
      </c>
      <c r="K97" s="267">
        <v>7930</v>
      </c>
      <c r="L97" s="266"/>
      <c r="M97" s="266"/>
      <c r="N97" s="266"/>
      <c r="O97" s="266"/>
      <c r="P97" s="266"/>
      <c r="Q97" s="266"/>
      <c r="R97" s="268"/>
    </row>
    <row r="98" spans="1:18" ht="30" customHeight="1">
      <c r="A98" s="282">
        <v>93</v>
      </c>
      <c r="B98" s="202" t="s">
        <v>672</v>
      </c>
      <c r="C98" s="202"/>
      <c r="D98" s="202" t="s">
        <v>84</v>
      </c>
      <c r="E98" s="207">
        <v>110</v>
      </c>
      <c r="F98" s="207">
        <v>110</v>
      </c>
      <c r="G98" s="203" t="s">
        <v>994</v>
      </c>
      <c r="H98" s="203" t="s">
        <v>995</v>
      </c>
      <c r="I98" s="280"/>
      <c r="J98" s="264" t="str">
        <f t="shared" si="2"/>
        <v>도공</v>
      </c>
      <c r="K98" s="267">
        <v>2470</v>
      </c>
      <c r="L98" s="266"/>
      <c r="M98" s="266"/>
      <c r="N98" s="266"/>
      <c r="O98" s="266"/>
      <c r="P98" s="266"/>
      <c r="Q98" s="266"/>
      <c r="R98" s="268"/>
    </row>
    <row r="99" spans="1:18" ht="30" customHeight="1">
      <c r="A99" s="282">
        <v>94</v>
      </c>
      <c r="B99" s="202" t="s">
        <v>673</v>
      </c>
      <c r="C99" s="202"/>
      <c r="D99" s="202" t="s">
        <v>135</v>
      </c>
      <c r="E99" s="207">
        <v>28</v>
      </c>
      <c r="F99" s="207">
        <v>28</v>
      </c>
      <c r="G99" s="203" t="s">
        <v>994</v>
      </c>
      <c r="H99" s="203" t="s">
        <v>995</v>
      </c>
      <c r="I99" s="280"/>
      <c r="J99" s="264" t="str">
        <f t="shared" si="2"/>
        <v>임공</v>
      </c>
      <c r="K99" s="267">
        <v>7930</v>
      </c>
      <c r="L99" s="266"/>
      <c r="M99" s="266"/>
      <c r="N99" s="266"/>
      <c r="O99" s="266"/>
      <c r="P99" s="266"/>
      <c r="Q99" s="266"/>
      <c r="R99" s="268"/>
    </row>
    <row r="100" spans="1:18" ht="30" customHeight="1">
      <c r="A100" s="282">
        <v>95</v>
      </c>
      <c r="B100" s="202" t="s">
        <v>674</v>
      </c>
      <c r="C100" s="202"/>
      <c r="D100" s="202" t="s">
        <v>307</v>
      </c>
      <c r="E100" s="207">
        <v>214</v>
      </c>
      <c r="F100" s="207">
        <v>214</v>
      </c>
      <c r="G100" s="203" t="s">
        <v>994</v>
      </c>
      <c r="H100" s="203" t="s">
        <v>995</v>
      </c>
      <c r="I100" s="280"/>
      <c r="J100" s="264" t="str">
        <f t="shared" si="2"/>
        <v>전공</v>
      </c>
      <c r="K100" s="267">
        <v>8880</v>
      </c>
      <c r="L100" s="266"/>
      <c r="M100" s="266"/>
      <c r="N100" s="266"/>
      <c r="O100" s="266"/>
      <c r="P100" s="266"/>
      <c r="Q100" s="266"/>
      <c r="R100" s="268"/>
    </row>
    <row r="101" spans="1:18" ht="30" customHeight="1">
      <c r="A101" s="282">
        <v>96</v>
      </c>
      <c r="B101" s="202" t="s">
        <v>675</v>
      </c>
      <c r="C101" s="202"/>
      <c r="D101" s="202" t="s">
        <v>135</v>
      </c>
      <c r="E101" s="207">
        <v>265</v>
      </c>
      <c r="F101" s="207">
        <v>265</v>
      </c>
      <c r="G101" s="203" t="s">
        <v>97</v>
      </c>
      <c r="H101" s="203" t="s">
        <v>7</v>
      </c>
      <c r="I101" s="280"/>
      <c r="J101" s="264" t="str">
        <f t="shared" si="2"/>
        <v>임공</v>
      </c>
      <c r="K101" s="267">
        <v>8160</v>
      </c>
      <c r="L101" s="266"/>
      <c r="M101" s="266"/>
      <c r="N101" s="266"/>
      <c r="O101" s="266"/>
      <c r="P101" s="266"/>
      <c r="Q101" s="266"/>
      <c r="R101" s="268"/>
    </row>
    <row r="102" spans="1:18" ht="30" customHeight="1">
      <c r="A102" s="282">
        <v>97</v>
      </c>
      <c r="B102" s="202" t="s">
        <v>676</v>
      </c>
      <c r="C102" s="202"/>
      <c r="D102" s="202" t="s">
        <v>84</v>
      </c>
      <c r="E102" s="207">
        <v>370</v>
      </c>
      <c r="F102" s="207">
        <v>370</v>
      </c>
      <c r="G102" s="203" t="s">
        <v>97</v>
      </c>
      <c r="H102" s="203" t="s">
        <v>7</v>
      </c>
      <c r="I102" s="280"/>
      <c r="J102" s="264" t="str">
        <f t="shared" ref="J102:J133" si="3">CONCATENATE(D102,G102)</f>
        <v>도공</v>
      </c>
      <c r="K102" s="267">
        <v>2470</v>
      </c>
      <c r="L102" s="266"/>
      <c r="M102" s="266"/>
      <c r="N102" s="266"/>
      <c r="O102" s="266"/>
      <c r="P102" s="266"/>
      <c r="Q102" s="266"/>
      <c r="R102" s="268"/>
    </row>
    <row r="103" spans="1:18" ht="30" customHeight="1">
      <c r="A103" s="282">
        <v>98</v>
      </c>
      <c r="B103" s="202" t="s">
        <v>677</v>
      </c>
      <c r="C103" s="202"/>
      <c r="D103" s="202" t="s">
        <v>307</v>
      </c>
      <c r="E103" s="207">
        <v>2422</v>
      </c>
      <c r="F103" s="207">
        <v>2422</v>
      </c>
      <c r="G103" s="203" t="s">
        <v>994</v>
      </c>
      <c r="H103" s="203" t="s">
        <v>995</v>
      </c>
      <c r="I103" s="280"/>
      <c r="J103" s="264" t="str">
        <f t="shared" si="3"/>
        <v>전공</v>
      </c>
      <c r="K103" s="267">
        <v>14200</v>
      </c>
      <c r="L103" s="266"/>
      <c r="M103" s="266"/>
      <c r="N103" s="266"/>
      <c r="O103" s="266"/>
      <c r="P103" s="266"/>
      <c r="Q103" s="266"/>
      <c r="R103" s="268"/>
    </row>
    <row r="104" spans="1:18" ht="30" customHeight="1">
      <c r="A104" s="282">
        <v>99</v>
      </c>
      <c r="B104" s="202" t="s">
        <v>678</v>
      </c>
      <c r="C104" s="202"/>
      <c r="D104" s="202" t="s">
        <v>84</v>
      </c>
      <c r="E104" s="207">
        <v>770</v>
      </c>
      <c r="F104" s="207">
        <v>489</v>
      </c>
      <c r="G104" s="203" t="s">
        <v>97</v>
      </c>
      <c r="H104" s="203" t="s">
        <v>7</v>
      </c>
      <c r="I104" s="205"/>
      <c r="J104" s="264" t="str">
        <f t="shared" si="3"/>
        <v>도공</v>
      </c>
      <c r="K104" s="267"/>
      <c r="L104" s="266"/>
      <c r="M104" s="266"/>
      <c r="N104" s="266"/>
      <c r="O104" s="266"/>
      <c r="P104" s="266"/>
      <c r="Q104" s="266"/>
      <c r="R104" s="268"/>
    </row>
    <row r="105" spans="1:18" ht="30" customHeight="1">
      <c r="A105" s="282">
        <v>100</v>
      </c>
      <c r="B105" s="202" t="s">
        <v>707</v>
      </c>
      <c r="C105" s="202"/>
      <c r="D105" s="202" t="s">
        <v>90</v>
      </c>
      <c r="E105" s="207">
        <v>285</v>
      </c>
      <c r="F105" s="207">
        <v>285</v>
      </c>
      <c r="G105" s="203" t="s">
        <v>994</v>
      </c>
      <c r="H105" s="203" t="s">
        <v>995</v>
      </c>
      <c r="I105" s="205"/>
      <c r="J105" s="264" t="str">
        <f t="shared" si="3"/>
        <v>대공</v>
      </c>
      <c r="K105" s="267">
        <v>74300</v>
      </c>
      <c r="L105" s="266"/>
      <c r="M105" s="266"/>
      <c r="N105" s="266"/>
      <c r="O105" s="266"/>
      <c r="P105" s="266"/>
      <c r="Q105" s="266"/>
      <c r="R105" s="268"/>
    </row>
    <row r="106" spans="1:18" ht="30" customHeight="1">
      <c r="A106" s="282">
        <v>101</v>
      </c>
      <c r="B106" s="202" t="s">
        <v>679</v>
      </c>
      <c r="C106" s="202"/>
      <c r="D106" s="202" t="s">
        <v>84</v>
      </c>
      <c r="E106" s="207">
        <v>196</v>
      </c>
      <c r="F106" s="207">
        <v>196</v>
      </c>
      <c r="G106" s="203" t="s">
        <v>0</v>
      </c>
      <c r="H106" s="203" t="s">
        <v>7</v>
      </c>
      <c r="I106" s="205"/>
      <c r="J106" s="264" t="str">
        <f t="shared" si="3"/>
        <v>도공</v>
      </c>
      <c r="K106" s="265"/>
      <c r="L106" s="266"/>
      <c r="M106" s="266"/>
      <c r="N106" s="266"/>
      <c r="O106" s="266"/>
      <c r="P106" s="266"/>
      <c r="Q106" s="266"/>
      <c r="R106" s="266"/>
    </row>
    <row r="107" spans="1:18" ht="30" customHeight="1">
      <c r="A107" s="282">
        <v>102</v>
      </c>
      <c r="B107" s="202" t="s">
        <v>680</v>
      </c>
      <c r="C107" s="202"/>
      <c r="D107" s="202" t="s">
        <v>84</v>
      </c>
      <c r="E107" s="207">
        <v>592</v>
      </c>
      <c r="F107" s="207">
        <v>592</v>
      </c>
      <c r="G107" s="203" t="s">
        <v>0</v>
      </c>
      <c r="H107" s="203" t="s">
        <v>7</v>
      </c>
      <c r="I107" s="205"/>
      <c r="J107" s="264" t="str">
        <f t="shared" si="3"/>
        <v>도공</v>
      </c>
      <c r="K107" s="265"/>
      <c r="L107" s="266"/>
      <c r="M107" s="266"/>
      <c r="N107" s="266"/>
      <c r="O107" s="266"/>
      <c r="P107" s="266"/>
      <c r="Q107" s="266"/>
      <c r="R107" s="266"/>
    </row>
    <row r="108" spans="1:18" ht="30" customHeight="1">
      <c r="A108" s="282">
        <v>103</v>
      </c>
      <c r="B108" s="202" t="s">
        <v>681</v>
      </c>
      <c r="C108" s="202"/>
      <c r="D108" s="202" t="s">
        <v>84</v>
      </c>
      <c r="E108" s="207">
        <v>1602</v>
      </c>
      <c r="F108" s="207">
        <v>68</v>
      </c>
      <c r="G108" s="203" t="s">
        <v>0</v>
      </c>
      <c r="H108" s="203" t="s">
        <v>7</v>
      </c>
      <c r="I108" s="205"/>
      <c r="J108" s="264" t="str">
        <f t="shared" si="3"/>
        <v>도공</v>
      </c>
      <c r="K108" s="265"/>
      <c r="L108" s="266"/>
      <c r="M108" s="266"/>
      <c r="N108" s="266"/>
      <c r="O108" s="266"/>
      <c r="P108" s="266"/>
      <c r="Q108" s="266"/>
      <c r="R108" s="266"/>
    </row>
    <row r="109" spans="1:18" ht="30" customHeight="1">
      <c r="A109" s="282">
        <v>104</v>
      </c>
      <c r="B109" s="202" t="s">
        <v>682</v>
      </c>
      <c r="C109" s="202"/>
      <c r="D109" s="202" t="s">
        <v>90</v>
      </c>
      <c r="E109" s="207">
        <v>31</v>
      </c>
      <c r="F109" s="207">
        <v>31</v>
      </c>
      <c r="G109" s="203" t="s">
        <v>994</v>
      </c>
      <c r="H109" s="203" t="s">
        <v>995</v>
      </c>
      <c r="I109" s="205"/>
      <c r="J109" s="264" t="str">
        <f t="shared" si="3"/>
        <v>대공</v>
      </c>
      <c r="K109" s="265">
        <v>74300</v>
      </c>
      <c r="L109" s="266"/>
      <c r="M109" s="266"/>
      <c r="N109" s="266"/>
      <c r="O109" s="266"/>
      <c r="P109" s="266"/>
      <c r="Q109" s="266"/>
      <c r="R109" s="266"/>
    </row>
    <row r="110" spans="1:18" ht="30" customHeight="1">
      <c r="A110" s="282">
        <v>105</v>
      </c>
      <c r="B110" s="202" t="s">
        <v>683</v>
      </c>
      <c r="C110" s="202"/>
      <c r="D110" s="202" t="s">
        <v>258</v>
      </c>
      <c r="E110" s="207">
        <v>32</v>
      </c>
      <c r="F110" s="207">
        <v>32</v>
      </c>
      <c r="G110" s="203" t="s">
        <v>994</v>
      </c>
      <c r="H110" s="203" t="s">
        <v>995</v>
      </c>
      <c r="I110" s="205"/>
      <c r="J110" s="264" t="str">
        <f t="shared" si="3"/>
        <v>잡공</v>
      </c>
      <c r="K110" s="265">
        <v>92300</v>
      </c>
      <c r="L110" s="266"/>
      <c r="M110" s="266"/>
      <c r="N110" s="266"/>
      <c r="O110" s="266"/>
      <c r="P110" s="266"/>
      <c r="Q110" s="266"/>
      <c r="R110" s="266"/>
    </row>
    <row r="111" spans="1:18" ht="30" customHeight="1">
      <c r="A111" s="282">
        <v>106</v>
      </c>
      <c r="B111" s="202" t="s">
        <v>684</v>
      </c>
      <c r="C111" s="202"/>
      <c r="D111" s="202" t="s">
        <v>135</v>
      </c>
      <c r="E111" s="207">
        <v>2344</v>
      </c>
      <c r="F111" s="207">
        <v>63</v>
      </c>
      <c r="G111" s="203" t="s">
        <v>0</v>
      </c>
      <c r="H111" s="203" t="s">
        <v>7</v>
      </c>
      <c r="I111" s="205"/>
      <c r="J111" s="264" t="str">
        <f t="shared" si="3"/>
        <v>임공</v>
      </c>
      <c r="K111" s="265"/>
      <c r="L111" s="266"/>
      <c r="M111" s="266"/>
      <c r="N111" s="266"/>
      <c r="O111" s="266"/>
      <c r="P111" s="266"/>
      <c r="Q111" s="266"/>
      <c r="R111" s="266"/>
    </row>
    <row r="112" spans="1:18" ht="30" customHeight="1">
      <c r="A112" s="282">
        <v>107</v>
      </c>
      <c r="B112" s="202" t="s">
        <v>685</v>
      </c>
      <c r="C112" s="202"/>
      <c r="D112" s="202" t="s">
        <v>84</v>
      </c>
      <c r="E112" s="207">
        <v>606</v>
      </c>
      <c r="F112" s="207">
        <v>53</v>
      </c>
      <c r="G112" s="203" t="s">
        <v>98</v>
      </c>
      <c r="H112" s="203" t="s">
        <v>102</v>
      </c>
      <c r="I112" s="205"/>
      <c r="J112" s="264" t="str">
        <f t="shared" si="3"/>
        <v>도국</v>
      </c>
      <c r="K112" s="265"/>
      <c r="L112" s="266"/>
      <c r="M112" s="266"/>
      <c r="N112" s="266"/>
      <c r="O112" s="266"/>
      <c r="P112" s="266"/>
      <c r="Q112" s="266"/>
      <c r="R112" s="266"/>
    </row>
    <row r="113" spans="1:21" ht="30" customHeight="1">
      <c r="A113" s="282">
        <v>108</v>
      </c>
      <c r="B113" s="202" t="s">
        <v>686</v>
      </c>
      <c r="C113" s="202"/>
      <c r="D113" s="202" t="s">
        <v>84</v>
      </c>
      <c r="E113" s="207">
        <v>401</v>
      </c>
      <c r="F113" s="207">
        <v>24</v>
      </c>
      <c r="G113" s="203" t="s">
        <v>98</v>
      </c>
      <c r="H113" s="203" t="s">
        <v>102</v>
      </c>
      <c r="I113" s="205"/>
      <c r="J113" s="264" t="str">
        <f t="shared" si="3"/>
        <v>도국</v>
      </c>
      <c r="K113" s="265"/>
      <c r="L113" s="266"/>
      <c r="M113" s="266"/>
      <c r="N113" s="266"/>
      <c r="O113" s="266"/>
      <c r="P113" s="266"/>
      <c r="Q113" s="266"/>
      <c r="R113" s="266"/>
    </row>
    <row r="114" spans="1:21" ht="30" customHeight="1">
      <c r="A114" s="282">
        <v>109</v>
      </c>
      <c r="B114" s="202" t="s">
        <v>687</v>
      </c>
      <c r="C114" s="202"/>
      <c r="D114" s="202" t="s">
        <v>84</v>
      </c>
      <c r="E114" s="207">
        <v>394</v>
      </c>
      <c r="F114" s="207">
        <v>394</v>
      </c>
      <c r="G114" s="203" t="s">
        <v>98</v>
      </c>
      <c r="H114" s="203" t="s">
        <v>102</v>
      </c>
      <c r="I114" s="205"/>
      <c r="J114" s="264" t="str">
        <f t="shared" si="3"/>
        <v>도국</v>
      </c>
      <c r="K114" s="265"/>
      <c r="L114" s="266"/>
      <c r="M114" s="266"/>
      <c r="N114" s="266"/>
      <c r="O114" s="266"/>
      <c r="P114" s="266"/>
      <c r="Q114" s="266"/>
      <c r="R114" s="266"/>
    </row>
    <row r="115" spans="1:21" ht="30" customHeight="1">
      <c r="A115" s="282">
        <v>110</v>
      </c>
      <c r="B115" s="202" t="s">
        <v>688</v>
      </c>
      <c r="C115" s="202"/>
      <c r="D115" s="202" t="s">
        <v>135</v>
      </c>
      <c r="E115" s="207">
        <v>2099</v>
      </c>
      <c r="F115" s="207">
        <v>1136</v>
      </c>
      <c r="G115" s="203" t="s">
        <v>0</v>
      </c>
      <c r="H115" s="203" t="s">
        <v>7</v>
      </c>
      <c r="I115" s="205"/>
      <c r="J115" s="264" t="str">
        <f t="shared" si="3"/>
        <v>임공</v>
      </c>
      <c r="K115" s="265"/>
      <c r="L115" s="266"/>
      <c r="M115" s="266"/>
      <c r="N115" s="266"/>
      <c r="O115" s="266"/>
      <c r="P115" s="266"/>
      <c r="Q115" s="266"/>
      <c r="R115" s="266"/>
    </row>
    <row r="116" spans="1:21" ht="30" customHeight="1">
      <c r="A116" s="282">
        <v>111</v>
      </c>
      <c r="B116" s="202" t="s">
        <v>689</v>
      </c>
      <c r="C116" s="202"/>
      <c r="D116" s="202" t="s">
        <v>135</v>
      </c>
      <c r="E116" s="207">
        <v>85</v>
      </c>
      <c r="F116" s="207">
        <v>85</v>
      </c>
      <c r="G116" s="203" t="s">
        <v>0</v>
      </c>
      <c r="H116" s="203" t="s">
        <v>7</v>
      </c>
      <c r="I116" s="205"/>
      <c r="J116" s="264" t="str">
        <f t="shared" si="3"/>
        <v>임공</v>
      </c>
      <c r="K116" s="265"/>
      <c r="L116" s="266"/>
      <c r="M116" s="266"/>
      <c r="N116" s="266"/>
      <c r="O116" s="266"/>
      <c r="P116" s="266"/>
      <c r="Q116" s="266"/>
      <c r="R116" s="266"/>
    </row>
    <row r="117" spans="1:21" ht="30" customHeight="1">
      <c r="A117" s="282">
        <v>112</v>
      </c>
      <c r="B117" s="202" t="s">
        <v>690</v>
      </c>
      <c r="C117" s="202"/>
      <c r="D117" s="202" t="s">
        <v>135</v>
      </c>
      <c r="E117" s="207">
        <v>601</v>
      </c>
      <c r="F117" s="207">
        <v>601</v>
      </c>
      <c r="G117" s="203" t="s">
        <v>0</v>
      </c>
      <c r="H117" s="203" t="s">
        <v>7</v>
      </c>
      <c r="I117" s="205"/>
      <c r="J117" s="264" t="str">
        <f t="shared" si="3"/>
        <v>임공</v>
      </c>
      <c r="K117" s="265"/>
      <c r="L117" s="266"/>
      <c r="M117" s="266"/>
      <c r="N117" s="266"/>
      <c r="O117" s="266"/>
      <c r="P117" s="266"/>
      <c r="Q117" s="266"/>
      <c r="R117" s="266"/>
    </row>
    <row r="118" spans="1:21" ht="30" customHeight="1">
      <c r="A118" s="282">
        <v>113</v>
      </c>
      <c r="B118" s="202" t="s">
        <v>691</v>
      </c>
      <c r="C118" s="202"/>
      <c r="D118" s="202" t="s">
        <v>84</v>
      </c>
      <c r="E118" s="207">
        <v>172</v>
      </c>
      <c r="F118" s="207">
        <v>172</v>
      </c>
      <c r="G118" s="203" t="s">
        <v>692</v>
      </c>
      <c r="H118" s="203" t="s">
        <v>693</v>
      </c>
      <c r="I118" s="205"/>
      <c r="J118" s="264" t="str">
        <f t="shared" si="3"/>
        <v>도김동희
 외1인</v>
      </c>
      <c r="K118" s="265"/>
      <c r="L118" s="266"/>
      <c r="M118" s="266"/>
      <c r="N118" s="266"/>
      <c r="O118" s="266"/>
      <c r="P118" s="266"/>
      <c r="Q118" s="266"/>
      <c r="R118" s="266"/>
    </row>
    <row r="119" spans="1:21" ht="30" customHeight="1">
      <c r="A119" s="282">
        <v>114</v>
      </c>
      <c r="B119" s="202" t="s">
        <v>694</v>
      </c>
      <c r="C119" s="202"/>
      <c r="D119" s="202" t="s">
        <v>90</v>
      </c>
      <c r="E119" s="207">
        <v>104</v>
      </c>
      <c r="F119" s="207">
        <v>104</v>
      </c>
      <c r="G119" s="203" t="s">
        <v>0</v>
      </c>
      <c r="H119" s="203" t="s">
        <v>7</v>
      </c>
      <c r="I119" s="205"/>
      <c r="J119" s="264" t="str">
        <f t="shared" si="3"/>
        <v>대공</v>
      </c>
      <c r="K119" s="265"/>
      <c r="L119" s="266"/>
      <c r="M119" s="266"/>
      <c r="N119" s="266"/>
      <c r="O119" s="266"/>
      <c r="P119" s="266"/>
      <c r="Q119" s="266"/>
      <c r="R119" s="266"/>
    </row>
    <row r="120" spans="1:21" ht="30" customHeight="1">
      <c r="A120" s="282">
        <v>115</v>
      </c>
      <c r="B120" s="202" t="s">
        <v>708</v>
      </c>
      <c r="C120" s="202"/>
      <c r="D120" s="202" t="s">
        <v>90</v>
      </c>
      <c r="E120" s="207">
        <v>83</v>
      </c>
      <c r="F120" s="207">
        <v>83</v>
      </c>
      <c r="G120" s="203" t="s">
        <v>0</v>
      </c>
      <c r="H120" s="203" t="s">
        <v>7</v>
      </c>
      <c r="I120" s="205"/>
      <c r="J120" s="264" t="str">
        <f t="shared" si="3"/>
        <v>대공</v>
      </c>
      <c r="K120" s="265"/>
      <c r="L120" s="266"/>
      <c r="M120" s="266"/>
      <c r="N120" s="266"/>
      <c r="O120" s="266"/>
      <c r="P120" s="266"/>
      <c r="Q120" s="266"/>
      <c r="R120" s="266"/>
    </row>
    <row r="121" spans="1:21" ht="30" customHeight="1">
      <c r="A121" s="282">
        <v>116</v>
      </c>
      <c r="B121" s="202" t="s">
        <v>695</v>
      </c>
      <c r="C121" s="202"/>
      <c r="D121" s="202" t="s">
        <v>84</v>
      </c>
      <c r="E121" s="207">
        <v>122</v>
      </c>
      <c r="F121" s="207">
        <v>122</v>
      </c>
      <c r="G121" s="203" t="s">
        <v>0</v>
      </c>
      <c r="H121" s="203" t="s">
        <v>7</v>
      </c>
      <c r="I121" s="205"/>
      <c r="J121" s="264" t="str">
        <f t="shared" si="3"/>
        <v>도공</v>
      </c>
      <c r="K121" s="267"/>
      <c r="L121" s="266"/>
      <c r="M121" s="266"/>
      <c r="N121" s="266"/>
      <c r="O121" s="266"/>
      <c r="P121" s="266"/>
      <c r="Q121" s="266"/>
      <c r="R121" s="268"/>
    </row>
    <row r="122" spans="1:21" ht="30" customHeight="1">
      <c r="A122" s="282">
        <v>117</v>
      </c>
      <c r="B122" s="202" t="s">
        <v>696</v>
      </c>
      <c r="C122" s="202"/>
      <c r="D122" s="202" t="s">
        <v>84</v>
      </c>
      <c r="E122" s="207">
        <v>15</v>
      </c>
      <c r="F122" s="207">
        <v>15</v>
      </c>
      <c r="G122" s="203" t="s">
        <v>98</v>
      </c>
      <c r="H122" s="203" t="s">
        <v>102</v>
      </c>
      <c r="I122" s="205"/>
      <c r="J122" s="264" t="str">
        <f t="shared" si="3"/>
        <v>도국</v>
      </c>
      <c r="K122" s="267"/>
      <c r="L122" s="266"/>
      <c r="M122" s="266"/>
      <c r="N122" s="266"/>
      <c r="O122" s="266"/>
      <c r="P122" s="266"/>
      <c r="Q122" s="266"/>
      <c r="R122" s="268"/>
    </row>
    <row r="123" spans="1:21" ht="30" customHeight="1">
      <c r="A123" s="282">
        <v>118</v>
      </c>
      <c r="B123" s="202" t="s">
        <v>697</v>
      </c>
      <c r="C123" s="202"/>
      <c r="D123" s="202" t="s">
        <v>84</v>
      </c>
      <c r="E123" s="207">
        <v>813</v>
      </c>
      <c r="F123" s="207">
        <v>813</v>
      </c>
      <c r="G123" s="203" t="s">
        <v>0</v>
      </c>
      <c r="H123" s="203" t="s">
        <v>7</v>
      </c>
      <c r="I123" s="205"/>
      <c r="J123" s="264" t="str">
        <f t="shared" si="3"/>
        <v>도공</v>
      </c>
      <c r="K123" s="267"/>
      <c r="L123" s="266"/>
      <c r="M123" s="266"/>
      <c r="N123" s="266"/>
      <c r="O123" s="266"/>
      <c r="P123" s="266"/>
      <c r="Q123" s="266"/>
      <c r="R123" s="268"/>
    </row>
    <row r="124" spans="1:21" ht="30" customHeight="1">
      <c r="A124" s="282">
        <v>119</v>
      </c>
      <c r="B124" s="202" t="s">
        <v>698</v>
      </c>
      <c r="C124" s="202"/>
      <c r="D124" s="202" t="s">
        <v>85</v>
      </c>
      <c r="E124" s="207">
        <v>264</v>
      </c>
      <c r="F124" s="207">
        <v>264</v>
      </c>
      <c r="G124" s="203" t="s">
        <v>0</v>
      </c>
      <c r="H124" s="203" t="s">
        <v>7</v>
      </c>
      <c r="I124" s="205"/>
      <c r="J124" s="264" t="str">
        <f t="shared" si="3"/>
        <v>전공</v>
      </c>
      <c r="K124" s="267"/>
      <c r="L124" s="266"/>
      <c r="M124" s="266"/>
      <c r="N124" s="266"/>
      <c r="O124" s="266"/>
      <c r="P124" s="266"/>
      <c r="Q124" s="266"/>
      <c r="R124" s="268"/>
    </row>
    <row r="125" spans="1:21" ht="30" customHeight="1">
      <c r="A125" s="282">
        <v>120</v>
      </c>
      <c r="B125" s="202" t="s">
        <v>699</v>
      </c>
      <c r="C125" s="202"/>
      <c r="D125" s="202" t="s">
        <v>85</v>
      </c>
      <c r="E125" s="207">
        <v>6</v>
      </c>
      <c r="F125" s="207">
        <v>6</v>
      </c>
      <c r="G125" s="203" t="s">
        <v>0</v>
      </c>
      <c r="H125" s="203" t="s">
        <v>7</v>
      </c>
      <c r="I125" s="205"/>
      <c r="J125" s="264" t="str">
        <f t="shared" si="3"/>
        <v>전공</v>
      </c>
      <c r="K125" s="265"/>
      <c r="L125" s="266"/>
      <c r="M125" s="266"/>
      <c r="N125" s="266"/>
      <c r="O125" s="266"/>
      <c r="P125" s="266"/>
      <c r="Q125" s="266"/>
      <c r="R125" s="288"/>
      <c r="S125" s="266"/>
      <c r="T125" s="266"/>
      <c r="U125" s="266"/>
    </row>
    <row r="126" spans="1:21" ht="30" customHeight="1">
      <c r="A126" s="282">
        <v>121</v>
      </c>
      <c r="B126" s="202" t="s">
        <v>700</v>
      </c>
      <c r="C126" s="202"/>
      <c r="D126" s="202" t="s">
        <v>85</v>
      </c>
      <c r="E126" s="207">
        <v>2</v>
      </c>
      <c r="F126" s="207">
        <v>2</v>
      </c>
      <c r="G126" s="203" t="s">
        <v>0</v>
      </c>
      <c r="H126" s="203" t="s">
        <v>7</v>
      </c>
      <c r="I126" s="205"/>
      <c r="J126" s="264" t="str">
        <f t="shared" si="3"/>
        <v>전공</v>
      </c>
      <c r="K126" s="265"/>
      <c r="L126" s="266"/>
      <c r="M126" s="266"/>
      <c r="N126" s="266"/>
      <c r="O126" s="266"/>
      <c r="P126" s="266"/>
      <c r="Q126" s="266"/>
      <c r="R126" s="266"/>
    </row>
    <row r="127" spans="1:21" ht="30" customHeight="1">
      <c r="A127" s="282">
        <v>122</v>
      </c>
      <c r="B127" s="202" t="s">
        <v>277</v>
      </c>
      <c r="C127" s="202"/>
      <c r="D127" s="202" t="s">
        <v>85</v>
      </c>
      <c r="E127" s="207">
        <v>2</v>
      </c>
      <c r="F127" s="207">
        <v>2</v>
      </c>
      <c r="G127" s="203" t="s">
        <v>0</v>
      </c>
      <c r="H127" s="203" t="s">
        <v>7</v>
      </c>
      <c r="I127" s="205"/>
      <c r="J127" s="264" t="str">
        <f t="shared" si="3"/>
        <v>전공</v>
      </c>
      <c r="K127" s="265"/>
      <c r="L127" s="266"/>
      <c r="M127" s="266"/>
      <c r="N127" s="266"/>
      <c r="O127" s="266"/>
      <c r="P127" s="266"/>
      <c r="Q127" s="266"/>
      <c r="R127" s="266"/>
    </row>
    <row r="128" spans="1:21" ht="30" customHeight="1">
      <c r="A128" s="282">
        <v>123</v>
      </c>
      <c r="B128" s="202" t="s">
        <v>248</v>
      </c>
      <c r="C128" s="202"/>
      <c r="D128" s="202" t="s">
        <v>84</v>
      </c>
      <c r="E128" s="207">
        <v>37</v>
      </c>
      <c r="F128" s="207">
        <v>37</v>
      </c>
      <c r="G128" s="203" t="s">
        <v>98</v>
      </c>
      <c r="H128" s="203" t="s">
        <v>102</v>
      </c>
      <c r="I128" s="205"/>
      <c r="J128" s="264" t="str">
        <f t="shared" si="3"/>
        <v>도국</v>
      </c>
      <c r="K128" s="265"/>
      <c r="L128" s="266"/>
      <c r="M128" s="266"/>
      <c r="N128" s="266"/>
      <c r="O128" s="266"/>
      <c r="P128" s="266"/>
      <c r="Q128" s="266"/>
      <c r="R128" s="266"/>
    </row>
    <row r="129" spans="1:18" ht="30" customHeight="1">
      <c r="A129" s="282">
        <v>124</v>
      </c>
      <c r="B129" s="202" t="s">
        <v>780</v>
      </c>
      <c r="C129" s="202"/>
      <c r="D129" s="202" t="s">
        <v>85</v>
      </c>
      <c r="E129" s="207">
        <v>183</v>
      </c>
      <c r="F129" s="207">
        <v>95</v>
      </c>
      <c r="G129" s="203" t="s">
        <v>0</v>
      </c>
      <c r="H129" s="203" t="s">
        <v>7</v>
      </c>
      <c r="I129" s="205"/>
      <c r="J129" s="264" t="str">
        <f t="shared" si="3"/>
        <v>전공</v>
      </c>
      <c r="K129" s="265"/>
      <c r="L129" s="266"/>
      <c r="M129" s="266"/>
      <c r="N129" s="266"/>
      <c r="O129" s="266"/>
      <c r="P129" s="266"/>
      <c r="Q129" s="266"/>
      <c r="R129" s="266"/>
    </row>
    <row r="130" spans="1:18" ht="30" customHeight="1">
      <c r="A130" s="282">
        <v>125</v>
      </c>
      <c r="B130" s="202" t="s">
        <v>170</v>
      </c>
      <c r="C130" s="202"/>
      <c r="D130" s="202" t="s">
        <v>85</v>
      </c>
      <c r="E130" s="207">
        <v>13</v>
      </c>
      <c r="F130" s="207">
        <v>13</v>
      </c>
      <c r="G130" s="203" t="s">
        <v>275</v>
      </c>
      <c r="H130" s="203" t="s">
        <v>263</v>
      </c>
      <c r="I130" s="205"/>
      <c r="J130" s="264" t="str">
        <f t="shared" si="3"/>
        <v>전김옥자</v>
      </c>
      <c r="K130" s="265"/>
      <c r="L130" s="266"/>
      <c r="M130" s="266"/>
      <c r="N130" s="266"/>
      <c r="O130" s="266"/>
      <c r="P130" s="266"/>
      <c r="Q130" s="266"/>
      <c r="R130" s="266"/>
    </row>
    <row r="131" spans="1:18" ht="30" customHeight="1">
      <c r="A131" s="282">
        <v>126</v>
      </c>
      <c r="B131" s="202" t="s">
        <v>978</v>
      </c>
      <c r="C131" s="202"/>
      <c r="D131" s="202" t="s">
        <v>85</v>
      </c>
      <c r="E131" s="207">
        <v>646</v>
      </c>
      <c r="F131" s="207">
        <v>285</v>
      </c>
      <c r="G131" s="203" t="s">
        <v>0</v>
      </c>
      <c r="H131" s="203" t="s">
        <v>7</v>
      </c>
      <c r="I131" s="205"/>
      <c r="J131" s="264" t="str">
        <f t="shared" si="3"/>
        <v>전공</v>
      </c>
      <c r="K131" s="265"/>
      <c r="L131" s="266"/>
      <c r="M131" s="266"/>
      <c r="N131" s="266"/>
      <c r="O131" s="266"/>
      <c r="P131" s="266"/>
      <c r="Q131" s="266"/>
      <c r="R131" s="266"/>
    </row>
    <row r="132" spans="1:18" ht="30" customHeight="1">
      <c r="A132" s="282">
        <v>127</v>
      </c>
      <c r="B132" s="202" t="s">
        <v>249</v>
      </c>
      <c r="C132" s="202"/>
      <c r="D132" s="202" t="s">
        <v>84</v>
      </c>
      <c r="E132" s="207">
        <v>136</v>
      </c>
      <c r="F132" s="207">
        <v>13</v>
      </c>
      <c r="G132" s="203" t="s">
        <v>0</v>
      </c>
      <c r="H132" s="203" t="s">
        <v>7</v>
      </c>
      <c r="I132" s="205"/>
      <c r="J132" s="264" t="str">
        <f t="shared" si="3"/>
        <v>도공</v>
      </c>
      <c r="K132" s="265"/>
      <c r="L132" s="266"/>
      <c r="M132" s="266"/>
      <c r="N132" s="266"/>
      <c r="O132" s="266"/>
      <c r="P132" s="266"/>
      <c r="Q132" s="266"/>
      <c r="R132" s="266"/>
    </row>
    <row r="133" spans="1:18" ht="30" customHeight="1">
      <c r="A133" s="282">
        <v>128</v>
      </c>
      <c r="B133" s="202" t="s">
        <v>250</v>
      </c>
      <c r="C133" s="202"/>
      <c r="D133" s="202" t="s">
        <v>84</v>
      </c>
      <c r="E133" s="207">
        <v>164</v>
      </c>
      <c r="F133" s="207">
        <v>5</v>
      </c>
      <c r="G133" s="203" t="s">
        <v>0</v>
      </c>
      <c r="H133" s="203" t="s">
        <v>7</v>
      </c>
      <c r="I133" s="205"/>
      <c r="J133" s="264" t="str">
        <f t="shared" si="3"/>
        <v>도공</v>
      </c>
      <c r="K133" s="265"/>
      <c r="L133" s="266"/>
      <c r="M133" s="266"/>
      <c r="N133" s="266"/>
      <c r="O133" s="266"/>
      <c r="P133" s="266"/>
      <c r="Q133" s="266"/>
      <c r="R133" s="266"/>
    </row>
    <row r="134" spans="1:18" ht="30" customHeight="1">
      <c r="A134" s="282">
        <v>129</v>
      </c>
      <c r="B134" s="202" t="s">
        <v>251</v>
      </c>
      <c r="C134" s="202"/>
      <c r="D134" s="202" t="s">
        <v>84</v>
      </c>
      <c r="E134" s="207">
        <v>298</v>
      </c>
      <c r="F134" s="207">
        <v>302</v>
      </c>
      <c r="G134" s="203" t="s">
        <v>0</v>
      </c>
      <c r="H134" s="203" t="s">
        <v>7</v>
      </c>
      <c r="I134" s="205"/>
      <c r="J134" s="264" t="str">
        <f t="shared" ref="J134:J153" si="4">CONCATENATE(D134,G134)</f>
        <v>도공</v>
      </c>
      <c r="K134" s="265"/>
      <c r="L134" s="266"/>
      <c r="M134" s="266"/>
      <c r="N134" s="266"/>
      <c r="O134" s="266"/>
      <c r="P134" s="266"/>
      <c r="Q134" s="266"/>
      <c r="R134" s="266"/>
    </row>
    <row r="135" spans="1:18" ht="30" customHeight="1">
      <c r="A135" s="282">
        <v>130</v>
      </c>
      <c r="B135" s="202" t="s">
        <v>252</v>
      </c>
      <c r="C135" s="202"/>
      <c r="D135" s="202" t="s">
        <v>84</v>
      </c>
      <c r="E135" s="207">
        <v>140</v>
      </c>
      <c r="F135" s="207">
        <v>127</v>
      </c>
      <c r="G135" s="203" t="s">
        <v>98</v>
      </c>
      <c r="H135" s="203" t="s">
        <v>102</v>
      </c>
      <c r="I135" s="205"/>
      <c r="J135" s="264" t="str">
        <f t="shared" si="4"/>
        <v>도국</v>
      </c>
      <c r="K135" s="265"/>
      <c r="L135" s="266"/>
      <c r="M135" s="266"/>
      <c r="N135" s="266"/>
      <c r="O135" s="266"/>
      <c r="P135" s="266"/>
      <c r="Q135" s="266"/>
      <c r="R135" s="266"/>
    </row>
    <row r="136" spans="1:18" ht="30" customHeight="1">
      <c r="A136" s="282">
        <v>131</v>
      </c>
      <c r="B136" s="202" t="s">
        <v>253</v>
      </c>
      <c r="C136" s="202"/>
      <c r="D136" s="202" t="s">
        <v>89</v>
      </c>
      <c r="E136" s="207">
        <v>170</v>
      </c>
      <c r="F136" s="207">
        <v>147</v>
      </c>
      <c r="G136" s="203" t="s">
        <v>0</v>
      </c>
      <c r="H136" s="203" t="s">
        <v>7</v>
      </c>
      <c r="I136" s="205"/>
      <c r="J136" s="264" t="str">
        <f t="shared" si="4"/>
        <v>답공</v>
      </c>
      <c r="K136" s="265"/>
      <c r="L136" s="266"/>
      <c r="M136" s="266"/>
      <c r="N136" s="266"/>
      <c r="O136" s="266"/>
      <c r="P136" s="266"/>
      <c r="Q136" s="266"/>
      <c r="R136" s="266"/>
    </row>
    <row r="137" spans="1:18" ht="30" customHeight="1">
      <c r="A137" s="282">
        <v>132</v>
      </c>
      <c r="B137" s="202" t="s">
        <v>254</v>
      </c>
      <c r="C137" s="202"/>
      <c r="D137" s="202" t="s">
        <v>89</v>
      </c>
      <c r="E137" s="207">
        <v>156</v>
      </c>
      <c r="F137" s="207">
        <v>156</v>
      </c>
      <c r="G137" s="203" t="s">
        <v>0</v>
      </c>
      <c r="H137" s="203" t="s">
        <v>7</v>
      </c>
      <c r="I137" s="205"/>
      <c r="J137" s="264" t="str">
        <f t="shared" si="4"/>
        <v>답공</v>
      </c>
      <c r="K137" s="265"/>
      <c r="L137" s="266"/>
      <c r="M137" s="266"/>
      <c r="N137" s="266"/>
      <c r="O137" s="266"/>
      <c r="P137" s="266"/>
      <c r="Q137" s="266"/>
      <c r="R137" s="266"/>
    </row>
    <row r="138" spans="1:18" ht="30" customHeight="1">
      <c r="A138" s="282">
        <v>133</v>
      </c>
      <c r="B138" s="202" t="s">
        <v>648</v>
      </c>
      <c r="C138" s="202"/>
      <c r="D138" s="202" t="s">
        <v>84</v>
      </c>
      <c r="E138" s="207">
        <v>13</v>
      </c>
      <c r="F138" s="207">
        <v>10</v>
      </c>
      <c r="G138" s="203" t="s">
        <v>0</v>
      </c>
      <c r="H138" s="203" t="s">
        <v>7</v>
      </c>
      <c r="I138" s="205"/>
      <c r="J138" s="264" t="str">
        <f t="shared" si="4"/>
        <v>도공</v>
      </c>
      <c r="K138" s="265"/>
      <c r="L138" s="266"/>
      <c r="M138" s="266"/>
      <c r="N138" s="266"/>
      <c r="O138" s="266"/>
      <c r="P138" s="266"/>
      <c r="Q138" s="266"/>
      <c r="R138" s="266"/>
    </row>
    <row r="139" spans="1:18" ht="30" customHeight="1">
      <c r="A139" s="282">
        <v>134</v>
      </c>
      <c r="B139" s="202" t="s">
        <v>979</v>
      </c>
      <c r="C139" s="202"/>
      <c r="D139" s="202" t="s">
        <v>89</v>
      </c>
      <c r="E139" s="207">
        <v>391</v>
      </c>
      <c r="F139" s="207">
        <v>391</v>
      </c>
      <c r="G139" s="203" t="s">
        <v>0</v>
      </c>
      <c r="H139" s="203" t="s">
        <v>7</v>
      </c>
      <c r="I139" s="205"/>
      <c r="J139" s="264" t="str">
        <f t="shared" si="4"/>
        <v>답공</v>
      </c>
      <c r="K139" s="265"/>
      <c r="L139" s="266"/>
      <c r="M139" s="266"/>
      <c r="N139" s="266"/>
      <c r="O139" s="266"/>
      <c r="P139" s="266"/>
      <c r="Q139" s="266"/>
      <c r="R139" s="266"/>
    </row>
    <row r="140" spans="1:18" ht="30" customHeight="1">
      <c r="A140" s="282">
        <v>135</v>
      </c>
      <c r="B140" s="202" t="s">
        <v>91</v>
      </c>
      <c r="C140" s="202"/>
      <c r="D140" s="202" t="s">
        <v>84</v>
      </c>
      <c r="E140" s="207">
        <v>479</v>
      </c>
      <c r="F140" s="207">
        <v>130</v>
      </c>
      <c r="G140" s="203" t="s">
        <v>0</v>
      </c>
      <c r="H140" s="203" t="s">
        <v>7</v>
      </c>
      <c r="I140" s="205"/>
      <c r="J140" s="264" t="str">
        <f t="shared" si="4"/>
        <v>도공</v>
      </c>
      <c r="K140" s="265"/>
      <c r="L140" s="266"/>
      <c r="M140" s="266"/>
      <c r="N140" s="266"/>
      <c r="O140" s="266"/>
      <c r="P140" s="266"/>
      <c r="Q140" s="266"/>
      <c r="R140" s="266"/>
    </row>
    <row r="141" spans="1:18" ht="30" customHeight="1">
      <c r="A141" s="282">
        <v>136</v>
      </c>
      <c r="B141" s="202" t="s">
        <v>656</v>
      </c>
      <c r="C141" s="202"/>
      <c r="D141" s="202" t="s">
        <v>84</v>
      </c>
      <c r="E141" s="207">
        <v>400</v>
      </c>
      <c r="F141" s="207">
        <v>169</v>
      </c>
      <c r="G141" s="203" t="s">
        <v>98</v>
      </c>
      <c r="H141" s="203" t="s">
        <v>102</v>
      </c>
      <c r="I141" s="205"/>
      <c r="J141" s="264" t="str">
        <f t="shared" si="4"/>
        <v>도국</v>
      </c>
      <c r="K141" s="267"/>
      <c r="L141" s="266"/>
      <c r="M141" s="266"/>
      <c r="N141" s="266"/>
      <c r="O141" s="266"/>
      <c r="P141" s="266"/>
      <c r="Q141" s="266"/>
      <c r="R141" s="268"/>
    </row>
    <row r="142" spans="1:18" ht="30" customHeight="1">
      <c r="A142" s="282">
        <v>137</v>
      </c>
      <c r="B142" s="202" t="s">
        <v>980</v>
      </c>
      <c r="C142" s="202"/>
      <c r="D142" s="202" t="s">
        <v>84</v>
      </c>
      <c r="E142" s="207">
        <v>66</v>
      </c>
      <c r="F142" s="207">
        <v>66</v>
      </c>
      <c r="G142" s="203" t="s">
        <v>0</v>
      </c>
      <c r="H142" s="203" t="s">
        <v>7</v>
      </c>
      <c r="I142" s="205"/>
      <c r="J142" s="264" t="str">
        <f t="shared" si="4"/>
        <v>도공</v>
      </c>
      <c r="K142" s="267"/>
      <c r="L142" s="266"/>
      <c r="M142" s="266"/>
      <c r="N142" s="266"/>
      <c r="O142" s="266"/>
      <c r="P142" s="266"/>
      <c r="Q142" s="266"/>
      <c r="R142" s="268"/>
    </row>
    <row r="143" spans="1:18" ht="30" customHeight="1">
      <c r="A143" s="282">
        <v>138</v>
      </c>
      <c r="B143" s="202" t="s">
        <v>255</v>
      </c>
      <c r="C143" s="202"/>
      <c r="D143" s="202" t="s">
        <v>90</v>
      </c>
      <c r="E143" s="207">
        <v>52</v>
      </c>
      <c r="F143" s="207">
        <v>52</v>
      </c>
      <c r="G143" s="203" t="s">
        <v>0</v>
      </c>
      <c r="H143" s="203" t="s">
        <v>7</v>
      </c>
      <c r="I143" s="205"/>
      <c r="J143" s="264" t="str">
        <f t="shared" si="4"/>
        <v>대공</v>
      </c>
      <c r="K143" s="267"/>
      <c r="L143" s="266"/>
      <c r="M143" s="266"/>
      <c r="N143" s="266"/>
      <c r="O143" s="266"/>
      <c r="P143" s="266"/>
      <c r="Q143" s="266"/>
      <c r="R143" s="268"/>
    </row>
    <row r="144" spans="1:18" ht="30" customHeight="1">
      <c r="A144" s="282">
        <v>139</v>
      </c>
      <c r="B144" s="202" t="s">
        <v>256</v>
      </c>
      <c r="C144" s="202"/>
      <c r="D144" s="202" t="s">
        <v>90</v>
      </c>
      <c r="E144" s="207">
        <v>5</v>
      </c>
      <c r="F144" s="207">
        <v>5</v>
      </c>
      <c r="G144" s="203" t="s">
        <v>0</v>
      </c>
      <c r="H144" s="203" t="s">
        <v>7</v>
      </c>
      <c r="I144" s="205"/>
      <c r="J144" s="264" t="str">
        <f t="shared" si="4"/>
        <v>대공</v>
      </c>
      <c r="K144" s="267"/>
      <c r="L144" s="266"/>
      <c r="M144" s="266"/>
      <c r="N144" s="266"/>
      <c r="O144" s="266"/>
      <c r="P144" s="266"/>
      <c r="Q144" s="266"/>
      <c r="R144" s="268"/>
    </row>
    <row r="145" spans="1:21" ht="30" customHeight="1">
      <c r="A145" s="282">
        <v>140</v>
      </c>
      <c r="B145" s="202" t="s">
        <v>681</v>
      </c>
      <c r="C145" s="202"/>
      <c r="D145" s="202" t="s">
        <v>84</v>
      </c>
      <c r="E145" s="207">
        <v>1602</v>
      </c>
      <c r="F145" s="207">
        <v>952</v>
      </c>
      <c r="G145" s="203" t="s">
        <v>0</v>
      </c>
      <c r="H145" s="203" t="s">
        <v>7</v>
      </c>
      <c r="I145" s="205"/>
      <c r="J145" s="264" t="str">
        <f t="shared" si="4"/>
        <v>도공</v>
      </c>
      <c r="K145" s="265"/>
      <c r="L145" s="266"/>
      <c r="M145" s="266"/>
      <c r="N145" s="266"/>
      <c r="O145" s="266"/>
      <c r="P145" s="266"/>
      <c r="Q145" s="266"/>
      <c r="R145" s="288"/>
      <c r="S145" s="266"/>
      <c r="T145" s="266"/>
      <c r="U145" s="266"/>
    </row>
    <row r="146" spans="1:21" ht="30" customHeight="1">
      <c r="A146" s="282">
        <v>141</v>
      </c>
      <c r="B146" s="202" t="s">
        <v>257</v>
      </c>
      <c r="C146" s="202"/>
      <c r="D146" s="202" t="s">
        <v>258</v>
      </c>
      <c r="E146" s="207">
        <v>466</v>
      </c>
      <c r="F146" s="207">
        <v>466</v>
      </c>
      <c r="G146" s="203" t="s">
        <v>0</v>
      </c>
      <c r="H146" s="203" t="s">
        <v>7</v>
      </c>
      <c r="I146" s="205"/>
      <c r="J146" s="264" t="str">
        <f t="shared" si="4"/>
        <v>잡공</v>
      </c>
      <c r="K146" s="265"/>
      <c r="L146" s="266"/>
      <c r="M146" s="266"/>
      <c r="N146" s="266"/>
      <c r="O146" s="266"/>
      <c r="P146" s="266"/>
      <c r="Q146" s="266"/>
      <c r="R146" s="266"/>
    </row>
    <row r="147" spans="1:21" ht="30" customHeight="1">
      <c r="A147" s="282">
        <v>142</v>
      </c>
      <c r="B147" s="202" t="s">
        <v>981</v>
      </c>
      <c r="C147" s="202"/>
      <c r="D147" s="202" t="s">
        <v>84</v>
      </c>
      <c r="E147" s="207">
        <v>675</v>
      </c>
      <c r="F147" s="207">
        <v>610</v>
      </c>
      <c r="G147" s="203" t="s">
        <v>0</v>
      </c>
      <c r="H147" s="203" t="s">
        <v>7</v>
      </c>
      <c r="I147" s="205"/>
      <c r="J147" s="264" t="str">
        <f t="shared" si="4"/>
        <v>도공</v>
      </c>
      <c r="K147" s="265"/>
      <c r="L147" s="266"/>
      <c r="M147" s="266"/>
      <c r="N147" s="266"/>
      <c r="O147" s="266"/>
      <c r="P147" s="266"/>
      <c r="Q147" s="266"/>
      <c r="R147" s="266"/>
    </row>
    <row r="148" spans="1:21" ht="30" customHeight="1">
      <c r="A148" s="282">
        <v>143</v>
      </c>
      <c r="B148" s="202" t="s">
        <v>259</v>
      </c>
      <c r="C148" s="202"/>
      <c r="D148" s="202" t="s">
        <v>258</v>
      </c>
      <c r="E148" s="207">
        <v>261</v>
      </c>
      <c r="F148" s="207">
        <v>261</v>
      </c>
      <c r="G148" s="203" t="s">
        <v>0</v>
      </c>
      <c r="H148" s="203" t="s">
        <v>7</v>
      </c>
      <c r="I148" s="205"/>
      <c r="J148" s="264" t="str">
        <f t="shared" si="4"/>
        <v>잡공</v>
      </c>
      <c r="K148" s="265"/>
      <c r="L148" s="266"/>
      <c r="M148" s="266"/>
      <c r="N148" s="266"/>
      <c r="O148" s="266"/>
      <c r="P148" s="266"/>
      <c r="Q148" s="266"/>
      <c r="R148" s="266"/>
    </row>
    <row r="149" spans="1:21" ht="30" customHeight="1">
      <c r="A149" s="282">
        <v>144</v>
      </c>
      <c r="B149" s="202" t="s">
        <v>260</v>
      </c>
      <c r="C149" s="202"/>
      <c r="D149" s="202" t="s">
        <v>258</v>
      </c>
      <c r="E149" s="207">
        <v>1104</v>
      </c>
      <c r="F149" s="207">
        <v>72</v>
      </c>
      <c r="G149" s="203" t="s">
        <v>0</v>
      </c>
      <c r="H149" s="203" t="s">
        <v>7</v>
      </c>
      <c r="I149" s="205"/>
      <c r="J149" s="264" t="str">
        <f t="shared" si="4"/>
        <v>잡공</v>
      </c>
      <c r="K149" s="265"/>
      <c r="L149" s="266"/>
      <c r="M149" s="266"/>
      <c r="N149" s="266"/>
      <c r="O149" s="266"/>
      <c r="P149" s="266"/>
      <c r="Q149" s="266"/>
      <c r="R149" s="266"/>
    </row>
    <row r="150" spans="1:21" ht="30" customHeight="1">
      <c r="A150" s="282">
        <v>145</v>
      </c>
      <c r="B150" s="202" t="s">
        <v>261</v>
      </c>
      <c r="C150" s="202"/>
      <c r="D150" s="202" t="s">
        <v>258</v>
      </c>
      <c r="E150" s="207">
        <v>1362</v>
      </c>
      <c r="F150" s="207">
        <v>218</v>
      </c>
      <c r="G150" s="203" t="s">
        <v>0</v>
      </c>
      <c r="H150" s="203" t="s">
        <v>7</v>
      </c>
      <c r="I150" s="205"/>
      <c r="J150" s="264" t="str">
        <f t="shared" si="4"/>
        <v>잡공</v>
      </c>
      <c r="K150" s="265"/>
      <c r="L150" s="266"/>
      <c r="M150" s="266"/>
      <c r="N150" s="266"/>
      <c r="O150" s="266"/>
      <c r="P150" s="266"/>
      <c r="Q150" s="266"/>
      <c r="R150" s="266"/>
    </row>
    <row r="151" spans="1:21" ht="30" customHeight="1">
      <c r="A151" s="282">
        <v>146</v>
      </c>
      <c r="B151" s="202" t="s">
        <v>982</v>
      </c>
      <c r="C151" s="202"/>
      <c r="D151" s="202" t="s">
        <v>258</v>
      </c>
      <c r="E151" s="207">
        <v>863</v>
      </c>
      <c r="F151" s="207">
        <v>127</v>
      </c>
      <c r="G151" s="203" t="s">
        <v>0</v>
      </c>
      <c r="H151" s="203" t="s">
        <v>7</v>
      </c>
      <c r="I151" s="205"/>
      <c r="J151" s="264" t="str">
        <f t="shared" si="4"/>
        <v>잡공</v>
      </c>
      <c r="K151" s="265"/>
      <c r="L151" s="266"/>
      <c r="M151" s="266"/>
      <c r="N151" s="266"/>
      <c r="O151" s="266"/>
      <c r="P151" s="266"/>
      <c r="Q151" s="266"/>
      <c r="R151" s="266"/>
    </row>
    <row r="152" spans="1:21" ht="30" customHeight="1">
      <c r="A152" s="282">
        <v>147</v>
      </c>
      <c r="B152" s="202" t="s">
        <v>289</v>
      </c>
      <c r="C152" s="202"/>
      <c r="D152" s="202" t="s">
        <v>84</v>
      </c>
      <c r="E152" s="207">
        <v>1266</v>
      </c>
      <c r="F152" s="207">
        <v>111</v>
      </c>
      <c r="G152" s="203" t="s">
        <v>98</v>
      </c>
      <c r="H152" s="203" t="s">
        <v>102</v>
      </c>
      <c r="I152" s="205"/>
      <c r="J152" s="264" t="str">
        <f t="shared" si="4"/>
        <v>도국</v>
      </c>
      <c r="K152" s="265"/>
      <c r="L152" s="266"/>
      <c r="M152" s="266"/>
      <c r="N152" s="266"/>
      <c r="O152" s="266"/>
      <c r="P152" s="266"/>
      <c r="Q152" s="266"/>
      <c r="R152" s="266"/>
    </row>
    <row r="153" spans="1:21" ht="30" customHeight="1">
      <c r="A153" s="282">
        <v>148</v>
      </c>
      <c r="B153" s="202" t="s">
        <v>290</v>
      </c>
      <c r="C153" s="202"/>
      <c r="D153" s="202" t="s">
        <v>84</v>
      </c>
      <c r="E153" s="207">
        <v>783</v>
      </c>
      <c r="F153" s="207">
        <v>57</v>
      </c>
      <c r="G153" s="203" t="s">
        <v>0</v>
      </c>
      <c r="H153" s="203" t="s">
        <v>7</v>
      </c>
      <c r="I153" s="205"/>
      <c r="J153" s="264" t="str">
        <f t="shared" si="4"/>
        <v>도공</v>
      </c>
      <c r="K153" s="265"/>
      <c r="L153" s="266"/>
      <c r="M153" s="266"/>
      <c r="N153" s="266"/>
      <c r="O153" s="266"/>
      <c r="P153" s="266"/>
      <c r="Q153" s="266"/>
      <c r="R153" s="266"/>
    </row>
    <row r="154" spans="1:21" ht="30" customHeight="1">
      <c r="A154" s="274" t="s">
        <v>286</v>
      </c>
      <c r="B154" s="275"/>
      <c r="C154" s="275"/>
      <c r="D154" s="275"/>
      <c r="E154" s="276"/>
      <c r="F154" s="322">
        <f>SUM(F6:F153)</f>
        <v>96622</v>
      </c>
      <c r="G154" s="286"/>
      <c r="H154" s="286"/>
      <c r="I154" s="287"/>
      <c r="J154" s="264"/>
      <c r="K154" s="267"/>
      <c r="L154" s="266"/>
      <c r="M154" s="266"/>
      <c r="N154" s="266"/>
      <c r="O154" s="266"/>
      <c r="P154" s="266"/>
      <c r="Q154" s="266"/>
      <c r="R154" s="288"/>
      <c r="S154" s="266"/>
      <c r="T154" s="266"/>
      <c r="U154" s="266"/>
    </row>
    <row r="155" spans="1:21" ht="30" customHeight="1">
      <c r="A155" s="204" t="str">
        <f>IF(ISBLANK(D155)," ",94-COUNTBLANK($D$6:D155))</f>
        <v xml:space="preserve"> </v>
      </c>
      <c r="B155" s="202"/>
      <c r="C155" s="202"/>
      <c r="D155" s="202"/>
      <c r="E155" s="304"/>
      <c r="F155" s="211"/>
      <c r="G155" s="203"/>
      <c r="H155" s="203"/>
      <c r="I155" s="295"/>
      <c r="J155" s="264"/>
      <c r="K155" s="265"/>
      <c r="L155" s="266"/>
      <c r="M155" s="266"/>
      <c r="N155" s="266"/>
      <c r="O155" s="266"/>
      <c r="P155" s="266"/>
      <c r="Q155" s="266"/>
      <c r="R155" s="266"/>
    </row>
    <row r="156" spans="1:21" ht="30" customHeight="1">
      <c r="A156" s="204" t="str">
        <f>IF(ISBLANK(D156)," ",95-COUNTBLANK($D$6:D156))</f>
        <v xml:space="preserve"> </v>
      </c>
      <c r="B156" s="202"/>
      <c r="C156" s="202"/>
      <c r="D156" s="202"/>
      <c r="E156" s="304"/>
      <c r="F156" s="211"/>
      <c r="G156" s="203"/>
      <c r="H156" s="203"/>
      <c r="I156" s="295"/>
      <c r="J156" s="264"/>
      <c r="K156" s="265"/>
      <c r="L156" s="266"/>
      <c r="M156" s="266"/>
      <c r="N156" s="266"/>
      <c r="O156" s="266"/>
      <c r="P156" s="266"/>
      <c r="Q156" s="266"/>
      <c r="R156" s="266"/>
    </row>
    <row r="157" spans="1:21" ht="30" customHeight="1">
      <c r="A157" s="204" t="str">
        <f>IF(ISBLANK(D157)," ",96-COUNTBLANK($D$6:D157))</f>
        <v xml:space="preserve"> </v>
      </c>
      <c r="B157" s="202"/>
      <c r="C157" s="202"/>
      <c r="D157" s="202"/>
      <c r="E157" s="304"/>
      <c r="F157" s="211"/>
      <c r="G157" s="203"/>
      <c r="H157" s="203"/>
      <c r="I157" s="295"/>
      <c r="J157" s="264"/>
      <c r="K157" s="265"/>
      <c r="L157" s="266"/>
      <c r="M157" s="266"/>
      <c r="N157" s="266"/>
      <c r="O157" s="266"/>
      <c r="P157" s="266"/>
      <c r="Q157" s="266"/>
      <c r="R157" s="266"/>
    </row>
    <row r="158" spans="1:21" ht="30" customHeight="1">
      <c r="A158" s="204" t="str">
        <f>IF(ISBLANK(D158)," ",97-COUNTBLANK($D$6:D158))</f>
        <v xml:space="preserve"> </v>
      </c>
      <c r="B158" s="202"/>
      <c r="C158" s="202"/>
      <c r="D158" s="202"/>
      <c r="E158" s="304"/>
      <c r="F158" s="211"/>
      <c r="G158" s="203"/>
      <c r="H158" s="203"/>
      <c r="I158" s="295"/>
      <c r="J158" s="264"/>
      <c r="K158" s="265"/>
      <c r="L158" s="266"/>
      <c r="M158" s="266"/>
      <c r="N158" s="266"/>
      <c r="O158" s="266"/>
      <c r="P158" s="266"/>
      <c r="Q158" s="266"/>
      <c r="R158" s="266"/>
    </row>
    <row r="159" spans="1:21" ht="30" customHeight="1">
      <c r="A159" s="204" t="str">
        <f>IF(ISBLANK(D159)," ",98-COUNTBLANK($D$6:D159))</f>
        <v xml:space="preserve"> </v>
      </c>
      <c r="B159" s="202"/>
      <c r="C159" s="202"/>
      <c r="D159" s="202"/>
      <c r="E159" s="304"/>
      <c r="F159" s="211"/>
      <c r="G159" s="203"/>
      <c r="H159" s="203"/>
      <c r="I159" s="295"/>
      <c r="J159" s="264"/>
      <c r="K159" s="265"/>
      <c r="L159" s="266"/>
      <c r="M159" s="266"/>
      <c r="N159" s="266"/>
      <c r="O159" s="266"/>
      <c r="P159" s="266"/>
      <c r="Q159" s="266"/>
      <c r="R159" s="266"/>
    </row>
    <row r="160" spans="1:21" ht="30" customHeight="1">
      <c r="A160" s="204" t="str">
        <f>IF(ISBLANK(D160)," ",99-COUNTBLANK($D$6:D160))</f>
        <v xml:space="preserve"> </v>
      </c>
      <c r="B160" s="202"/>
      <c r="C160" s="202"/>
      <c r="D160" s="202"/>
      <c r="E160" s="304"/>
      <c r="F160" s="211"/>
      <c r="G160" s="203"/>
      <c r="H160" s="203"/>
      <c r="I160" s="295"/>
      <c r="J160" s="264"/>
      <c r="K160" s="265"/>
      <c r="L160" s="266"/>
      <c r="M160" s="266"/>
      <c r="N160" s="266"/>
      <c r="O160" s="266"/>
      <c r="P160" s="266"/>
      <c r="Q160" s="266"/>
      <c r="R160" s="266"/>
    </row>
    <row r="161" spans="1:21" ht="30" customHeight="1">
      <c r="A161" s="204" t="str">
        <f>IF(ISBLANK(D161)," ",100-COUNTBLANK($D$6:D161))</f>
        <v xml:space="preserve"> </v>
      </c>
      <c r="B161" s="202"/>
      <c r="C161" s="202"/>
      <c r="D161" s="202"/>
      <c r="E161" s="304"/>
      <c r="F161" s="211"/>
      <c r="G161" s="203"/>
      <c r="H161" s="203"/>
      <c r="I161" s="295"/>
      <c r="J161" s="264"/>
      <c r="K161" s="265"/>
      <c r="L161" s="266"/>
      <c r="M161" s="266"/>
      <c r="N161" s="266"/>
      <c r="O161" s="266"/>
      <c r="P161" s="266"/>
      <c r="Q161" s="266"/>
      <c r="R161" s="266"/>
    </row>
    <row r="162" spans="1:21" ht="30" customHeight="1">
      <c r="A162" s="204" t="str">
        <f>IF(ISBLANK(D162)," ",101-COUNTBLANK($D$6:D162))</f>
        <v xml:space="preserve"> </v>
      </c>
      <c r="B162" s="202"/>
      <c r="C162" s="202"/>
      <c r="D162" s="202"/>
      <c r="E162" s="304"/>
      <c r="F162" s="211"/>
      <c r="G162" s="203"/>
      <c r="H162" s="203"/>
      <c r="I162" s="295"/>
      <c r="J162" s="264"/>
      <c r="K162" s="265"/>
      <c r="L162" s="266"/>
      <c r="M162" s="266"/>
      <c r="N162" s="266"/>
      <c r="O162" s="266"/>
      <c r="P162" s="266"/>
      <c r="Q162" s="266"/>
      <c r="R162" s="266"/>
    </row>
    <row r="163" spans="1:21" ht="30" customHeight="1">
      <c r="A163" s="204" t="str">
        <f>IF(ISBLANK(D163)," ",102-COUNTBLANK($D$6:D163))</f>
        <v xml:space="preserve"> </v>
      </c>
      <c r="B163" s="202"/>
      <c r="C163" s="202"/>
      <c r="D163" s="202"/>
      <c r="E163" s="304"/>
      <c r="F163" s="211"/>
      <c r="G163" s="203"/>
      <c r="H163" s="203"/>
      <c r="I163" s="295"/>
      <c r="J163" s="264"/>
      <c r="K163" s="265"/>
      <c r="L163" s="266"/>
      <c r="M163" s="266"/>
      <c r="N163" s="266"/>
      <c r="O163" s="266"/>
      <c r="P163" s="266"/>
      <c r="Q163" s="266"/>
      <c r="R163" s="266"/>
    </row>
    <row r="164" spans="1:21" ht="30" customHeight="1">
      <c r="A164" s="204" t="str">
        <f>IF(ISBLANK(D164)," ",103-COUNTBLANK($D$6:D164))</f>
        <v xml:space="preserve"> </v>
      </c>
      <c r="B164" s="202"/>
      <c r="C164" s="202"/>
      <c r="D164" s="202"/>
      <c r="E164" s="304"/>
      <c r="F164" s="211"/>
      <c r="G164" s="203"/>
      <c r="H164" s="203"/>
      <c r="I164" s="295"/>
      <c r="J164" s="264"/>
      <c r="K164" s="265"/>
      <c r="L164" s="266"/>
      <c r="M164" s="266"/>
      <c r="N164" s="266"/>
      <c r="O164" s="266"/>
      <c r="P164" s="266"/>
      <c r="Q164" s="266"/>
      <c r="R164" s="266"/>
    </row>
    <row r="165" spans="1:21" ht="30" customHeight="1">
      <c r="A165" s="204" t="str">
        <f>IF(ISBLANK(D165)," ",104-COUNTBLANK($D$6:D165))</f>
        <v xml:space="preserve"> </v>
      </c>
      <c r="B165" s="202"/>
      <c r="C165" s="202"/>
      <c r="D165" s="202"/>
      <c r="E165" s="304"/>
      <c r="F165" s="211"/>
      <c r="G165" s="203"/>
      <c r="H165" s="203"/>
      <c r="I165" s="295"/>
      <c r="J165" s="264"/>
      <c r="K165" s="265"/>
      <c r="L165" s="266"/>
      <c r="M165" s="266"/>
      <c r="N165" s="266"/>
      <c r="O165" s="266"/>
      <c r="P165" s="266"/>
      <c r="Q165" s="266"/>
      <c r="R165" s="266"/>
    </row>
    <row r="166" spans="1:21" ht="30" customHeight="1">
      <c r="A166" s="204" t="s">
        <v>58</v>
      </c>
      <c r="B166" s="202"/>
      <c r="C166" s="202"/>
      <c r="D166" s="202"/>
      <c r="E166" s="304"/>
      <c r="F166" s="211">
        <f>SUM(F144:F165)</f>
        <v>99501</v>
      </c>
      <c r="G166" s="203"/>
      <c r="H166" s="203"/>
      <c r="I166" s="295"/>
      <c r="J166" s="264"/>
      <c r="K166" s="265"/>
      <c r="L166" s="266"/>
      <c r="M166" s="266"/>
      <c r="N166" s="266"/>
      <c r="O166" s="266"/>
      <c r="P166" s="266"/>
      <c r="Q166" s="266"/>
      <c r="R166" s="266"/>
    </row>
    <row r="167" spans="1:21" ht="30" customHeight="1">
      <c r="A167" s="204" t="str">
        <f>IF(ISBLANK(D167)," ",106-COUNTBLANK($D$6:D167))</f>
        <v xml:space="preserve"> </v>
      </c>
      <c r="B167" s="202"/>
      <c r="C167" s="202"/>
      <c r="D167" s="202"/>
      <c r="E167" s="304"/>
      <c r="F167" s="211"/>
      <c r="G167" s="203"/>
      <c r="H167" s="203"/>
      <c r="I167" s="295"/>
      <c r="J167" s="264"/>
      <c r="K167" s="265"/>
      <c r="L167" s="266"/>
      <c r="M167" s="266"/>
      <c r="N167" s="266"/>
      <c r="O167" s="266"/>
      <c r="P167" s="266"/>
      <c r="Q167" s="266"/>
      <c r="R167" s="266"/>
    </row>
    <row r="168" spans="1:21" ht="30" customHeight="1">
      <c r="A168" s="204" t="str">
        <f>IF(ISBLANK(D168)," ",107-COUNTBLANK($D$6:D168))</f>
        <v xml:space="preserve"> </v>
      </c>
      <c r="B168" s="202"/>
      <c r="C168" s="202"/>
      <c r="D168" s="202"/>
      <c r="E168" s="304"/>
      <c r="F168" s="211"/>
      <c r="G168" s="203"/>
      <c r="H168" s="203"/>
      <c r="I168" s="295"/>
      <c r="J168" s="264"/>
      <c r="K168" s="265"/>
      <c r="L168" s="266"/>
      <c r="M168" s="266"/>
      <c r="N168" s="266"/>
      <c r="O168" s="266"/>
      <c r="P168" s="266"/>
      <c r="Q168" s="266"/>
      <c r="R168" s="266"/>
    </row>
    <row r="169" spans="1:21" ht="30" customHeight="1">
      <c r="A169" s="204" t="str">
        <f>IF(ISBLANK(D169)," ",108-COUNTBLANK($D$6:D169))</f>
        <v xml:space="preserve"> </v>
      </c>
      <c r="B169" s="202"/>
      <c r="C169" s="202"/>
      <c r="D169" s="202"/>
      <c r="E169" s="304"/>
      <c r="F169" s="211"/>
      <c r="G169" s="203"/>
      <c r="H169" s="203"/>
      <c r="I169" s="295"/>
      <c r="J169" s="264"/>
      <c r="K169" s="265"/>
      <c r="L169" s="266"/>
      <c r="M169" s="266"/>
      <c r="N169" s="266"/>
      <c r="O169" s="266"/>
      <c r="P169" s="266"/>
      <c r="Q169" s="266"/>
      <c r="R169" s="266"/>
    </row>
    <row r="170" spans="1:21" ht="30" customHeight="1">
      <c r="A170" s="204" t="str">
        <f>IF(ISBLANK(D170)," ",109-COUNTBLANK($D$6:D170))</f>
        <v xml:space="preserve"> </v>
      </c>
      <c r="B170" s="202"/>
      <c r="C170" s="202"/>
      <c r="D170" s="202"/>
      <c r="E170" s="304"/>
      <c r="F170" s="211"/>
      <c r="G170" s="203"/>
      <c r="H170" s="203"/>
      <c r="I170" s="295"/>
      <c r="J170" s="264"/>
      <c r="K170" s="267"/>
      <c r="L170" s="266"/>
      <c r="M170" s="266"/>
      <c r="N170" s="266"/>
      <c r="O170" s="266"/>
      <c r="P170" s="266"/>
      <c r="Q170" s="266"/>
      <c r="R170" s="268"/>
    </row>
    <row r="171" spans="1:21" ht="30" customHeight="1">
      <c r="A171" s="204" t="str">
        <f>IF(ISBLANK(D171)," ",110-COUNTBLANK($D$6:D171))</f>
        <v xml:space="preserve"> </v>
      </c>
      <c r="B171" s="202"/>
      <c r="C171" s="202"/>
      <c r="D171" s="202"/>
      <c r="E171" s="304"/>
      <c r="F171" s="211"/>
      <c r="G171" s="203"/>
      <c r="H171" s="203"/>
      <c r="I171" s="295"/>
      <c r="J171" s="264"/>
      <c r="K171" s="267"/>
      <c r="L171" s="266"/>
      <c r="M171" s="266"/>
      <c r="N171" s="266"/>
      <c r="O171" s="266"/>
      <c r="P171" s="266"/>
      <c r="Q171" s="266"/>
      <c r="R171" s="268"/>
    </row>
    <row r="172" spans="1:21" ht="30" customHeight="1">
      <c r="A172" s="204" t="str">
        <f>IF(ISBLANK(D172)," ",111-COUNTBLANK($D$6:D172))</f>
        <v xml:space="preserve"> </v>
      </c>
      <c r="B172" s="202"/>
      <c r="C172" s="202"/>
      <c r="D172" s="202"/>
      <c r="E172" s="304"/>
      <c r="F172" s="211"/>
      <c r="G172" s="203"/>
      <c r="H172" s="203"/>
      <c r="I172" s="295"/>
      <c r="J172" s="264"/>
      <c r="K172" s="267"/>
      <c r="L172" s="266"/>
      <c r="M172" s="266"/>
      <c r="N172" s="266"/>
      <c r="O172" s="266"/>
      <c r="P172" s="266"/>
      <c r="Q172" s="266"/>
      <c r="R172" s="268"/>
    </row>
    <row r="173" spans="1:21" ht="30" customHeight="1">
      <c r="A173" s="204" t="str">
        <f>IF(ISBLANK(D173)," ",112-COUNTBLANK($D$6:D173))</f>
        <v xml:space="preserve"> </v>
      </c>
      <c r="B173" s="202"/>
      <c r="C173" s="202"/>
      <c r="D173" s="202"/>
      <c r="E173" s="304"/>
      <c r="F173" s="211"/>
      <c r="G173" s="203"/>
      <c r="H173" s="203"/>
      <c r="I173" s="295"/>
      <c r="J173" s="264"/>
      <c r="K173" s="267"/>
      <c r="L173" s="266"/>
      <c r="M173" s="266"/>
      <c r="N173" s="266"/>
      <c r="O173" s="266"/>
      <c r="P173" s="266"/>
      <c r="Q173" s="266"/>
      <c r="R173" s="268"/>
    </row>
    <row r="174" spans="1:21" ht="30" customHeight="1">
      <c r="A174" s="308" t="str">
        <f>IF(ISBLANK(D174)," ",113-COUNTBLANK($D$6:D174))</f>
        <v xml:space="preserve"> </v>
      </c>
      <c r="B174" s="300"/>
      <c r="C174" s="309"/>
      <c r="D174" s="310"/>
      <c r="E174" s="301"/>
      <c r="F174" s="302"/>
      <c r="G174" s="286"/>
      <c r="H174" s="286"/>
      <c r="I174" s="307"/>
      <c r="J174" s="264"/>
      <c r="K174" s="265"/>
      <c r="L174" s="266"/>
      <c r="M174" s="266"/>
      <c r="N174" s="266"/>
      <c r="O174" s="266"/>
      <c r="P174" s="266"/>
      <c r="Q174" s="266"/>
      <c r="R174" s="288"/>
      <c r="S174" s="266"/>
      <c r="T174" s="266"/>
      <c r="U174" s="266"/>
    </row>
    <row r="175" spans="1:21" ht="30" customHeight="1">
      <c r="A175" s="261" t="str">
        <f>IF(ISBLANK(D175)," ",114-COUNTBLANK($D$6:D175))</f>
        <v xml:space="preserve"> </v>
      </c>
      <c r="B175" s="200"/>
      <c r="C175" s="200"/>
      <c r="D175" s="200"/>
      <c r="E175" s="303"/>
      <c r="F175" s="210"/>
      <c r="G175" s="201"/>
      <c r="H175" s="201"/>
      <c r="I175" s="295"/>
      <c r="J175" s="264"/>
      <c r="K175" s="267"/>
      <c r="L175" s="266"/>
      <c r="M175" s="266"/>
      <c r="N175" s="266"/>
      <c r="O175" s="266"/>
      <c r="P175" s="266"/>
      <c r="Q175" s="266"/>
      <c r="R175" s="288"/>
      <c r="S175" s="266"/>
      <c r="T175" s="266"/>
      <c r="U175" s="266"/>
    </row>
    <row r="176" spans="1:21" ht="30" customHeight="1">
      <c r="A176" s="204" t="str">
        <f>IF(ISBLANK(D176)," ",115-COUNTBLANK($D$6:D176))</f>
        <v xml:space="preserve"> </v>
      </c>
      <c r="B176" s="202"/>
      <c r="C176" s="202"/>
      <c r="D176" s="202"/>
      <c r="E176" s="304"/>
      <c r="F176" s="211"/>
      <c r="G176" s="203"/>
      <c r="H176" s="203"/>
      <c r="I176" s="295"/>
      <c r="J176" s="264"/>
      <c r="K176" s="265"/>
      <c r="L176" s="266"/>
      <c r="M176" s="266"/>
      <c r="N176" s="266"/>
      <c r="O176" s="266"/>
      <c r="P176" s="266"/>
      <c r="Q176" s="266"/>
      <c r="R176" s="266"/>
    </row>
    <row r="177" spans="1:18" ht="30" customHeight="1">
      <c r="A177" s="204" t="str">
        <f>IF(ISBLANK(D177)," ",116-COUNTBLANK($D$6:D177))</f>
        <v xml:space="preserve"> </v>
      </c>
      <c r="B177" s="202"/>
      <c r="C177" s="202"/>
      <c r="D177" s="202"/>
      <c r="E177" s="304"/>
      <c r="F177" s="211"/>
      <c r="G177" s="203"/>
      <c r="H177" s="203"/>
      <c r="I177" s="295"/>
      <c r="J177" s="264"/>
      <c r="K177" s="265"/>
      <c r="L177" s="266"/>
      <c r="M177" s="266"/>
      <c r="N177" s="266"/>
      <c r="O177" s="266"/>
      <c r="P177" s="266"/>
      <c r="Q177" s="266"/>
      <c r="R177" s="266"/>
    </row>
    <row r="178" spans="1:18" ht="30" customHeight="1">
      <c r="A178" s="204" t="str">
        <f>IF(ISBLANK(D178)," ",117-COUNTBLANK($D$6:D178))</f>
        <v xml:space="preserve"> </v>
      </c>
      <c r="B178" s="202"/>
      <c r="C178" s="202"/>
      <c r="D178" s="202"/>
      <c r="E178" s="304"/>
      <c r="F178" s="211"/>
      <c r="G178" s="203"/>
      <c r="H178" s="203"/>
      <c r="I178" s="295"/>
      <c r="J178" s="264"/>
      <c r="K178" s="265"/>
      <c r="L178" s="266"/>
      <c r="M178" s="266"/>
      <c r="N178" s="266"/>
      <c r="O178" s="266"/>
      <c r="P178" s="266"/>
      <c r="Q178" s="266"/>
      <c r="R178" s="266"/>
    </row>
    <row r="179" spans="1:18" ht="30" customHeight="1">
      <c r="A179" s="204" t="str">
        <f>IF(ISBLANK(D179)," ",118-COUNTBLANK($D$6:D179))</f>
        <v xml:space="preserve"> </v>
      </c>
      <c r="B179" s="202"/>
      <c r="C179" s="202"/>
      <c r="D179" s="202"/>
      <c r="E179" s="304"/>
      <c r="F179" s="211"/>
      <c r="G179" s="203"/>
      <c r="H179" s="203"/>
      <c r="I179" s="295"/>
      <c r="J179" s="264"/>
      <c r="K179" s="265"/>
      <c r="L179" s="266"/>
      <c r="M179" s="266"/>
      <c r="N179" s="266"/>
      <c r="O179" s="266"/>
      <c r="P179" s="266"/>
      <c r="Q179" s="266"/>
      <c r="R179" s="266"/>
    </row>
    <row r="180" spans="1:18" ht="30" customHeight="1">
      <c r="A180" s="204" t="str">
        <f>IF(ISBLANK(D180)," ",119-COUNTBLANK($D$6:D180))</f>
        <v xml:space="preserve"> </v>
      </c>
      <c r="B180" s="202"/>
      <c r="C180" s="202"/>
      <c r="D180" s="202"/>
      <c r="E180" s="304"/>
      <c r="F180" s="211"/>
      <c r="G180" s="203"/>
      <c r="H180" s="203"/>
      <c r="I180" s="295"/>
      <c r="J180" s="264"/>
      <c r="K180" s="265"/>
      <c r="L180" s="266"/>
      <c r="M180" s="266"/>
      <c r="N180" s="266"/>
      <c r="O180" s="266"/>
      <c r="P180" s="266"/>
      <c r="Q180" s="266"/>
      <c r="R180" s="266"/>
    </row>
    <row r="181" spans="1:18" ht="30" customHeight="1">
      <c r="A181" s="204" t="str">
        <f>IF(ISBLANK(D181)," ",120-COUNTBLANK($D$6:D181))</f>
        <v xml:space="preserve"> </v>
      </c>
      <c r="B181" s="202"/>
      <c r="C181" s="202"/>
      <c r="D181" s="202"/>
      <c r="E181" s="304"/>
      <c r="F181" s="211"/>
      <c r="G181" s="203"/>
      <c r="H181" s="203"/>
      <c r="I181" s="295"/>
      <c r="J181" s="264"/>
      <c r="K181" s="265"/>
      <c r="L181" s="266"/>
      <c r="M181" s="266"/>
      <c r="N181" s="266"/>
      <c r="O181" s="266"/>
      <c r="P181" s="266"/>
      <c r="Q181" s="266"/>
      <c r="R181" s="266"/>
    </row>
    <row r="182" spans="1:18" ht="30" customHeight="1">
      <c r="A182" s="204" t="str">
        <f>IF(ISBLANK(D182)," ",121-COUNTBLANK($D$6:D182))</f>
        <v xml:space="preserve"> </v>
      </c>
      <c r="B182" s="202"/>
      <c r="C182" s="202"/>
      <c r="D182" s="202"/>
      <c r="E182" s="304"/>
      <c r="F182" s="211"/>
      <c r="G182" s="203"/>
      <c r="H182" s="203"/>
      <c r="I182" s="295"/>
      <c r="J182" s="264"/>
      <c r="K182" s="265"/>
      <c r="L182" s="266"/>
      <c r="M182" s="266"/>
      <c r="N182" s="266"/>
      <c r="O182" s="266"/>
      <c r="P182" s="266"/>
      <c r="Q182" s="266"/>
      <c r="R182" s="266"/>
    </row>
    <row r="183" spans="1:18" ht="30" customHeight="1">
      <c r="A183" s="204" t="str">
        <f>IF(ISBLANK(D183)," ",122-COUNTBLANK($D$6:D183))</f>
        <v xml:space="preserve"> </v>
      </c>
      <c r="B183" s="202"/>
      <c r="C183" s="202"/>
      <c r="D183" s="202"/>
      <c r="E183" s="304"/>
      <c r="F183" s="211"/>
      <c r="G183" s="203"/>
      <c r="H183" s="203"/>
      <c r="I183" s="295"/>
      <c r="J183" s="264"/>
      <c r="K183" s="265"/>
      <c r="L183" s="266"/>
      <c r="M183" s="266"/>
      <c r="N183" s="266"/>
      <c r="O183" s="266"/>
      <c r="P183" s="266"/>
      <c r="Q183" s="266"/>
      <c r="R183" s="266"/>
    </row>
    <row r="184" spans="1:18" ht="30" customHeight="1">
      <c r="A184" s="204" t="str">
        <f>IF(ISBLANK(D184)," ",123-COUNTBLANK($D$6:D184))</f>
        <v xml:space="preserve"> </v>
      </c>
      <c r="B184" s="202"/>
      <c r="C184" s="202"/>
      <c r="D184" s="202"/>
      <c r="E184" s="304"/>
      <c r="F184" s="211"/>
      <c r="G184" s="203"/>
      <c r="H184" s="203"/>
      <c r="I184" s="295"/>
      <c r="J184" s="264"/>
      <c r="K184" s="265"/>
      <c r="L184" s="266"/>
      <c r="M184" s="266"/>
      <c r="N184" s="266"/>
      <c r="O184" s="266"/>
      <c r="P184" s="266"/>
      <c r="Q184" s="266"/>
      <c r="R184" s="266"/>
    </row>
    <row r="185" spans="1:18" ht="30" customHeight="1">
      <c r="A185" s="204" t="str">
        <f>IF(ISBLANK(D185)," ",124-COUNTBLANK($D$6:D185))</f>
        <v xml:space="preserve"> </v>
      </c>
      <c r="B185" s="202"/>
      <c r="C185" s="202"/>
      <c r="D185" s="202"/>
      <c r="E185" s="304"/>
      <c r="F185" s="211"/>
      <c r="G185" s="203"/>
      <c r="H185" s="203"/>
      <c r="I185" s="295"/>
      <c r="J185" s="264"/>
      <c r="K185" s="265"/>
      <c r="L185" s="266"/>
      <c r="M185" s="266"/>
      <c r="N185" s="266"/>
      <c r="O185" s="266"/>
      <c r="P185" s="266"/>
      <c r="Q185" s="266"/>
      <c r="R185" s="266"/>
    </row>
    <row r="186" spans="1:18" ht="30" customHeight="1">
      <c r="A186" s="204" t="str">
        <f>IF(ISBLANK(D186)," ",125-COUNTBLANK($D$6:D186))</f>
        <v xml:space="preserve"> </v>
      </c>
      <c r="B186" s="202"/>
      <c r="C186" s="202"/>
      <c r="D186" s="202"/>
      <c r="E186" s="304"/>
      <c r="F186" s="211"/>
      <c r="G186" s="203"/>
      <c r="H186" s="203"/>
      <c r="I186" s="295"/>
      <c r="J186" s="264"/>
      <c r="K186" s="265"/>
      <c r="L186" s="266"/>
      <c r="M186" s="266"/>
      <c r="N186" s="266"/>
      <c r="O186" s="266"/>
      <c r="P186" s="266"/>
      <c r="Q186" s="266"/>
      <c r="R186" s="266"/>
    </row>
    <row r="187" spans="1:18" ht="30" customHeight="1">
      <c r="A187" s="204" t="s">
        <v>58</v>
      </c>
      <c r="B187" s="202"/>
      <c r="C187" s="202"/>
      <c r="D187" s="202"/>
      <c r="E187" s="304"/>
      <c r="F187" s="211">
        <f>SUM(F167:F186)</f>
        <v>0</v>
      </c>
      <c r="G187" s="203"/>
      <c r="H187" s="203"/>
      <c r="I187" s="295"/>
      <c r="J187" s="264"/>
      <c r="K187" s="265"/>
      <c r="L187" s="266"/>
      <c r="M187" s="266"/>
      <c r="N187" s="266"/>
      <c r="O187" s="266"/>
      <c r="P187" s="266"/>
      <c r="Q187" s="266"/>
      <c r="R187" s="266"/>
    </row>
    <row r="188" spans="1:18" ht="30" customHeight="1">
      <c r="A188" s="204" t="str">
        <f>IF(ISBLANK(D188)," ",127-COUNTBLANK($D$6:D188))</f>
        <v xml:space="preserve"> </v>
      </c>
      <c r="B188" s="202"/>
      <c r="C188" s="202"/>
      <c r="D188" s="202"/>
      <c r="E188" s="304"/>
      <c r="F188" s="211"/>
      <c r="G188" s="203"/>
      <c r="H188" s="203"/>
      <c r="I188" s="295"/>
      <c r="J188" s="264"/>
      <c r="K188" s="265"/>
      <c r="L188" s="266"/>
      <c r="M188" s="266"/>
      <c r="N188" s="266"/>
      <c r="O188" s="266"/>
      <c r="P188" s="266"/>
      <c r="Q188" s="266"/>
      <c r="R188" s="266"/>
    </row>
    <row r="189" spans="1:18" ht="30" customHeight="1">
      <c r="A189" s="204" t="str">
        <f>IF(ISBLANK(D189)," ",128-COUNTBLANK($D$6:D189))</f>
        <v xml:space="preserve"> </v>
      </c>
      <c r="B189" s="202"/>
      <c r="C189" s="202"/>
      <c r="D189" s="202"/>
      <c r="E189" s="304"/>
      <c r="F189" s="211"/>
      <c r="G189" s="203"/>
      <c r="H189" s="203"/>
      <c r="I189" s="295"/>
      <c r="J189" s="264"/>
      <c r="K189" s="265"/>
      <c r="L189" s="266"/>
      <c r="M189" s="266"/>
      <c r="N189" s="266"/>
      <c r="O189" s="266"/>
      <c r="P189" s="266"/>
      <c r="Q189" s="266"/>
      <c r="R189" s="266"/>
    </row>
    <row r="190" spans="1:18" ht="30" customHeight="1">
      <c r="A190" s="204" t="str">
        <f>IF(ISBLANK(D190)," ",129-COUNTBLANK($D$6:D190))</f>
        <v xml:space="preserve"> </v>
      </c>
      <c r="B190" s="202"/>
      <c r="C190" s="202"/>
      <c r="D190" s="202"/>
      <c r="E190" s="304"/>
      <c r="F190" s="211"/>
      <c r="G190" s="203"/>
      <c r="H190" s="203"/>
      <c r="I190" s="295"/>
      <c r="J190" s="264"/>
      <c r="K190" s="265"/>
      <c r="L190" s="266"/>
      <c r="M190" s="266"/>
      <c r="N190" s="266"/>
      <c r="O190" s="266"/>
      <c r="P190" s="266"/>
      <c r="Q190" s="266"/>
      <c r="R190" s="266"/>
    </row>
    <row r="191" spans="1:18" ht="30" customHeight="1">
      <c r="A191" s="204" t="str">
        <f>IF(ISBLANK(D191)," ",130-COUNTBLANK($D$6:D191))</f>
        <v xml:space="preserve"> </v>
      </c>
      <c r="B191" s="202"/>
      <c r="C191" s="202"/>
      <c r="D191" s="202"/>
      <c r="E191" s="304"/>
      <c r="F191" s="211"/>
      <c r="G191" s="203"/>
      <c r="H191" s="203"/>
      <c r="I191" s="295"/>
      <c r="J191" s="264"/>
      <c r="K191" s="267"/>
      <c r="L191" s="266"/>
      <c r="M191" s="266"/>
      <c r="N191" s="266"/>
      <c r="O191" s="266"/>
      <c r="P191" s="266"/>
      <c r="Q191" s="266"/>
      <c r="R191" s="268"/>
    </row>
    <row r="192" spans="1:18" ht="30" customHeight="1">
      <c r="A192" s="204" t="str">
        <f>IF(ISBLANK(D192)," ",131-COUNTBLANK($D$6:D192))</f>
        <v xml:space="preserve"> </v>
      </c>
      <c r="B192" s="202"/>
      <c r="C192" s="202"/>
      <c r="D192" s="202"/>
      <c r="E192" s="304"/>
      <c r="F192" s="211"/>
      <c r="G192" s="203"/>
      <c r="H192" s="203"/>
      <c r="I192" s="295"/>
      <c r="J192" s="264"/>
      <c r="K192" s="267"/>
      <c r="L192" s="266"/>
      <c r="M192" s="266"/>
      <c r="N192" s="266"/>
      <c r="O192" s="266"/>
      <c r="P192" s="266"/>
      <c r="Q192" s="266"/>
      <c r="R192" s="268"/>
    </row>
    <row r="193" spans="1:21" ht="30" customHeight="1">
      <c r="A193" s="204" t="str">
        <f>IF(ISBLANK(D193)," ",132-COUNTBLANK($D$6:D193))</f>
        <v xml:space="preserve"> </v>
      </c>
      <c r="B193" s="202"/>
      <c r="C193" s="202"/>
      <c r="D193" s="202"/>
      <c r="E193" s="304"/>
      <c r="F193" s="211"/>
      <c r="G193" s="203"/>
      <c r="H193" s="203"/>
      <c r="I193" s="295"/>
      <c r="J193" s="264"/>
      <c r="K193" s="267"/>
      <c r="L193" s="266"/>
      <c r="M193" s="266"/>
      <c r="N193" s="266"/>
      <c r="O193" s="266"/>
      <c r="P193" s="266"/>
      <c r="Q193" s="266"/>
      <c r="R193" s="268"/>
    </row>
    <row r="194" spans="1:21" ht="30" customHeight="1">
      <c r="A194" s="204" t="str">
        <f>IF(ISBLANK(D194)," ",133-COUNTBLANK($D$6:D194))</f>
        <v xml:space="preserve"> </v>
      </c>
      <c r="B194" s="202"/>
      <c r="C194" s="202"/>
      <c r="D194" s="202"/>
      <c r="E194" s="304"/>
      <c r="F194" s="211"/>
      <c r="G194" s="203"/>
      <c r="H194" s="203"/>
      <c r="I194" s="295"/>
      <c r="J194" s="264"/>
      <c r="K194" s="267"/>
      <c r="L194" s="266"/>
      <c r="M194" s="266"/>
      <c r="N194" s="266"/>
      <c r="O194" s="266"/>
      <c r="P194" s="266"/>
      <c r="Q194" s="266"/>
      <c r="R194" s="268"/>
    </row>
    <row r="195" spans="1:21" ht="30" customHeight="1">
      <c r="A195" s="308" t="str">
        <f>IF(ISBLANK(D195)," ",134-COUNTBLANK($D$6:D195))</f>
        <v xml:space="preserve"> </v>
      </c>
      <c r="B195" s="300"/>
      <c r="C195" s="309"/>
      <c r="D195" s="310"/>
      <c r="E195" s="301"/>
      <c r="F195" s="302"/>
      <c r="G195" s="286"/>
      <c r="H195" s="286"/>
      <c r="I195" s="307"/>
      <c r="J195" s="264"/>
      <c r="K195" s="265"/>
      <c r="L195" s="266"/>
      <c r="M195" s="266"/>
      <c r="N195" s="266"/>
      <c r="O195" s="266"/>
      <c r="P195" s="266"/>
      <c r="Q195" s="266"/>
      <c r="R195" s="288"/>
      <c r="S195" s="266"/>
      <c r="T195" s="266"/>
      <c r="U195" s="266"/>
    </row>
    <row r="196" spans="1:21" ht="30" customHeight="1">
      <c r="A196" s="261" t="str">
        <f>IF(ISBLANK(D196)," ",135-COUNTBLANK($D$6:D196))</f>
        <v xml:space="preserve"> </v>
      </c>
      <c r="B196" s="200"/>
      <c r="C196" s="200"/>
      <c r="D196" s="200"/>
      <c r="E196" s="303"/>
      <c r="F196" s="210"/>
      <c r="G196" s="201"/>
      <c r="H196" s="201"/>
      <c r="I196" s="295"/>
      <c r="J196" s="264"/>
      <c r="K196" s="267"/>
      <c r="L196" s="266"/>
      <c r="M196" s="266"/>
      <c r="N196" s="266"/>
      <c r="O196" s="266"/>
      <c r="P196" s="266"/>
      <c r="Q196" s="266"/>
      <c r="R196" s="288"/>
      <c r="S196" s="266"/>
      <c r="T196" s="266"/>
      <c r="U196" s="266"/>
    </row>
    <row r="197" spans="1:21" ht="30" customHeight="1">
      <c r="A197" s="204" t="str">
        <f>IF(ISBLANK(D197)," ",136-COUNTBLANK($D$6:D197))</f>
        <v xml:space="preserve"> </v>
      </c>
      <c r="B197" s="202"/>
      <c r="C197" s="202"/>
      <c r="D197" s="202"/>
      <c r="E197" s="304"/>
      <c r="F197" s="211"/>
      <c r="G197" s="203"/>
      <c r="H197" s="203"/>
      <c r="I197" s="295"/>
      <c r="J197" s="264"/>
      <c r="K197" s="265"/>
      <c r="L197" s="266"/>
      <c r="M197" s="266"/>
      <c r="N197" s="266"/>
      <c r="O197" s="266"/>
      <c r="P197" s="266"/>
      <c r="Q197" s="266"/>
      <c r="R197" s="266"/>
    </row>
    <row r="198" spans="1:21" ht="30" customHeight="1">
      <c r="A198" s="204" t="str">
        <f>IF(ISBLANK(D198)," ",137-COUNTBLANK($D$6:D198))</f>
        <v xml:space="preserve"> </v>
      </c>
      <c r="B198" s="202"/>
      <c r="C198" s="202"/>
      <c r="D198" s="202"/>
      <c r="E198" s="304"/>
      <c r="F198" s="211"/>
      <c r="G198" s="203"/>
      <c r="H198" s="203"/>
      <c r="I198" s="295"/>
      <c r="J198" s="264"/>
      <c r="K198" s="265"/>
      <c r="L198" s="266"/>
      <c r="M198" s="266"/>
      <c r="N198" s="266"/>
      <c r="O198" s="266"/>
      <c r="P198" s="266"/>
      <c r="Q198" s="266"/>
      <c r="R198" s="266"/>
    </row>
    <row r="199" spans="1:21" ht="30" customHeight="1">
      <c r="A199" s="204" t="str">
        <f>IF(ISBLANK(D199)," ",138-COUNTBLANK($D$6:D199))</f>
        <v xml:space="preserve"> </v>
      </c>
      <c r="B199" s="202"/>
      <c r="C199" s="202"/>
      <c r="D199" s="202"/>
      <c r="E199" s="304"/>
      <c r="F199" s="211"/>
      <c r="G199" s="203"/>
      <c r="H199" s="203"/>
      <c r="I199" s="295"/>
      <c r="J199" s="264"/>
      <c r="K199" s="265"/>
      <c r="L199" s="266"/>
      <c r="M199" s="266"/>
      <c r="N199" s="266"/>
      <c r="O199" s="266"/>
      <c r="P199" s="266"/>
      <c r="Q199" s="266"/>
      <c r="R199" s="266"/>
    </row>
    <row r="200" spans="1:21" ht="30" customHeight="1">
      <c r="A200" s="204" t="str">
        <f>IF(ISBLANK(D200)," ",139-COUNTBLANK($D$6:D200))</f>
        <v xml:space="preserve"> </v>
      </c>
      <c r="B200" s="202"/>
      <c r="C200" s="202"/>
      <c r="D200" s="202"/>
      <c r="E200" s="304"/>
      <c r="F200" s="211"/>
      <c r="G200" s="203"/>
      <c r="H200" s="203"/>
      <c r="I200" s="295"/>
      <c r="J200" s="264"/>
      <c r="K200" s="265"/>
      <c r="L200" s="266"/>
      <c r="M200" s="266"/>
      <c r="N200" s="266"/>
      <c r="O200" s="266"/>
      <c r="P200" s="266"/>
      <c r="Q200" s="266"/>
      <c r="R200" s="266"/>
    </row>
    <row r="201" spans="1:21" ht="30" customHeight="1">
      <c r="A201" s="204" t="str">
        <f>IF(ISBLANK(D201)," ",140-COUNTBLANK($D$6:D201))</f>
        <v xml:space="preserve"> </v>
      </c>
      <c r="B201" s="202"/>
      <c r="C201" s="202"/>
      <c r="D201" s="202"/>
      <c r="E201" s="304"/>
      <c r="F201" s="211"/>
      <c r="G201" s="203"/>
      <c r="H201" s="203"/>
      <c r="I201" s="295"/>
      <c r="J201" s="264"/>
      <c r="K201" s="265"/>
      <c r="L201" s="266"/>
      <c r="M201" s="266"/>
      <c r="N201" s="266"/>
      <c r="O201" s="266"/>
      <c r="P201" s="266"/>
      <c r="Q201" s="266"/>
      <c r="R201" s="266"/>
    </row>
    <row r="202" spans="1:21" ht="30" customHeight="1">
      <c r="A202" s="204" t="str">
        <f>IF(ISBLANK(D202)," ",141-COUNTBLANK($D$6:D202))</f>
        <v xml:space="preserve"> </v>
      </c>
      <c r="B202" s="202"/>
      <c r="C202" s="202"/>
      <c r="D202" s="202"/>
      <c r="E202" s="304"/>
      <c r="F202" s="211"/>
      <c r="G202" s="203"/>
      <c r="H202" s="203"/>
      <c r="I202" s="295"/>
      <c r="J202" s="264"/>
      <c r="K202" s="265"/>
      <c r="L202" s="266"/>
      <c r="M202" s="266"/>
      <c r="N202" s="266"/>
      <c r="O202" s="266"/>
      <c r="P202" s="266"/>
      <c r="Q202" s="266"/>
      <c r="R202" s="266"/>
    </row>
    <row r="203" spans="1:21" ht="30" customHeight="1">
      <c r="A203" s="204" t="str">
        <f>IF(ISBLANK(D203)," ",142-COUNTBLANK($D$6:D203))</f>
        <v xml:space="preserve"> </v>
      </c>
      <c r="B203" s="202"/>
      <c r="C203" s="202"/>
      <c r="D203" s="202"/>
      <c r="E203" s="304"/>
      <c r="F203" s="211"/>
      <c r="G203" s="203"/>
      <c r="H203" s="203"/>
      <c r="I203" s="295"/>
      <c r="J203" s="264"/>
      <c r="K203" s="265"/>
      <c r="L203" s="266"/>
      <c r="M203" s="266"/>
      <c r="N203" s="266"/>
      <c r="O203" s="266"/>
      <c r="P203" s="266"/>
      <c r="Q203" s="266"/>
      <c r="R203" s="266"/>
    </row>
    <row r="204" spans="1:21" ht="30" customHeight="1">
      <c r="A204" s="204" t="str">
        <f>IF(ISBLANK(D204)," ",143-COUNTBLANK($D$6:D204))</f>
        <v xml:space="preserve"> </v>
      </c>
      <c r="B204" s="202"/>
      <c r="C204" s="202"/>
      <c r="D204" s="202"/>
      <c r="E204" s="304"/>
      <c r="F204" s="211"/>
      <c r="G204" s="203"/>
      <c r="H204" s="203"/>
      <c r="I204" s="295"/>
      <c r="J204" s="264"/>
      <c r="K204" s="265"/>
      <c r="L204" s="266"/>
      <c r="M204" s="266"/>
      <c r="N204" s="266"/>
      <c r="O204" s="266"/>
      <c r="P204" s="266"/>
      <c r="Q204" s="266"/>
      <c r="R204" s="266"/>
    </row>
    <row r="205" spans="1:21" ht="30" customHeight="1">
      <c r="A205" s="204" t="str">
        <f>IF(ISBLANK(D205)," ",144-COUNTBLANK($D$6:D205))</f>
        <v xml:space="preserve"> </v>
      </c>
      <c r="B205" s="202"/>
      <c r="C205" s="202"/>
      <c r="D205" s="202"/>
      <c r="E205" s="304"/>
      <c r="F205" s="211"/>
      <c r="G205" s="203"/>
      <c r="H205" s="203"/>
      <c r="I205" s="295"/>
      <c r="J205" s="264"/>
      <c r="K205" s="265"/>
      <c r="L205" s="266"/>
      <c r="M205" s="266"/>
      <c r="N205" s="266"/>
      <c r="O205" s="266"/>
      <c r="P205" s="266"/>
      <c r="Q205" s="266"/>
      <c r="R205" s="266"/>
    </row>
    <row r="206" spans="1:21" ht="30" customHeight="1">
      <c r="A206" s="204" t="str">
        <f>IF(ISBLANK(D206)," ",145-COUNTBLANK($D$6:D206))</f>
        <v xml:space="preserve"> </v>
      </c>
      <c r="B206" s="202"/>
      <c r="C206" s="202"/>
      <c r="D206" s="202"/>
      <c r="E206" s="304"/>
      <c r="F206" s="211"/>
      <c r="G206" s="203"/>
      <c r="H206" s="203"/>
      <c r="I206" s="295"/>
      <c r="J206" s="264"/>
      <c r="K206" s="265"/>
      <c r="L206" s="266"/>
      <c r="M206" s="266"/>
      <c r="N206" s="266"/>
      <c r="O206" s="266"/>
      <c r="P206" s="266"/>
      <c r="Q206" s="266"/>
      <c r="R206" s="266"/>
    </row>
    <row r="207" spans="1:21" ht="30" customHeight="1">
      <c r="A207" s="204" t="str">
        <f>IF(ISBLANK(D207)," ",146-COUNTBLANK($D$6:D207))</f>
        <v xml:space="preserve"> </v>
      </c>
      <c r="B207" s="202"/>
      <c r="C207" s="202"/>
      <c r="D207" s="202"/>
      <c r="E207" s="304"/>
      <c r="F207" s="211"/>
      <c r="G207" s="203"/>
      <c r="H207" s="203"/>
      <c r="I207" s="295"/>
      <c r="J207" s="264"/>
      <c r="K207" s="265"/>
      <c r="L207" s="266"/>
      <c r="M207" s="266"/>
      <c r="N207" s="266"/>
      <c r="O207" s="266"/>
      <c r="P207" s="266"/>
      <c r="Q207" s="266"/>
      <c r="R207" s="266"/>
    </row>
    <row r="208" spans="1:21" ht="30" customHeight="1">
      <c r="A208" s="204" t="s">
        <v>58</v>
      </c>
      <c r="B208" s="202"/>
      <c r="C208" s="202"/>
      <c r="D208" s="202"/>
      <c r="E208" s="304"/>
      <c r="F208" s="211">
        <f>SUM(F188:F207)</f>
        <v>0</v>
      </c>
      <c r="G208" s="203"/>
      <c r="H208" s="203"/>
      <c r="I208" s="295"/>
      <c r="J208" s="264"/>
      <c r="K208" s="265"/>
      <c r="L208" s="266"/>
      <c r="M208" s="266"/>
      <c r="N208" s="266"/>
      <c r="O208" s="266"/>
      <c r="P208" s="266"/>
      <c r="Q208" s="266"/>
      <c r="R208" s="266"/>
    </row>
    <row r="209" spans="1:21" ht="30" customHeight="1">
      <c r="A209" s="204" t="str">
        <f>IF(ISBLANK(D209)," ",148-COUNTBLANK($D$6:D209))</f>
        <v xml:space="preserve"> </v>
      </c>
      <c r="B209" s="202"/>
      <c r="C209" s="202"/>
      <c r="D209" s="202"/>
      <c r="E209" s="304"/>
      <c r="F209" s="211"/>
      <c r="G209" s="203"/>
      <c r="H209" s="203"/>
      <c r="I209" s="295"/>
      <c r="J209" s="264"/>
      <c r="K209" s="265"/>
      <c r="L209" s="266"/>
      <c r="M209" s="266"/>
      <c r="N209" s="266"/>
      <c r="O209" s="266"/>
      <c r="P209" s="266"/>
      <c r="Q209" s="266"/>
      <c r="R209" s="266"/>
    </row>
    <row r="210" spans="1:21" ht="30" customHeight="1">
      <c r="A210" s="204" t="str">
        <f>IF(ISBLANK(D210)," ",149-COUNTBLANK($D$6:D210))</f>
        <v xml:space="preserve"> </v>
      </c>
      <c r="B210" s="202"/>
      <c r="C210" s="202"/>
      <c r="D210" s="202"/>
      <c r="E210" s="304"/>
      <c r="F210" s="211"/>
      <c r="G210" s="203"/>
      <c r="H210" s="203"/>
      <c r="I210" s="295"/>
      <c r="J210" s="264"/>
      <c r="K210" s="265"/>
      <c r="L210" s="266"/>
      <c r="M210" s="266"/>
      <c r="N210" s="266"/>
      <c r="O210" s="266"/>
      <c r="P210" s="266"/>
      <c r="Q210" s="266"/>
      <c r="R210" s="266"/>
    </row>
    <row r="211" spans="1:21" ht="30" customHeight="1">
      <c r="A211" s="204" t="str">
        <f>IF(ISBLANK(D211)," ",150-COUNTBLANK($D$6:D211))</f>
        <v xml:space="preserve"> </v>
      </c>
      <c r="B211" s="202"/>
      <c r="C211" s="202"/>
      <c r="D211" s="202"/>
      <c r="E211" s="304"/>
      <c r="F211" s="211"/>
      <c r="G211" s="203"/>
      <c r="H211" s="203"/>
      <c r="I211" s="295"/>
      <c r="J211" s="264"/>
      <c r="K211" s="265"/>
      <c r="L211" s="266"/>
      <c r="M211" s="266"/>
      <c r="N211" s="266"/>
      <c r="O211" s="266"/>
      <c r="P211" s="266"/>
      <c r="Q211" s="266"/>
      <c r="R211" s="266"/>
    </row>
    <row r="212" spans="1:21" ht="30" customHeight="1">
      <c r="A212" s="204" t="str">
        <f>IF(ISBLANK(D212)," ",151-COUNTBLANK($D$6:D212))</f>
        <v xml:space="preserve"> </v>
      </c>
      <c r="B212" s="202"/>
      <c r="C212" s="202"/>
      <c r="D212" s="202"/>
      <c r="E212" s="304"/>
      <c r="F212" s="211"/>
      <c r="G212" s="203"/>
      <c r="H212" s="203"/>
      <c r="I212" s="295"/>
      <c r="J212" s="264"/>
      <c r="K212" s="267"/>
      <c r="L212" s="266"/>
      <c r="M212" s="266"/>
      <c r="N212" s="266"/>
      <c r="O212" s="266"/>
      <c r="P212" s="266"/>
      <c r="Q212" s="266"/>
      <c r="R212" s="268"/>
    </row>
    <row r="213" spans="1:21" ht="30" customHeight="1">
      <c r="A213" s="204" t="str">
        <f>IF(ISBLANK(D213)," ",152-COUNTBLANK($D$6:D213))</f>
        <v xml:space="preserve"> </v>
      </c>
      <c r="B213" s="202"/>
      <c r="C213" s="202"/>
      <c r="D213" s="202"/>
      <c r="E213" s="304"/>
      <c r="F213" s="211"/>
      <c r="G213" s="203"/>
      <c r="H213" s="203"/>
      <c r="I213" s="295"/>
      <c r="J213" s="264"/>
      <c r="K213" s="267"/>
      <c r="L213" s="266"/>
      <c r="M213" s="266"/>
      <c r="N213" s="266"/>
      <c r="O213" s="266"/>
      <c r="P213" s="266"/>
      <c r="Q213" s="266"/>
      <c r="R213" s="268"/>
    </row>
    <row r="214" spans="1:21" ht="30" customHeight="1">
      <c r="A214" s="204" t="str">
        <f>IF(ISBLANK(D214)," ",153-COUNTBLANK($D$6:D214))</f>
        <v xml:space="preserve"> </v>
      </c>
      <c r="B214" s="202"/>
      <c r="C214" s="202"/>
      <c r="D214" s="202"/>
      <c r="E214" s="304"/>
      <c r="F214" s="211"/>
      <c r="G214" s="203"/>
      <c r="H214" s="203"/>
      <c r="I214" s="295"/>
      <c r="J214" s="264"/>
      <c r="K214" s="267"/>
      <c r="L214" s="266"/>
      <c r="M214" s="266"/>
      <c r="N214" s="266"/>
      <c r="O214" s="266"/>
      <c r="P214" s="266"/>
      <c r="Q214" s="266"/>
      <c r="R214" s="268"/>
    </row>
    <row r="215" spans="1:21" ht="30" customHeight="1">
      <c r="A215" s="204" t="str">
        <f>IF(ISBLANK(D215)," ",154-COUNTBLANK($D$6:D215))</f>
        <v xml:space="preserve"> </v>
      </c>
      <c r="B215" s="202"/>
      <c r="C215" s="202"/>
      <c r="D215" s="202"/>
      <c r="E215" s="304"/>
      <c r="F215" s="211"/>
      <c r="G215" s="203"/>
      <c r="H215" s="203"/>
      <c r="I215" s="295"/>
      <c r="J215" s="264"/>
      <c r="K215" s="267"/>
      <c r="L215" s="266"/>
      <c r="M215" s="266"/>
      <c r="N215" s="266"/>
      <c r="O215" s="266"/>
      <c r="P215" s="266"/>
      <c r="Q215" s="266"/>
      <c r="R215" s="268"/>
    </row>
    <row r="216" spans="1:21" ht="30" customHeight="1">
      <c r="A216" s="308" t="str">
        <f>IF(ISBLANK(D216)," ",155-COUNTBLANK($D$6:D216))</f>
        <v xml:space="preserve"> </v>
      </c>
      <c r="B216" s="300"/>
      <c r="C216" s="309"/>
      <c r="D216" s="310"/>
      <c r="E216" s="301"/>
      <c r="F216" s="302"/>
      <c r="G216" s="286"/>
      <c r="H216" s="286"/>
      <c r="I216" s="307"/>
      <c r="J216" s="264"/>
      <c r="K216" s="265"/>
      <c r="L216" s="266"/>
      <c r="M216" s="266"/>
      <c r="N216" s="266"/>
      <c r="O216" s="266"/>
      <c r="P216" s="266"/>
      <c r="Q216" s="266"/>
      <c r="R216" s="288"/>
      <c r="S216" s="266"/>
      <c r="T216" s="266"/>
      <c r="U216" s="266"/>
    </row>
    <row r="217" spans="1:21" ht="30" customHeight="1">
      <c r="A217" s="261" t="str">
        <f>IF(ISBLANK(D217)," ",156-COUNTBLANK($D$6:D217))</f>
        <v xml:space="preserve"> </v>
      </c>
      <c r="B217" s="200"/>
      <c r="C217" s="200"/>
      <c r="D217" s="200"/>
      <c r="E217" s="303"/>
      <c r="F217" s="210"/>
      <c r="G217" s="201"/>
      <c r="H217" s="201"/>
      <c r="I217" s="295"/>
      <c r="J217" s="264"/>
      <c r="K217" s="267"/>
      <c r="L217" s="266"/>
      <c r="M217" s="266"/>
      <c r="N217" s="266"/>
      <c r="O217" s="266"/>
      <c r="P217" s="266"/>
      <c r="Q217" s="266"/>
      <c r="R217" s="288"/>
      <c r="S217" s="266"/>
      <c r="T217" s="266"/>
      <c r="U217" s="266"/>
    </row>
    <row r="218" spans="1:21" ht="30" customHeight="1">
      <c r="A218" s="204" t="str">
        <f>IF(ISBLANK(D218)," ",157-COUNTBLANK($D$6:D218))</f>
        <v xml:space="preserve"> </v>
      </c>
      <c r="B218" s="202"/>
      <c r="C218" s="202"/>
      <c r="D218" s="202"/>
      <c r="E218" s="304"/>
      <c r="F218" s="211"/>
      <c r="G218" s="203"/>
      <c r="H218" s="203"/>
      <c r="I218" s="295"/>
      <c r="J218" s="264"/>
      <c r="K218" s="265"/>
      <c r="L218" s="266"/>
      <c r="M218" s="266"/>
      <c r="N218" s="266"/>
      <c r="O218" s="266"/>
      <c r="P218" s="266"/>
      <c r="Q218" s="266"/>
      <c r="R218" s="266"/>
    </row>
    <row r="219" spans="1:21" ht="30" customHeight="1">
      <c r="A219" s="204" t="str">
        <f>IF(ISBLANK(D219)," ",158-COUNTBLANK($D$6:D219))</f>
        <v xml:space="preserve"> </v>
      </c>
      <c r="B219" s="202"/>
      <c r="C219" s="202"/>
      <c r="D219" s="202"/>
      <c r="E219" s="304"/>
      <c r="F219" s="211"/>
      <c r="G219" s="203"/>
      <c r="H219" s="203"/>
      <c r="I219" s="295"/>
      <c r="J219" s="264"/>
      <c r="K219" s="265"/>
      <c r="L219" s="266"/>
      <c r="M219" s="266"/>
      <c r="N219" s="266"/>
      <c r="O219" s="266"/>
      <c r="P219" s="266"/>
      <c r="Q219" s="266"/>
      <c r="R219" s="266"/>
    </row>
    <row r="220" spans="1:21" ht="30" customHeight="1">
      <c r="A220" s="204" t="str">
        <f>IF(ISBLANK(D220)," ",159-COUNTBLANK($D$6:D220))</f>
        <v xml:space="preserve"> </v>
      </c>
      <c r="B220" s="202"/>
      <c r="C220" s="202"/>
      <c r="D220" s="202"/>
      <c r="E220" s="304"/>
      <c r="F220" s="211"/>
      <c r="G220" s="203"/>
      <c r="H220" s="203"/>
      <c r="I220" s="295"/>
      <c r="J220" s="264"/>
      <c r="K220" s="265"/>
      <c r="L220" s="266"/>
      <c r="M220" s="266"/>
      <c r="N220" s="266"/>
      <c r="O220" s="266"/>
      <c r="P220" s="266"/>
      <c r="Q220" s="266"/>
      <c r="R220" s="266"/>
    </row>
    <row r="221" spans="1:21" ht="30" customHeight="1">
      <c r="A221" s="204" t="str">
        <f>IF(ISBLANK(D221)," ",160-COUNTBLANK($D$6:D221))</f>
        <v xml:space="preserve"> </v>
      </c>
      <c r="B221" s="202"/>
      <c r="C221" s="202"/>
      <c r="D221" s="202"/>
      <c r="E221" s="304"/>
      <c r="F221" s="211"/>
      <c r="G221" s="203"/>
      <c r="H221" s="203"/>
      <c r="I221" s="295"/>
      <c r="J221" s="264"/>
      <c r="K221" s="265"/>
      <c r="L221" s="266"/>
      <c r="M221" s="266"/>
      <c r="N221" s="266"/>
      <c r="O221" s="266"/>
      <c r="P221" s="266"/>
      <c r="Q221" s="266"/>
      <c r="R221" s="266"/>
    </row>
    <row r="222" spans="1:21" ht="30" customHeight="1">
      <c r="A222" s="204" t="str">
        <f>IF(ISBLANK(D222)," ",161-COUNTBLANK($D$6:D222))</f>
        <v xml:space="preserve"> </v>
      </c>
      <c r="B222" s="202"/>
      <c r="C222" s="202"/>
      <c r="D222" s="202"/>
      <c r="E222" s="304"/>
      <c r="F222" s="211"/>
      <c r="G222" s="203"/>
      <c r="H222" s="203"/>
      <c r="I222" s="295"/>
      <c r="J222" s="264"/>
      <c r="K222" s="265"/>
      <c r="L222" s="266"/>
      <c r="M222" s="266"/>
      <c r="N222" s="266"/>
      <c r="O222" s="266"/>
      <c r="P222" s="266"/>
      <c r="Q222" s="266"/>
      <c r="R222" s="266"/>
    </row>
    <row r="223" spans="1:21" ht="30" customHeight="1">
      <c r="A223" s="204" t="str">
        <f>IF(ISBLANK(D223)," ",162-COUNTBLANK($D$6:D223))</f>
        <v xml:space="preserve"> </v>
      </c>
      <c r="B223" s="202"/>
      <c r="C223" s="202"/>
      <c r="D223" s="202"/>
      <c r="E223" s="304"/>
      <c r="F223" s="211"/>
      <c r="G223" s="203"/>
      <c r="H223" s="203"/>
      <c r="I223" s="295"/>
      <c r="J223" s="264"/>
      <c r="K223" s="265"/>
      <c r="L223" s="266"/>
      <c r="M223" s="266"/>
      <c r="N223" s="266"/>
      <c r="O223" s="266"/>
      <c r="P223" s="266"/>
      <c r="Q223" s="266"/>
      <c r="R223" s="266"/>
    </row>
    <row r="224" spans="1:21" ht="30" customHeight="1">
      <c r="A224" s="204" t="str">
        <f>IF(ISBLANK(D224)," ",163-COUNTBLANK($D$6:D224))</f>
        <v xml:space="preserve"> </v>
      </c>
      <c r="B224" s="202"/>
      <c r="C224" s="202"/>
      <c r="D224" s="202"/>
      <c r="E224" s="304"/>
      <c r="F224" s="211"/>
      <c r="G224" s="203"/>
      <c r="H224" s="203"/>
      <c r="I224" s="295"/>
      <c r="J224" s="264"/>
      <c r="K224" s="265"/>
      <c r="L224" s="266"/>
      <c r="M224" s="266"/>
      <c r="N224" s="266"/>
      <c r="O224" s="266"/>
      <c r="P224" s="266"/>
      <c r="Q224" s="266"/>
      <c r="R224" s="266"/>
    </row>
    <row r="225" spans="1:21" ht="30" customHeight="1">
      <c r="A225" s="204" t="str">
        <f>IF(ISBLANK(D225)," ",164-COUNTBLANK($D$6:D225))</f>
        <v xml:space="preserve"> </v>
      </c>
      <c r="B225" s="202"/>
      <c r="C225" s="202"/>
      <c r="D225" s="202"/>
      <c r="E225" s="304"/>
      <c r="F225" s="211"/>
      <c r="G225" s="203"/>
      <c r="H225" s="203"/>
      <c r="I225" s="295"/>
      <c r="J225" s="264"/>
      <c r="K225" s="265"/>
      <c r="L225" s="266"/>
      <c r="M225" s="266"/>
      <c r="N225" s="266"/>
      <c r="O225" s="266"/>
      <c r="P225" s="266"/>
      <c r="Q225" s="266"/>
      <c r="R225" s="266"/>
    </row>
    <row r="226" spans="1:21" ht="30" customHeight="1">
      <c r="A226" s="204" t="str">
        <f>IF(ISBLANK(D226)," ",165-COUNTBLANK($D$6:D226))</f>
        <v xml:space="preserve"> </v>
      </c>
      <c r="B226" s="202"/>
      <c r="C226" s="202"/>
      <c r="D226" s="202"/>
      <c r="E226" s="304"/>
      <c r="F226" s="211"/>
      <c r="G226" s="203"/>
      <c r="H226" s="203"/>
      <c r="I226" s="295"/>
      <c r="J226" s="264"/>
      <c r="K226" s="265"/>
      <c r="L226" s="266"/>
      <c r="M226" s="266"/>
      <c r="N226" s="266"/>
      <c r="O226" s="266"/>
      <c r="P226" s="266"/>
      <c r="Q226" s="266"/>
      <c r="R226" s="266"/>
    </row>
    <row r="227" spans="1:21" ht="30" customHeight="1">
      <c r="A227" s="204" t="str">
        <f>IF(ISBLANK(D227)," ",166-COUNTBLANK($D$6:D227))</f>
        <v xml:space="preserve"> </v>
      </c>
      <c r="B227" s="202"/>
      <c r="C227" s="202"/>
      <c r="D227" s="202"/>
      <c r="E227" s="304"/>
      <c r="F227" s="211"/>
      <c r="G227" s="203"/>
      <c r="H227" s="203"/>
      <c r="I227" s="295"/>
      <c r="J227" s="264"/>
      <c r="K227" s="265"/>
      <c r="L227" s="266"/>
      <c r="M227" s="266"/>
      <c r="N227" s="266"/>
      <c r="O227" s="266"/>
      <c r="P227" s="266"/>
      <c r="Q227" s="266"/>
      <c r="R227" s="266"/>
    </row>
    <row r="228" spans="1:21" ht="30" customHeight="1">
      <c r="A228" s="204" t="str">
        <f>IF(ISBLANK(D228)," ",167-COUNTBLANK($D$6:D228))</f>
        <v xml:space="preserve"> </v>
      </c>
      <c r="B228" s="202"/>
      <c r="C228" s="202"/>
      <c r="D228" s="202"/>
      <c r="E228" s="304"/>
      <c r="F228" s="211"/>
      <c r="G228" s="203"/>
      <c r="H228" s="203"/>
      <c r="I228" s="295"/>
      <c r="J228" s="264"/>
      <c r="K228" s="265"/>
      <c r="L228" s="266"/>
      <c r="M228" s="266"/>
      <c r="N228" s="266"/>
      <c r="O228" s="266"/>
      <c r="P228" s="266"/>
      <c r="Q228" s="266"/>
      <c r="R228" s="266"/>
    </row>
    <row r="229" spans="1:21" ht="30" customHeight="1">
      <c r="A229" s="204" t="s">
        <v>58</v>
      </c>
      <c r="B229" s="202"/>
      <c r="C229" s="202"/>
      <c r="D229" s="202"/>
      <c r="E229" s="304"/>
      <c r="F229" s="211">
        <f>SUM(F209:F228)</f>
        <v>0</v>
      </c>
      <c r="G229" s="203"/>
      <c r="H229" s="203"/>
      <c r="I229" s="295"/>
      <c r="J229" s="264"/>
      <c r="K229" s="265"/>
      <c r="L229" s="266"/>
      <c r="M229" s="266"/>
      <c r="N229" s="266"/>
      <c r="O229" s="266"/>
      <c r="P229" s="266"/>
      <c r="Q229" s="266"/>
      <c r="R229" s="266"/>
    </row>
    <row r="230" spans="1:21" ht="30" customHeight="1">
      <c r="A230" s="204" t="str">
        <f>IF(ISBLANK(D230)," ",169-COUNTBLANK($D$6:D230))</f>
        <v xml:space="preserve"> </v>
      </c>
      <c r="B230" s="202"/>
      <c r="C230" s="202"/>
      <c r="D230" s="202"/>
      <c r="E230" s="304"/>
      <c r="F230" s="211"/>
      <c r="G230" s="203"/>
      <c r="H230" s="203"/>
      <c r="I230" s="295"/>
      <c r="J230" s="264"/>
      <c r="K230" s="265"/>
      <c r="L230" s="266"/>
      <c r="M230" s="266"/>
      <c r="N230" s="266"/>
      <c r="O230" s="266"/>
      <c r="P230" s="266"/>
      <c r="Q230" s="266"/>
      <c r="R230" s="266"/>
    </row>
    <row r="231" spans="1:21" ht="30" customHeight="1">
      <c r="A231" s="204" t="str">
        <f>IF(ISBLANK(D231)," ",170-COUNTBLANK($D$6:D231))</f>
        <v xml:space="preserve"> </v>
      </c>
      <c r="B231" s="202"/>
      <c r="C231" s="202"/>
      <c r="D231" s="202"/>
      <c r="E231" s="304"/>
      <c r="F231" s="211"/>
      <c r="G231" s="203"/>
      <c r="H231" s="203"/>
      <c r="I231" s="295"/>
      <c r="J231" s="264"/>
      <c r="K231" s="265"/>
      <c r="L231" s="266"/>
      <c r="M231" s="266"/>
      <c r="N231" s="266"/>
      <c r="O231" s="266"/>
      <c r="P231" s="266"/>
      <c r="Q231" s="266"/>
      <c r="R231" s="266"/>
    </row>
    <row r="232" spans="1:21" ht="30" customHeight="1">
      <c r="A232" s="204" t="str">
        <f>IF(ISBLANK(D232)," ",171-COUNTBLANK($D$6:D232))</f>
        <v xml:space="preserve"> </v>
      </c>
      <c r="B232" s="202"/>
      <c r="C232" s="202"/>
      <c r="D232" s="202"/>
      <c r="E232" s="304"/>
      <c r="F232" s="211"/>
      <c r="G232" s="203"/>
      <c r="H232" s="203"/>
      <c r="I232" s="295"/>
      <c r="J232" s="264"/>
      <c r="K232" s="265"/>
      <c r="L232" s="266"/>
      <c r="M232" s="266"/>
      <c r="N232" s="266"/>
      <c r="O232" s="266"/>
      <c r="P232" s="266"/>
      <c r="Q232" s="266"/>
      <c r="R232" s="266"/>
    </row>
    <row r="233" spans="1:21" ht="30" customHeight="1">
      <c r="A233" s="204" t="str">
        <f>IF(ISBLANK(D233)," ",172-COUNTBLANK($D$6:D233))</f>
        <v xml:space="preserve"> </v>
      </c>
      <c r="B233" s="202"/>
      <c r="C233" s="202"/>
      <c r="D233" s="202"/>
      <c r="E233" s="304"/>
      <c r="F233" s="211"/>
      <c r="G233" s="203"/>
      <c r="H233" s="203"/>
      <c r="I233" s="295"/>
      <c r="J233" s="264"/>
      <c r="K233" s="267"/>
      <c r="L233" s="266"/>
      <c r="M233" s="266"/>
      <c r="N233" s="266"/>
      <c r="O233" s="266"/>
      <c r="P233" s="266"/>
      <c r="Q233" s="266"/>
      <c r="R233" s="268"/>
    </row>
    <row r="234" spans="1:21" ht="30" customHeight="1">
      <c r="A234" s="204" t="str">
        <f>IF(ISBLANK(D234)," ",173-COUNTBLANK($D$6:D234))</f>
        <v xml:space="preserve"> </v>
      </c>
      <c r="B234" s="202"/>
      <c r="C234" s="202"/>
      <c r="D234" s="202"/>
      <c r="E234" s="304"/>
      <c r="F234" s="211"/>
      <c r="G234" s="203"/>
      <c r="H234" s="203"/>
      <c r="I234" s="295"/>
      <c r="J234" s="264"/>
      <c r="K234" s="267"/>
      <c r="L234" s="266"/>
      <c r="M234" s="266"/>
      <c r="N234" s="266"/>
      <c r="O234" s="266"/>
      <c r="P234" s="266"/>
      <c r="Q234" s="266"/>
      <c r="R234" s="268"/>
    </row>
    <row r="235" spans="1:21" ht="30" customHeight="1">
      <c r="A235" s="204" t="str">
        <f>IF(ISBLANK(D235)," ",174-COUNTBLANK($D$6:D235))</f>
        <v xml:space="preserve"> </v>
      </c>
      <c r="B235" s="202"/>
      <c r="C235" s="202"/>
      <c r="D235" s="202"/>
      <c r="E235" s="304"/>
      <c r="F235" s="211"/>
      <c r="G235" s="203"/>
      <c r="H235" s="203"/>
      <c r="I235" s="295"/>
      <c r="J235" s="264"/>
      <c r="K235" s="267"/>
      <c r="L235" s="266"/>
      <c r="M235" s="266"/>
      <c r="N235" s="266"/>
      <c r="O235" s="266"/>
      <c r="P235" s="266"/>
      <c r="Q235" s="266"/>
      <c r="R235" s="268"/>
    </row>
    <row r="236" spans="1:21" ht="30" customHeight="1">
      <c r="A236" s="204" t="str">
        <f>IF(ISBLANK(D236)," ",175-COUNTBLANK($D$6:D236))</f>
        <v xml:space="preserve"> </v>
      </c>
      <c r="B236" s="202"/>
      <c r="C236" s="202"/>
      <c r="D236" s="202"/>
      <c r="E236" s="304"/>
      <c r="F236" s="211"/>
      <c r="G236" s="203"/>
      <c r="H236" s="203"/>
      <c r="I236" s="295"/>
      <c r="J236" s="264"/>
      <c r="K236" s="267"/>
      <c r="L236" s="266"/>
      <c r="M236" s="266"/>
      <c r="N236" s="266"/>
      <c r="O236" s="266"/>
      <c r="P236" s="266"/>
      <c r="Q236" s="266"/>
      <c r="R236" s="268"/>
    </row>
    <row r="237" spans="1:21" ht="30" customHeight="1">
      <c r="A237" s="308" t="str">
        <f>IF(ISBLANK(D237)," ",176-COUNTBLANK($D$6:D237))</f>
        <v xml:space="preserve"> </v>
      </c>
      <c r="B237" s="300"/>
      <c r="C237" s="309"/>
      <c r="D237" s="310"/>
      <c r="E237" s="301"/>
      <c r="F237" s="302"/>
      <c r="G237" s="286"/>
      <c r="H237" s="286"/>
      <c r="I237" s="307"/>
      <c r="J237" s="264"/>
      <c r="K237" s="265"/>
      <c r="L237" s="266"/>
      <c r="M237" s="266"/>
      <c r="N237" s="266"/>
      <c r="O237" s="266"/>
      <c r="P237" s="266"/>
      <c r="Q237" s="266"/>
      <c r="R237" s="288"/>
      <c r="S237" s="266"/>
      <c r="T237" s="266"/>
      <c r="U237" s="266"/>
    </row>
    <row r="238" spans="1:21" ht="30" customHeight="1">
      <c r="A238" s="261" t="str">
        <f>IF(ISBLANK(D238)," ",177-COUNTBLANK($D$6:D238))</f>
        <v xml:space="preserve"> </v>
      </c>
      <c r="B238" s="200"/>
      <c r="C238" s="200"/>
      <c r="D238" s="200"/>
      <c r="E238" s="303"/>
      <c r="F238" s="210"/>
      <c r="G238" s="201"/>
      <c r="H238" s="201"/>
      <c r="I238" s="295"/>
      <c r="J238" s="264"/>
      <c r="K238" s="267"/>
      <c r="L238" s="266"/>
      <c r="M238" s="266"/>
      <c r="N238" s="266"/>
      <c r="O238" s="266"/>
      <c r="P238" s="266"/>
      <c r="Q238" s="266"/>
      <c r="R238" s="288"/>
      <c r="S238" s="266"/>
      <c r="T238" s="266"/>
      <c r="U238" s="266"/>
    </row>
    <row r="239" spans="1:21" ht="30" customHeight="1">
      <c r="A239" s="204" t="str">
        <f>IF(ISBLANK(D239)," ",178-COUNTBLANK($D$6:D239))</f>
        <v xml:space="preserve"> </v>
      </c>
      <c r="B239" s="202"/>
      <c r="C239" s="202"/>
      <c r="D239" s="202"/>
      <c r="E239" s="304"/>
      <c r="F239" s="211"/>
      <c r="G239" s="203"/>
      <c r="H239" s="203"/>
      <c r="I239" s="295"/>
      <c r="J239" s="264"/>
      <c r="K239" s="265"/>
      <c r="L239" s="266"/>
      <c r="M239" s="266"/>
      <c r="N239" s="266"/>
      <c r="O239" s="266"/>
      <c r="P239" s="266"/>
      <c r="Q239" s="266"/>
      <c r="R239" s="266"/>
    </row>
    <row r="240" spans="1:21" ht="30" customHeight="1">
      <c r="A240" s="204" t="str">
        <f>IF(ISBLANK(D240)," ",179-COUNTBLANK($D$6:D240))</f>
        <v xml:space="preserve"> </v>
      </c>
      <c r="B240" s="202"/>
      <c r="C240" s="202"/>
      <c r="D240" s="202"/>
      <c r="E240" s="304"/>
      <c r="F240" s="211"/>
      <c r="G240" s="203"/>
      <c r="H240" s="203"/>
      <c r="I240" s="295"/>
      <c r="J240" s="264"/>
      <c r="K240" s="265"/>
      <c r="L240" s="266"/>
      <c r="M240" s="266"/>
      <c r="N240" s="266"/>
      <c r="O240" s="266"/>
      <c r="P240" s="266"/>
      <c r="Q240" s="266"/>
      <c r="R240" s="266"/>
    </row>
    <row r="241" spans="1:18" ht="30" customHeight="1">
      <c r="A241" s="204" t="str">
        <f>IF(ISBLANK(D241)," ",180-COUNTBLANK($D$6:D241))</f>
        <v xml:space="preserve"> </v>
      </c>
      <c r="B241" s="202"/>
      <c r="C241" s="202"/>
      <c r="D241" s="202"/>
      <c r="E241" s="304"/>
      <c r="F241" s="211"/>
      <c r="G241" s="203"/>
      <c r="H241" s="203"/>
      <c r="I241" s="295"/>
      <c r="J241" s="264"/>
      <c r="K241" s="265"/>
      <c r="L241" s="266"/>
      <c r="M241" s="266"/>
      <c r="N241" s="266"/>
      <c r="O241" s="266"/>
      <c r="P241" s="266"/>
      <c r="Q241" s="266"/>
      <c r="R241" s="266"/>
    </row>
    <row r="242" spans="1:18" ht="30" customHeight="1">
      <c r="A242" s="204" t="str">
        <f>IF(ISBLANK(D242)," ",181-COUNTBLANK($D$6:D242))</f>
        <v xml:space="preserve"> </v>
      </c>
      <c r="B242" s="202"/>
      <c r="C242" s="202"/>
      <c r="D242" s="202"/>
      <c r="E242" s="304"/>
      <c r="F242" s="211"/>
      <c r="G242" s="203"/>
      <c r="H242" s="203"/>
      <c r="I242" s="295"/>
      <c r="J242" s="264"/>
      <c r="K242" s="265"/>
      <c r="L242" s="266"/>
      <c r="M242" s="266"/>
      <c r="N242" s="266"/>
      <c r="O242" s="266"/>
      <c r="P242" s="266"/>
      <c r="Q242" s="266"/>
      <c r="R242" s="266"/>
    </row>
    <row r="243" spans="1:18" ht="30" customHeight="1">
      <c r="A243" s="204" t="str">
        <f>IF(ISBLANK(D243)," ",182-COUNTBLANK($D$6:D243))</f>
        <v xml:space="preserve"> </v>
      </c>
      <c r="B243" s="202"/>
      <c r="C243" s="202"/>
      <c r="D243" s="202"/>
      <c r="E243" s="304"/>
      <c r="F243" s="211"/>
      <c r="G243" s="203"/>
      <c r="H243" s="203"/>
      <c r="I243" s="295"/>
      <c r="J243" s="264"/>
      <c r="K243" s="265"/>
      <c r="L243" s="266"/>
      <c r="M243" s="266"/>
      <c r="N243" s="266"/>
      <c r="O243" s="266"/>
      <c r="P243" s="266"/>
      <c r="Q243" s="266"/>
      <c r="R243" s="266"/>
    </row>
    <row r="244" spans="1:18" ht="30" customHeight="1">
      <c r="A244" s="204" t="str">
        <f>IF(ISBLANK(D244)," ",183-COUNTBLANK($D$6:D244))</f>
        <v xml:space="preserve"> </v>
      </c>
      <c r="B244" s="202"/>
      <c r="C244" s="202"/>
      <c r="D244" s="202"/>
      <c r="E244" s="304"/>
      <c r="F244" s="211"/>
      <c r="G244" s="203"/>
      <c r="H244" s="203"/>
      <c r="I244" s="295"/>
      <c r="J244" s="264"/>
      <c r="K244" s="265"/>
      <c r="L244" s="266"/>
      <c r="M244" s="266"/>
      <c r="N244" s="266"/>
      <c r="O244" s="266"/>
      <c r="P244" s="266"/>
      <c r="Q244" s="266"/>
      <c r="R244" s="266"/>
    </row>
    <row r="245" spans="1:18" ht="30" customHeight="1">
      <c r="A245" s="204" t="str">
        <f>IF(ISBLANK(D245)," ",184-COUNTBLANK($D$6:D245))</f>
        <v xml:space="preserve"> </v>
      </c>
      <c r="B245" s="202"/>
      <c r="C245" s="202"/>
      <c r="D245" s="202"/>
      <c r="E245" s="304"/>
      <c r="F245" s="211"/>
      <c r="G245" s="203"/>
      <c r="H245" s="203"/>
      <c r="I245" s="295"/>
      <c r="J245" s="264"/>
      <c r="K245" s="265"/>
      <c r="L245" s="266"/>
      <c r="M245" s="266"/>
      <c r="N245" s="266"/>
      <c r="O245" s="266"/>
      <c r="P245" s="266"/>
      <c r="Q245" s="266"/>
      <c r="R245" s="266"/>
    </row>
    <row r="246" spans="1:18" ht="30" customHeight="1">
      <c r="A246" s="204" t="str">
        <f>IF(ISBLANK(D246)," ",185-COUNTBLANK($D$6:D246))</f>
        <v xml:space="preserve"> </v>
      </c>
      <c r="B246" s="202"/>
      <c r="C246" s="202"/>
      <c r="D246" s="202"/>
      <c r="E246" s="304"/>
      <c r="F246" s="211"/>
      <c r="G246" s="203"/>
      <c r="H246" s="203"/>
      <c r="I246" s="295"/>
      <c r="J246" s="264"/>
      <c r="K246" s="265"/>
      <c r="L246" s="266"/>
      <c r="M246" s="266"/>
      <c r="N246" s="266"/>
      <c r="O246" s="266"/>
      <c r="P246" s="266"/>
      <c r="Q246" s="266"/>
      <c r="R246" s="266"/>
    </row>
    <row r="247" spans="1:18" ht="30" customHeight="1">
      <c r="A247" s="204" t="str">
        <f>IF(ISBLANK(D247)," ",186-COUNTBLANK($D$6:D247))</f>
        <v xml:space="preserve"> </v>
      </c>
      <c r="B247" s="202"/>
      <c r="C247" s="202"/>
      <c r="D247" s="202"/>
      <c r="E247" s="304"/>
      <c r="F247" s="211"/>
      <c r="G247" s="203"/>
      <c r="H247" s="203"/>
      <c r="I247" s="295"/>
      <c r="J247" s="264"/>
      <c r="K247" s="265"/>
      <c r="L247" s="266"/>
      <c r="M247" s="266"/>
      <c r="N247" s="266"/>
      <c r="O247" s="266"/>
      <c r="P247" s="266"/>
      <c r="Q247" s="266"/>
      <c r="R247" s="266"/>
    </row>
    <row r="248" spans="1:18" ht="30" customHeight="1">
      <c r="A248" s="204" t="str">
        <f>IF(ISBLANK(D248)," ",187-COUNTBLANK($D$6:D248))</f>
        <v xml:space="preserve"> </v>
      </c>
      <c r="B248" s="202"/>
      <c r="C248" s="202"/>
      <c r="D248" s="202"/>
      <c r="E248" s="304"/>
      <c r="F248" s="211"/>
      <c r="G248" s="203"/>
      <c r="H248" s="203"/>
      <c r="I248" s="295"/>
      <c r="J248" s="264"/>
      <c r="K248" s="265"/>
      <c r="L248" s="266"/>
      <c r="M248" s="266"/>
      <c r="N248" s="266"/>
      <c r="O248" s="266"/>
      <c r="P248" s="266"/>
      <c r="Q248" s="266"/>
      <c r="R248" s="266"/>
    </row>
    <row r="249" spans="1:18" ht="30" customHeight="1">
      <c r="A249" s="204" t="str">
        <f>IF(ISBLANK(D249)," ",188-COUNTBLANK($D$6:D249))</f>
        <v xml:space="preserve"> </v>
      </c>
      <c r="B249" s="202"/>
      <c r="C249" s="202"/>
      <c r="D249" s="202"/>
      <c r="E249" s="304"/>
      <c r="F249" s="211"/>
      <c r="G249" s="203"/>
      <c r="H249" s="203"/>
      <c r="I249" s="295"/>
      <c r="J249" s="264"/>
      <c r="K249" s="265"/>
      <c r="L249" s="266"/>
      <c r="M249" s="266"/>
      <c r="N249" s="266"/>
      <c r="O249" s="266"/>
      <c r="P249" s="266"/>
      <c r="Q249" s="266"/>
      <c r="R249" s="266"/>
    </row>
    <row r="250" spans="1:18" ht="30" customHeight="1">
      <c r="A250" s="204" t="s">
        <v>58</v>
      </c>
      <c r="B250" s="202"/>
      <c r="C250" s="202"/>
      <c r="D250" s="202"/>
      <c r="E250" s="304"/>
      <c r="F250" s="211">
        <f>SUM(F230:F249)</f>
        <v>0</v>
      </c>
      <c r="G250" s="203"/>
      <c r="H250" s="203"/>
      <c r="I250" s="295"/>
      <c r="J250" s="264"/>
      <c r="K250" s="265"/>
      <c r="L250" s="266"/>
      <c r="M250" s="266"/>
      <c r="N250" s="266"/>
      <c r="O250" s="266"/>
      <c r="P250" s="266"/>
      <c r="Q250" s="266"/>
      <c r="R250" s="266"/>
    </row>
    <row r="251" spans="1:18" ht="30" customHeight="1">
      <c r="A251" s="204" t="str">
        <f>IF(ISBLANK(D251)," ",190-COUNTBLANK($D$6:D251))</f>
        <v xml:space="preserve"> </v>
      </c>
      <c r="B251" s="202"/>
      <c r="C251" s="202"/>
      <c r="D251" s="202"/>
      <c r="E251" s="304"/>
      <c r="F251" s="211"/>
      <c r="G251" s="203"/>
      <c r="H251" s="203"/>
      <c r="I251" s="295"/>
      <c r="J251" s="264"/>
      <c r="K251" s="265"/>
      <c r="L251" s="266"/>
      <c r="M251" s="266"/>
      <c r="N251" s="266"/>
      <c r="O251" s="266"/>
      <c r="P251" s="266"/>
      <c r="Q251" s="266"/>
      <c r="R251" s="266"/>
    </row>
    <row r="252" spans="1:18" ht="30" customHeight="1">
      <c r="A252" s="204" t="str">
        <f>IF(ISBLANK(D252)," ",191-COUNTBLANK($D$6:D252))</f>
        <v xml:space="preserve"> </v>
      </c>
      <c r="B252" s="202"/>
      <c r="C252" s="202"/>
      <c r="D252" s="202"/>
      <c r="E252" s="304"/>
      <c r="F252" s="211"/>
      <c r="G252" s="203"/>
      <c r="H252" s="203"/>
      <c r="I252" s="295"/>
      <c r="J252" s="264"/>
      <c r="K252" s="265"/>
      <c r="L252" s="266"/>
      <c r="M252" s="266"/>
      <c r="N252" s="266"/>
      <c r="O252" s="266"/>
      <c r="P252" s="266"/>
      <c r="Q252" s="266"/>
      <c r="R252" s="266"/>
    </row>
    <row r="253" spans="1:18" ht="30" customHeight="1">
      <c r="A253" s="204" t="str">
        <f>IF(ISBLANK(D253)," ",192-COUNTBLANK($D$6:D253))</f>
        <v xml:space="preserve"> </v>
      </c>
      <c r="B253" s="202"/>
      <c r="C253" s="202"/>
      <c r="D253" s="202"/>
      <c r="E253" s="304"/>
      <c r="F253" s="211"/>
      <c r="G253" s="203"/>
      <c r="H253" s="203"/>
      <c r="I253" s="295"/>
      <c r="J253" s="264"/>
      <c r="K253" s="265"/>
      <c r="L253" s="266"/>
      <c r="M253" s="266"/>
      <c r="N253" s="266"/>
      <c r="O253" s="266"/>
      <c r="P253" s="266"/>
      <c r="Q253" s="266"/>
      <c r="R253" s="266"/>
    </row>
    <row r="254" spans="1:18" ht="30" customHeight="1">
      <c r="A254" s="204" t="str">
        <f>IF(ISBLANK(D254)," ",193-COUNTBLANK($D$6:D254))</f>
        <v xml:space="preserve"> </v>
      </c>
      <c r="B254" s="202"/>
      <c r="C254" s="202"/>
      <c r="D254" s="202"/>
      <c r="E254" s="304"/>
      <c r="F254" s="211"/>
      <c r="G254" s="203"/>
      <c r="H254" s="203"/>
      <c r="I254" s="295"/>
      <c r="J254" s="264"/>
      <c r="K254" s="267"/>
      <c r="L254" s="266"/>
      <c r="M254" s="266"/>
      <c r="N254" s="266"/>
      <c r="O254" s="266"/>
      <c r="P254" s="266"/>
      <c r="Q254" s="266"/>
      <c r="R254" s="268"/>
    </row>
    <row r="255" spans="1:18" ht="30" customHeight="1">
      <c r="A255" s="204" t="str">
        <f>IF(ISBLANK(D255)," ",194-COUNTBLANK($D$6:D255))</f>
        <v xml:space="preserve"> </v>
      </c>
      <c r="B255" s="202"/>
      <c r="C255" s="202"/>
      <c r="D255" s="202"/>
      <c r="E255" s="304"/>
      <c r="F255" s="211"/>
      <c r="G255" s="203"/>
      <c r="H255" s="203"/>
      <c r="I255" s="295"/>
      <c r="J255" s="264"/>
      <c r="K255" s="267"/>
      <c r="L255" s="266"/>
      <c r="M255" s="266"/>
      <c r="N255" s="266"/>
      <c r="O255" s="266"/>
      <c r="P255" s="266"/>
      <c r="Q255" s="266"/>
      <c r="R255" s="268"/>
    </row>
    <row r="256" spans="1:18" ht="30" customHeight="1">
      <c r="A256" s="204" t="str">
        <f>IF(ISBLANK(D256)," ",195-COUNTBLANK($D$6:D256))</f>
        <v xml:space="preserve"> </v>
      </c>
      <c r="B256" s="202"/>
      <c r="C256" s="202"/>
      <c r="D256" s="202"/>
      <c r="E256" s="304"/>
      <c r="F256" s="211"/>
      <c r="G256" s="203"/>
      <c r="H256" s="203"/>
      <c r="I256" s="295"/>
      <c r="J256" s="264"/>
      <c r="K256" s="267"/>
      <c r="L256" s="266"/>
      <c r="M256" s="266"/>
      <c r="N256" s="266"/>
      <c r="O256" s="266"/>
      <c r="P256" s="266"/>
      <c r="Q256" s="266"/>
      <c r="R256" s="268"/>
    </row>
    <row r="257" spans="1:21" ht="30" customHeight="1">
      <c r="A257" s="204" t="str">
        <f>IF(ISBLANK(D257)," ",196-COUNTBLANK($D$6:D257))</f>
        <v xml:space="preserve"> </v>
      </c>
      <c r="B257" s="202"/>
      <c r="C257" s="202"/>
      <c r="D257" s="202"/>
      <c r="E257" s="304"/>
      <c r="F257" s="211"/>
      <c r="G257" s="203"/>
      <c r="H257" s="203"/>
      <c r="I257" s="295"/>
      <c r="J257" s="264"/>
      <c r="K257" s="267"/>
      <c r="L257" s="266"/>
      <c r="M257" s="266"/>
      <c r="N257" s="266"/>
      <c r="O257" s="266"/>
      <c r="P257" s="266"/>
      <c r="Q257" s="266"/>
      <c r="R257" s="268"/>
    </row>
    <row r="258" spans="1:21" ht="30" customHeight="1">
      <c r="A258" s="308" t="str">
        <f>IF(ISBLANK(D258)," ",197-COUNTBLANK($D$6:D258))</f>
        <v xml:space="preserve"> </v>
      </c>
      <c r="B258" s="300"/>
      <c r="C258" s="309"/>
      <c r="D258" s="310"/>
      <c r="E258" s="301"/>
      <c r="F258" s="302"/>
      <c r="G258" s="286"/>
      <c r="H258" s="286"/>
      <c r="I258" s="307"/>
      <c r="J258" s="264"/>
      <c r="K258" s="265"/>
      <c r="L258" s="266"/>
      <c r="M258" s="266"/>
      <c r="N258" s="266"/>
      <c r="O258" s="266"/>
      <c r="P258" s="266"/>
      <c r="Q258" s="266"/>
      <c r="R258" s="288"/>
      <c r="S258" s="266"/>
      <c r="T258" s="266"/>
      <c r="U258" s="266"/>
    </row>
    <row r="259" spans="1:21" ht="30" customHeight="1">
      <c r="A259" s="261" t="str">
        <f>IF(ISBLANK(D259)," ",198-COUNTBLANK($D$6:D259))</f>
        <v xml:space="preserve"> </v>
      </c>
      <c r="B259" s="200"/>
      <c r="C259" s="200"/>
      <c r="D259" s="200"/>
      <c r="E259" s="303"/>
      <c r="F259" s="210"/>
      <c r="G259" s="201"/>
      <c r="H259" s="201"/>
      <c r="I259" s="295"/>
      <c r="J259" s="264"/>
      <c r="K259" s="267"/>
      <c r="L259" s="266"/>
      <c r="M259" s="266"/>
      <c r="N259" s="266"/>
      <c r="O259" s="266"/>
      <c r="P259" s="266"/>
      <c r="Q259" s="266"/>
      <c r="R259" s="288"/>
      <c r="S259" s="266"/>
      <c r="T259" s="266"/>
      <c r="U259" s="266"/>
    </row>
    <row r="260" spans="1:21" ht="30" customHeight="1">
      <c r="A260" s="204" t="str">
        <f>IF(ISBLANK(D260)," ",199-COUNTBLANK($D$6:D260))</f>
        <v xml:space="preserve"> </v>
      </c>
      <c r="B260" s="202"/>
      <c r="C260" s="202"/>
      <c r="D260" s="202"/>
      <c r="E260" s="304"/>
      <c r="F260" s="211"/>
      <c r="G260" s="203"/>
      <c r="H260" s="203"/>
      <c r="I260" s="295"/>
      <c r="J260" s="264"/>
      <c r="K260" s="265"/>
      <c r="L260" s="266"/>
      <c r="M260" s="266"/>
      <c r="N260" s="266"/>
      <c r="O260" s="266"/>
      <c r="P260" s="266"/>
      <c r="Q260" s="266"/>
      <c r="R260" s="266"/>
    </row>
    <row r="261" spans="1:21" ht="30" customHeight="1">
      <c r="A261" s="204" t="str">
        <f>IF(ISBLANK(D261)," ",200-COUNTBLANK($D$6:D261))</f>
        <v xml:space="preserve"> </v>
      </c>
      <c r="B261" s="202"/>
      <c r="C261" s="202"/>
      <c r="D261" s="202"/>
      <c r="E261" s="304"/>
      <c r="F261" s="211"/>
      <c r="G261" s="203"/>
      <c r="H261" s="203"/>
      <c r="I261" s="295"/>
      <c r="J261" s="264"/>
      <c r="K261" s="265"/>
      <c r="L261" s="266"/>
      <c r="M261" s="266"/>
      <c r="N261" s="266"/>
      <c r="O261" s="266"/>
      <c r="P261" s="266"/>
      <c r="Q261" s="266"/>
      <c r="R261" s="266"/>
    </row>
    <row r="262" spans="1:21" ht="30" customHeight="1">
      <c r="A262" s="204" t="str">
        <f>IF(ISBLANK(D262)," ",201-COUNTBLANK($D$6:D262))</f>
        <v xml:space="preserve"> </v>
      </c>
      <c r="B262" s="202"/>
      <c r="C262" s="202"/>
      <c r="D262" s="202"/>
      <c r="E262" s="304"/>
      <c r="F262" s="211"/>
      <c r="G262" s="203"/>
      <c r="H262" s="203"/>
      <c r="I262" s="295"/>
      <c r="J262" s="264"/>
      <c r="K262" s="265"/>
      <c r="L262" s="266"/>
      <c r="M262" s="266"/>
      <c r="N262" s="266"/>
      <c r="O262" s="266"/>
      <c r="P262" s="266"/>
      <c r="Q262" s="266"/>
      <c r="R262" s="266"/>
    </row>
    <row r="263" spans="1:21" ht="30" customHeight="1">
      <c r="A263" s="204" t="str">
        <f>IF(ISBLANK(D263)," ",202-COUNTBLANK($D$6:D263))</f>
        <v xml:space="preserve"> </v>
      </c>
      <c r="B263" s="202"/>
      <c r="C263" s="202"/>
      <c r="D263" s="202"/>
      <c r="E263" s="304"/>
      <c r="F263" s="211"/>
      <c r="G263" s="203"/>
      <c r="H263" s="203"/>
      <c r="I263" s="295"/>
      <c r="J263" s="264"/>
      <c r="K263" s="265"/>
      <c r="L263" s="266"/>
      <c r="M263" s="266"/>
      <c r="N263" s="266"/>
      <c r="O263" s="266"/>
      <c r="P263" s="266"/>
      <c r="Q263" s="266"/>
      <c r="R263" s="266"/>
    </row>
    <row r="264" spans="1:21" ht="30" customHeight="1">
      <c r="A264" s="204" t="str">
        <f>IF(ISBLANK(D264)," ",203-COUNTBLANK($D$6:D264))</f>
        <v xml:space="preserve"> </v>
      </c>
      <c r="B264" s="202"/>
      <c r="C264" s="202"/>
      <c r="D264" s="202"/>
      <c r="E264" s="304"/>
      <c r="F264" s="211"/>
      <c r="G264" s="203"/>
      <c r="H264" s="203"/>
      <c r="I264" s="295"/>
      <c r="J264" s="264"/>
      <c r="K264" s="265"/>
      <c r="L264" s="266"/>
      <c r="M264" s="266"/>
      <c r="N264" s="266"/>
      <c r="O264" s="266"/>
      <c r="P264" s="266"/>
      <c r="Q264" s="266"/>
      <c r="R264" s="266"/>
    </row>
    <row r="265" spans="1:21" ht="30" customHeight="1">
      <c r="A265" s="204" t="str">
        <f>IF(ISBLANK(D265)," ",204-COUNTBLANK($D$6:D265))</f>
        <v xml:space="preserve"> </v>
      </c>
      <c r="B265" s="202"/>
      <c r="C265" s="202"/>
      <c r="D265" s="202"/>
      <c r="E265" s="304"/>
      <c r="F265" s="211"/>
      <c r="G265" s="203"/>
      <c r="H265" s="203"/>
      <c r="I265" s="295"/>
      <c r="J265" s="264"/>
      <c r="K265" s="265"/>
      <c r="L265" s="266"/>
      <c r="M265" s="266"/>
      <c r="N265" s="266"/>
      <c r="O265" s="266"/>
      <c r="P265" s="266"/>
      <c r="Q265" s="266"/>
      <c r="R265" s="266"/>
    </row>
    <row r="266" spans="1:21" ht="30" customHeight="1">
      <c r="A266" s="204" t="str">
        <f>IF(ISBLANK(D266)," ",205-COUNTBLANK($D$6:D266))</f>
        <v xml:space="preserve"> </v>
      </c>
      <c r="B266" s="202"/>
      <c r="C266" s="202"/>
      <c r="D266" s="202"/>
      <c r="E266" s="304"/>
      <c r="F266" s="211"/>
      <c r="G266" s="203"/>
      <c r="H266" s="203"/>
      <c r="I266" s="295"/>
      <c r="J266" s="264"/>
      <c r="K266" s="265"/>
      <c r="L266" s="266"/>
      <c r="M266" s="266"/>
      <c r="N266" s="266"/>
      <c r="O266" s="266"/>
      <c r="P266" s="266"/>
      <c r="Q266" s="266"/>
      <c r="R266" s="266"/>
    </row>
    <row r="267" spans="1:21" ht="30" customHeight="1">
      <c r="A267" s="204" t="str">
        <f>IF(ISBLANK(D267)," ",206-COUNTBLANK($D$6:D267))</f>
        <v xml:space="preserve"> </v>
      </c>
      <c r="B267" s="202"/>
      <c r="C267" s="202"/>
      <c r="D267" s="202"/>
      <c r="E267" s="304"/>
      <c r="F267" s="211"/>
      <c r="G267" s="203"/>
      <c r="H267" s="203"/>
      <c r="I267" s="295"/>
      <c r="J267" s="264"/>
      <c r="K267" s="265"/>
      <c r="L267" s="266"/>
      <c r="M267" s="266"/>
      <c r="N267" s="266"/>
      <c r="O267" s="266"/>
      <c r="P267" s="266"/>
      <c r="Q267" s="266"/>
      <c r="R267" s="266"/>
    </row>
    <row r="268" spans="1:21" ht="30" customHeight="1">
      <c r="A268" s="204" t="str">
        <f>IF(ISBLANK(D268)," ",207-COUNTBLANK($D$6:D268))</f>
        <v xml:space="preserve"> </v>
      </c>
      <c r="B268" s="202"/>
      <c r="C268" s="202"/>
      <c r="D268" s="202"/>
      <c r="E268" s="304"/>
      <c r="F268" s="211"/>
      <c r="G268" s="203"/>
      <c r="H268" s="203"/>
      <c r="I268" s="295"/>
      <c r="J268" s="264"/>
      <c r="K268" s="265"/>
      <c r="L268" s="266"/>
      <c r="M268" s="266"/>
      <c r="N268" s="266"/>
      <c r="O268" s="266"/>
      <c r="P268" s="266"/>
      <c r="Q268" s="266"/>
      <c r="R268" s="266"/>
    </row>
    <row r="269" spans="1:21" ht="30" customHeight="1">
      <c r="A269" s="204" t="str">
        <f>IF(ISBLANK(D269)," ",208-COUNTBLANK($D$6:D269))</f>
        <v xml:space="preserve"> </v>
      </c>
      <c r="B269" s="202"/>
      <c r="C269" s="202"/>
      <c r="D269" s="202"/>
      <c r="E269" s="304"/>
      <c r="F269" s="211"/>
      <c r="G269" s="203"/>
      <c r="H269" s="203"/>
      <c r="I269" s="295"/>
      <c r="J269" s="264"/>
      <c r="K269" s="265"/>
      <c r="L269" s="266"/>
      <c r="M269" s="266"/>
      <c r="N269" s="266"/>
      <c r="O269" s="266"/>
      <c r="P269" s="266"/>
      <c r="Q269" s="266"/>
      <c r="R269" s="266"/>
    </row>
    <row r="270" spans="1:21" ht="30" customHeight="1">
      <c r="A270" s="204" t="str">
        <f>IF(ISBLANK(D270)," ",209-COUNTBLANK($D$6:D270))</f>
        <v xml:space="preserve"> </v>
      </c>
      <c r="B270" s="202"/>
      <c r="C270" s="202"/>
      <c r="D270" s="202"/>
      <c r="E270" s="304"/>
      <c r="F270" s="211"/>
      <c r="G270" s="203"/>
      <c r="H270" s="203"/>
      <c r="I270" s="295"/>
      <c r="J270" s="264"/>
      <c r="K270" s="265"/>
      <c r="L270" s="266"/>
      <c r="M270" s="266"/>
      <c r="N270" s="266"/>
      <c r="O270" s="266"/>
      <c r="P270" s="266"/>
      <c r="Q270" s="266"/>
      <c r="R270" s="266"/>
    </row>
    <row r="271" spans="1:21" ht="30" customHeight="1">
      <c r="A271" s="204" t="s">
        <v>58</v>
      </c>
      <c r="B271" s="202"/>
      <c r="C271" s="202"/>
      <c r="D271" s="202"/>
      <c r="E271" s="304"/>
      <c r="F271" s="211">
        <f>SUM(F251:F270)</f>
        <v>0</v>
      </c>
      <c r="G271" s="203"/>
      <c r="H271" s="203"/>
      <c r="I271" s="295"/>
      <c r="J271" s="264"/>
      <c r="K271" s="265"/>
      <c r="L271" s="266"/>
      <c r="M271" s="266"/>
      <c r="N271" s="266"/>
      <c r="O271" s="266"/>
      <c r="P271" s="266"/>
      <c r="Q271" s="266"/>
      <c r="R271" s="266"/>
    </row>
    <row r="272" spans="1:21" ht="30" customHeight="1">
      <c r="A272" s="204" t="str">
        <f>IF(ISBLANK(D272)," ",211-COUNTBLANK($D$6:D272))</f>
        <v xml:space="preserve"> </v>
      </c>
      <c r="B272" s="202"/>
      <c r="C272" s="202"/>
      <c r="D272" s="202"/>
      <c r="E272" s="304"/>
      <c r="F272" s="211"/>
      <c r="G272" s="203"/>
      <c r="H272" s="203"/>
      <c r="I272" s="295"/>
      <c r="J272" s="264"/>
      <c r="K272" s="265"/>
      <c r="L272" s="266"/>
      <c r="M272" s="266"/>
      <c r="N272" s="266"/>
      <c r="O272" s="266"/>
      <c r="P272" s="266"/>
      <c r="Q272" s="266"/>
      <c r="R272" s="266"/>
    </row>
    <row r="273" spans="1:21" ht="30" customHeight="1">
      <c r="A273" s="204" t="str">
        <f>IF(ISBLANK(D273)," ",212-COUNTBLANK($D$6:D273))</f>
        <v xml:space="preserve"> </v>
      </c>
      <c r="B273" s="202"/>
      <c r="C273" s="202"/>
      <c r="D273" s="202"/>
      <c r="E273" s="304"/>
      <c r="F273" s="211"/>
      <c r="G273" s="203"/>
      <c r="H273" s="203"/>
      <c r="I273" s="295"/>
      <c r="J273" s="264"/>
      <c r="K273" s="265"/>
      <c r="L273" s="266"/>
      <c r="M273" s="266"/>
      <c r="N273" s="266"/>
      <c r="O273" s="266"/>
      <c r="P273" s="266"/>
      <c r="Q273" s="266"/>
      <c r="R273" s="266"/>
    </row>
    <row r="274" spans="1:21" ht="30" customHeight="1">
      <c r="A274" s="204" t="str">
        <f>IF(ISBLANK(D274)," ",213-COUNTBLANK($D$6:D274))</f>
        <v xml:space="preserve"> </v>
      </c>
      <c r="B274" s="202"/>
      <c r="C274" s="202"/>
      <c r="D274" s="202"/>
      <c r="E274" s="304"/>
      <c r="F274" s="211"/>
      <c r="G274" s="203"/>
      <c r="H274" s="203"/>
      <c r="I274" s="295"/>
      <c r="J274" s="264"/>
      <c r="K274" s="265"/>
      <c r="L274" s="266"/>
      <c r="M274" s="266"/>
      <c r="N274" s="266"/>
      <c r="O274" s="266"/>
      <c r="P274" s="266"/>
      <c r="Q274" s="266"/>
      <c r="R274" s="266"/>
    </row>
    <row r="275" spans="1:21" ht="30" customHeight="1">
      <c r="A275" s="204" t="str">
        <f>IF(ISBLANK(D275)," ",214-COUNTBLANK($D$6:D275))</f>
        <v xml:space="preserve"> </v>
      </c>
      <c r="B275" s="202"/>
      <c r="C275" s="202"/>
      <c r="D275" s="202"/>
      <c r="E275" s="304"/>
      <c r="F275" s="211"/>
      <c r="G275" s="203"/>
      <c r="H275" s="203"/>
      <c r="I275" s="295"/>
      <c r="J275" s="264"/>
      <c r="K275" s="267"/>
      <c r="L275" s="266"/>
      <c r="M275" s="266"/>
      <c r="N275" s="266"/>
      <c r="O275" s="266"/>
      <c r="P275" s="266"/>
      <c r="Q275" s="266"/>
      <c r="R275" s="268"/>
    </row>
    <row r="276" spans="1:21" ht="30" customHeight="1">
      <c r="A276" s="204" t="str">
        <f>IF(ISBLANK(D276)," ",215-COUNTBLANK($D$6:D276))</f>
        <v xml:space="preserve"> </v>
      </c>
      <c r="B276" s="202"/>
      <c r="C276" s="202"/>
      <c r="D276" s="202"/>
      <c r="E276" s="304"/>
      <c r="F276" s="211"/>
      <c r="G276" s="203"/>
      <c r="H276" s="203"/>
      <c r="I276" s="295"/>
      <c r="J276" s="264"/>
      <c r="K276" s="267"/>
      <c r="L276" s="266"/>
      <c r="M276" s="266"/>
      <c r="N276" s="266"/>
      <c r="O276" s="266"/>
      <c r="P276" s="266"/>
      <c r="Q276" s="266"/>
      <c r="R276" s="268"/>
    </row>
    <row r="277" spans="1:21" ht="30" customHeight="1">
      <c r="A277" s="204" t="str">
        <f>IF(ISBLANK(D277)," ",216-COUNTBLANK($D$6:D277))</f>
        <v xml:space="preserve"> </v>
      </c>
      <c r="B277" s="202"/>
      <c r="C277" s="202"/>
      <c r="D277" s="202"/>
      <c r="E277" s="304"/>
      <c r="F277" s="211"/>
      <c r="G277" s="203"/>
      <c r="H277" s="203"/>
      <c r="I277" s="295"/>
      <c r="J277" s="264"/>
      <c r="K277" s="267"/>
      <c r="L277" s="266"/>
      <c r="M277" s="266"/>
      <c r="N277" s="266"/>
      <c r="O277" s="266"/>
      <c r="P277" s="266"/>
      <c r="Q277" s="266"/>
      <c r="R277" s="268"/>
    </row>
    <row r="278" spans="1:21" ht="30" customHeight="1">
      <c r="A278" s="204" t="str">
        <f>IF(ISBLANK(D278)," ",217-COUNTBLANK($D$6:D278))</f>
        <v xml:space="preserve"> </v>
      </c>
      <c r="B278" s="202"/>
      <c r="C278" s="202"/>
      <c r="D278" s="202"/>
      <c r="E278" s="304"/>
      <c r="F278" s="211"/>
      <c r="G278" s="203"/>
      <c r="H278" s="203"/>
      <c r="I278" s="295"/>
      <c r="J278" s="264"/>
      <c r="K278" s="267"/>
      <c r="L278" s="266"/>
      <c r="M278" s="266"/>
      <c r="N278" s="266"/>
      <c r="O278" s="266"/>
      <c r="P278" s="266"/>
      <c r="Q278" s="266"/>
      <c r="R278" s="268"/>
    </row>
    <row r="279" spans="1:21" ht="30" customHeight="1">
      <c r="A279" s="308" t="str">
        <f>IF(ISBLANK(D279)," ",218-COUNTBLANK($D$6:D279))</f>
        <v xml:space="preserve"> </v>
      </c>
      <c r="B279" s="300"/>
      <c r="C279" s="309"/>
      <c r="D279" s="310"/>
      <c r="E279" s="301"/>
      <c r="F279" s="302"/>
      <c r="G279" s="286"/>
      <c r="H279" s="286"/>
      <c r="I279" s="307"/>
      <c r="J279" s="264"/>
      <c r="K279" s="265"/>
      <c r="L279" s="266"/>
      <c r="M279" s="266"/>
      <c r="N279" s="266"/>
      <c r="O279" s="266"/>
      <c r="P279" s="266"/>
      <c r="Q279" s="266"/>
      <c r="R279" s="288"/>
      <c r="S279" s="266"/>
      <c r="T279" s="266"/>
      <c r="U279" s="266"/>
    </row>
    <row r="280" spans="1:21" ht="30" customHeight="1">
      <c r="A280" s="261" t="str">
        <f>IF(ISBLANK(D280)," ",219-COUNTBLANK($D$6:D280))</f>
        <v xml:space="preserve"> </v>
      </c>
      <c r="B280" s="200"/>
      <c r="C280" s="200"/>
      <c r="D280" s="200"/>
      <c r="E280" s="303"/>
      <c r="F280" s="210"/>
      <c r="G280" s="201"/>
      <c r="H280" s="201"/>
      <c r="I280" s="295"/>
      <c r="J280" s="264"/>
      <c r="K280" s="267"/>
      <c r="L280" s="266"/>
      <c r="M280" s="266"/>
      <c r="N280" s="266"/>
      <c r="O280" s="266"/>
      <c r="P280" s="266"/>
      <c r="Q280" s="266"/>
      <c r="R280" s="288"/>
      <c r="S280" s="266"/>
      <c r="T280" s="266"/>
      <c r="U280" s="266"/>
    </row>
    <row r="281" spans="1:21" ht="30" customHeight="1">
      <c r="A281" s="204" t="str">
        <f>IF(ISBLANK(D281)," ",220-COUNTBLANK($D$6:D281))</f>
        <v xml:space="preserve"> </v>
      </c>
      <c r="B281" s="202"/>
      <c r="C281" s="202"/>
      <c r="D281" s="202"/>
      <c r="E281" s="304"/>
      <c r="F281" s="211"/>
      <c r="G281" s="203"/>
      <c r="H281" s="203"/>
      <c r="I281" s="295"/>
      <c r="J281" s="264"/>
      <c r="K281" s="265"/>
      <c r="L281" s="266"/>
      <c r="M281" s="266"/>
      <c r="N281" s="266"/>
      <c r="O281" s="266"/>
      <c r="P281" s="266"/>
      <c r="Q281" s="266"/>
      <c r="R281" s="266"/>
    </row>
    <row r="282" spans="1:21" ht="30" customHeight="1">
      <c r="A282" s="204" t="str">
        <f>IF(ISBLANK(D282)," ",221-COUNTBLANK($D$6:D282))</f>
        <v xml:space="preserve"> </v>
      </c>
      <c r="B282" s="202"/>
      <c r="C282" s="202"/>
      <c r="D282" s="202"/>
      <c r="E282" s="304"/>
      <c r="F282" s="211"/>
      <c r="G282" s="203"/>
      <c r="H282" s="203"/>
      <c r="I282" s="295"/>
      <c r="J282" s="264"/>
      <c r="K282" s="265"/>
      <c r="L282" s="266"/>
      <c r="M282" s="266"/>
      <c r="N282" s="266"/>
      <c r="O282" s="266"/>
      <c r="P282" s="266"/>
      <c r="Q282" s="266"/>
      <c r="R282" s="266"/>
    </row>
    <row r="283" spans="1:21" ht="30" customHeight="1">
      <c r="A283" s="204" t="str">
        <f>IF(ISBLANK(D283)," ",222-COUNTBLANK($D$6:D283))</f>
        <v xml:space="preserve"> </v>
      </c>
      <c r="B283" s="202"/>
      <c r="C283" s="202"/>
      <c r="D283" s="202"/>
      <c r="E283" s="304"/>
      <c r="F283" s="211"/>
      <c r="G283" s="203"/>
      <c r="H283" s="203"/>
      <c r="I283" s="295"/>
      <c r="J283" s="264"/>
      <c r="K283" s="265"/>
      <c r="L283" s="266"/>
      <c r="M283" s="266"/>
      <c r="N283" s="266"/>
      <c r="O283" s="266"/>
      <c r="P283" s="266"/>
      <c r="Q283" s="266"/>
      <c r="R283" s="266"/>
    </row>
    <row r="284" spans="1:21" ht="30" customHeight="1">
      <c r="A284" s="204" t="str">
        <f>IF(ISBLANK(D284)," ",223-COUNTBLANK($D$6:D284))</f>
        <v xml:space="preserve"> </v>
      </c>
      <c r="B284" s="202"/>
      <c r="C284" s="202"/>
      <c r="D284" s="202"/>
      <c r="E284" s="304"/>
      <c r="F284" s="211"/>
      <c r="G284" s="203"/>
      <c r="H284" s="203"/>
      <c r="I284" s="295"/>
      <c r="J284" s="264"/>
      <c r="K284" s="265"/>
      <c r="L284" s="266"/>
      <c r="M284" s="266"/>
      <c r="N284" s="266"/>
      <c r="O284" s="266"/>
      <c r="P284" s="266"/>
      <c r="Q284" s="266"/>
      <c r="R284" s="266"/>
    </row>
    <row r="285" spans="1:21" ht="30" customHeight="1">
      <c r="A285" s="204" t="str">
        <f>IF(ISBLANK(D285)," ",224-COUNTBLANK($D$6:D285))</f>
        <v xml:space="preserve"> </v>
      </c>
      <c r="B285" s="202"/>
      <c r="C285" s="202"/>
      <c r="D285" s="202"/>
      <c r="E285" s="304"/>
      <c r="F285" s="211"/>
      <c r="G285" s="203"/>
      <c r="H285" s="203"/>
      <c r="I285" s="295"/>
      <c r="J285" s="264"/>
      <c r="K285" s="265"/>
      <c r="L285" s="266"/>
      <c r="M285" s="266"/>
      <c r="N285" s="266"/>
      <c r="O285" s="266"/>
      <c r="P285" s="266"/>
      <c r="Q285" s="266"/>
      <c r="R285" s="266"/>
    </row>
    <row r="286" spans="1:21" ht="30" customHeight="1">
      <c r="A286" s="204" t="str">
        <f>IF(ISBLANK(D286)," ",225-COUNTBLANK($D$6:D286))</f>
        <v xml:space="preserve"> </v>
      </c>
      <c r="B286" s="202"/>
      <c r="C286" s="202"/>
      <c r="D286" s="202"/>
      <c r="E286" s="304"/>
      <c r="F286" s="211"/>
      <c r="G286" s="203"/>
      <c r="H286" s="203"/>
      <c r="I286" s="295"/>
      <c r="J286" s="264"/>
      <c r="K286" s="265"/>
      <c r="L286" s="266"/>
      <c r="M286" s="266"/>
      <c r="N286" s="266"/>
      <c r="O286" s="266"/>
      <c r="P286" s="266"/>
      <c r="Q286" s="266"/>
      <c r="R286" s="266"/>
    </row>
    <row r="287" spans="1:21" ht="30" customHeight="1">
      <c r="A287" s="204" t="str">
        <f>IF(ISBLANK(D287)," ",226-COUNTBLANK($D$6:D287))</f>
        <v xml:space="preserve"> </v>
      </c>
      <c r="B287" s="202"/>
      <c r="C287" s="202"/>
      <c r="D287" s="202"/>
      <c r="E287" s="304"/>
      <c r="F287" s="211"/>
      <c r="G287" s="203"/>
      <c r="H287" s="203"/>
      <c r="I287" s="295"/>
      <c r="J287" s="264"/>
      <c r="K287" s="265"/>
      <c r="L287" s="266"/>
      <c r="M287" s="266"/>
      <c r="N287" s="266"/>
      <c r="O287" s="266"/>
      <c r="P287" s="266"/>
      <c r="Q287" s="266"/>
      <c r="R287" s="266"/>
    </row>
    <row r="288" spans="1:21" ht="30" customHeight="1">
      <c r="A288" s="204" t="str">
        <f>IF(ISBLANK(D288)," ",227-COUNTBLANK($D$6:D288))</f>
        <v xml:space="preserve"> </v>
      </c>
      <c r="B288" s="202"/>
      <c r="C288" s="202"/>
      <c r="D288" s="202"/>
      <c r="E288" s="304"/>
      <c r="F288" s="211"/>
      <c r="G288" s="203"/>
      <c r="H288" s="203"/>
      <c r="I288" s="295"/>
      <c r="J288" s="264"/>
      <c r="K288" s="265"/>
      <c r="L288" s="266"/>
      <c r="M288" s="266"/>
      <c r="N288" s="266"/>
      <c r="O288" s="266"/>
      <c r="P288" s="266"/>
      <c r="Q288" s="266"/>
      <c r="R288" s="266"/>
    </row>
    <row r="289" spans="1:21" ht="30" customHeight="1">
      <c r="A289" s="204" t="str">
        <f>IF(ISBLANK(D289)," ",228-COUNTBLANK($D$6:D289))</f>
        <v xml:space="preserve"> </v>
      </c>
      <c r="B289" s="202"/>
      <c r="C289" s="202"/>
      <c r="D289" s="202"/>
      <c r="E289" s="304"/>
      <c r="F289" s="211"/>
      <c r="G289" s="203"/>
      <c r="H289" s="203"/>
      <c r="I289" s="295"/>
      <c r="J289" s="264"/>
      <c r="K289" s="265"/>
      <c r="L289" s="266"/>
      <c r="M289" s="266"/>
      <c r="N289" s="266"/>
      <c r="O289" s="266"/>
      <c r="P289" s="266"/>
      <c r="Q289" s="266"/>
      <c r="R289" s="266"/>
    </row>
    <row r="290" spans="1:21" ht="30" customHeight="1">
      <c r="A290" s="204" t="str">
        <f>IF(ISBLANK(D290)," ",229-COUNTBLANK($D$6:D290))</f>
        <v xml:space="preserve"> </v>
      </c>
      <c r="B290" s="202"/>
      <c r="C290" s="202"/>
      <c r="D290" s="202"/>
      <c r="E290" s="304"/>
      <c r="F290" s="211"/>
      <c r="G290" s="203"/>
      <c r="H290" s="203"/>
      <c r="I290" s="295"/>
      <c r="J290" s="264"/>
      <c r="K290" s="265"/>
      <c r="L290" s="266"/>
      <c r="M290" s="266"/>
      <c r="N290" s="266"/>
      <c r="O290" s="266"/>
      <c r="P290" s="266"/>
      <c r="Q290" s="266"/>
      <c r="R290" s="266"/>
    </row>
    <row r="291" spans="1:21" ht="30" customHeight="1">
      <c r="A291" s="204" t="str">
        <f>IF(ISBLANK(D291)," ",230-COUNTBLANK($D$6:D291))</f>
        <v xml:space="preserve"> </v>
      </c>
      <c r="B291" s="202"/>
      <c r="C291" s="202"/>
      <c r="D291" s="202"/>
      <c r="E291" s="304"/>
      <c r="F291" s="211"/>
      <c r="G291" s="203"/>
      <c r="H291" s="203"/>
      <c r="I291" s="295"/>
      <c r="J291" s="264"/>
      <c r="K291" s="265"/>
      <c r="L291" s="266"/>
      <c r="M291" s="266"/>
      <c r="N291" s="266"/>
      <c r="O291" s="266"/>
      <c r="P291" s="266"/>
      <c r="Q291" s="266"/>
      <c r="R291" s="266"/>
    </row>
    <row r="292" spans="1:21" ht="30" customHeight="1">
      <c r="A292" s="204" t="s">
        <v>58</v>
      </c>
      <c r="B292" s="202"/>
      <c r="C292" s="202"/>
      <c r="D292" s="202"/>
      <c r="E292" s="304"/>
      <c r="F292" s="211">
        <f>SUM(F272:F291)</f>
        <v>0</v>
      </c>
      <c r="G292" s="203"/>
      <c r="H292" s="203"/>
      <c r="I292" s="295"/>
      <c r="J292" s="264"/>
      <c r="K292" s="265"/>
      <c r="L292" s="266"/>
      <c r="M292" s="266"/>
      <c r="N292" s="266"/>
      <c r="O292" s="266"/>
      <c r="P292" s="266"/>
      <c r="Q292" s="266"/>
      <c r="R292" s="266"/>
    </row>
    <row r="293" spans="1:21" ht="30" customHeight="1">
      <c r="A293" s="204" t="str">
        <f>IF(ISBLANK(D293)," ",232-COUNTBLANK($D$6:D293))</f>
        <v xml:space="preserve"> </v>
      </c>
      <c r="B293" s="202"/>
      <c r="C293" s="202"/>
      <c r="D293" s="202"/>
      <c r="E293" s="304"/>
      <c r="F293" s="211"/>
      <c r="G293" s="203"/>
      <c r="H293" s="203"/>
      <c r="I293" s="295"/>
      <c r="J293" s="264"/>
      <c r="K293" s="265"/>
      <c r="L293" s="266"/>
      <c r="M293" s="266"/>
      <c r="N293" s="266"/>
      <c r="O293" s="266"/>
      <c r="P293" s="266"/>
      <c r="Q293" s="266"/>
      <c r="R293" s="266"/>
    </row>
    <row r="294" spans="1:21" ht="30" customHeight="1">
      <c r="A294" s="204" t="str">
        <f>IF(ISBLANK(D294)," ",233-COUNTBLANK($D$6:D294))</f>
        <v xml:space="preserve"> </v>
      </c>
      <c r="B294" s="202"/>
      <c r="C294" s="202"/>
      <c r="D294" s="202"/>
      <c r="E294" s="304"/>
      <c r="F294" s="211"/>
      <c r="G294" s="203"/>
      <c r="H294" s="203"/>
      <c r="I294" s="295"/>
      <c r="J294" s="264"/>
      <c r="K294" s="265"/>
      <c r="L294" s="266"/>
      <c r="M294" s="266"/>
      <c r="N294" s="266"/>
      <c r="O294" s="266"/>
      <c r="P294" s="266"/>
      <c r="Q294" s="266"/>
      <c r="R294" s="266"/>
    </row>
    <row r="295" spans="1:21" ht="30" customHeight="1">
      <c r="A295" s="204" t="str">
        <f>IF(ISBLANK(D295)," ",234-COUNTBLANK($D$6:D295))</f>
        <v xml:space="preserve"> </v>
      </c>
      <c r="B295" s="202"/>
      <c r="C295" s="202"/>
      <c r="D295" s="202"/>
      <c r="E295" s="304"/>
      <c r="F295" s="211"/>
      <c r="G295" s="203"/>
      <c r="H295" s="203"/>
      <c r="I295" s="295"/>
      <c r="J295" s="264"/>
      <c r="K295" s="265"/>
      <c r="L295" s="266"/>
      <c r="M295" s="266"/>
      <c r="N295" s="266"/>
      <c r="O295" s="266"/>
      <c r="P295" s="266"/>
      <c r="Q295" s="266"/>
      <c r="R295" s="266"/>
    </row>
    <row r="296" spans="1:21" ht="30" customHeight="1">
      <c r="A296" s="204" t="str">
        <f>IF(ISBLANK(D296)," ",235-COUNTBLANK($D$6:D296))</f>
        <v xml:space="preserve"> </v>
      </c>
      <c r="B296" s="202"/>
      <c r="C296" s="202"/>
      <c r="D296" s="202"/>
      <c r="E296" s="304"/>
      <c r="F296" s="211"/>
      <c r="G296" s="203"/>
      <c r="H296" s="203"/>
      <c r="I296" s="295"/>
      <c r="J296" s="264"/>
      <c r="K296" s="267"/>
      <c r="L296" s="266"/>
      <c r="M296" s="266"/>
      <c r="N296" s="266"/>
      <c r="O296" s="266"/>
      <c r="P296" s="266"/>
      <c r="Q296" s="266"/>
      <c r="R296" s="268"/>
    </row>
    <row r="297" spans="1:21" ht="30" customHeight="1">
      <c r="A297" s="204" t="str">
        <f>IF(ISBLANK(D297)," ",236-COUNTBLANK($D$6:D297))</f>
        <v xml:space="preserve"> </v>
      </c>
      <c r="B297" s="202"/>
      <c r="C297" s="202"/>
      <c r="D297" s="202"/>
      <c r="E297" s="304"/>
      <c r="F297" s="211"/>
      <c r="G297" s="203"/>
      <c r="H297" s="203"/>
      <c r="I297" s="295"/>
      <c r="J297" s="264"/>
      <c r="K297" s="267"/>
      <c r="L297" s="266"/>
      <c r="M297" s="266"/>
      <c r="N297" s="266"/>
      <c r="O297" s="266"/>
      <c r="P297" s="266"/>
      <c r="Q297" s="266"/>
      <c r="R297" s="268"/>
    </row>
    <row r="298" spans="1:21" ht="30" customHeight="1">
      <c r="A298" s="204" t="str">
        <f>IF(ISBLANK(D298)," ",237-COUNTBLANK($D$6:D298))</f>
        <v xml:space="preserve"> </v>
      </c>
      <c r="B298" s="202"/>
      <c r="C298" s="202"/>
      <c r="D298" s="202"/>
      <c r="E298" s="304"/>
      <c r="F298" s="211"/>
      <c r="G298" s="203"/>
      <c r="H298" s="203"/>
      <c r="I298" s="295"/>
      <c r="J298" s="264"/>
      <c r="K298" s="267"/>
      <c r="L298" s="266"/>
      <c r="M298" s="266"/>
      <c r="N298" s="266"/>
      <c r="O298" s="266"/>
      <c r="P298" s="266"/>
      <c r="Q298" s="266"/>
      <c r="R298" s="268"/>
    </row>
    <row r="299" spans="1:21" ht="30" customHeight="1">
      <c r="A299" s="204" t="str">
        <f>IF(ISBLANK(D299)," ",238-COUNTBLANK($D$6:D299))</f>
        <v xml:space="preserve"> </v>
      </c>
      <c r="B299" s="202"/>
      <c r="C299" s="202"/>
      <c r="D299" s="202"/>
      <c r="E299" s="304"/>
      <c r="F299" s="211"/>
      <c r="G299" s="203"/>
      <c r="H299" s="203"/>
      <c r="I299" s="295"/>
      <c r="J299" s="264"/>
      <c r="K299" s="267"/>
      <c r="L299" s="266"/>
      <c r="M299" s="266"/>
      <c r="N299" s="266"/>
      <c r="O299" s="266"/>
      <c r="P299" s="266"/>
      <c r="Q299" s="266"/>
      <c r="R299" s="268"/>
    </row>
    <row r="300" spans="1:21" ht="30" customHeight="1">
      <c r="A300" s="308" t="str">
        <f>IF(ISBLANK(D300)," ",239-COUNTBLANK($D$6:D300))</f>
        <v xml:space="preserve"> </v>
      </c>
      <c r="B300" s="300"/>
      <c r="C300" s="309"/>
      <c r="D300" s="310"/>
      <c r="E300" s="301"/>
      <c r="F300" s="302"/>
      <c r="G300" s="286"/>
      <c r="H300" s="286"/>
      <c r="I300" s="307"/>
      <c r="J300" s="264"/>
      <c r="K300" s="265"/>
      <c r="L300" s="266"/>
      <c r="M300" s="266"/>
      <c r="N300" s="266"/>
      <c r="O300" s="266"/>
      <c r="P300" s="266"/>
      <c r="Q300" s="266"/>
      <c r="R300" s="288"/>
      <c r="S300" s="266"/>
      <c r="T300" s="266"/>
      <c r="U300" s="266"/>
    </row>
    <row r="301" spans="1:21" ht="30" customHeight="1">
      <c r="A301" s="261" t="str">
        <f>IF(ISBLANK(D301)," ",240-COUNTBLANK($D$6:D301))</f>
        <v xml:space="preserve"> </v>
      </c>
      <c r="B301" s="200"/>
      <c r="C301" s="200"/>
      <c r="D301" s="200"/>
      <c r="E301" s="303"/>
      <c r="F301" s="210"/>
      <c r="G301" s="201"/>
      <c r="H301" s="201"/>
      <c r="I301" s="295"/>
      <c r="J301" s="264"/>
      <c r="K301" s="267"/>
      <c r="L301" s="266"/>
      <c r="M301" s="266"/>
      <c r="N301" s="266"/>
      <c r="O301" s="266"/>
      <c r="P301" s="266"/>
      <c r="Q301" s="266"/>
      <c r="R301" s="288"/>
      <c r="S301" s="266"/>
      <c r="T301" s="266"/>
      <c r="U301" s="266"/>
    </row>
    <row r="302" spans="1:21" ht="30" customHeight="1">
      <c r="A302" s="204" t="str">
        <f>IF(ISBLANK(D302)," ",241-COUNTBLANK($D$6:D302))</f>
        <v xml:space="preserve"> </v>
      </c>
      <c r="B302" s="202"/>
      <c r="C302" s="202"/>
      <c r="D302" s="202"/>
      <c r="E302" s="304"/>
      <c r="F302" s="211"/>
      <c r="G302" s="203"/>
      <c r="H302" s="203"/>
      <c r="I302" s="295"/>
      <c r="J302" s="264"/>
      <c r="K302" s="265"/>
      <c r="L302" s="266"/>
      <c r="M302" s="266"/>
      <c r="N302" s="266"/>
      <c r="O302" s="266"/>
      <c r="P302" s="266"/>
      <c r="Q302" s="266"/>
      <c r="R302" s="266"/>
    </row>
    <row r="303" spans="1:21" ht="30" customHeight="1">
      <c r="A303" s="204" t="str">
        <f>IF(ISBLANK(D303)," ",242-COUNTBLANK($D$6:D303))</f>
        <v xml:space="preserve"> </v>
      </c>
      <c r="B303" s="202"/>
      <c r="C303" s="202"/>
      <c r="D303" s="202"/>
      <c r="E303" s="304"/>
      <c r="F303" s="211"/>
      <c r="G303" s="203"/>
      <c r="H303" s="203"/>
      <c r="I303" s="295"/>
      <c r="J303" s="264"/>
      <c r="K303" s="265"/>
      <c r="L303" s="266"/>
      <c r="M303" s="266"/>
      <c r="N303" s="266"/>
      <c r="O303" s="266"/>
      <c r="P303" s="266"/>
      <c r="Q303" s="266"/>
      <c r="R303" s="266"/>
    </row>
    <row r="304" spans="1:21" ht="30" customHeight="1">
      <c r="A304" s="204" t="str">
        <f>IF(ISBLANK(D304)," ",243-COUNTBLANK($D$6:D304))</f>
        <v xml:space="preserve"> </v>
      </c>
      <c r="B304" s="202"/>
      <c r="C304" s="202"/>
      <c r="D304" s="202"/>
      <c r="E304" s="304"/>
      <c r="F304" s="211"/>
      <c r="G304" s="203"/>
      <c r="H304" s="203"/>
      <c r="I304" s="295"/>
      <c r="J304" s="264"/>
      <c r="K304" s="265"/>
      <c r="L304" s="266"/>
      <c r="M304" s="266"/>
      <c r="N304" s="266"/>
      <c r="O304" s="266"/>
      <c r="P304" s="266"/>
      <c r="Q304" s="266"/>
      <c r="R304" s="266"/>
    </row>
    <row r="305" spans="1:18" ht="30" customHeight="1">
      <c r="A305" s="204" t="str">
        <f>IF(ISBLANK(D305)," ",244-COUNTBLANK($D$6:D305))</f>
        <v xml:space="preserve"> </v>
      </c>
      <c r="B305" s="202"/>
      <c r="C305" s="202"/>
      <c r="D305" s="202"/>
      <c r="E305" s="304"/>
      <c r="F305" s="211"/>
      <c r="G305" s="203"/>
      <c r="H305" s="203"/>
      <c r="I305" s="295"/>
      <c r="J305" s="264"/>
      <c r="K305" s="265"/>
      <c r="L305" s="266"/>
      <c r="M305" s="266"/>
      <c r="N305" s="266"/>
      <c r="O305" s="266"/>
      <c r="P305" s="266"/>
      <c r="Q305" s="266"/>
      <c r="R305" s="266"/>
    </row>
    <row r="306" spans="1:18" ht="30" customHeight="1">
      <c r="A306" s="204" t="str">
        <f>IF(ISBLANK(D306)," ",245-COUNTBLANK($D$6:D306))</f>
        <v xml:space="preserve"> </v>
      </c>
      <c r="B306" s="202"/>
      <c r="C306" s="202"/>
      <c r="D306" s="202"/>
      <c r="E306" s="304"/>
      <c r="F306" s="211"/>
      <c r="G306" s="203"/>
      <c r="H306" s="203"/>
      <c r="I306" s="295"/>
      <c r="J306" s="264"/>
      <c r="K306" s="265"/>
      <c r="L306" s="266"/>
      <c r="M306" s="266"/>
      <c r="N306" s="266"/>
      <c r="O306" s="266"/>
      <c r="P306" s="266"/>
      <c r="Q306" s="266"/>
      <c r="R306" s="266"/>
    </row>
    <row r="307" spans="1:18" ht="30" customHeight="1">
      <c r="A307" s="204" t="str">
        <f>IF(ISBLANK(D307)," ",246-COUNTBLANK($D$6:D307))</f>
        <v xml:space="preserve"> </v>
      </c>
      <c r="B307" s="202"/>
      <c r="C307" s="202"/>
      <c r="D307" s="202"/>
      <c r="E307" s="304"/>
      <c r="F307" s="211"/>
      <c r="G307" s="203"/>
      <c r="H307" s="203"/>
      <c r="I307" s="295"/>
      <c r="J307" s="264"/>
      <c r="K307" s="265"/>
      <c r="L307" s="266"/>
      <c r="M307" s="266"/>
      <c r="N307" s="266"/>
      <c r="O307" s="266"/>
      <c r="P307" s="266"/>
      <c r="Q307" s="266"/>
      <c r="R307" s="266"/>
    </row>
    <row r="308" spans="1:18" ht="30" customHeight="1">
      <c r="A308" s="204" t="str">
        <f>IF(ISBLANK(D308)," ",247-COUNTBLANK($D$6:D308))</f>
        <v xml:space="preserve"> </v>
      </c>
      <c r="B308" s="202"/>
      <c r="C308" s="202"/>
      <c r="D308" s="202"/>
      <c r="E308" s="304"/>
      <c r="F308" s="211"/>
      <c r="G308" s="203"/>
      <c r="H308" s="203"/>
      <c r="I308" s="295"/>
      <c r="J308" s="264"/>
      <c r="K308" s="265"/>
      <c r="L308" s="266"/>
      <c r="M308" s="266"/>
      <c r="N308" s="266"/>
      <c r="O308" s="266"/>
      <c r="P308" s="266"/>
      <c r="Q308" s="266"/>
      <c r="R308" s="266"/>
    </row>
    <row r="309" spans="1:18" ht="30" customHeight="1">
      <c r="A309" s="204" t="str">
        <f>IF(ISBLANK(D309)," ",248-COUNTBLANK($D$6:D309))</f>
        <v xml:space="preserve"> </v>
      </c>
      <c r="B309" s="202"/>
      <c r="C309" s="202"/>
      <c r="D309" s="202"/>
      <c r="E309" s="304"/>
      <c r="F309" s="211"/>
      <c r="G309" s="203"/>
      <c r="H309" s="203"/>
      <c r="I309" s="295"/>
      <c r="J309" s="264"/>
      <c r="K309" s="265"/>
      <c r="L309" s="266"/>
      <c r="M309" s="266"/>
      <c r="N309" s="266"/>
      <c r="O309" s="266"/>
      <c r="P309" s="266"/>
      <c r="Q309" s="266"/>
      <c r="R309" s="266"/>
    </row>
    <row r="310" spans="1:18" ht="30" customHeight="1">
      <c r="A310" s="204" t="str">
        <f>IF(ISBLANK(D310)," ",249-COUNTBLANK($D$6:D310))</f>
        <v xml:space="preserve"> </v>
      </c>
      <c r="B310" s="202"/>
      <c r="C310" s="202"/>
      <c r="D310" s="202"/>
      <c r="E310" s="304"/>
      <c r="F310" s="211"/>
      <c r="G310" s="203"/>
      <c r="H310" s="203"/>
      <c r="I310" s="295"/>
      <c r="J310" s="264"/>
      <c r="K310" s="265"/>
      <c r="L310" s="266"/>
      <c r="M310" s="266"/>
      <c r="N310" s="266"/>
      <c r="O310" s="266"/>
      <c r="P310" s="266"/>
      <c r="Q310" s="266"/>
      <c r="R310" s="266"/>
    </row>
    <row r="311" spans="1:18" ht="30" customHeight="1">
      <c r="A311" s="204" t="str">
        <f>IF(ISBLANK(D311)," ",250-COUNTBLANK($D$6:D311))</f>
        <v xml:space="preserve"> </v>
      </c>
      <c r="B311" s="202"/>
      <c r="C311" s="202"/>
      <c r="D311" s="202"/>
      <c r="E311" s="304"/>
      <c r="F311" s="211"/>
      <c r="G311" s="203"/>
      <c r="H311" s="203"/>
      <c r="I311" s="295"/>
      <c r="J311" s="264"/>
      <c r="K311" s="265"/>
      <c r="L311" s="266"/>
      <c r="M311" s="266"/>
      <c r="N311" s="266"/>
      <c r="O311" s="266"/>
      <c r="P311" s="266"/>
      <c r="Q311" s="266"/>
      <c r="R311" s="266"/>
    </row>
    <row r="312" spans="1:18" ht="30" customHeight="1">
      <c r="A312" s="204" t="str">
        <f>IF(ISBLANK(D312)," ",251-COUNTBLANK($D$6:D312))</f>
        <v xml:space="preserve"> </v>
      </c>
      <c r="B312" s="202"/>
      <c r="C312" s="202"/>
      <c r="D312" s="202"/>
      <c r="E312" s="304"/>
      <c r="F312" s="211"/>
      <c r="G312" s="203"/>
      <c r="H312" s="203"/>
      <c r="I312" s="295"/>
      <c r="J312" s="264"/>
      <c r="K312" s="265"/>
      <c r="L312" s="266"/>
      <c r="M312" s="266"/>
      <c r="N312" s="266"/>
      <c r="O312" s="266"/>
      <c r="P312" s="266"/>
      <c r="Q312" s="266"/>
      <c r="R312" s="266"/>
    </row>
    <row r="313" spans="1:18" ht="30" customHeight="1">
      <c r="A313" s="204" t="s">
        <v>58</v>
      </c>
      <c r="B313" s="202"/>
      <c r="C313" s="202"/>
      <c r="D313" s="202"/>
      <c r="E313" s="304"/>
      <c r="F313" s="211">
        <f>SUM(F293:F312)</f>
        <v>0</v>
      </c>
      <c r="G313" s="203"/>
      <c r="H313" s="203"/>
      <c r="I313" s="295"/>
      <c r="J313" s="264"/>
      <c r="K313" s="265"/>
      <c r="L313" s="266"/>
      <c r="M313" s="266"/>
      <c r="N313" s="266"/>
      <c r="O313" s="266"/>
      <c r="P313" s="266"/>
      <c r="Q313" s="266"/>
      <c r="R313" s="266"/>
    </row>
    <row r="314" spans="1:18" ht="30" customHeight="1">
      <c r="A314" s="204" t="str">
        <f>IF(ISBLANK(D314)," ",253-COUNTBLANK($D$6:D314))</f>
        <v xml:space="preserve"> </v>
      </c>
      <c r="B314" s="202"/>
      <c r="C314" s="202"/>
      <c r="D314" s="202"/>
      <c r="E314" s="304"/>
      <c r="F314" s="211"/>
      <c r="G314" s="203"/>
      <c r="H314" s="203"/>
      <c r="I314" s="295"/>
      <c r="J314" s="264"/>
      <c r="K314" s="265"/>
      <c r="L314" s="266"/>
      <c r="M314" s="266"/>
      <c r="N314" s="266"/>
      <c r="O314" s="266"/>
      <c r="P314" s="266"/>
      <c r="Q314" s="266"/>
      <c r="R314" s="266"/>
    </row>
    <row r="315" spans="1:18" ht="30" customHeight="1">
      <c r="A315" s="204" t="str">
        <f>IF(ISBLANK(D315)," ",254-COUNTBLANK($D$6:D315))</f>
        <v xml:space="preserve"> </v>
      </c>
      <c r="B315" s="202"/>
      <c r="C315" s="202"/>
      <c r="D315" s="202"/>
      <c r="E315" s="304"/>
      <c r="F315" s="211"/>
      <c r="G315" s="203"/>
      <c r="H315" s="203"/>
      <c r="I315" s="295"/>
      <c r="J315" s="264"/>
      <c r="K315" s="265"/>
      <c r="L315" s="266"/>
      <c r="M315" s="266"/>
      <c r="N315" s="266"/>
      <c r="O315" s="266"/>
      <c r="P315" s="266"/>
      <c r="Q315" s="266"/>
      <c r="R315" s="266"/>
    </row>
    <row r="316" spans="1:18" ht="30" customHeight="1">
      <c r="A316" s="204" t="str">
        <f>IF(ISBLANK(D316)," ",255-COUNTBLANK($D$6:D316))</f>
        <v xml:space="preserve"> </v>
      </c>
      <c r="B316" s="202"/>
      <c r="C316" s="202"/>
      <c r="D316" s="202"/>
      <c r="E316" s="304"/>
      <c r="F316" s="211"/>
      <c r="G316" s="203"/>
      <c r="H316" s="203"/>
      <c r="I316" s="295"/>
      <c r="J316" s="264"/>
      <c r="K316" s="265"/>
      <c r="L316" s="266"/>
      <c r="M316" s="266"/>
      <c r="N316" s="266"/>
      <c r="O316" s="266"/>
      <c r="P316" s="266"/>
      <c r="Q316" s="266"/>
      <c r="R316" s="266"/>
    </row>
    <row r="317" spans="1:18" ht="30" customHeight="1">
      <c r="A317" s="204" t="str">
        <f>IF(ISBLANK(D317)," ",256-COUNTBLANK($D$6:D317))</f>
        <v xml:space="preserve"> </v>
      </c>
      <c r="B317" s="202"/>
      <c r="C317" s="202"/>
      <c r="D317" s="202"/>
      <c r="E317" s="304"/>
      <c r="F317" s="211"/>
      <c r="G317" s="203"/>
      <c r="H317" s="203"/>
      <c r="I317" s="295"/>
      <c r="J317" s="264"/>
      <c r="K317" s="267"/>
      <c r="L317" s="266"/>
      <c r="M317" s="266"/>
      <c r="N317" s="266"/>
      <c r="O317" s="266"/>
      <c r="P317" s="266"/>
      <c r="Q317" s="266"/>
      <c r="R317" s="268"/>
    </row>
    <row r="318" spans="1:18" ht="30" customHeight="1">
      <c r="A318" s="204" t="str">
        <f>IF(ISBLANK(D318)," ",257-COUNTBLANK($D$6:D318))</f>
        <v xml:space="preserve"> </v>
      </c>
      <c r="B318" s="202"/>
      <c r="C318" s="202"/>
      <c r="D318" s="202"/>
      <c r="E318" s="304"/>
      <c r="F318" s="211"/>
      <c r="G318" s="203"/>
      <c r="H318" s="203"/>
      <c r="I318" s="295"/>
      <c r="J318" s="264"/>
      <c r="K318" s="267"/>
      <c r="L318" s="266"/>
      <c r="M318" s="266"/>
      <c r="N318" s="266"/>
      <c r="O318" s="266"/>
      <c r="P318" s="266"/>
      <c r="Q318" s="266"/>
      <c r="R318" s="268"/>
    </row>
    <row r="319" spans="1:18" ht="30" customHeight="1">
      <c r="A319" s="204" t="str">
        <f>IF(ISBLANK(D319)," ",258-COUNTBLANK($D$6:D319))</f>
        <v xml:space="preserve"> </v>
      </c>
      <c r="B319" s="202"/>
      <c r="C319" s="202"/>
      <c r="D319" s="202"/>
      <c r="E319" s="304"/>
      <c r="F319" s="211"/>
      <c r="G319" s="203"/>
      <c r="H319" s="203"/>
      <c r="I319" s="295"/>
      <c r="J319" s="264"/>
      <c r="K319" s="267"/>
      <c r="L319" s="266"/>
      <c r="M319" s="266"/>
      <c r="N319" s="266"/>
      <c r="O319" s="266"/>
      <c r="P319" s="266"/>
      <c r="Q319" s="266"/>
      <c r="R319" s="268"/>
    </row>
    <row r="320" spans="1:18" ht="30" customHeight="1">
      <c r="A320" s="204" t="str">
        <f>IF(ISBLANK(D320)," ",259-COUNTBLANK($D$6:D320))</f>
        <v xml:space="preserve"> </v>
      </c>
      <c r="B320" s="202"/>
      <c r="C320" s="202"/>
      <c r="D320" s="202"/>
      <c r="E320" s="304"/>
      <c r="F320" s="211"/>
      <c r="G320" s="203"/>
      <c r="H320" s="203"/>
      <c r="I320" s="295"/>
      <c r="J320" s="264"/>
      <c r="K320" s="267"/>
      <c r="L320" s="266"/>
      <c r="M320" s="266"/>
      <c r="N320" s="266"/>
      <c r="O320" s="266"/>
      <c r="P320" s="266"/>
      <c r="Q320" s="266"/>
      <c r="R320" s="268"/>
    </row>
    <row r="321" spans="1:21" ht="30" customHeight="1">
      <c r="A321" s="308" t="str">
        <f>IF(ISBLANK(D321)," ",260-COUNTBLANK($D$6:D321))</f>
        <v xml:space="preserve"> </v>
      </c>
      <c r="B321" s="300"/>
      <c r="C321" s="309"/>
      <c r="D321" s="310"/>
      <c r="E321" s="301"/>
      <c r="F321" s="302"/>
      <c r="G321" s="286"/>
      <c r="H321" s="286"/>
      <c r="I321" s="307"/>
      <c r="J321" s="264"/>
      <c r="K321" s="265"/>
      <c r="L321" s="266"/>
      <c r="M321" s="266"/>
      <c r="N321" s="266"/>
      <c r="O321" s="266"/>
      <c r="P321" s="266"/>
      <c r="Q321" s="266"/>
      <c r="R321" s="288"/>
      <c r="S321" s="266"/>
      <c r="T321" s="266"/>
      <c r="U321" s="266"/>
    </row>
    <row r="322" spans="1:21" ht="30" customHeight="1">
      <c r="A322" s="261" t="str">
        <f>IF(ISBLANK(D322)," ",261-COUNTBLANK($D$6:D322))</f>
        <v xml:space="preserve"> </v>
      </c>
      <c r="B322" s="200"/>
      <c r="C322" s="200"/>
      <c r="D322" s="200"/>
      <c r="E322" s="303"/>
      <c r="F322" s="210"/>
      <c r="G322" s="201"/>
      <c r="H322" s="201"/>
      <c r="I322" s="295"/>
      <c r="J322" s="264"/>
      <c r="K322" s="267"/>
      <c r="L322" s="266"/>
      <c r="M322" s="266"/>
      <c r="N322" s="266"/>
      <c r="O322" s="266"/>
      <c r="P322" s="266"/>
      <c r="Q322" s="266"/>
      <c r="R322" s="288"/>
      <c r="S322" s="266"/>
      <c r="T322" s="266"/>
      <c r="U322" s="266"/>
    </row>
    <row r="323" spans="1:21" ht="30" customHeight="1">
      <c r="A323" s="204" t="str">
        <f>IF(ISBLANK(D323)," ",262-COUNTBLANK($D$6:D323))</f>
        <v xml:space="preserve"> </v>
      </c>
      <c r="B323" s="202"/>
      <c r="C323" s="202"/>
      <c r="D323" s="202"/>
      <c r="E323" s="304"/>
      <c r="F323" s="211"/>
      <c r="G323" s="203"/>
      <c r="H323" s="203"/>
      <c r="I323" s="295"/>
      <c r="J323" s="264"/>
      <c r="K323" s="265"/>
      <c r="L323" s="266"/>
      <c r="M323" s="266"/>
      <c r="N323" s="266"/>
      <c r="O323" s="266"/>
      <c r="P323" s="266"/>
      <c r="Q323" s="266"/>
      <c r="R323" s="266"/>
    </row>
    <row r="324" spans="1:21" ht="30" customHeight="1">
      <c r="A324" s="204" t="str">
        <f>IF(ISBLANK(D324)," ",263-COUNTBLANK($D$6:D324))</f>
        <v xml:space="preserve"> </v>
      </c>
      <c r="B324" s="202"/>
      <c r="C324" s="202"/>
      <c r="D324" s="202"/>
      <c r="E324" s="304"/>
      <c r="F324" s="211"/>
      <c r="G324" s="203"/>
      <c r="H324" s="203"/>
      <c r="I324" s="295"/>
      <c r="J324" s="264"/>
      <c r="K324" s="265"/>
      <c r="L324" s="266"/>
      <c r="M324" s="266"/>
      <c r="N324" s="266"/>
      <c r="O324" s="266"/>
      <c r="P324" s="266"/>
      <c r="Q324" s="266"/>
      <c r="R324" s="266"/>
    </row>
    <row r="325" spans="1:21" ht="30" customHeight="1">
      <c r="A325" s="204" t="str">
        <f>IF(ISBLANK(D325)," ",264-COUNTBLANK($D$6:D325))</f>
        <v xml:space="preserve"> </v>
      </c>
      <c r="B325" s="202"/>
      <c r="C325" s="202"/>
      <c r="D325" s="202"/>
      <c r="E325" s="304"/>
      <c r="F325" s="211"/>
      <c r="G325" s="203"/>
      <c r="H325" s="203"/>
      <c r="I325" s="295"/>
      <c r="J325" s="264"/>
      <c r="K325" s="265"/>
      <c r="L325" s="266"/>
      <c r="M325" s="266"/>
      <c r="N325" s="266"/>
      <c r="O325" s="266"/>
      <c r="P325" s="266"/>
      <c r="Q325" s="266"/>
      <c r="R325" s="266"/>
    </row>
    <row r="326" spans="1:21" ht="30" customHeight="1">
      <c r="A326" s="204" t="str">
        <f>IF(ISBLANK(D326)," ",265-COUNTBLANK($D$6:D326))</f>
        <v xml:space="preserve"> </v>
      </c>
      <c r="B326" s="202"/>
      <c r="C326" s="202"/>
      <c r="D326" s="202"/>
      <c r="E326" s="304"/>
      <c r="F326" s="211"/>
      <c r="G326" s="203"/>
      <c r="H326" s="203"/>
      <c r="I326" s="295"/>
      <c r="J326" s="264"/>
      <c r="K326" s="265"/>
      <c r="L326" s="266"/>
      <c r="M326" s="266"/>
      <c r="N326" s="266"/>
      <c r="O326" s="266"/>
      <c r="P326" s="266"/>
      <c r="Q326" s="266"/>
      <c r="R326" s="266"/>
    </row>
    <row r="327" spans="1:21" ht="30" customHeight="1">
      <c r="A327" s="204" t="str">
        <f>IF(ISBLANK(D327)," ",266-COUNTBLANK($D$6:D327))</f>
        <v xml:space="preserve"> </v>
      </c>
      <c r="B327" s="202"/>
      <c r="C327" s="202"/>
      <c r="D327" s="202"/>
      <c r="E327" s="304"/>
      <c r="F327" s="211"/>
      <c r="G327" s="203"/>
      <c r="H327" s="203"/>
      <c r="I327" s="295"/>
      <c r="J327" s="264"/>
      <c r="K327" s="265"/>
      <c r="L327" s="266"/>
      <c r="M327" s="266"/>
      <c r="N327" s="266"/>
      <c r="O327" s="266"/>
      <c r="P327" s="266"/>
      <c r="Q327" s="266"/>
      <c r="R327" s="266"/>
    </row>
    <row r="328" spans="1:21" ht="30" customHeight="1">
      <c r="A328" s="204" t="str">
        <f>IF(ISBLANK(D328)," ",267-COUNTBLANK($D$6:D328))</f>
        <v xml:space="preserve"> </v>
      </c>
      <c r="B328" s="202"/>
      <c r="C328" s="202"/>
      <c r="D328" s="202"/>
      <c r="E328" s="304"/>
      <c r="F328" s="211"/>
      <c r="G328" s="203"/>
      <c r="H328" s="203"/>
      <c r="I328" s="295"/>
      <c r="J328" s="264"/>
      <c r="K328" s="265"/>
      <c r="L328" s="266"/>
      <c r="M328" s="266"/>
      <c r="N328" s="266"/>
      <c r="O328" s="266"/>
      <c r="P328" s="266"/>
      <c r="Q328" s="266"/>
      <c r="R328" s="266"/>
    </row>
    <row r="329" spans="1:21" ht="30" customHeight="1">
      <c r="A329" s="204" t="str">
        <f>IF(ISBLANK(D329)," ",268-COUNTBLANK($D$6:D329))</f>
        <v xml:space="preserve"> </v>
      </c>
      <c r="B329" s="202"/>
      <c r="C329" s="202"/>
      <c r="D329" s="202"/>
      <c r="E329" s="304"/>
      <c r="F329" s="211"/>
      <c r="G329" s="203"/>
      <c r="H329" s="203"/>
      <c r="I329" s="295"/>
      <c r="J329" s="264"/>
      <c r="K329" s="265"/>
      <c r="L329" s="266"/>
      <c r="M329" s="266"/>
      <c r="N329" s="266"/>
      <c r="O329" s="266"/>
      <c r="P329" s="266"/>
      <c r="Q329" s="266"/>
      <c r="R329" s="266"/>
    </row>
    <row r="330" spans="1:21" ht="30" customHeight="1">
      <c r="A330" s="204" t="str">
        <f>IF(ISBLANK(D330)," ",269-COUNTBLANK($D$6:D330))</f>
        <v xml:space="preserve"> </v>
      </c>
      <c r="B330" s="202"/>
      <c r="C330" s="202"/>
      <c r="D330" s="202"/>
      <c r="E330" s="304"/>
      <c r="F330" s="211"/>
      <c r="G330" s="203"/>
      <c r="H330" s="203"/>
      <c r="I330" s="295"/>
      <c r="J330" s="264"/>
      <c r="K330" s="265"/>
      <c r="L330" s="266"/>
      <c r="M330" s="266"/>
      <c r="N330" s="266"/>
      <c r="O330" s="266"/>
      <c r="P330" s="266"/>
      <c r="Q330" s="266"/>
      <c r="R330" s="266"/>
    </row>
    <row r="331" spans="1:21" ht="30" customHeight="1">
      <c r="A331" s="204" t="str">
        <f>IF(ISBLANK(D331)," ",270-COUNTBLANK($D$6:D331))</f>
        <v xml:space="preserve"> </v>
      </c>
      <c r="B331" s="202"/>
      <c r="C331" s="202"/>
      <c r="D331" s="202"/>
      <c r="E331" s="304"/>
      <c r="F331" s="211"/>
      <c r="G331" s="203"/>
      <c r="H331" s="203"/>
      <c r="I331" s="295"/>
      <c r="J331" s="264"/>
      <c r="K331" s="265"/>
      <c r="L331" s="266"/>
      <c r="M331" s="266"/>
      <c r="N331" s="266"/>
      <c r="O331" s="266"/>
      <c r="P331" s="266"/>
      <c r="Q331" s="266"/>
      <c r="R331" s="266"/>
    </row>
    <row r="332" spans="1:21" ht="30" customHeight="1">
      <c r="A332" s="204" t="str">
        <f>IF(ISBLANK(D332)," ",271-COUNTBLANK($D$6:D332))</f>
        <v xml:space="preserve"> </v>
      </c>
      <c r="B332" s="202"/>
      <c r="C332" s="202"/>
      <c r="D332" s="202"/>
      <c r="E332" s="304"/>
      <c r="F332" s="211"/>
      <c r="G332" s="203"/>
      <c r="H332" s="203"/>
      <c r="I332" s="295"/>
      <c r="J332" s="264"/>
      <c r="K332" s="265"/>
      <c r="L332" s="266"/>
      <c r="M332" s="266"/>
      <c r="N332" s="266"/>
      <c r="O332" s="266"/>
      <c r="P332" s="266"/>
      <c r="Q332" s="266"/>
      <c r="R332" s="266"/>
    </row>
    <row r="333" spans="1:21" ht="30" customHeight="1">
      <c r="A333" s="204" t="str">
        <f>IF(ISBLANK(D333)," ",272-COUNTBLANK($D$6:D333))</f>
        <v xml:space="preserve"> </v>
      </c>
      <c r="B333" s="202"/>
      <c r="C333" s="202"/>
      <c r="D333" s="202"/>
      <c r="E333" s="304"/>
      <c r="F333" s="211"/>
      <c r="G333" s="203"/>
      <c r="H333" s="203"/>
      <c r="I333" s="295"/>
      <c r="J333" s="264"/>
      <c r="K333" s="265"/>
      <c r="L333" s="266"/>
      <c r="M333" s="266"/>
      <c r="N333" s="266"/>
      <c r="O333" s="266"/>
      <c r="P333" s="266"/>
      <c r="Q333" s="266"/>
      <c r="R333" s="266"/>
    </row>
    <row r="334" spans="1:21" ht="30" customHeight="1">
      <c r="A334" s="204" t="s">
        <v>58</v>
      </c>
      <c r="B334" s="202"/>
      <c r="C334" s="202"/>
      <c r="D334" s="202"/>
      <c r="E334" s="304"/>
      <c r="F334" s="211">
        <f>SUM(F314:F333)</f>
        <v>0</v>
      </c>
      <c r="G334" s="203"/>
      <c r="H334" s="203"/>
      <c r="I334" s="295"/>
      <c r="J334" s="264"/>
      <c r="K334" s="265"/>
      <c r="L334" s="266"/>
      <c r="M334" s="266"/>
      <c r="N334" s="266"/>
      <c r="O334" s="266"/>
      <c r="P334" s="266"/>
      <c r="Q334" s="266"/>
      <c r="R334" s="266"/>
    </row>
    <row r="335" spans="1:21" ht="30" customHeight="1">
      <c r="A335" s="204" t="str">
        <f>IF(ISBLANK(D335)," ",274-COUNTBLANK($D$6:D335))</f>
        <v xml:space="preserve"> </v>
      </c>
      <c r="B335" s="202"/>
      <c r="C335" s="202"/>
      <c r="D335" s="202"/>
      <c r="E335" s="304"/>
      <c r="F335" s="211"/>
      <c r="G335" s="203"/>
      <c r="H335" s="203"/>
      <c r="I335" s="295"/>
      <c r="J335" s="264"/>
      <c r="K335" s="265"/>
      <c r="L335" s="266"/>
      <c r="M335" s="266"/>
      <c r="N335" s="266"/>
      <c r="O335" s="266"/>
      <c r="P335" s="266"/>
      <c r="Q335" s="266"/>
      <c r="R335" s="266"/>
    </row>
    <row r="336" spans="1:21" ht="30" customHeight="1">
      <c r="A336" s="204" t="str">
        <f>IF(ISBLANK(D336)," ",275-COUNTBLANK($D$6:D336))</f>
        <v xml:space="preserve"> </v>
      </c>
      <c r="B336" s="202"/>
      <c r="C336" s="202"/>
      <c r="D336" s="202"/>
      <c r="E336" s="304"/>
      <c r="F336" s="211"/>
      <c r="G336" s="203"/>
      <c r="H336" s="203"/>
      <c r="I336" s="295"/>
      <c r="J336" s="264"/>
      <c r="K336" s="265"/>
      <c r="L336" s="266"/>
      <c r="M336" s="266"/>
      <c r="N336" s="266"/>
      <c r="O336" s="266"/>
      <c r="P336" s="266"/>
      <c r="Q336" s="266"/>
      <c r="R336" s="266"/>
    </row>
    <row r="337" spans="1:21" ht="30" customHeight="1">
      <c r="A337" s="204" t="str">
        <f>IF(ISBLANK(D337)," ",276-COUNTBLANK($D$6:D337))</f>
        <v xml:space="preserve"> </v>
      </c>
      <c r="B337" s="202"/>
      <c r="C337" s="202"/>
      <c r="D337" s="202"/>
      <c r="E337" s="304"/>
      <c r="F337" s="211"/>
      <c r="G337" s="203"/>
      <c r="H337" s="203"/>
      <c r="I337" s="295"/>
      <c r="J337" s="264"/>
      <c r="K337" s="265"/>
      <c r="L337" s="266"/>
      <c r="M337" s="266"/>
      <c r="N337" s="266"/>
      <c r="O337" s="266"/>
      <c r="P337" s="266"/>
      <c r="Q337" s="266"/>
      <c r="R337" s="266"/>
    </row>
    <row r="338" spans="1:21" ht="30" customHeight="1">
      <c r="A338" s="204" t="str">
        <f>IF(ISBLANK(D338)," ",277-COUNTBLANK($D$6:D338))</f>
        <v xml:space="preserve"> </v>
      </c>
      <c r="B338" s="202"/>
      <c r="C338" s="202"/>
      <c r="D338" s="202"/>
      <c r="E338" s="304"/>
      <c r="F338" s="211"/>
      <c r="G338" s="203"/>
      <c r="H338" s="203"/>
      <c r="I338" s="295"/>
      <c r="J338" s="264"/>
      <c r="K338" s="267"/>
      <c r="L338" s="266"/>
      <c r="M338" s="266"/>
      <c r="N338" s="266"/>
      <c r="O338" s="266"/>
      <c r="P338" s="266"/>
      <c r="Q338" s="266"/>
      <c r="R338" s="268"/>
    </row>
    <row r="339" spans="1:21" ht="30" customHeight="1">
      <c r="A339" s="204" t="str">
        <f>IF(ISBLANK(D339)," ",278-COUNTBLANK($D$6:D339))</f>
        <v xml:space="preserve"> </v>
      </c>
      <c r="B339" s="202"/>
      <c r="C339" s="202"/>
      <c r="D339" s="202"/>
      <c r="E339" s="304"/>
      <c r="F339" s="211"/>
      <c r="G339" s="203"/>
      <c r="H339" s="203"/>
      <c r="I339" s="295"/>
      <c r="J339" s="264"/>
      <c r="K339" s="267"/>
      <c r="L339" s="266"/>
      <c r="M339" s="266"/>
      <c r="N339" s="266"/>
      <c r="O339" s="266"/>
      <c r="P339" s="266"/>
      <c r="Q339" s="266"/>
      <c r="R339" s="268"/>
    </row>
    <row r="340" spans="1:21" ht="30" customHeight="1">
      <c r="A340" s="204" t="str">
        <f>IF(ISBLANK(D340)," ",279-COUNTBLANK($D$6:D340))</f>
        <v xml:space="preserve"> </v>
      </c>
      <c r="B340" s="202"/>
      <c r="C340" s="202"/>
      <c r="D340" s="202"/>
      <c r="E340" s="304"/>
      <c r="F340" s="211"/>
      <c r="G340" s="203"/>
      <c r="H340" s="203"/>
      <c r="I340" s="295"/>
      <c r="J340" s="264"/>
      <c r="K340" s="267"/>
      <c r="L340" s="266"/>
      <c r="M340" s="266"/>
      <c r="N340" s="266"/>
      <c r="O340" s="266"/>
      <c r="P340" s="266"/>
      <c r="Q340" s="266"/>
      <c r="R340" s="268"/>
    </row>
    <row r="341" spans="1:21" ht="30" customHeight="1">
      <c r="A341" s="204" t="str">
        <f>IF(ISBLANK(D341)," ",280-COUNTBLANK($D$6:D341))</f>
        <v xml:space="preserve"> </v>
      </c>
      <c r="B341" s="202"/>
      <c r="C341" s="202"/>
      <c r="D341" s="202"/>
      <c r="E341" s="304"/>
      <c r="F341" s="211"/>
      <c r="G341" s="203"/>
      <c r="H341" s="203"/>
      <c r="I341" s="295"/>
      <c r="J341" s="264"/>
      <c r="K341" s="267"/>
      <c r="L341" s="266"/>
      <c r="M341" s="266"/>
      <c r="N341" s="266"/>
      <c r="O341" s="266"/>
      <c r="P341" s="266"/>
      <c r="Q341" s="266"/>
      <c r="R341" s="268"/>
    </row>
    <row r="342" spans="1:21" ht="30" customHeight="1">
      <c r="A342" s="308" t="str">
        <f>IF(ISBLANK(D342)," ",281-COUNTBLANK($D$6:D342))</f>
        <v xml:space="preserve"> </v>
      </c>
      <c r="B342" s="300"/>
      <c r="C342" s="309"/>
      <c r="D342" s="310"/>
      <c r="E342" s="301"/>
      <c r="F342" s="302"/>
      <c r="G342" s="286"/>
      <c r="H342" s="286"/>
      <c r="I342" s="307"/>
      <c r="J342" s="264"/>
      <c r="K342" s="265"/>
      <c r="L342" s="266"/>
      <c r="M342" s="266"/>
      <c r="N342" s="266"/>
      <c r="O342" s="266"/>
      <c r="P342" s="266"/>
      <c r="Q342" s="266"/>
      <c r="R342" s="288"/>
      <c r="S342" s="266"/>
      <c r="T342" s="266"/>
      <c r="U342" s="266"/>
    </row>
    <row r="343" spans="1:21" ht="30" customHeight="1">
      <c r="A343" s="261" t="str">
        <f>IF(ISBLANK(D343)," ",282-COUNTBLANK($D$6:D343))</f>
        <v xml:space="preserve"> </v>
      </c>
      <c r="B343" s="200"/>
      <c r="C343" s="200"/>
      <c r="D343" s="200"/>
      <c r="E343" s="303"/>
      <c r="F343" s="210"/>
      <c r="G343" s="201"/>
      <c r="H343" s="201"/>
      <c r="I343" s="295"/>
      <c r="J343" s="264"/>
      <c r="K343" s="267"/>
      <c r="L343" s="266"/>
      <c r="M343" s="266"/>
      <c r="N343" s="266"/>
      <c r="O343" s="266"/>
      <c r="P343" s="266"/>
      <c r="Q343" s="266"/>
      <c r="R343" s="288"/>
      <c r="S343" s="266"/>
      <c r="T343" s="266"/>
      <c r="U343" s="266"/>
    </row>
    <row r="344" spans="1:21" ht="30" customHeight="1">
      <c r="A344" s="204" t="str">
        <f>IF(ISBLANK(D344)," ",283-COUNTBLANK($D$6:D344))</f>
        <v xml:space="preserve"> </v>
      </c>
      <c r="B344" s="202"/>
      <c r="C344" s="202"/>
      <c r="D344" s="202"/>
      <c r="E344" s="304"/>
      <c r="F344" s="211"/>
      <c r="G344" s="203"/>
      <c r="H344" s="203"/>
      <c r="I344" s="295"/>
      <c r="J344" s="264"/>
      <c r="K344" s="265"/>
      <c r="L344" s="266"/>
      <c r="M344" s="266"/>
      <c r="N344" s="266"/>
      <c r="O344" s="266"/>
      <c r="P344" s="266"/>
      <c r="Q344" s="266"/>
      <c r="R344" s="266"/>
    </row>
    <row r="345" spans="1:21" ht="30" customHeight="1">
      <c r="A345" s="204" t="str">
        <f>IF(ISBLANK(D345)," ",284-COUNTBLANK($D$6:D345))</f>
        <v xml:space="preserve"> </v>
      </c>
      <c r="B345" s="202"/>
      <c r="C345" s="202"/>
      <c r="D345" s="202"/>
      <c r="E345" s="304"/>
      <c r="F345" s="211"/>
      <c r="G345" s="203"/>
      <c r="H345" s="203"/>
      <c r="I345" s="295"/>
      <c r="J345" s="264"/>
      <c r="K345" s="265"/>
      <c r="L345" s="266"/>
      <c r="M345" s="266"/>
      <c r="N345" s="266"/>
      <c r="O345" s="266"/>
      <c r="P345" s="266"/>
      <c r="Q345" s="266"/>
      <c r="R345" s="266"/>
    </row>
    <row r="346" spans="1:21" ht="30" customHeight="1">
      <c r="A346" s="204" t="str">
        <f>IF(ISBLANK(D346)," ",285-COUNTBLANK($D$6:D346))</f>
        <v xml:space="preserve"> </v>
      </c>
      <c r="B346" s="202"/>
      <c r="C346" s="202"/>
      <c r="D346" s="202"/>
      <c r="E346" s="304"/>
      <c r="F346" s="211"/>
      <c r="G346" s="203"/>
      <c r="H346" s="203"/>
      <c r="I346" s="295"/>
      <c r="J346" s="264"/>
      <c r="K346" s="265"/>
      <c r="L346" s="266"/>
      <c r="M346" s="266"/>
      <c r="N346" s="266"/>
      <c r="O346" s="266"/>
      <c r="P346" s="266"/>
      <c r="Q346" s="266"/>
      <c r="R346" s="266"/>
    </row>
    <row r="347" spans="1:21" ht="30" customHeight="1">
      <c r="A347" s="204" t="str">
        <f>IF(ISBLANK(D347)," ",286-COUNTBLANK($D$6:D347))</f>
        <v xml:space="preserve"> </v>
      </c>
      <c r="B347" s="202"/>
      <c r="C347" s="202"/>
      <c r="D347" s="202"/>
      <c r="E347" s="304"/>
      <c r="F347" s="211"/>
      <c r="G347" s="203"/>
      <c r="H347" s="203"/>
      <c r="I347" s="295"/>
      <c r="J347" s="264"/>
      <c r="K347" s="265"/>
      <c r="L347" s="266"/>
      <c r="M347" s="266"/>
      <c r="N347" s="266"/>
      <c r="O347" s="266"/>
      <c r="P347" s="266"/>
      <c r="Q347" s="266"/>
      <c r="R347" s="266"/>
    </row>
    <row r="348" spans="1:21" ht="30" customHeight="1">
      <c r="A348" s="204" t="str">
        <f>IF(ISBLANK(D348)," ",287-COUNTBLANK($D$6:D348))</f>
        <v xml:space="preserve"> </v>
      </c>
      <c r="B348" s="202"/>
      <c r="C348" s="202"/>
      <c r="D348" s="202"/>
      <c r="E348" s="304"/>
      <c r="F348" s="211"/>
      <c r="G348" s="203"/>
      <c r="H348" s="203"/>
      <c r="I348" s="295"/>
      <c r="J348" s="264"/>
      <c r="K348" s="265"/>
      <c r="L348" s="266"/>
      <c r="M348" s="266"/>
      <c r="N348" s="266"/>
      <c r="O348" s="266"/>
      <c r="P348" s="266"/>
      <c r="Q348" s="266"/>
      <c r="R348" s="266"/>
    </row>
    <row r="349" spans="1:21" ht="30" customHeight="1">
      <c r="A349" s="204" t="str">
        <f>IF(ISBLANK(D349)," ",288-COUNTBLANK($D$6:D349))</f>
        <v xml:space="preserve"> </v>
      </c>
      <c r="B349" s="202"/>
      <c r="C349" s="202"/>
      <c r="D349" s="202"/>
      <c r="E349" s="304"/>
      <c r="F349" s="211"/>
      <c r="G349" s="203"/>
      <c r="H349" s="203"/>
      <c r="I349" s="295"/>
      <c r="J349" s="264"/>
      <c r="K349" s="265"/>
      <c r="L349" s="266"/>
      <c r="M349" s="266"/>
      <c r="N349" s="266"/>
      <c r="O349" s="266"/>
      <c r="P349" s="266"/>
      <c r="Q349" s="266"/>
      <c r="R349" s="266"/>
    </row>
    <row r="350" spans="1:21" ht="30" customHeight="1">
      <c r="A350" s="204" t="str">
        <f>IF(ISBLANK(D350)," ",289-COUNTBLANK($D$6:D350))</f>
        <v xml:space="preserve"> </v>
      </c>
      <c r="B350" s="202"/>
      <c r="C350" s="202"/>
      <c r="D350" s="202"/>
      <c r="E350" s="304"/>
      <c r="F350" s="211"/>
      <c r="G350" s="203"/>
      <c r="H350" s="203"/>
      <c r="I350" s="295"/>
      <c r="J350" s="264"/>
      <c r="K350" s="265"/>
      <c r="L350" s="266"/>
      <c r="M350" s="266"/>
      <c r="N350" s="266"/>
      <c r="O350" s="266"/>
      <c r="P350" s="266"/>
      <c r="Q350" s="266"/>
      <c r="R350" s="266"/>
    </row>
    <row r="351" spans="1:21" ht="30" customHeight="1">
      <c r="A351" s="204" t="str">
        <f>IF(ISBLANK(D351)," ",290-COUNTBLANK($D$6:D351))</f>
        <v xml:space="preserve"> </v>
      </c>
      <c r="B351" s="202"/>
      <c r="C351" s="202"/>
      <c r="D351" s="202"/>
      <c r="E351" s="304"/>
      <c r="F351" s="211"/>
      <c r="G351" s="203"/>
      <c r="H351" s="203"/>
      <c r="I351" s="295"/>
      <c r="J351" s="264"/>
      <c r="K351" s="265"/>
      <c r="L351" s="266"/>
      <c r="M351" s="266"/>
      <c r="N351" s="266"/>
      <c r="O351" s="266"/>
      <c r="P351" s="266"/>
      <c r="Q351" s="266"/>
      <c r="R351" s="266"/>
    </row>
    <row r="352" spans="1:21" ht="30" customHeight="1">
      <c r="A352" s="204" t="str">
        <f>IF(ISBLANK(D352)," ",291-COUNTBLANK($D$6:D352))</f>
        <v xml:space="preserve"> </v>
      </c>
      <c r="B352" s="202"/>
      <c r="C352" s="202"/>
      <c r="D352" s="202"/>
      <c r="E352" s="304"/>
      <c r="F352" s="211"/>
      <c r="G352" s="203"/>
      <c r="H352" s="203"/>
      <c r="I352" s="295"/>
      <c r="J352" s="264"/>
      <c r="K352" s="265"/>
      <c r="L352" s="266"/>
      <c r="M352" s="266"/>
      <c r="N352" s="266"/>
      <c r="O352" s="266"/>
      <c r="P352" s="266"/>
      <c r="Q352" s="266"/>
      <c r="R352" s="266"/>
    </row>
    <row r="353" spans="1:21" ht="30" customHeight="1">
      <c r="A353" s="204" t="str">
        <f>IF(ISBLANK(D353)," ",292-COUNTBLANK($D$6:D353))</f>
        <v xml:space="preserve"> </v>
      </c>
      <c r="B353" s="202"/>
      <c r="C353" s="202"/>
      <c r="D353" s="202"/>
      <c r="E353" s="304"/>
      <c r="F353" s="211"/>
      <c r="G353" s="203"/>
      <c r="H353" s="203"/>
      <c r="I353" s="295"/>
      <c r="J353" s="264"/>
      <c r="K353" s="265"/>
      <c r="L353" s="266"/>
      <c r="M353" s="266"/>
      <c r="N353" s="266"/>
      <c r="O353" s="266"/>
      <c r="P353" s="266"/>
      <c r="Q353" s="266"/>
      <c r="R353" s="266"/>
    </row>
    <row r="354" spans="1:21" ht="30" customHeight="1">
      <c r="A354" s="204" t="str">
        <f>IF(ISBLANK(D354)," ",293-COUNTBLANK($D$6:D354))</f>
        <v xml:space="preserve"> </v>
      </c>
      <c r="B354" s="202"/>
      <c r="C354" s="202"/>
      <c r="D354" s="202"/>
      <c r="E354" s="304"/>
      <c r="F354" s="211"/>
      <c r="G354" s="203"/>
      <c r="H354" s="203"/>
      <c r="I354" s="295"/>
      <c r="J354" s="264"/>
      <c r="K354" s="265"/>
      <c r="L354" s="266"/>
      <c r="M354" s="266"/>
      <c r="N354" s="266"/>
      <c r="O354" s="266"/>
      <c r="P354" s="266"/>
      <c r="Q354" s="266"/>
      <c r="R354" s="266"/>
    </row>
    <row r="355" spans="1:21" ht="30" customHeight="1">
      <c r="A355" s="204" t="s">
        <v>58</v>
      </c>
      <c r="B355" s="202"/>
      <c r="C355" s="202"/>
      <c r="D355" s="202"/>
      <c r="E355" s="304"/>
      <c r="F355" s="211">
        <f>SUM(F335:F354)</f>
        <v>0</v>
      </c>
      <c r="G355" s="203"/>
      <c r="H355" s="203"/>
      <c r="I355" s="295"/>
      <c r="J355" s="264"/>
      <c r="K355" s="265"/>
      <c r="L355" s="266"/>
      <c r="M355" s="266"/>
      <c r="N355" s="266"/>
      <c r="O355" s="266"/>
      <c r="P355" s="266"/>
      <c r="Q355" s="266"/>
      <c r="R355" s="266"/>
    </row>
    <row r="356" spans="1:21" ht="30" customHeight="1">
      <c r="A356" s="204" t="str">
        <f>IF(ISBLANK(D356)," ",295-COUNTBLANK($D$6:D356))</f>
        <v xml:space="preserve"> </v>
      </c>
      <c r="B356" s="202"/>
      <c r="C356" s="202"/>
      <c r="D356" s="202"/>
      <c r="E356" s="304"/>
      <c r="F356" s="211"/>
      <c r="G356" s="203"/>
      <c r="H356" s="203"/>
      <c r="I356" s="295"/>
      <c r="J356" s="264"/>
      <c r="K356" s="265"/>
      <c r="L356" s="266"/>
      <c r="M356" s="266"/>
      <c r="N356" s="266"/>
      <c r="O356" s="266"/>
      <c r="P356" s="266"/>
      <c r="Q356" s="266"/>
      <c r="R356" s="266"/>
    </row>
    <row r="357" spans="1:21" ht="30" customHeight="1">
      <c r="A357" s="204" t="str">
        <f>IF(ISBLANK(D357)," ",296-COUNTBLANK($D$6:D357))</f>
        <v xml:space="preserve"> </v>
      </c>
      <c r="B357" s="202"/>
      <c r="C357" s="202"/>
      <c r="D357" s="202"/>
      <c r="E357" s="304"/>
      <c r="F357" s="211"/>
      <c r="G357" s="203"/>
      <c r="H357" s="203"/>
      <c r="I357" s="295"/>
      <c r="J357" s="264"/>
      <c r="K357" s="265"/>
      <c r="L357" s="266"/>
      <c r="M357" s="266"/>
      <c r="N357" s="266"/>
      <c r="O357" s="266"/>
      <c r="P357" s="266"/>
      <c r="Q357" s="266"/>
      <c r="R357" s="266"/>
    </row>
    <row r="358" spans="1:21" ht="30" customHeight="1">
      <c r="A358" s="204" t="str">
        <f>IF(ISBLANK(D358)," ",297-COUNTBLANK($D$6:D358))</f>
        <v xml:space="preserve"> </v>
      </c>
      <c r="B358" s="202"/>
      <c r="C358" s="202"/>
      <c r="D358" s="202"/>
      <c r="E358" s="304"/>
      <c r="F358" s="211"/>
      <c r="G358" s="203"/>
      <c r="H358" s="203"/>
      <c r="I358" s="295"/>
      <c r="J358" s="264"/>
      <c r="K358" s="265"/>
      <c r="L358" s="266"/>
      <c r="M358" s="266"/>
      <c r="N358" s="266"/>
      <c r="O358" s="266"/>
      <c r="P358" s="266"/>
      <c r="Q358" s="266"/>
      <c r="R358" s="266"/>
    </row>
    <row r="359" spans="1:21" ht="30" customHeight="1">
      <c r="A359" s="204" t="str">
        <f>IF(ISBLANK(D359)," ",298-COUNTBLANK($D$6:D359))</f>
        <v xml:space="preserve"> </v>
      </c>
      <c r="B359" s="202"/>
      <c r="C359" s="202"/>
      <c r="D359" s="202"/>
      <c r="E359" s="304"/>
      <c r="F359" s="211"/>
      <c r="G359" s="203"/>
      <c r="H359" s="203"/>
      <c r="I359" s="295"/>
      <c r="J359" s="264"/>
      <c r="K359" s="267"/>
      <c r="L359" s="266"/>
      <c r="M359" s="266"/>
      <c r="N359" s="266"/>
      <c r="O359" s="266"/>
      <c r="P359" s="266"/>
      <c r="Q359" s="266"/>
      <c r="R359" s="268"/>
    </row>
    <row r="360" spans="1:21" ht="30" customHeight="1">
      <c r="A360" s="204" t="str">
        <f>IF(ISBLANK(D360)," ",299-COUNTBLANK($D$6:D360))</f>
        <v xml:space="preserve"> </v>
      </c>
      <c r="B360" s="202"/>
      <c r="C360" s="202"/>
      <c r="D360" s="202"/>
      <c r="E360" s="304"/>
      <c r="F360" s="211"/>
      <c r="G360" s="203"/>
      <c r="H360" s="203"/>
      <c r="I360" s="295"/>
      <c r="J360" s="264"/>
      <c r="K360" s="267"/>
      <c r="L360" s="266"/>
      <c r="M360" s="266"/>
      <c r="N360" s="266"/>
      <c r="O360" s="266"/>
      <c r="P360" s="266"/>
      <c r="Q360" s="266"/>
      <c r="R360" s="268"/>
    </row>
    <row r="361" spans="1:21" ht="30" customHeight="1">
      <c r="A361" s="204" t="str">
        <f>IF(ISBLANK(D361)," ",300-COUNTBLANK($D$6:D361))</f>
        <v xml:space="preserve"> </v>
      </c>
      <c r="B361" s="202"/>
      <c r="C361" s="202"/>
      <c r="D361" s="202"/>
      <c r="E361" s="304"/>
      <c r="F361" s="211"/>
      <c r="G361" s="203"/>
      <c r="H361" s="203"/>
      <c r="I361" s="295"/>
      <c r="J361" s="264"/>
      <c r="K361" s="267"/>
      <c r="L361" s="266"/>
      <c r="M361" s="266"/>
      <c r="N361" s="266"/>
      <c r="O361" s="266"/>
      <c r="P361" s="266"/>
      <c r="Q361" s="266"/>
      <c r="R361" s="268"/>
    </row>
    <row r="362" spans="1:21" ht="30" customHeight="1">
      <c r="A362" s="204" t="str">
        <f>IF(ISBLANK(D362)," ",301-COUNTBLANK($D$6:D362))</f>
        <v xml:space="preserve"> </v>
      </c>
      <c r="B362" s="202"/>
      <c r="C362" s="202"/>
      <c r="D362" s="202"/>
      <c r="E362" s="304"/>
      <c r="F362" s="211"/>
      <c r="G362" s="203"/>
      <c r="H362" s="203"/>
      <c r="I362" s="295"/>
      <c r="J362" s="264"/>
      <c r="K362" s="267"/>
      <c r="L362" s="266"/>
      <c r="M362" s="266"/>
      <c r="N362" s="266"/>
      <c r="O362" s="266"/>
      <c r="P362" s="266"/>
      <c r="Q362" s="266"/>
      <c r="R362" s="268"/>
    </row>
    <row r="363" spans="1:21" ht="30" customHeight="1">
      <c r="A363" s="308" t="str">
        <f>IF(ISBLANK(D363)," ",302-COUNTBLANK($D$6:D363))</f>
        <v xml:space="preserve"> </v>
      </c>
      <c r="B363" s="300"/>
      <c r="C363" s="309"/>
      <c r="D363" s="310"/>
      <c r="E363" s="301"/>
      <c r="F363" s="302"/>
      <c r="G363" s="286"/>
      <c r="H363" s="286"/>
      <c r="I363" s="307"/>
      <c r="J363" s="264"/>
      <c r="K363" s="265"/>
      <c r="L363" s="266"/>
      <c r="M363" s="266"/>
      <c r="N363" s="266"/>
      <c r="O363" s="266"/>
      <c r="P363" s="266"/>
      <c r="Q363" s="266"/>
      <c r="R363" s="288"/>
      <c r="S363" s="266"/>
      <c r="T363" s="266"/>
      <c r="U363" s="266"/>
    </row>
    <row r="364" spans="1:21" ht="30" customHeight="1">
      <c r="A364" s="261" t="str">
        <f>IF(ISBLANK(D364)," ",303-COUNTBLANK($D$6:D364))</f>
        <v xml:space="preserve"> </v>
      </c>
      <c r="B364" s="200"/>
      <c r="C364" s="200"/>
      <c r="D364" s="200"/>
      <c r="E364" s="303"/>
      <c r="F364" s="210"/>
      <c r="G364" s="201"/>
      <c r="H364" s="201"/>
      <c r="I364" s="295"/>
      <c r="J364" s="264"/>
      <c r="K364" s="267"/>
      <c r="L364" s="266"/>
      <c r="M364" s="266"/>
      <c r="N364" s="266"/>
      <c r="O364" s="266"/>
      <c r="P364" s="266"/>
      <c r="Q364" s="266"/>
      <c r="R364" s="288"/>
      <c r="S364" s="266"/>
      <c r="T364" s="266"/>
      <c r="U364" s="266"/>
    </row>
    <row r="365" spans="1:21" ht="30" customHeight="1">
      <c r="A365" s="204" t="str">
        <f>IF(ISBLANK(D365)," ",304-COUNTBLANK($D$6:D365))</f>
        <v xml:space="preserve"> </v>
      </c>
      <c r="B365" s="202"/>
      <c r="C365" s="202"/>
      <c r="D365" s="202"/>
      <c r="E365" s="304"/>
      <c r="F365" s="211"/>
      <c r="G365" s="203"/>
      <c r="H365" s="203"/>
      <c r="I365" s="295"/>
      <c r="J365" s="264"/>
      <c r="K365" s="265"/>
      <c r="L365" s="266"/>
      <c r="M365" s="266"/>
      <c r="N365" s="266"/>
      <c r="O365" s="266"/>
      <c r="P365" s="266"/>
      <c r="Q365" s="266"/>
      <c r="R365" s="266"/>
    </row>
    <row r="366" spans="1:21" ht="30" customHeight="1">
      <c r="A366" s="204" t="str">
        <f>IF(ISBLANK(D366)," ",305-COUNTBLANK($D$6:D366))</f>
        <v xml:space="preserve"> </v>
      </c>
      <c r="B366" s="202"/>
      <c r="C366" s="202"/>
      <c r="D366" s="202"/>
      <c r="E366" s="304"/>
      <c r="F366" s="211"/>
      <c r="G366" s="203"/>
      <c r="H366" s="203"/>
      <c r="I366" s="295"/>
      <c r="J366" s="264"/>
      <c r="K366" s="265"/>
      <c r="L366" s="266"/>
      <c r="M366" s="266"/>
      <c r="N366" s="266"/>
      <c r="O366" s="266"/>
      <c r="P366" s="266"/>
      <c r="Q366" s="266"/>
      <c r="R366" s="266"/>
    </row>
    <row r="367" spans="1:21" ht="30" customHeight="1">
      <c r="A367" s="204" t="str">
        <f>IF(ISBLANK(D367)," ",306-COUNTBLANK($D$6:D367))</f>
        <v xml:space="preserve"> </v>
      </c>
      <c r="B367" s="202"/>
      <c r="C367" s="202"/>
      <c r="D367" s="202"/>
      <c r="E367" s="304"/>
      <c r="F367" s="211"/>
      <c r="G367" s="203"/>
      <c r="H367" s="203"/>
      <c r="I367" s="295"/>
      <c r="J367" s="264"/>
      <c r="K367" s="265"/>
      <c r="L367" s="266"/>
      <c r="M367" s="266"/>
      <c r="N367" s="266"/>
      <c r="O367" s="266"/>
      <c r="P367" s="266"/>
      <c r="Q367" s="266"/>
      <c r="R367" s="266"/>
    </row>
    <row r="368" spans="1:21" ht="30" customHeight="1">
      <c r="A368" s="204" t="str">
        <f>IF(ISBLANK(D368)," ",307-COUNTBLANK($D$6:D368))</f>
        <v xml:space="preserve"> </v>
      </c>
      <c r="B368" s="202"/>
      <c r="C368" s="202"/>
      <c r="D368" s="202"/>
      <c r="E368" s="304"/>
      <c r="F368" s="211"/>
      <c r="G368" s="203"/>
      <c r="H368" s="203"/>
      <c r="I368" s="295"/>
      <c r="J368" s="264"/>
      <c r="K368" s="265"/>
      <c r="L368" s="266"/>
      <c r="M368" s="266"/>
      <c r="N368" s="266"/>
      <c r="O368" s="266"/>
      <c r="P368" s="266"/>
      <c r="Q368" s="266"/>
      <c r="R368" s="266"/>
    </row>
    <row r="369" spans="1:21" ht="30" customHeight="1">
      <c r="A369" s="204" t="str">
        <f>IF(ISBLANK(D369)," ",308-COUNTBLANK($D$6:D369))</f>
        <v xml:space="preserve"> </v>
      </c>
      <c r="B369" s="202"/>
      <c r="C369" s="202"/>
      <c r="D369" s="202"/>
      <c r="E369" s="304"/>
      <c r="F369" s="211"/>
      <c r="G369" s="203"/>
      <c r="H369" s="203"/>
      <c r="I369" s="295"/>
      <c r="J369" s="264"/>
      <c r="K369" s="265"/>
      <c r="L369" s="266"/>
      <c r="M369" s="266"/>
      <c r="N369" s="266"/>
      <c r="O369" s="266"/>
      <c r="P369" s="266"/>
      <c r="Q369" s="266"/>
      <c r="R369" s="266"/>
    </row>
    <row r="370" spans="1:21" ht="30" customHeight="1">
      <c r="A370" s="204" t="str">
        <f>IF(ISBLANK(D370)," ",309-COUNTBLANK($D$6:D370))</f>
        <v xml:space="preserve"> </v>
      </c>
      <c r="B370" s="202"/>
      <c r="C370" s="202"/>
      <c r="D370" s="202"/>
      <c r="E370" s="304"/>
      <c r="F370" s="211"/>
      <c r="G370" s="203"/>
      <c r="H370" s="203"/>
      <c r="I370" s="295"/>
      <c r="J370" s="264"/>
      <c r="K370" s="265"/>
      <c r="L370" s="266"/>
      <c r="M370" s="266"/>
      <c r="N370" s="266"/>
      <c r="O370" s="266"/>
      <c r="P370" s="266"/>
      <c r="Q370" s="266"/>
      <c r="R370" s="266"/>
    </row>
    <row r="371" spans="1:21" ht="30" customHeight="1">
      <c r="A371" s="204" t="str">
        <f>IF(ISBLANK(D371)," ",310-COUNTBLANK($D$6:D371))</f>
        <v xml:space="preserve"> </v>
      </c>
      <c r="B371" s="202"/>
      <c r="C371" s="202"/>
      <c r="D371" s="202"/>
      <c r="E371" s="304"/>
      <c r="F371" s="211"/>
      <c r="G371" s="203"/>
      <c r="H371" s="203"/>
      <c r="I371" s="295"/>
      <c r="J371" s="264"/>
      <c r="K371" s="265"/>
      <c r="L371" s="266"/>
      <c r="M371" s="266"/>
      <c r="N371" s="266"/>
      <c r="O371" s="266"/>
      <c r="P371" s="266"/>
      <c r="Q371" s="266"/>
      <c r="R371" s="266"/>
    </row>
    <row r="372" spans="1:21" ht="30" customHeight="1">
      <c r="A372" s="204" t="str">
        <f>IF(ISBLANK(D372)," ",311-COUNTBLANK($D$6:D372))</f>
        <v xml:space="preserve"> </v>
      </c>
      <c r="B372" s="202"/>
      <c r="C372" s="202"/>
      <c r="D372" s="202"/>
      <c r="E372" s="304"/>
      <c r="F372" s="211"/>
      <c r="G372" s="203"/>
      <c r="H372" s="203"/>
      <c r="I372" s="295"/>
      <c r="J372" s="264"/>
      <c r="K372" s="265"/>
      <c r="L372" s="266"/>
      <c r="M372" s="266"/>
      <c r="N372" s="266"/>
      <c r="O372" s="266"/>
      <c r="P372" s="266"/>
      <c r="Q372" s="266"/>
      <c r="R372" s="266"/>
    </row>
    <row r="373" spans="1:21" ht="30" customHeight="1">
      <c r="A373" s="204" t="str">
        <f>IF(ISBLANK(D373)," ",312-COUNTBLANK($D$6:D373))</f>
        <v xml:space="preserve"> </v>
      </c>
      <c r="B373" s="202"/>
      <c r="C373" s="202"/>
      <c r="D373" s="202"/>
      <c r="E373" s="304"/>
      <c r="F373" s="211"/>
      <c r="G373" s="203"/>
      <c r="H373" s="203"/>
      <c r="I373" s="295"/>
      <c r="J373" s="264"/>
      <c r="K373" s="265"/>
      <c r="L373" s="266"/>
      <c r="M373" s="266"/>
      <c r="N373" s="266"/>
      <c r="O373" s="266"/>
      <c r="P373" s="266"/>
      <c r="Q373" s="266"/>
      <c r="R373" s="266"/>
    </row>
    <row r="374" spans="1:21" ht="30" customHeight="1">
      <c r="A374" s="204" t="str">
        <f>IF(ISBLANK(D374)," ",313-COUNTBLANK($D$6:D374))</f>
        <v xml:space="preserve"> </v>
      </c>
      <c r="B374" s="202"/>
      <c r="C374" s="202"/>
      <c r="D374" s="202"/>
      <c r="E374" s="304"/>
      <c r="F374" s="211"/>
      <c r="G374" s="203"/>
      <c r="H374" s="203"/>
      <c r="I374" s="295"/>
      <c r="J374" s="264"/>
      <c r="K374" s="265"/>
      <c r="L374" s="266"/>
      <c r="M374" s="266"/>
      <c r="N374" s="266"/>
      <c r="O374" s="266"/>
      <c r="P374" s="266"/>
      <c r="Q374" s="266"/>
      <c r="R374" s="266"/>
    </row>
    <row r="375" spans="1:21" ht="30" customHeight="1">
      <c r="A375" s="204" t="str">
        <f>IF(ISBLANK(D375)," ",314-COUNTBLANK($D$6:D375))</f>
        <v xml:space="preserve"> </v>
      </c>
      <c r="B375" s="202"/>
      <c r="C375" s="202"/>
      <c r="D375" s="202"/>
      <c r="E375" s="304"/>
      <c r="F375" s="211"/>
      <c r="G375" s="203"/>
      <c r="H375" s="203"/>
      <c r="I375" s="295"/>
      <c r="J375" s="264"/>
      <c r="K375" s="265"/>
      <c r="L375" s="266"/>
      <c r="M375" s="266"/>
      <c r="N375" s="266"/>
      <c r="O375" s="266"/>
      <c r="P375" s="266"/>
      <c r="Q375" s="266"/>
      <c r="R375" s="266"/>
    </row>
    <row r="376" spans="1:21" ht="30" customHeight="1">
      <c r="A376" s="204" t="s">
        <v>58</v>
      </c>
      <c r="B376" s="202"/>
      <c r="C376" s="202"/>
      <c r="D376" s="202"/>
      <c r="E376" s="304"/>
      <c r="F376" s="211">
        <f>SUM(F356:F375)</f>
        <v>0</v>
      </c>
      <c r="G376" s="203"/>
      <c r="H376" s="203"/>
      <c r="I376" s="295"/>
      <c r="J376" s="264"/>
      <c r="K376" s="265"/>
      <c r="L376" s="266"/>
      <c r="M376" s="266"/>
      <c r="N376" s="266"/>
      <c r="O376" s="266"/>
      <c r="P376" s="266"/>
      <c r="Q376" s="266"/>
      <c r="R376" s="266"/>
    </row>
    <row r="377" spans="1:21" ht="30" customHeight="1">
      <c r="A377" s="204" t="str">
        <f>IF(ISBLANK(D377)," ",316-COUNTBLANK($D$6:D377))</f>
        <v xml:space="preserve"> </v>
      </c>
      <c r="B377" s="202"/>
      <c r="C377" s="202"/>
      <c r="D377" s="202"/>
      <c r="E377" s="304"/>
      <c r="F377" s="211"/>
      <c r="G377" s="203"/>
      <c r="H377" s="203"/>
      <c r="I377" s="295"/>
      <c r="J377" s="264"/>
      <c r="K377" s="265"/>
      <c r="L377" s="266"/>
      <c r="M377" s="266"/>
      <c r="N377" s="266"/>
      <c r="O377" s="266"/>
      <c r="P377" s="266"/>
      <c r="Q377" s="266"/>
      <c r="R377" s="266"/>
    </row>
    <row r="378" spans="1:21" ht="30" customHeight="1">
      <c r="A378" s="204" t="str">
        <f>IF(ISBLANK(D378)," ",317-COUNTBLANK($D$6:D378))</f>
        <v xml:space="preserve"> </v>
      </c>
      <c r="B378" s="202"/>
      <c r="C378" s="202"/>
      <c r="D378" s="202"/>
      <c r="E378" s="304"/>
      <c r="F378" s="211"/>
      <c r="G378" s="203"/>
      <c r="H378" s="203"/>
      <c r="I378" s="295"/>
      <c r="J378" s="264"/>
      <c r="K378" s="265"/>
      <c r="L378" s="266"/>
      <c r="M378" s="266"/>
      <c r="N378" s="266"/>
      <c r="O378" s="266"/>
      <c r="P378" s="266"/>
      <c r="Q378" s="266"/>
      <c r="R378" s="266"/>
    </row>
    <row r="379" spans="1:21" ht="30" customHeight="1">
      <c r="A379" s="204" t="str">
        <f>IF(ISBLANK(D379)," ",318-COUNTBLANK($D$6:D379))</f>
        <v xml:space="preserve"> </v>
      </c>
      <c r="B379" s="202"/>
      <c r="C379" s="202"/>
      <c r="D379" s="202"/>
      <c r="E379" s="304"/>
      <c r="F379" s="211"/>
      <c r="G379" s="203"/>
      <c r="H379" s="203"/>
      <c r="I379" s="295"/>
      <c r="J379" s="264"/>
      <c r="K379" s="265"/>
      <c r="L379" s="266"/>
      <c r="M379" s="266"/>
      <c r="N379" s="266"/>
      <c r="O379" s="266"/>
      <c r="P379" s="266"/>
      <c r="Q379" s="266"/>
      <c r="R379" s="266"/>
    </row>
    <row r="380" spans="1:21" ht="30" customHeight="1">
      <c r="A380" s="204" t="str">
        <f>IF(ISBLANK(D380)," ",319-COUNTBLANK($D$6:D380))</f>
        <v xml:space="preserve"> </v>
      </c>
      <c r="B380" s="202"/>
      <c r="C380" s="202"/>
      <c r="D380" s="202"/>
      <c r="E380" s="304"/>
      <c r="F380" s="211"/>
      <c r="G380" s="203"/>
      <c r="H380" s="203"/>
      <c r="I380" s="295"/>
      <c r="J380" s="264"/>
      <c r="K380" s="267"/>
      <c r="L380" s="266"/>
      <c r="M380" s="266"/>
      <c r="N380" s="266"/>
      <c r="O380" s="266"/>
      <c r="P380" s="266"/>
      <c r="Q380" s="266"/>
      <c r="R380" s="268"/>
    </row>
    <row r="381" spans="1:21" ht="30" customHeight="1">
      <c r="A381" s="204" t="str">
        <f>IF(ISBLANK(D381)," ",320-COUNTBLANK($D$6:D381))</f>
        <v xml:space="preserve"> </v>
      </c>
      <c r="B381" s="202"/>
      <c r="C381" s="202"/>
      <c r="D381" s="202"/>
      <c r="E381" s="304"/>
      <c r="F381" s="211"/>
      <c r="G381" s="203"/>
      <c r="H381" s="203"/>
      <c r="I381" s="295"/>
      <c r="J381" s="264"/>
      <c r="K381" s="267"/>
      <c r="L381" s="266"/>
      <c r="M381" s="266"/>
      <c r="N381" s="266"/>
      <c r="O381" s="266"/>
      <c r="P381" s="266"/>
      <c r="Q381" s="266"/>
      <c r="R381" s="268"/>
    </row>
    <row r="382" spans="1:21" ht="30" customHeight="1">
      <c r="A382" s="204" t="str">
        <f>IF(ISBLANK(D382)," ",321-COUNTBLANK($D$6:D382))</f>
        <v xml:space="preserve"> </v>
      </c>
      <c r="B382" s="202"/>
      <c r="C382" s="202"/>
      <c r="D382" s="202"/>
      <c r="E382" s="304"/>
      <c r="F382" s="211"/>
      <c r="G382" s="203"/>
      <c r="H382" s="203"/>
      <c r="I382" s="295"/>
      <c r="J382" s="264"/>
      <c r="K382" s="267"/>
      <c r="L382" s="266"/>
      <c r="M382" s="266"/>
      <c r="N382" s="266"/>
      <c r="O382" s="266"/>
      <c r="P382" s="266"/>
      <c r="Q382" s="266"/>
      <c r="R382" s="268"/>
    </row>
    <row r="383" spans="1:21" ht="30" customHeight="1">
      <c r="A383" s="204" t="str">
        <f>IF(ISBLANK(D383)," ",322-COUNTBLANK($D$6:D383))</f>
        <v xml:space="preserve"> </v>
      </c>
      <c r="B383" s="202"/>
      <c r="C383" s="202"/>
      <c r="D383" s="202"/>
      <c r="E383" s="304"/>
      <c r="F383" s="211"/>
      <c r="G383" s="203"/>
      <c r="H383" s="203"/>
      <c r="I383" s="295"/>
      <c r="J383" s="264"/>
      <c r="K383" s="267"/>
      <c r="L383" s="266"/>
      <c r="M383" s="266"/>
      <c r="N383" s="266"/>
      <c r="O383" s="266"/>
      <c r="P383" s="266"/>
      <c r="Q383" s="266"/>
      <c r="R383" s="268"/>
    </row>
    <row r="384" spans="1:21" ht="30" customHeight="1">
      <c r="A384" s="308" t="str">
        <f>IF(ISBLANK(D384)," ",323-COUNTBLANK($D$6:D384))</f>
        <v xml:space="preserve"> </v>
      </c>
      <c r="B384" s="300"/>
      <c r="C384" s="309"/>
      <c r="D384" s="310"/>
      <c r="E384" s="301"/>
      <c r="F384" s="302"/>
      <c r="G384" s="286"/>
      <c r="H384" s="286"/>
      <c r="I384" s="307"/>
      <c r="J384" s="264"/>
      <c r="K384" s="265"/>
      <c r="L384" s="266"/>
      <c r="M384" s="266"/>
      <c r="N384" s="266"/>
      <c r="O384" s="266"/>
      <c r="P384" s="266"/>
      <c r="Q384" s="266"/>
      <c r="R384" s="288"/>
      <c r="S384" s="266"/>
      <c r="T384" s="266"/>
      <c r="U384" s="266"/>
    </row>
    <row r="385" spans="1:21" ht="30" customHeight="1">
      <c r="A385" s="261" t="str">
        <f>IF(ISBLANK(D385)," ",324-COUNTBLANK($D$6:D385))</f>
        <v xml:space="preserve"> </v>
      </c>
      <c r="B385" s="200"/>
      <c r="C385" s="200"/>
      <c r="D385" s="200"/>
      <c r="E385" s="303"/>
      <c r="F385" s="210"/>
      <c r="G385" s="201"/>
      <c r="H385" s="201"/>
      <c r="I385" s="295"/>
      <c r="J385" s="264"/>
      <c r="K385" s="267"/>
      <c r="L385" s="266"/>
      <c r="M385" s="266"/>
      <c r="N385" s="266"/>
      <c r="O385" s="266"/>
      <c r="P385" s="266"/>
      <c r="Q385" s="266"/>
      <c r="R385" s="288"/>
      <c r="S385" s="266"/>
      <c r="T385" s="266"/>
      <c r="U385" s="266"/>
    </row>
    <row r="386" spans="1:21" ht="30" customHeight="1">
      <c r="A386" s="204" t="str">
        <f>IF(ISBLANK(D386)," ",325-COUNTBLANK($D$6:D386))</f>
        <v xml:space="preserve"> </v>
      </c>
      <c r="B386" s="202"/>
      <c r="C386" s="202"/>
      <c r="D386" s="202"/>
      <c r="E386" s="304"/>
      <c r="F386" s="211"/>
      <c r="G386" s="203"/>
      <c r="H386" s="203"/>
      <c r="I386" s="295"/>
      <c r="J386" s="264"/>
      <c r="K386" s="265"/>
      <c r="L386" s="266"/>
      <c r="M386" s="266"/>
      <c r="N386" s="266"/>
      <c r="O386" s="266"/>
      <c r="P386" s="266"/>
      <c r="Q386" s="266"/>
      <c r="R386" s="266"/>
    </row>
    <row r="387" spans="1:21" ht="30" customHeight="1">
      <c r="A387" s="204" t="str">
        <f>IF(ISBLANK(D387)," ",326-COUNTBLANK($D$6:D387))</f>
        <v xml:space="preserve"> </v>
      </c>
      <c r="B387" s="202"/>
      <c r="C387" s="202"/>
      <c r="D387" s="202"/>
      <c r="E387" s="304"/>
      <c r="F387" s="211"/>
      <c r="G387" s="203"/>
      <c r="H387" s="203"/>
      <c r="I387" s="295"/>
      <c r="J387" s="264"/>
      <c r="K387" s="265"/>
      <c r="L387" s="266"/>
      <c r="M387" s="266"/>
      <c r="N387" s="266"/>
      <c r="O387" s="266"/>
      <c r="P387" s="266"/>
      <c r="Q387" s="266"/>
      <c r="R387" s="266"/>
    </row>
    <row r="388" spans="1:21" ht="30" customHeight="1">
      <c r="A388" s="204" t="str">
        <f>IF(ISBLANK(D388)," ",327-COUNTBLANK($D$6:D388))</f>
        <v xml:space="preserve"> </v>
      </c>
      <c r="B388" s="202"/>
      <c r="C388" s="202"/>
      <c r="D388" s="202"/>
      <c r="E388" s="304"/>
      <c r="F388" s="211"/>
      <c r="G388" s="203"/>
      <c r="H388" s="203"/>
      <c r="I388" s="295"/>
      <c r="J388" s="264"/>
      <c r="K388" s="265"/>
      <c r="L388" s="266"/>
      <c r="M388" s="266"/>
      <c r="N388" s="266"/>
      <c r="O388" s="266"/>
      <c r="P388" s="266"/>
      <c r="Q388" s="266"/>
      <c r="R388" s="266"/>
    </row>
    <row r="389" spans="1:21" ht="30" customHeight="1">
      <c r="A389" s="204" t="str">
        <f>IF(ISBLANK(D389)," ",328-COUNTBLANK($D$6:D389))</f>
        <v xml:space="preserve"> </v>
      </c>
      <c r="B389" s="202"/>
      <c r="C389" s="202"/>
      <c r="D389" s="202"/>
      <c r="E389" s="304"/>
      <c r="F389" s="211"/>
      <c r="G389" s="203"/>
      <c r="H389" s="203"/>
      <c r="I389" s="295"/>
      <c r="J389" s="264"/>
      <c r="K389" s="265"/>
      <c r="L389" s="266"/>
      <c r="M389" s="266"/>
      <c r="N389" s="266"/>
      <c r="O389" s="266"/>
      <c r="P389" s="266"/>
      <c r="Q389" s="266"/>
      <c r="R389" s="266"/>
    </row>
    <row r="390" spans="1:21" ht="30" customHeight="1">
      <c r="A390" s="204" t="str">
        <f>IF(ISBLANK(D390)," ",329-COUNTBLANK($D$6:D390))</f>
        <v xml:space="preserve"> </v>
      </c>
      <c r="B390" s="202"/>
      <c r="C390" s="202"/>
      <c r="D390" s="202"/>
      <c r="E390" s="304"/>
      <c r="F390" s="211"/>
      <c r="G390" s="203"/>
      <c r="H390" s="203"/>
      <c r="I390" s="295"/>
      <c r="J390" s="264"/>
      <c r="K390" s="265"/>
      <c r="L390" s="266"/>
      <c r="M390" s="266"/>
      <c r="N390" s="266"/>
      <c r="O390" s="266"/>
      <c r="P390" s="266"/>
      <c r="Q390" s="266"/>
      <c r="R390" s="266"/>
    </row>
    <row r="391" spans="1:21" ht="30" customHeight="1">
      <c r="A391" s="204" t="str">
        <f>IF(ISBLANK(D391)," ",330-COUNTBLANK($D$6:D391))</f>
        <v xml:space="preserve"> </v>
      </c>
      <c r="B391" s="202"/>
      <c r="C391" s="202"/>
      <c r="D391" s="202"/>
      <c r="E391" s="304"/>
      <c r="F391" s="211"/>
      <c r="G391" s="203"/>
      <c r="H391" s="203"/>
      <c r="I391" s="295"/>
      <c r="J391" s="264"/>
      <c r="K391" s="265"/>
      <c r="L391" s="266"/>
      <c r="M391" s="266"/>
      <c r="N391" s="266"/>
      <c r="O391" s="266"/>
      <c r="P391" s="266"/>
      <c r="Q391" s="266"/>
      <c r="R391" s="266"/>
    </row>
    <row r="392" spans="1:21" ht="30" customHeight="1">
      <c r="A392" s="204" t="str">
        <f>IF(ISBLANK(D392)," ",331-COUNTBLANK($D$6:D392))</f>
        <v xml:space="preserve"> </v>
      </c>
      <c r="B392" s="202"/>
      <c r="C392" s="202"/>
      <c r="D392" s="202"/>
      <c r="E392" s="304"/>
      <c r="F392" s="211"/>
      <c r="G392" s="203"/>
      <c r="H392" s="203"/>
      <c r="I392" s="295"/>
      <c r="J392" s="264"/>
      <c r="K392" s="265"/>
      <c r="L392" s="266"/>
      <c r="M392" s="266"/>
      <c r="N392" s="266"/>
      <c r="O392" s="266"/>
      <c r="P392" s="266"/>
      <c r="Q392" s="266"/>
      <c r="R392" s="266"/>
    </row>
    <row r="393" spans="1:21" ht="30" customHeight="1">
      <c r="A393" s="204" t="str">
        <f>IF(ISBLANK(D393)," ",332-COUNTBLANK($D$6:D393))</f>
        <v xml:space="preserve"> </v>
      </c>
      <c r="B393" s="202"/>
      <c r="C393" s="202"/>
      <c r="D393" s="202"/>
      <c r="E393" s="304"/>
      <c r="F393" s="211"/>
      <c r="G393" s="203"/>
      <c r="H393" s="203"/>
      <c r="I393" s="295"/>
      <c r="J393" s="264"/>
      <c r="K393" s="265"/>
      <c r="L393" s="266"/>
      <c r="M393" s="266"/>
      <c r="N393" s="266"/>
      <c r="O393" s="266"/>
      <c r="P393" s="266"/>
      <c r="Q393" s="266"/>
      <c r="R393" s="266"/>
    </row>
    <row r="394" spans="1:21" ht="30" customHeight="1">
      <c r="A394" s="204" t="str">
        <f>IF(ISBLANK(D394)," ",333-COUNTBLANK($D$6:D394))</f>
        <v xml:space="preserve"> </v>
      </c>
      <c r="B394" s="202"/>
      <c r="C394" s="202"/>
      <c r="D394" s="202"/>
      <c r="E394" s="304"/>
      <c r="F394" s="211"/>
      <c r="G394" s="203"/>
      <c r="H394" s="203"/>
      <c r="I394" s="295"/>
      <c r="J394" s="264"/>
      <c r="K394" s="265"/>
      <c r="L394" s="266"/>
      <c r="M394" s="266"/>
      <c r="N394" s="266"/>
      <c r="O394" s="266"/>
      <c r="P394" s="266"/>
      <c r="Q394" s="266"/>
      <c r="R394" s="266"/>
    </row>
    <row r="395" spans="1:21" ht="30" customHeight="1">
      <c r="A395" s="204" t="str">
        <f>IF(ISBLANK(D395)," ",334-COUNTBLANK($D$6:D395))</f>
        <v xml:space="preserve"> </v>
      </c>
      <c r="B395" s="202"/>
      <c r="C395" s="202"/>
      <c r="D395" s="202"/>
      <c r="E395" s="304"/>
      <c r="F395" s="211"/>
      <c r="G395" s="203"/>
      <c r="H395" s="203"/>
      <c r="I395" s="295"/>
      <c r="J395" s="264"/>
      <c r="K395" s="265"/>
      <c r="L395" s="266"/>
      <c r="M395" s="266"/>
      <c r="N395" s="266"/>
      <c r="O395" s="266"/>
      <c r="P395" s="266"/>
      <c r="Q395" s="266"/>
      <c r="R395" s="266"/>
    </row>
    <row r="396" spans="1:21" ht="30" customHeight="1">
      <c r="A396" s="204" t="str">
        <f>IF(ISBLANK(D396)," ",335-COUNTBLANK($D$6:D396))</f>
        <v xml:space="preserve"> </v>
      </c>
      <c r="B396" s="202"/>
      <c r="C396" s="202"/>
      <c r="D396" s="202"/>
      <c r="E396" s="304"/>
      <c r="F396" s="211"/>
      <c r="G396" s="203"/>
      <c r="H396" s="203"/>
      <c r="I396" s="295"/>
      <c r="J396" s="264"/>
      <c r="K396" s="265"/>
      <c r="L396" s="266"/>
      <c r="M396" s="266"/>
      <c r="N396" s="266"/>
      <c r="O396" s="266"/>
      <c r="P396" s="266"/>
      <c r="Q396" s="266"/>
      <c r="R396" s="266"/>
    </row>
    <row r="397" spans="1:21" ht="30" customHeight="1">
      <c r="A397" s="204" t="s">
        <v>58</v>
      </c>
      <c r="B397" s="202"/>
      <c r="C397" s="202"/>
      <c r="D397" s="202"/>
      <c r="E397" s="304"/>
      <c r="F397" s="211">
        <f>SUM(F377:F396)</f>
        <v>0</v>
      </c>
      <c r="G397" s="203"/>
      <c r="H397" s="203"/>
      <c r="I397" s="295"/>
      <c r="J397" s="264"/>
      <c r="K397" s="265"/>
      <c r="L397" s="266"/>
      <c r="M397" s="266"/>
      <c r="N397" s="266"/>
      <c r="O397" s="266"/>
      <c r="P397" s="266"/>
      <c r="Q397" s="266"/>
      <c r="R397" s="266"/>
    </row>
    <row r="398" spans="1:21" ht="30" customHeight="1">
      <c r="A398" s="204" t="str">
        <f>IF(ISBLANK(D398)," ",337-COUNTBLANK($D$6:D398))</f>
        <v xml:space="preserve"> </v>
      </c>
      <c r="B398" s="202"/>
      <c r="C398" s="202"/>
      <c r="D398" s="202"/>
      <c r="E398" s="304"/>
      <c r="F398" s="211"/>
      <c r="G398" s="203"/>
      <c r="H398" s="203"/>
      <c r="I398" s="295"/>
      <c r="J398" s="264"/>
      <c r="K398" s="265"/>
      <c r="L398" s="266"/>
      <c r="M398" s="266"/>
      <c r="N398" s="266"/>
      <c r="O398" s="266"/>
      <c r="P398" s="266"/>
      <c r="Q398" s="266"/>
      <c r="R398" s="266"/>
    </row>
    <row r="399" spans="1:21" ht="30" customHeight="1">
      <c r="A399" s="204" t="str">
        <f>IF(ISBLANK(D399)," ",338-COUNTBLANK($D$6:D399))</f>
        <v xml:space="preserve"> </v>
      </c>
      <c r="B399" s="202"/>
      <c r="C399" s="202"/>
      <c r="D399" s="202"/>
      <c r="E399" s="304"/>
      <c r="F399" s="211"/>
      <c r="G399" s="203"/>
      <c r="H399" s="203"/>
      <c r="I399" s="295"/>
      <c r="J399" s="264"/>
      <c r="K399" s="265"/>
      <c r="L399" s="266"/>
      <c r="M399" s="266"/>
      <c r="N399" s="266"/>
      <c r="O399" s="266"/>
      <c r="P399" s="266"/>
      <c r="Q399" s="266"/>
      <c r="R399" s="266"/>
    </row>
    <row r="400" spans="1:21" ht="30" customHeight="1">
      <c r="A400" s="204" t="str">
        <f>IF(ISBLANK(D400)," ",339-COUNTBLANK($D$6:D400))</f>
        <v xml:space="preserve"> </v>
      </c>
      <c r="B400" s="202"/>
      <c r="C400" s="202"/>
      <c r="D400" s="202"/>
      <c r="E400" s="304"/>
      <c r="F400" s="211"/>
      <c r="G400" s="203"/>
      <c r="H400" s="203"/>
      <c r="I400" s="295"/>
      <c r="J400" s="264"/>
      <c r="K400" s="265"/>
      <c r="L400" s="266"/>
      <c r="M400" s="266"/>
      <c r="N400" s="266"/>
      <c r="O400" s="266"/>
      <c r="P400" s="266"/>
      <c r="Q400" s="266"/>
      <c r="R400" s="266"/>
    </row>
    <row r="401" spans="1:21" ht="30" customHeight="1">
      <c r="A401" s="204" t="str">
        <f>IF(ISBLANK(D401)," ",340-COUNTBLANK($D$6:D401))</f>
        <v xml:space="preserve"> </v>
      </c>
      <c r="B401" s="202"/>
      <c r="C401" s="202"/>
      <c r="D401" s="202"/>
      <c r="E401" s="304"/>
      <c r="F401" s="211"/>
      <c r="G401" s="203"/>
      <c r="H401" s="203"/>
      <c r="I401" s="295"/>
      <c r="J401" s="264"/>
      <c r="K401" s="267"/>
      <c r="L401" s="266"/>
      <c r="M401" s="266"/>
      <c r="N401" s="266"/>
      <c r="O401" s="266"/>
      <c r="P401" s="266"/>
      <c r="Q401" s="266"/>
      <c r="R401" s="268"/>
    </row>
    <row r="402" spans="1:21" ht="30" customHeight="1">
      <c r="A402" s="204" t="str">
        <f>IF(ISBLANK(D402)," ",341-COUNTBLANK($D$6:D402))</f>
        <v xml:space="preserve"> </v>
      </c>
      <c r="B402" s="202"/>
      <c r="C402" s="202"/>
      <c r="D402" s="202"/>
      <c r="E402" s="304"/>
      <c r="F402" s="211"/>
      <c r="G402" s="203"/>
      <c r="H402" s="203"/>
      <c r="I402" s="295"/>
      <c r="J402" s="264"/>
      <c r="K402" s="267"/>
      <c r="L402" s="266"/>
      <c r="M402" s="266"/>
      <c r="N402" s="266"/>
      <c r="O402" s="266"/>
      <c r="P402" s="266"/>
      <c r="Q402" s="266"/>
      <c r="R402" s="268"/>
    </row>
    <row r="403" spans="1:21" ht="30" customHeight="1">
      <c r="A403" s="204" t="str">
        <f>IF(ISBLANK(D403)," ",342-COUNTBLANK($D$6:D403))</f>
        <v xml:space="preserve"> </v>
      </c>
      <c r="B403" s="202"/>
      <c r="C403" s="202"/>
      <c r="D403" s="202"/>
      <c r="E403" s="304"/>
      <c r="F403" s="211"/>
      <c r="G403" s="203"/>
      <c r="H403" s="203"/>
      <c r="I403" s="295"/>
      <c r="J403" s="264"/>
      <c r="K403" s="267"/>
      <c r="L403" s="266"/>
      <c r="M403" s="266"/>
      <c r="N403" s="266"/>
      <c r="O403" s="266"/>
      <c r="P403" s="266"/>
      <c r="Q403" s="266"/>
      <c r="R403" s="268"/>
    </row>
    <row r="404" spans="1:21" ht="30" customHeight="1">
      <c r="A404" s="204" t="str">
        <f>IF(ISBLANK(D404)," ",343-COUNTBLANK($D$6:D404))</f>
        <v xml:space="preserve"> </v>
      </c>
      <c r="B404" s="202"/>
      <c r="C404" s="202"/>
      <c r="D404" s="202"/>
      <c r="E404" s="304"/>
      <c r="F404" s="211"/>
      <c r="G404" s="203"/>
      <c r="H404" s="203"/>
      <c r="I404" s="295"/>
      <c r="J404" s="264"/>
      <c r="K404" s="267"/>
      <c r="L404" s="266"/>
      <c r="M404" s="266"/>
      <c r="N404" s="266"/>
      <c r="O404" s="266"/>
      <c r="P404" s="266"/>
      <c r="Q404" s="266"/>
      <c r="R404" s="268"/>
    </row>
    <row r="405" spans="1:21" ht="30" customHeight="1">
      <c r="A405" s="308" t="str">
        <f>IF(ISBLANK(D405)," ",344-COUNTBLANK($D$6:D405))</f>
        <v xml:space="preserve"> </v>
      </c>
      <c r="B405" s="300"/>
      <c r="C405" s="309"/>
      <c r="D405" s="310"/>
      <c r="E405" s="301"/>
      <c r="F405" s="302"/>
      <c r="G405" s="286"/>
      <c r="H405" s="286"/>
      <c r="I405" s="307"/>
      <c r="J405" s="264"/>
      <c r="K405" s="265"/>
      <c r="L405" s="266"/>
      <c r="M405" s="266"/>
      <c r="N405" s="266"/>
      <c r="O405" s="266"/>
      <c r="P405" s="266"/>
      <c r="Q405" s="266"/>
      <c r="R405" s="288"/>
      <c r="S405" s="266"/>
      <c r="T405" s="266"/>
      <c r="U405" s="266"/>
    </row>
    <row r="406" spans="1:21" ht="30" customHeight="1">
      <c r="A406" s="261" t="str">
        <f>IF(ISBLANK(D406)," ",345-COUNTBLANK($D$6:D406))</f>
        <v xml:space="preserve"> </v>
      </c>
      <c r="B406" s="200"/>
      <c r="C406" s="200"/>
      <c r="D406" s="200"/>
      <c r="E406" s="303"/>
      <c r="F406" s="210"/>
      <c r="G406" s="201"/>
      <c r="H406" s="201"/>
      <c r="I406" s="295"/>
      <c r="J406" s="264"/>
      <c r="K406" s="267"/>
      <c r="L406" s="266"/>
      <c r="M406" s="266"/>
      <c r="N406" s="266"/>
      <c r="O406" s="266"/>
      <c r="P406" s="266"/>
      <c r="Q406" s="266"/>
      <c r="R406" s="288"/>
      <c r="S406" s="266"/>
      <c r="T406" s="266"/>
      <c r="U406" s="266"/>
    </row>
    <row r="407" spans="1:21" ht="30" customHeight="1">
      <c r="A407" s="204" t="str">
        <f>IF(ISBLANK(D407)," ",346-COUNTBLANK($D$6:D407))</f>
        <v xml:space="preserve"> </v>
      </c>
      <c r="B407" s="202"/>
      <c r="C407" s="202"/>
      <c r="D407" s="202"/>
      <c r="E407" s="304"/>
      <c r="F407" s="211"/>
      <c r="G407" s="203"/>
      <c r="H407" s="203"/>
      <c r="I407" s="295"/>
      <c r="J407" s="264"/>
      <c r="K407" s="265"/>
      <c r="L407" s="266"/>
      <c r="M407" s="266"/>
      <c r="N407" s="266"/>
      <c r="O407" s="266"/>
      <c r="P407" s="266"/>
      <c r="Q407" s="266"/>
      <c r="R407" s="266"/>
    </row>
    <row r="408" spans="1:21" ht="30" customHeight="1">
      <c r="A408" s="204" t="str">
        <f>IF(ISBLANK(D408)," ",347-COUNTBLANK($D$6:D408))</f>
        <v xml:space="preserve"> </v>
      </c>
      <c r="B408" s="202"/>
      <c r="C408" s="202"/>
      <c r="D408" s="202"/>
      <c r="E408" s="304"/>
      <c r="F408" s="211"/>
      <c r="G408" s="203"/>
      <c r="H408" s="203"/>
      <c r="I408" s="295"/>
      <c r="J408" s="264"/>
      <c r="K408" s="265"/>
      <c r="L408" s="266"/>
      <c r="M408" s="266"/>
      <c r="N408" s="266"/>
      <c r="O408" s="266"/>
      <c r="P408" s="266"/>
      <c r="Q408" s="266"/>
      <c r="R408" s="266"/>
    </row>
    <row r="409" spans="1:21" ht="30" customHeight="1">
      <c r="A409" s="204" t="str">
        <f>IF(ISBLANK(D409)," ",348-COUNTBLANK($D$6:D409))</f>
        <v xml:space="preserve"> </v>
      </c>
      <c r="B409" s="202"/>
      <c r="C409" s="202"/>
      <c r="D409" s="202"/>
      <c r="E409" s="304"/>
      <c r="F409" s="211"/>
      <c r="G409" s="203"/>
      <c r="H409" s="203"/>
      <c r="I409" s="295"/>
      <c r="J409" s="264"/>
      <c r="K409" s="265"/>
      <c r="L409" s="266"/>
      <c r="M409" s="266"/>
      <c r="N409" s="266"/>
      <c r="O409" s="266"/>
      <c r="P409" s="266"/>
      <c r="Q409" s="266"/>
      <c r="R409" s="266"/>
    </row>
    <row r="410" spans="1:21" ht="30" customHeight="1">
      <c r="A410" s="204" t="str">
        <f>IF(ISBLANK(D410)," ",349-COUNTBLANK($D$6:D410))</f>
        <v xml:space="preserve"> </v>
      </c>
      <c r="B410" s="202"/>
      <c r="C410" s="202"/>
      <c r="D410" s="202"/>
      <c r="E410" s="304"/>
      <c r="F410" s="211"/>
      <c r="G410" s="203"/>
      <c r="H410" s="203"/>
      <c r="I410" s="295"/>
      <c r="J410" s="264"/>
      <c r="K410" s="265"/>
      <c r="L410" s="266"/>
      <c r="M410" s="266"/>
      <c r="N410" s="266"/>
      <c r="O410" s="266"/>
      <c r="P410" s="266"/>
      <c r="Q410" s="266"/>
      <c r="R410" s="266"/>
    </row>
    <row r="411" spans="1:21" ht="30" customHeight="1">
      <c r="A411" s="204" t="str">
        <f>IF(ISBLANK(D411)," ",350-COUNTBLANK($D$6:D411))</f>
        <v xml:space="preserve"> </v>
      </c>
      <c r="B411" s="202"/>
      <c r="C411" s="202"/>
      <c r="D411" s="202"/>
      <c r="E411" s="304"/>
      <c r="F411" s="211"/>
      <c r="G411" s="203"/>
      <c r="H411" s="203"/>
      <c r="I411" s="295"/>
      <c r="J411" s="264"/>
      <c r="K411" s="265"/>
      <c r="L411" s="266"/>
      <c r="M411" s="266"/>
      <c r="N411" s="266"/>
      <c r="O411" s="266"/>
      <c r="P411" s="266"/>
      <c r="Q411" s="266"/>
      <c r="R411" s="266"/>
    </row>
    <row r="412" spans="1:21" ht="30" customHeight="1">
      <c r="A412" s="204" t="str">
        <f>IF(ISBLANK(D412)," ",351-COUNTBLANK($D$6:D412))</f>
        <v xml:space="preserve"> </v>
      </c>
      <c r="B412" s="202"/>
      <c r="C412" s="202"/>
      <c r="D412" s="202"/>
      <c r="E412" s="304"/>
      <c r="F412" s="211"/>
      <c r="G412" s="203"/>
      <c r="H412" s="203"/>
      <c r="I412" s="295"/>
      <c r="J412" s="264"/>
      <c r="K412" s="265"/>
      <c r="L412" s="266"/>
      <c r="M412" s="266"/>
      <c r="N412" s="266"/>
      <c r="O412" s="266"/>
      <c r="P412" s="266"/>
      <c r="Q412" s="266"/>
      <c r="R412" s="266"/>
    </row>
    <row r="413" spans="1:21" ht="30" customHeight="1">
      <c r="A413" s="204" t="str">
        <f>IF(ISBLANK(D413)," ",352-COUNTBLANK($D$6:D413))</f>
        <v xml:space="preserve"> </v>
      </c>
      <c r="B413" s="202"/>
      <c r="C413" s="202"/>
      <c r="D413" s="202"/>
      <c r="E413" s="304"/>
      <c r="F413" s="211"/>
      <c r="G413" s="203"/>
      <c r="H413" s="203"/>
      <c r="I413" s="295"/>
      <c r="J413" s="264"/>
      <c r="K413" s="265"/>
      <c r="L413" s="266"/>
      <c r="M413" s="266"/>
      <c r="N413" s="266"/>
      <c r="O413" s="266"/>
      <c r="P413" s="266"/>
      <c r="Q413" s="266"/>
      <c r="R413" s="266"/>
    </row>
    <row r="414" spans="1:21" ht="30" customHeight="1">
      <c r="A414" s="204" t="str">
        <f>IF(ISBLANK(D414)," ",353-COUNTBLANK($D$6:D414))</f>
        <v xml:space="preserve"> </v>
      </c>
      <c r="B414" s="202"/>
      <c r="C414" s="202"/>
      <c r="D414" s="202"/>
      <c r="E414" s="304"/>
      <c r="F414" s="211"/>
      <c r="G414" s="203"/>
      <c r="H414" s="203"/>
      <c r="I414" s="295"/>
      <c r="J414" s="264"/>
      <c r="K414" s="265"/>
      <c r="L414" s="266"/>
      <c r="M414" s="266"/>
      <c r="N414" s="266"/>
      <c r="O414" s="266"/>
      <c r="P414" s="266"/>
      <c r="Q414" s="266"/>
      <c r="R414" s="266"/>
    </row>
    <row r="415" spans="1:21" ht="30" customHeight="1">
      <c r="A415" s="204" t="str">
        <f>IF(ISBLANK(D415)," ",354-COUNTBLANK($D$6:D415))</f>
        <v xml:space="preserve"> </v>
      </c>
      <c r="B415" s="202"/>
      <c r="C415" s="202"/>
      <c r="D415" s="202"/>
      <c r="E415" s="304"/>
      <c r="F415" s="211"/>
      <c r="G415" s="203"/>
      <c r="H415" s="203"/>
      <c r="I415" s="295"/>
      <c r="J415" s="264"/>
      <c r="K415" s="265"/>
      <c r="L415" s="266"/>
      <c r="M415" s="266"/>
      <c r="N415" s="266"/>
      <c r="O415" s="266"/>
      <c r="P415" s="266"/>
      <c r="Q415" s="266"/>
      <c r="R415" s="266"/>
    </row>
    <row r="416" spans="1:21" ht="30" customHeight="1">
      <c r="A416" s="204" t="str">
        <f>IF(ISBLANK(D416)," ",355-COUNTBLANK($D$6:D416))</f>
        <v xml:space="preserve"> </v>
      </c>
      <c r="B416" s="202"/>
      <c r="C416" s="202"/>
      <c r="D416" s="202"/>
      <c r="E416" s="304"/>
      <c r="F416" s="211"/>
      <c r="G416" s="203"/>
      <c r="H416" s="203"/>
      <c r="I416" s="295"/>
      <c r="J416" s="264"/>
      <c r="K416" s="265"/>
      <c r="L416" s="266"/>
      <c r="M416" s="266"/>
      <c r="N416" s="266"/>
      <c r="O416" s="266"/>
      <c r="P416" s="266"/>
      <c r="Q416" s="266"/>
      <c r="R416" s="266"/>
    </row>
    <row r="417" spans="1:21" ht="30" customHeight="1">
      <c r="A417" s="204" t="str">
        <f>IF(ISBLANK(D417)," ",356-COUNTBLANK($D$6:D417))</f>
        <v xml:space="preserve"> </v>
      </c>
      <c r="B417" s="202"/>
      <c r="C417" s="202"/>
      <c r="D417" s="202"/>
      <c r="E417" s="304"/>
      <c r="F417" s="211"/>
      <c r="G417" s="203"/>
      <c r="H417" s="203"/>
      <c r="I417" s="295"/>
      <c r="J417" s="264"/>
      <c r="K417" s="265"/>
      <c r="L417" s="266"/>
      <c r="M417" s="266"/>
      <c r="N417" s="266"/>
      <c r="O417" s="266"/>
      <c r="P417" s="266"/>
      <c r="Q417" s="266"/>
      <c r="R417" s="266"/>
    </row>
    <row r="418" spans="1:21" ht="30" customHeight="1">
      <c r="A418" s="204" t="s">
        <v>58</v>
      </c>
      <c r="B418" s="202"/>
      <c r="C418" s="202"/>
      <c r="D418" s="202"/>
      <c r="E418" s="304"/>
      <c r="F418" s="211">
        <f>SUM(F398:F417)</f>
        <v>0</v>
      </c>
      <c r="G418" s="203"/>
      <c r="H418" s="203"/>
      <c r="I418" s="295"/>
      <c r="J418" s="264"/>
      <c r="K418" s="265"/>
      <c r="L418" s="266"/>
      <c r="M418" s="266"/>
      <c r="N418" s="266"/>
      <c r="O418" s="266"/>
      <c r="P418" s="266"/>
      <c r="Q418" s="266"/>
      <c r="R418" s="266"/>
    </row>
    <row r="419" spans="1:21" ht="30" customHeight="1">
      <c r="A419" s="204" t="str">
        <f>IF(ISBLANK(D419)," ",358-COUNTBLANK($D$6:D419))</f>
        <v xml:space="preserve"> </v>
      </c>
      <c r="B419" s="202"/>
      <c r="C419" s="202"/>
      <c r="D419" s="202"/>
      <c r="E419" s="304"/>
      <c r="F419" s="211"/>
      <c r="G419" s="203"/>
      <c r="H419" s="203"/>
      <c r="I419" s="295"/>
      <c r="J419" s="264"/>
      <c r="K419" s="265"/>
      <c r="L419" s="266"/>
      <c r="M419" s="266"/>
      <c r="N419" s="266"/>
      <c r="O419" s="266"/>
      <c r="P419" s="266"/>
      <c r="Q419" s="266"/>
      <c r="R419" s="266"/>
    </row>
    <row r="420" spans="1:21" ht="30" customHeight="1">
      <c r="A420" s="204" t="str">
        <f>IF(ISBLANK(D420)," ",359-COUNTBLANK($D$6:D420))</f>
        <v xml:space="preserve"> </v>
      </c>
      <c r="B420" s="202"/>
      <c r="C420" s="202"/>
      <c r="D420" s="202"/>
      <c r="E420" s="304"/>
      <c r="F420" s="211"/>
      <c r="G420" s="203"/>
      <c r="H420" s="203"/>
      <c r="I420" s="295"/>
      <c r="J420" s="264"/>
      <c r="K420" s="265"/>
      <c r="L420" s="266"/>
      <c r="M420" s="266"/>
      <c r="N420" s="266"/>
      <c r="O420" s="266"/>
      <c r="P420" s="266"/>
      <c r="Q420" s="266"/>
      <c r="R420" s="266"/>
    </row>
    <row r="421" spans="1:21" ht="27.75" customHeight="1">
      <c r="A421" s="204" t="str">
        <f>IF(ISBLANK(D421)," ",360-COUNTBLANK($D$6:D421))</f>
        <v xml:space="preserve"> </v>
      </c>
      <c r="B421" s="202"/>
      <c r="C421" s="202"/>
      <c r="D421" s="202"/>
      <c r="E421" s="304"/>
      <c r="F421" s="211"/>
      <c r="G421" s="203"/>
      <c r="H421" s="203"/>
      <c r="I421" s="295"/>
      <c r="J421" s="264"/>
      <c r="K421" s="265"/>
      <c r="L421" s="266"/>
      <c r="M421" s="266"/>
      <c r="N421" s="266"/>
      <c r="O421" s="266"/>
      <c r="P421" s="266"/>
      <c r="Q421" s="266"/>
      <c r="R421" s="266"/>
    </row>
    <row r="422" spans="1:21" ht="27.75" customHeight="1">
      <c r="A422" s="204" t="str">
        <f>IF(ISBLANK(D422)," ",361-COUNTBLANK($D$6:D422))</f>
        <v xml:space="preserve"> </v>
      </c>
      <c r="B422" s="202"/>
      <c r="C422" s="202"/>
      <c r="D422" s="202"/>
      <c r="E422" s="304"/>
      <c r="F422" s="211"/>
      <c r="G422" s="203"/>
      <c r="H422" s="203"/>
      <c r="I422" s="295"/>
      <c r="J422" s="264"/>
      <c r="K422" s="267"/>
      <c r="L422" s="266"/>
      <c r="M422" s="266"/>
      <c r="N422" s="266"/>
      <c r="O422" s="266"/>
      <c r="P422" s="266"/>
      <c r="Q422" s="266"/>
      <c r="R422" s="268"/>
    </row>
    <row r="423" spans="1:21" ht="27.75" customHeight="1">
      <c r="A423" s="204" t="str">
        <f>IF(ISBLANK(D423)," ",362-COUNTBLANK($D$6:D423))</f>
        <v xml:space="preserve"> </v>
      </c>
      <c r="B423" s="202"/>
      <c r="C423" s="202"/>
      <c r="D423" s="202"/>
      <c r="E423" s="304"/>
      <c r="F423" s="211"/>
      <c r="G423" s="203"/>
      <c r="H423" s="203"/>
      <c r="I423" s="295"/>
      <c r="J423" s="264"/>
      <c r="K423" s="267"/>
      <c r="L423" s="266"/>
      <c r="M423" s="266"/>
      <c r="N423" s="266"/>
      <c r="O423" s="266"/>
      <c r="P423" s="266"/>
      <c r="Q423" s="266"/>
      <c r="R423" s="268"/>
    </row>
    <row r="424" spans="1:21" ht="27.75" customHeight="1">
      <c r="A424" s="204" t="str">
        <f>IF(ISBLANK(D424)," ",363-COUNTBLANK($D$6:D424))</f>
        <v xml:space="preserve"> </v>
      </c>
      <c r="B424" s="202"/>
      <c r="C424" s="202"/>
      <c r="D424" s="202"/>
      <c r="E424" s="304"/>
      <c r="F424" s="211"/>
      <c r="G424" s="203"/>
      <c r="H424" s="203"/>
      <c r="I424" s="295"/>
      <c r="J424" s="264"/>
      <c r="K424" s="267"/>
      <c r="L424" s="266"/>
      <c r="M424" s="266"/>
      <c r="N424" s="266"/>
      <c r="O424" s="266"/>
      <c r="P424" s="266"/>
      <c r="Q424" s="266"/>
      <c r="R424" s="268"/>
    </row>
    <row r="425" spans="1:21" ht="27.75" customHeight="1">
      <c r="A425" s="204" t="str">
        <f>IF(ISBLANK(D425)," ",364-COUNTBLANK($D$6:D425))</f>
        <v xml:space="preserve"> </v>
      </c>
      <c r="B425" s="202"/>
      <c r="C425" s="202"/>
      <c r="D425" s="202"/>
      <c r="E425" s="304"/>
      <c r="F425" s="211"/>
      <c r="G425" s="203"/>
      <c r="H425" s="203"/>
      <c r="I425" s="295"/>
      <c r="J425" s="264"/>
      <c r="K425" s="267"/>
      <c r="L425" s="266"/>
      <c r="M425" s="266"/>
      <c r="N425" s="266"/>
      <c r="O425" s="266"/>
      <c r="P425" s="266"/>
      <c r="Q425" s="266"/>
      <c r="R425" s="268"/>
    </row>
    <row r="426" spans="1:21" ht="27.75" customHeight="1">
      <c r="A426" s="308" t="str">
        <f>IF(ISBLANK(D426)," ",365-COUNTBLANK($D$6:D426))</f>
        <v xml:space="preserve"> </v>
      </c>
      <c r="B426" s="300"/>
      <c r="C426" s="309"/>
      <c r="D426" s="310"/>
      <c r="E426" s="301"/>
      <c r="F426" s="302"/>
      <c r="G426" s="286"/>
      <c r="H426" s="286"/>
      <c r="I426" s="307"/>
      <c r="J426" s="264"/>
      <c r="K426" s="265"/>
      <c r="L426" s="266"/>
      <c r="M426" s="266"/>
      <c r="N426" s="266"/>
      <c r="O426" s="266"/>
      <c r="P426" s="266"/>
      <c r="Q426" s="266"/>
      <c r="R426" s="288"/>
      <c r="S426" s="266"/>
      <c r="T426" s="266"/>
      <c r="U426" s="266"/>
    </row>
    <row r="427" spans="1:21" ht="27.75" customHeight="1">
      <c r="A427" s="261" t="str">
        <f>IF(ISBLANK(D427)," ",366-COUNTBLANK($D$6:D427))</f>
        <v xml:space="preserve"> </v>
      </c>
      <c r="B427" s="200"/>
      <c r="C427" s="200"/>
      <c r="D427" s="200"/>
      <c r="E427" s="303"/>
      <c r="F427" s="210"/>
      <c r="G427" s="201"/>
      <c r="H427" s="201"/>
      <c r="I427" s="295"/>
      <c r="J427" s="264"/>
      <c r="K427" s="267"/>
      <c r="L427" s="266"/>
      <c r="M427" s="266"/>
      <c r="N427" s="266"/>
      <c r="O427" s="266"/>
      <c r="P427" s="266"/>
      <c r="Q427" s="266"/>
      <c r="R427" s="288"/>
      <c r="S427" s="266"/>
      <c r="T427" s="266"/>
      <c r="U427" s="266"/>
    </row>
    <row r="428" spans="1:21" ht="27.75" customHeight="1">
      <c r="A428" s="204" t="str">
        <f>IF(ISBLANK(D428)," ",367-COUNTBLANK($D$6:D428))</f>
        <v xml:space="preserve"> </v>
      </c>
      <c r="B428" s="202"/>
      <c r="C428" s="202"/>
      <c r="D428" s="202"/>
      <c r="E428" s="304"/>
      <c r="F428" s="211"/>
      <c r="G428" s="203"/>
      <c r="H428" s="203"/>
      <c r="I428" s="295"/>
      <c r="J428" s="264"/>
      <c r="K428" s="265"/>
      <c r="L428" s="266"/>
      <c r="M428" s="266"/>
      <c r="N428" s="266"/>
      <c r="O428" s="266"/>
      <c r="P428" s="266"/>
      <c r="Q428" s="266"/>
      <c r="R428" s="266"/>
    </row>
    <row r="429" spans="1:21" ht="27.75" customHeight="1">
      <c r="A429" s="204" t="str">
        <f>IF(ISBLANK(D429)," ",368-COUNTBLANK($D$6:D429))</f>
        <v xml:space="preserve"> </v>
      </c>
      <c r="B429" s="202"/>
      <c r="C429" s="202"/>
      <c r="D429" s="202"/>
      <c r="E429" s="304"/>
      <c r="F429" s="211"/>
      <c r="G429" s="203"/>
      <c r="H429" s="203"/>
      <c r="I429" s="295"/>
      <c r="J429" s="264"/>
      <c r="K429" s="265"/>
      <c r="L429" s="266"/>
      <c r="M429" s="266"/>
      <c r="N429" s="266"/>
      <c r="O429" s="266"/>
      <c r="P429" s="266"/>
      <c r="Q429" s="266"/>
      <c r="R429" s="266"/>
    </row>
    <row r="430" spans="1:21" ht="27.75" customHeight="1">
      <c r="A430" s="204" t="str">
        <f>IF(ISBLANK(D430)," ",369-COUNTBLANK($D$6:D430))</f>
        <v xml:space="preserve"> </v>
      </c>
      <c r="B430" s="202"/>
      <c r="C430" s="202"/>
      <c r="D430" s="202"/>
      <c r="E430" s="304"/>
      <c r="F430" s="211"/>
      <c r="G430" s="203"/>
      <c r="H430" s="203"/>
      <c r="I430" s="295"/>
      <c r="J430" s="264"/>
      <c r="K430" s="265"/>
      <c r="L430" s="266"/>
      <c r="M430" s="266"/>
      <c r="N430" s="266"/>
      <c r="O430" s="266"/>
      <c r="P430" s="266"/>
      <c r="Q430" s="266"/>
      <c r="R430" s="266"/>
    </row>
    <row r="431" spans="1:21" ht="27.75" customHeight="1">
      <c r="A431" s="204" t="str">
        <f>IF(ISBLANK(D431)," ",370-COUNTBLANK($D$6:D431))</f>
        <v xml:space="preserve"> </v>
      </c>
      <c r="B431" s="202"/>
      <c r="C431" s="202"/>
      <c r="D431" s="202"/>
      <c r="E431" s="304"/>
      <c r="F431" s="211"/>
      <c r="G431" s="203"/>
      <c r="H431" s="203"/>
      <c r="I431" s="295"/>
      <c r="J431" s="264"/>
      <c r="K431" s="265"/>
      <c r="L431" s="266"/>
      <c r="M431" s="266"/>
      <c r="N431" s="266"/>
      <c r="O431" s="266"/>
      <c r="P431" s="266"/>
      <c r="Q431" s="266"/>
      <c r="R431" s="266"/>
    </row>
    <row r="432" spans="1:21" ht="27.75" customHeight="1">
      <c r="A432" s="204" t="str">
        <f>IF(ISBLANK(D432)," ",371-COUNTBLANK($D$6:D432))</f>
        <v xml:space="preserve"> </v>
      </c>
      <c r="B432" s="202"/>
      <c r="C432" s="202"/>
      <c r="D432" s="202"/>
      <c r="E432" s="304"/>
      <c r="F432" s="211"/>
      <c r="G432" s="203"/>
      <c r="H432" s="203"/>
      <c r="I432" s="295"/>
      <c r="J432" s="264"/>
      <c r="K432" s="265"/>
      <c r="L432" s="266"/>
      <c r="M432" s="266"/>
      <c r="N432" s="266"/>
      <c r="O432" s="266"/>
      <c r="P432" s="266"/>
      <c r="Q432" s="266"/>
      <c r="R432" s="266"/>
    </row>
    <row r="433" spans="1:21" ht="27.75" customHeight="1">
      <c r="A433" s="204" t="str">
        <f>IF(ISBLANK(D433)," ",372-COUNTBLANK($D$6:D433))</f>
        <v xml:space="preserve"> </v>
      </c>
      <c r="B433" s="202"/>
      <c r="C433" s="202"/>
      <c r="D433" s="202"/>
      <c r="E433" s="304"/>
      <c r="F433" s="211"/>
      <c r="G433" s="203"/>
      <c r="H433" s="203"/>
      <c r="I433" s="295"/>
      <c r="J433" s="264"/>
      <c r="K433" s="265"/>
      <c r="L433" s="266"/>
      <c r="M433" s="266"/>
      <c r="N433" s="266"/>
      <c r="O433" s="266"/>
      <c r="P433" s="266"/>
      <c r="Q433" s="266"/>
      <c r="R433" s="266"/>
    </row>
    <row r="434" spans="1:21" ht="27.75" customHeight="1">
      <c r="A434" s="204" t="str">
        <f>IF(ISBLANK(D434)," ",373-COUNTBLANK($D$6:D434))</f>
        <v xml:space="preserve"> </v>
      </c>
      <c r="B434" s="202"/>
      <c r="C434" s="202"/>
      <c r="D434" s="202"/>
      <c r="E434" s="304"/>
      <c r="F434" s="211"/>
      <c r="G434" s="203"/>
      <c r="H434" s="203"/>
      <c r="I434" s="295"/>
      <c r="J434" s="264"/>
      <c r="K434" s="265"/>
      <c r="L434" s="266"/>
      <c r="M434" s="266"/>
      <c r="N434" s="266"/>
      <c r="O434" s="266"/>
      <c r="P434" s="266"/>
      <c r="Q434" s="266"/>
      <c r="R434" s="266"/>
    </row>
    <row r="435" spans="1:21" ht="27.75" customHeight="1">
      <c r="A435" s="204" t="str">
        <f>IF(ISBLANK(D435)," ",374-COUNTBLANK($D$6:D435))</f>
        <v xml:space="preserve"> </v>
      </c>
      <c r="B435" s="202"/>
      <c r="C435" s="202"/>
      <c r="D435" s="202"/>
      <c r="E435" s="304"/>
      <c r="F435" s="211"/>
      <c r="G435" s="203"/>
      <c r="H435" s="203"/>
      <c r="I435" s="295"/>
      <c r="J435" s="264"/>
      <c r="K435" s="265"/>
      <c r="L435" s="266"/>
      <c r="M435" s="266"/>
      <c r="N435" s="266"/>
      <c r="O435" s="266"/>
      <c r="P435" s="266"/>
      <c r="Q435" s="266"/>
      <c r="R435" s="266"/>
    </row>
    <row r="436" spans="1:21" ht="27.75" customHeight="1">
      <c r="A436" s="204" t="str">
        <f>IF(ISBLANK(D436)," ",375-COUNTBLANK($D$6:D436))</f>
        <v xml:space="preserve"> </v>
      </c>
      <c r="B436" s="202"/>
      <c r="C436" s="202"/>
      <c r="D436" s="202"/>
      <c r="E436" s="304"/>
      <c r="F436" s="211"/>
      <c r="G436" s="203"/>
      <c r="H436" s="203"/>
      <c r="I436" s="295"/>
      <c r="J436" s="264"/>
      <c r="K436" s="265"/>
      <c r="L436" s="266"/>
      <c r="M436" s="266"/>
      <c r="N436" s="266"/>
      <c r="O436" s="266"/>
      <c r="P436" s="266"/>
      <c r="Q436" s="266"/>
      <c r="R436" s="266"/>
    </row>
    <row r="437" spans="1:21" ht="27.75" customHeight="1">
      <c r="A437" s="204" t="str">
        <f>IF(ISBLANK(D437)," ",376-COUNTBLANK($D$6:D437))</f>
        <v xml:space="preserve"> </v>
      </c>
      <c r="B437" s="202"/>
      <c r="C437" s="202"/>
      <c r="D437" s="202"/>
      <c r="E437" s="304"/>
      <c r="F437" s="211"/>
      <c r="G437" s="203"/>
      <c r="H437" s="203"/>
      <c r="I437" s="295"/>
      <c r="J437" s="264"/>
      <c r="K437" s="265"/>
      <c r="L437" s="266"/>
      <c r="M437" s="266"/>
      <c r="N437" s="266"/>
      <c r="O437" s="266"/>
      <c r="P437" s="266"/>
      <c r="Q437" s="266"/>
      <c r="R437" s="266"/>
    </row>
    <row r="438" spans="1:21" ht="27.75" customHeight="1">
      <c r="A438" s="204" t="str">
        <f>IF(ISBLANK(D438)," ",377-COUNTBLANK($D$6:D438))</f>
        <v xml:space="preserve"> </v>
      </c>
      <c r="B438" s="202"/>
      <c r="C438" s="202"/>
      <c r="D438" s="202"/>
      <c r="E438" s="304"/>
      <c r="F438" s="211"/>
      <c r="G438" s="203"/>
      <c r="H438" s="203"/>
      <c r="I438" s="295"/>
      <c r="J438" s="264"/>
      <c r="K438" s="265"/>
      <c r="L438" s="266"/>
      <c r="M438" s="266"/>
      <c r="N438" s="266"/>
      <c r="O438" s="266"/>
      <c r="P438" s="266"/>
      <c r="Q438" s="266"/>
      <c r="R438" s="266"/>
    </row>
    <row r="439" spans="1:21" ht="27.75" customHeight="1">
      <c r="A439" s="204" t="s">
        <v>58</v>
      </c>
      <c r="B439" s="202"/>
      <c r="C439" s="202"/>
      <c r="D439" s="202"/>
      <c r="E439" s="304"/>
      <c r="F439" s="211">
        <f>SUM(F419:F438)</f>
        <v>0</v>
      </c>
      <c r="G439" s="203"/>
      <c r="H439" s="203"/>
      <c r="I439" s="295"/>
      <c r="J439" s="264"/>
      <c r="K439" s="265"/>
      <c r="L439" s="266"/>
      <c r="M439" s="266"/>
      <c r="N439" s="266"/>
      <c r="O439" s="266"/>
      <c r="P439" s="266"/>
      <c r="Q439" s="266"/>
      <c r="R439" s="266"/>
    </row>
    <row r="440" spans="1:21" ht="27.75" customHeight="1">
      <c r="A440" s="204" t="str">
        <f>IF(ISBLANK(D440)," ",379-COUNTBLANK($D$6:D440))</f>
        <v xml:space="preserve"> </v>
      </c>
      <c r="B440" s="202"/>
      <c r="C440" s="202"/>
      <c r="D440" s="202"/>
      <c r="E440" s="304"/>
      <c r="F440" s="211"/>
      <c r="G440" s="203"/>
      <c r="H440" s="203"/>
      <c r="I440" s="295"/>
      <c r="J440" s="264"/>
      <c r="K440" s="265"/>
      <c r="L440" s="266"/>
      <c r="M440" s="266"/>
      <c r="N440" s="266"/>
      <c r="O440" s="266"/>
      <c r="P440" s="266"/>
      <c r="Q440" s="266"/>
      <c r="R440" s="266"/>
    </row>
    <row r="441" spans="1:21" ht="27.75" customHeight="1">
      <c r="A441" s="204" t="str">
        <f>IF(ISBLANK(D441)," ",380-COUNTBLANK($D$6:D441))</f>
        <v xml:space="preserve"> </v>
      </c>
      <c r="B441" s="202"/>
      <c r="C441" s="202"/>
      <c r="D441" s="202"/>
      <c r="E441" s="304"/>
      <c r="F441" s="211"/>
      <c r="G441" s="203"/>
      <c r="H441" s="203"/>
      <c r="I441" s="295"/>
      <c r="J441" s="264"/>
      <c r="K441" s="265"/>
      <c r="L441" s="266"/>
      <c r="M441" s="266"/>
      <c r="N441" s="266"/>
      <c r="O441" s="266"/>
      <c r="P441" s="266"/>
      <c r="Q441" s="266"/>
      <c r="R441" s="266"/>
    </row>
    <row r="442" spans="1:21" ht="27.75" customHeight="1">
      <c r="A442" s="204" t="str">
        <f>IF(ISBLANK(D442)," ",381-COUNTBLANK($D$6:D442))</f>
        <v xml:space="preserve"> </v>
      </c>
      <c r="B442" s="202"/>
      <c r="C442" s="202"/>
      <c r="D442" s="202"/>
      <c r="E442" s="304"/>
      <c r="F442" s="211"/>
      <c r="G442" s="203"/>
      <c r="H442" s="203"/>
      <c r="I442" s="295"/>
      <c r="J442" s="264"/>
      <c r="K442" s="265"/>
      <c r="L442" s="266"/>
      <c r="M442" s="266"/>
      <c r="N442" s="266"/>
      <c r="O442" s="266"/>
      <c r="P442" s="266"/>
      <c r="Q442" s="266"/>
      <c r="R442" s="266"/>
    </row>
    <row r="443" spans="1:21" ht="27.75" customHeight="1">
      <c r="A443" s="204" t="str">
        <f>IF(ISBLANK(D443)," ",382-COUNTBLANK($D$6:D443))</f>
        <v xml:space="preserve"> </v>
      </c>
      <c r="B443" s="202"/>
      <c r="C443" s="202"/>
      <c r="D443" s="202"/>
      <c r="E443" s="304"/>
      <c r="F443" s="211"/>
      <c r="G443" s="203"/>
      <c r="H443" s="203"/>
      <c r="I443" s="295"/>
      <c r="J443" s="264"/>
      <c r="K443" s="267"/>
      <c r="L443" s="266"/>
      <c r="M443" s="266"/>
      <c r="N443" s="266"/>
      <c r="O443" s="266"/>
      <c r="P443" s="266"/>
      <c r="Q443" s="266"/>
      <c r="R443" s="268"/>
    </row>
    <row r="444" spans="1:21" ht="27.75" customHeight="1">
      <c r="A444" s="204" t="str">
        <f>IF(ISBLANK(D444)," ",383-COUNTBLANK($D$6:D444))</f>
        <v xml:space="preserve"> </v>
      </c>
      <c r="B444" s="202"/>
      <c r="C444" s="202"/>
      <c r="D444" s="202"/>
      <c r="E444" s="304"/>
      <c r="F444" s="211"/>
      <c r="G444" s="203"/>
      <c r="H444" s="203"/>
      <c r="I444" s="295"/>
      <c r="J444" s="264"/>
      <c r="K444" s="267"/>
      <c r="L444" s="266"/>
      <c r="M444" s="266"/>
      <c r="N444" s="266"/>
      <c r="O444" s="266"/>
      <c r="P444" s="266"/>
      <c r="Q444" s="266"/>
      <c r="R444" s="268"/>
    </row>
    <row r="445" spans="1:21" ht="27.75" customHeight="1">
      <c r="A445" s="204" t="str">
        <f>IF(ISBLANK(D445)," ",384-COUNTBLANK($D$6:D445))</f>
        <v xml:space="preserve"> </v>
      </c>
      <c r="B445" s="202"/>
      <c r="C445" s="202"/>
      <c r="D445" s="202"/>
      <c r="E445" s="304"/>
      <c r="F445" s="211"/>
      <c r="G445" s="203"/>
      <c r="H445" s="203"/>
      <c r="I445" s="295"/>
      <c r="J445" s="264"/>
      <c r="K445" s="267"/>
      <c r="L445" s="266"/>
      <c r="M445" s="266"/>
      <c r="N445" s="266"/>
      <c r="O445" s="266"/>
      <c r="P445" s="266"/>
      <c r="Q445" s="266"/>
      <c r="R445" s="268"/>
    </row>
    <row r="446" spans="1:21" ht="27.75" customHeight="1">
      <c r="A446" s="204" t="str">
        <f>IF(ISBLANK(D446)," ",385-COUNTBLANK($D$6:D446))</f>
        <v xml:space="preserve"> </v>
      </c>
      <c r="B446" s="202"/>
      <c r="C446" s="202"/>
      <c r="D446" s="202"/>
      <c r="E446" s="304"/>
      <c r="F446" s="211"/>
      <c r="G446" s="203"/>
      <c r="H446" s="203"/>
      <c r="I446" s="295"/>
      <c r="J446" s="264"/>
      <c r="K446" s="267"/>
      <c r="L446" s="266"/>
      <c r="M446" s="266"/>
      <c r="N446" s="266"/>
      <c r="O446" s="266"/>
      <c r="P446" s="266"/>
      <c r="Q446" s="266"/>
      <c r="R446" s="268"/>
    </row>
    <row r="447" spans="1:21" ht="27.75" customHeight="1">
      <c r="A447" s="308" t="str">
        <f>IF(ISBLANK(D447)," ",386-COUNTBLANK($D$6:D447))</f>
        <v xml:space="preserve"> </v>
      </c>
      <c r="B447" s="300"/>
      <c r="C447" s="309"/>
      <c r="D447" s="310"/>
      <c r="E447" s="301"/>
      <c r="F447" s="302"/>
      <c r="G447" s="286"/>
      <c r="H447" s="286"/>
      <c r="I447" s="307"/>
      <c r="J447" s="264"/>
      <c r="K447" s="265"/>
      <c r="L447" s="266"/>
      <c r="M447" s="266"/>
      <c r="N447" s="266"/>
      <c r="O447" s="266"/>
      <c r="P447" s="266"/>
      <c r="Q447" s="266"/>
      <c r="R447" s="288"/>
      <c r="S447" s="266"/>
      <c r="T447" s="266"/>
      <c r="U447" s="266"/>
    </row>
    <row r="448" spans="1:21" ht="27.75" customHeight="1">
      <c r="A448" s="261" t="str">
        <f>IF(ISBLANK(D448)," ",387-COUNTBLANK($D$6:D448))</f>
        <v xml:space="preserve"> </v>
      </c>
      <c r="B448" s="200"/>
      <c r="C448" s="200"/>
      <c r="D448" s="200"/>
      <c r="E448" s="303"/>
      <c r="F448" s="210"/>
      <c r="G448" s="201"/>
      <c r="H448" s="201"/>
      <c r="I448" s="295"/>
      <c r="J448" s="264"/>
      <c r="K448" s="267"/>
      <c r="L448" s="266"/>
      <c r="M448" s="266"/>
      <c r="N448" s="266"/>
      <c r="O448" s="266"/>
      <c r="P448" s="266"/>
      <c r="Q448" s="266"/>
      <c r="R448" s="288"/>
      <c r="S448" s="266"/>
      <c r="T448" s="266"/>
      <c r="U448" s="266"/>
    </row>
    <row r="449" spans="1:18" ht="27.75" customHeight="1">
      <c r="A449" s="204" t="str">
        <f>IF(ISBLANK(D449)," ",388-COUNTBLANK($D$6:D449))</f>
        <v xml:space="preserve"> </v>
      </c>
      <c r="B449" s="202"/>
      <c r="C449" s="202"/>
      <c r="D449" s="202"/>
      <c r="E449" s="304"/>
      <c r="F449" s="211"/>
      <c r="G449" s="203"/>
      <c r="H449" s="203"/>
      <c r="I449" s="295"/>
      <c r="J449" s="264"/>
      <c r="K449" s="265"/>
      <c r="L449" s="266"/>
      <c r="M449" s="266"/>
      <c r="N449" s="266"/>
      <c r="O449" s="266"/>
      <c r="P449" s="266"/>
      <c r="Q449" s="266"/>
      <c r="R449" s="266"/>
    </row>
    <row r="450" spans="1:18" ht="27.75" customHeight="1">
      <c r="A450" s="204" t="str">
        <f>IF(ISBLANK(D450)," ",389-COUNTBLANK($D$6:D450))</f>
        <v xml:space="preserve"> </v>
      </c>
      <c r="B450" s="202"/>
      <c r="C450" s="202"/>
      <c r="D450" s="202"/>
      <c r="E450" s="304"/>
      <c r="F450" s="211"/>
      <c r="G450" s="203"/>
      <c r="H450" s="203"/>
      <c r="I450" s="295"/>
      <c r="J450" s="264"/>
      <c r="K450" s="265"/>
      <c r="L450" s="266"/>
      <c r="M450" s="266"/>
      <c r="N450" s="266"/>
      <c r="O450" s="266"/>
      <c r="P450" s="266"/>
      <c r="Q450" s="266"/>
      <c r="R450" s="266"/>
    </row>
    <row r="451" spans="1:18" ht="27.75" customHeight="1">
      <c r="A451" s="204" t="str">
        <f>IF(ISBLANK(D451)," ",390-COUNTBLANK($D$6:D451))</f>
        <v xml:space="preserve"> </v>
      </c>
      <c r="B451" s="202"/>
      <c r="C451" s="202"/>
      <c r="D451" s="202"/>
      <c r="E451" s="304"/>
      <c r="F451" s="211"/>
      <c r="G451" s="203"/>
      <c r="H451" s="203"/>
      <c r="I451" s="295"/>
      <c r="J451" s="264"/>
      <c r="K451" s="265"/>
      <c r="L451" s="266"/>
      <c r="M451" s="266"/>
      <c r="N451" s="266"/>
      <c r="O451" s="266"/>
      <c r="P451" s="266"/>
      <c r="Q451" s="266"/>
      <c r="R451" s="266"/>
    </row>
    <row r="452" spans="1:18" ht="27.75" customHeight="1">
      <c r="A452" s="204" t="str">
        <f>IF(ISBLANK(D452)," ",391-COUNTBLANK($D$6:D452))</f>
        <v xml:space="preserve"> </v>
      </c>
      <c r="B452" s="202"/>
      <c r="C452" s="202"/>
      <c r="D452" s="202"/>
      <c r="E452" s="304"/>
      <c r="F452" s="211"/>
      <c r="G452" s="203"/>
      <c r="H452" s="203"/>
      <c r="I452" s="295"/>
      <c r="J452" s="264"/>
      <c r="K452" s="265"/>
      <c r="L452" s="266"/>
      <c r="M452" s="266"/>
      <c r="N452" s="266"/>
      <c r="O452" s="266"/>
      <c r="P452" s="266"/>
      <c r="Q452" s="266"/>
      <c r="R452" s="266"/>
    </row>
    <row r="453" spans="1:18" ht="27.75" customHeight="1">
      <c r="A453" s="204" t="str">
        <f>IF(ISBLANK(D453)," ",392-COUNTBLANK($D$6:D453))</f>
        <v xml:space="preserve"> </v>
      </c>
      <c r="B453" s="202"/>
      <c r="C453" s="202"/>
      <c r="D453" s="202"/>
      <c r="E453" s="304"/>
      <c r="F453" s="211"/>
      <c r="G453" s="203"/>
      <c r="H453" s="203"/>
      <c r="I453" s="295"/>
      <c r="J453" s="264"/>
      <c r="K453" s="265"/>
      <c r="L453" s="266"/>
      <c r="M453" s="266"/>
      <c r="N453" s="266"/>
      <c r="O453" s="266"/>
      <c r="P453" s="266"/>
      <c r="Q453" s="266"/>
      <c r="R453" s="266"/>
    </row>
    <row r="454" spans="1:18" ht="27.75" customHeight="1">
      <c r="A454" s="204" t="str">
        <f>IF(ISBLANK(D454)," ",393-COUNTBLANK($D$6:D454))</f>
        <v xml:space="preserve"> </v>
      </c>
      <c r="B454" s="202"/>
      <c r="C454" s="202"/>
      <c r="D454" s="202"/>
      <c r="E454" s="304"/>
      <c r="F454" s="211"/>
      <c r="G454" s="203"/>
      <c r="H454" s="203"/>
      <c r="I454" s="295"/>
      <c r="J454" s="264"/>
      <c r="K454" s="265"/>
      <c r="L454" s="266"/>
      <c r="M454" s="266"/>
      <c r="N454" s="266"/>
      <c r="O454" s="266"/>
      <c r="P454" s="266"/>
      <c r="Q454" s="266"/>
      <c r="R454" s="266"/>
    </row>
    <row r="455" spans="1:18" ht="27.75" customHeight="1">
      <c r="A455" s="204" t="str">
        <f>IF(ISBLANK(D455)," ",394-COUNTBLANK($D$6:D455))</f>
        <v xml:space="preserve"> </v>
      </c>
      <c r="B455" s="202"/>
      <c r="C455" s="202"/>
      <c r="D455" s="202"/>
      <c r="E455" s="304"/>
      <c r="F455" s="211"/>
      <c r="G455" s="203"/>
      <c r="H455" s="203"/>
      <c r="I455" s="295"/>
      <c r="J455" s="264"/>
      <c r="K455" s="265"/>
      <c r="L455" s="266"/>
      <c r="M455" s="266"/>
      <c r="N455" s="266"/>
      <c r="O455" s="266"/>
      <c r="P455" s="266"/>
      <c r="Q455" s="266"/>
      <c r="R455" s="266"/>
    </row>
    <row r="456" spans="1:18" ht="27.75" customHeight="1">
      <c r="A456" s="204" t="str">
        <f>IF(ISBLANK(D456)," ",395-COUNTBLANK($D$6:D456))</f>
        <v xml:space="preserve"> </v>
      </c>
      <c r="B456" s="202"/>
      <c r="C456" s="202"/>
      <c r="D456" s="202"/>
      <c r="E456" s="304"/>
      <c r="F456" s="211"/>
      <c r="G456" s="203"/>
      <c r="H456" s="203"/>
      <c r="I456" s="295"/>
      <c r="J456" s="264"/>
      <c r="K456" s="265"/>
      <c r="L456" s="266"/>
      <c r="M456" s="266"/>
      <c r="N456" s="266"/>
      <c r="O456" s="266"/>
      <c r="P456" s="266"/>
      <c r="Q456" s="266"/>
      <c r="R456" s="266"/>
    </row>
    <row r="457" spans="1:18" ht="27.75" customHeight="1">
      <c r="A457" s="204" t="str">
        <f>IF(ISBLANK(D457)," ",396-COUNTBLANK($D$6:D457))</f>
        <v xml:space="preserve"> </v>
      </c>
      <c r="B457" s="202"/>
      <c r="C457" s="202"/>
      <c r="D457" s="202"/>
      <c r="E457" s="304"/>
      <c r="F457" s="211"/>
      <c r="G457" s="203"/>
      <c r="H457" s="203"/>
      <c r="I457" s="295"/>
      <c r="J457" s="264"/>
      <c r="K457" s="265"/>
      <c r="L457" s="266"/>
      <c r="M457" s="266"/>
      <c r="N457" s="266"/>
      <c r="O457" s="266"/>
      <c r="P457" s="266"/>
      <c r="Q457" s="266"/>
      <c r="R457" s="266"/>
    </row>
    <row r="458" spans="1:18" ht="27.75" customHeight="1">
      <c r="A458" s="204" t="str">
        <f>IF(ISBLANK(D458)," ",397-COUNTBLANK($D$6:D458))</f>
        <v xml:space="preserve"> </v>
      </c>
      <c r="B458" s="202"/>
      <c r="C458" s="202"/>
      <c r="D458" s="202"/>
      <c r="E458" s="304"/>
      <c r="F458" s="211"/>
      <c r="G458" s="203"/>
      <c r="H458" s="203"/>
      <c r="I458" s="295"/>
      <c r="J458" s="264"/>
      <c r="K458" s="265"/>
      <c r="L458" s="266"/>
      <c r="M458" s="266"/>
      <c r="N458" s="266"/>
      <c r="O458" s="266"/>
      <c r="P458" s="266"/>
      <c r="Q458" s="266"/>
      <c r="R458" s="266"/>
    </row>
    <row r="459" spans="1:18" ht="27.75" customHeight="1">
      <c r="A459" s="204" t="str">
        <f>IF(ISBLANK(D459)," ",398-COUNTBLANK($D$6:D459))</f>
        <v xml:space="preserve"> </v>
      </c>
      <c r="B459" s="202"/>
      <c r="C459" s="202"/>
      <c r="D459" s="202"/>
      <c r="E459" s="304"/>
      <c r="F459" s="211"/>
      <c r="G459" s="203"/>
      <c r="H459" s="203"/>
      <c r="I459" s="295"/>
      <c r="J459" s="264"/>
      <c r="K459" s="265"/>
      <c r="L459" s="266"/>
      <c r="M459" s="266"/>
      <c r="N459" s="266"/>
      <c r="O459" s="266"/>
      <c r="P459" s="266"/>
      <c r="Q459" s="266"/>
      <c r="R459" s="266"/>
    </row>
    <row r="460" spans="1:18" ht="27.75" customHeight="1">
      <c r="A460" s="204" t="s">
        <v>58</v>
      </c>
      <c r="B460" s="202"/>
      <c r="C460" s="202"/>
      <c r="D460" s="202"/>
      <c r="E460" s="304"/>
      <c r="F460" s="211">
        <f>SUM(F440:F459)</f>
        <v>0</v>
      </c>
      <c r="G460" s="203"/>
      <c r="H460" s="203"/>
      <c r="I460" s="295"/>
      <c r="J460" s="264"/>
      <c r="K460" s="265"/>
      <c r="L460" s="266"/>
      <c r="M460" s="266"/>
      <c r="N460" s="266"/>
      <c r="O460" s="266"/>
      <c r="P460" s="266"/>
      <c r="Q460" s="266"/>
      <c r="R460" s="266"/>
    </row>
    <row r="461" spans="1:18" ht="27.75" customHeight="1">
      <c r="A461" s="204" t="str">
        <f>IF(ISBLANK(D461)," ",400-COUNTBLANK($D$6:D461))</f>
        <v xml:space="preserve"> </v>
      </c>
      <c r="B461" s="202"/>
      <c r="C461" s="202"/>
      <c r="D461" s="202"/>
      <c r="E461" s="304"/>
      <c r="F461" s="211"/>
      <c r="G461" s="203"/>
      <c r="H461" s="203"/>
      <c r="I461" s="295"/>
      <c r="J461" s="264"/>
      <c r="K461" s="265"/>
      <c r="L461" s="266"/>
      <c r="M461" s="266"/>
      <c r="N461" s="266"/>
      <c r="O461" s="266"/>
      <c r="P461" s="266"/>
      <c r="Q461" s="266"/>
      <c r="R461" s="266"/>
    </row>
    <row r="462" spans="1:18" ht="27.75" customHeight="1">
      <c r="A462" s="204" t="str">
        <f>IF(ISBLANK(D462)," ",401-COUNTBLANK($D$6:D462))</f>
        <v xml:space="preserve"> </v>
      </c>
      <c r="B462" s="202"/>
      <c r="C462" s="202"/>
      <c r="D462" s="202"/>
      <c r="E462" s="304"/>
      <c r="F462" s="211"/>
      <c r="G462" s="203"/>
      <c r="H462" s="203"/>
      <c r="I462" s="295"/>
      <c r="J462" s="264"/>
      <c r="K462" s="265"/>
      <c r="L462" s="266"/>
      <c r="M462" s="266"/>
      <c r="N462" s="266"/>
      <c r="O462" s="266"/>
      <c r="P462" s="266"/>
      <c r="Q462" s="266"/>
      <c r="R462" s="266"/>
    </row>
    <row r="463" spans="1:18" ht="27.75" customHeight="1">
      <c r="A463" s="204" t="str">
        <f>IF(ISBLANK(D463)," ",402-COUNTBLANK($D$6:D463))</f>
        <v xml:space="preserve"> </v>
      </c>
      <c r="B463" s="202"/>
      <c r="C463" s="202"/>
      <c r="D463" s="202"/>
      <c r="E463" s="304"/>
      <c r="F463" s="211"/>
      <c r="G463" s="203"/>
      <c r="H463" s="203"/>
      <c r="I463" s="295"/>
      <c r="J463" s="264"/>
      <c r="K463" s="265"/>
      <c r="L463" s="266"/>
      <c r="M463" s="266"/>
      <c r="N463" s="266"/>
      <c r="O463" s="266"/>
      <c r="P463" s="266"/>
      <c r="Q463" s="266"/>
      <c r="R463" s="266"/>
    </row>
    <row r="464" spans="1:18" ht="27.75" customHeight="1">
      <c r="A464" s="204" t="str">
        <f>IF(ISBLANK(D464)," ",403-COUNTBLANK($D$6:D464))</f>
        <v xml:space="preserve"> </v>
      </c>
      <c r="B464" s="202"/>
      <c r="C464" s="202"/>
      <c r="D464" s="202"/>
      <c r="E464" s="304"/>
      <c r="F464" s="211"/>
      <c r="G464" s="203"/>
      <c r="H464" s="203"/>
      <c r="I464" s="295"/>
      <c r="J464" s="264"/>
      <c r="K464" s="267"/>
      <c r="L464" s="266"/>
      <c r="M464" s="266"/>
      <c r="N464" s="266"/>
      <c r="O464" s="266"/>
      <c r="P464" s="266"/>
      <c r="Q464" s="266"/>
      <c r="R464" s="268"/>
    </row>
    <row r="465" spans="1:21" ht="27.75" customHeight="1">
      <c r="A465" s="204" t="str">
        <f>IF(ISBLANK(D465)," ",404-COUNTBLANK($D$6:D465))</f>
        <v xml:space="preserve"> </v>
      </c>
      <c r="B465" s="202"/>
      <c r="C465" s="202"/>
      <c r="D465" s="202"/>
      <c r="E465" s="304"/>
      <c r="F465" s="211"/>
      <c r="G465" s="203"/>
      <c r="H465" s="203"/>
      <c r="I465" s="295"/>
      <c r="J465" s="264"/>
      <c r="K465" s="267"/>
      <c r="L465" s="266"/>
      <c r="M465" s="266"/>
      <c r="N465" s="266"/>
      <c r="O465" s="266"/>
      <c r="P465" s="266"/>
      <c r="Q465" s="266"/>
      <c r="R465" s="268"/>
    </row>
    <row r="466" spans="1:21" ht="27.75" customHeight="1">
      <c r="A466" s="204" t="str">
        <f>IF(ISBLANK(D466)," ",405-COUNTBLANK($D$6:D466))</f>
        <v xml:space="preserve"> </v>
      </c>
      <c r="B466" s="202"/>
      <c r="C466" s="202"/>
      <c r="D466" s="202"/>
      <c r="E466" s="304"/>
      <c r="F466" s="211"/>
      <c r="G466" s="203"/>
      <c r="H466" s="203"/>
      <c r="I466" s="295"/>
      <c r="J466" s="264"/>
      <c r="K466" s="267"/>
      <c r="L466" s="266"/>
      <c r="M466" s="266"/>
      <c r="N466" s="266"/>
      <c r="O466" s="266"/>
      <c r="P466" s="266"/>
      <c r="Q466" s="266"/>
      <c r="R466" s="268"/>
    </row>
    <row r="467" spans="1:21" ht="27.75" customHeight="1">
      <c r="A467" s="204" t="str">
        <f>IF(ISBLANK(D467)," ",406-COUNTBLANK($D$6:D467))</f>
        <v xml:space="preserve"> </v>
      </c>
      <c r="B467" s="202"/>
      <c r="C467" s="202"/>
      <c r="D467" s="202"/>
      <c r="E467" s="304"/>
      <c r="F467" s="211"/>
      <c r="G467" s="203"/>
      <c r="H467" s="203"/>
      <c r="I467" s="295"/>
      <c r="J467" s="264"/>
      <c r="K467" s="267"/>
      <c r="L467" s="266"/>
      <c r="M467" s="266"/>
      <c r="N467" s="266"/>
      <c r="O467" s="266"/>
      <c r="P467" s="266"/>
      <c r="Q467" s="266"/>
      <c r="R467" s="268"/>
    </row>
    <row r="468" spans="1:21" ht="27.75" customHeight="1">
      <c r="A468" s="308" t="str">
        <f>IF(ISBLANK(D468)," ",407-COUNTBLANK($D$6:D468))</f>
        <v xml:space="preserve"> </v>
      </c>
      <c r="B468" s="300"/>
      <c r="C468" s="309"/>
      <c r="D468" s="310"/>
      <c r="E468" s="301"/>
      <c r="F468" s="302"/>
      <c r="G468" s="286"/>
      <c r="H468" s="286"/>
      <c r="I468" s="307"/>
      <c r="J468" s="264"/>
      <c r="K468" s="265"/>
      <c r="L468" s="266"/>
      <c r="M468" s="266"/>
      <c r="N468" s="266"/>
      <c r="O468" s="266"/>
      <c r="P468" s="266"/>
      <c r="Q468" s="266"/>
      <c r="R468" s="288"/>
      <c r="S468" s="266"/>
      <c r="T468" s="266"/>
      <c r="U468" s="266"/>
    </row>
    <row r="469" spans="1:21" ht="27.75" customHeight="1">
      <c r="A469" s="261" t="str">
        <f>IF(ISBLANK(D469)," ",408-COUNTBLANK($D$6:D469))</f>
        <v xml:space="preserve"> </v>
      </c>
      <c r="B469" s="200"/>
      <c r="C469" s="200"/>
      <c r="D469" s="200"/>
      <c r="E469" s="303"/>
      <c r="F469" s="210"/>
      <c r="G469" s="201"/>
      <c r="H469" s="201"/>
      <c r="I469" s="295"/>
      <c r="J469" s="264"/>
      <c r="K469" s="267"/>
      <c r="L469" s="266"/>
      <c r="M469" s="266"/>
      <c r="N469" s="266"/>
      <c r="O469" s="266"/>
      <c r="P469" s="266"/>
      <c r="Q469" s="266"/>
      <c r="R469" s="288"/>
      <c r="S469" s="266"/>
      <c r="T469" s="266"/>
      <c r="U469" s="266"/>
    </row>
    <row r="470" spans="1:21" ht="27.75" customHeight="1">
      <c r="A470" s="204" t="str">
        <f>IF(ISBLANK(D470)," ",409-COUNTBLANK($D$6:D470))</f>
        <v xml:space="preserve"> </v>
      </c>
      <c r="B470" s="202"/>
      <c r="C470" s="202"/>
      <c r="D470" s="202"/>
      <c r="E470" s="304"/>
      <c r="F470" s="211"/>
      <c r="G470" s="203"/>
      <c r="H470" s="203"/>
      <c r="I470" s="295"/>
      <c r="J470" s="264"/>
      <c r="K470" s="265"/>
      <c r="L470" s="266"/>
      <c r="M470" s="266"/>
      <c r="N470" s="266"/>
      <c r="O470" s="266"/>
      <c r="P470" s="266"/>
      <c r="Q470" s="266"/>
      <c r="R470" s="266"/>
    </row>
    <row r="471" spans="1:21" ht="27.75" customHeight="1">
      <c r="A471" s="204" t="str">
        <f>IF(ISBLANK(D471)," ",410-COUNTBLANK($D$6:D471))</f>
        <v xml:space="preserve"> </v>
      </c>
      <c r="B471" s="202"/>
      <c r="C471" s="202"/>
      <c r="D471" s="202"/>
      <c r="E471" s="304"/>
      <c r="F471" s="211"/>
      <c r="G471" s="203"/>
      <c r="H471" s="203"/>
      <c r="I471" s="295"/>
      <c r="J471" s="264"/>
      <c r="K471" s="265"/>
      <c r="L471" s="266"/>
      <c r="M471" s="266"/>
      <c r="N471" s="266"/>
      <c r="O471" s="266"/>
      <c r="P471" s="266"/>
      <c r="Q471" s="266"/>
      <c r="R471" s="266"/>
    </row>
    <row r="472" spans="1:21" ht="27.75" customHeight="1">
      <c r="A472" s="204" t="str">
        <f>IF(ISBLANK(D472)," ",411-COUNTBLANK($D$6:D472))</f>
        <v xml:space="preserve"> </v>
      </c>
      <c r="B472" s="202"/>
      <c r="C472" s="202"/>
      <c r="D472" s="202"/>
      <c r="E472" s="304"/>
      <c r="F472" s="211"/>
      <c r="G472" s="203"/>
      <c r="H472" s="203"/>
      <c r="I472" s="295"/>
      <c r="J472" s="264"/>
      <c r="K472" s="265"/>
      <c r="L472" s="266"/>
      <c r="M472" s="266"/>
      <c r="N472" s="266"/>
      <c r="O472" s="266"/>
      <c r="P472" s="266"/>
      <c r="Q472" s="266"/>
      <c r="R472" s="266"/>
    </row>
    <row r="473" spans="1:21" ht="27.75" customHeight="1">
      <c r="A473" s="204" t="str">
        <f>IF(ISBLANK(D473)," ",412-COUNTBLANK($D$6:D473))</f>
        <v xml:space="preserve"> </v>
      </c>
      <c r="B473" s="202"/>
      <c r="C473" s="202"/>
      <c r="D473" s="202"/>
      <c r="E473" s="304"/>
      <c r="F473" s="211"/>
      <c r="G473" s="203"/>
      <c r="H473" s="203"/>
      <c r="I473" s="295"/>
      <c r="J473" s="264"/>
      <c r="K473" s="265"/>
      <c r="L473" s="266"/>
      <c r="M473" s="266"/>
      <c r="N473" s="266"/>
      <c r="O473" s="266"/>
      <c r="P473" s="266"/>
      <c r="Q473" s="266"/>
      <c r="R473" s="266"/>
    </row>
    <row r="474" spans="1:21" ht="27.75" customHeight="1">
      <c r="A474" s="204" t="str">
        <f>IF(ISBLANK(D474)," ",413-COUNTBLANK($D$6:D474))</f>
        <v xml:space="preserve"> </v>
      </c>
      <c r="B474" s="202"/>
      <c r="C474" s="202"/>
      <c r="D474" s="202"/>
      <c r="E474" s="304"/>
      <c r="F474" s="211"/>
      <c r="G474" s="203"/>
      <c r="H474" s="203"/>
      <c r="I474" s="295"/>
      <c r="J474" s="264"/>
      <c r="K474" s="265"/>
      <c r="L474" s="266"/>
      <c r="M474" s="266"/>
      <c r="N474" s="266"/>
      <c r="O474" s="266"/>
      <c r="P474" s="266"/>
      <c r="Q474" s="266"/>
      <c r="R474" s="266"/>
    </row>
    <row r="475" spans="1:21" ht="27.75" customHeight="1">
      <c r="A475" s="204" t="str">
        <f>IF(ISBLANK(D475)," ",414-COUNTBLANK($D$6:D475))</f>
        <v xml:space="preserve"> </v>
      </c>
      <c r="B475" s="202"/>
      <c r="C475" s="202"/>
      <c r="D475" s="202"/>
      <c r="E475" s="304"/>
      <c r="F475" s="211"/>
      <c r="G475" s="203"/>
      <c r="H475" s="203"/>
      <c r="I475" s="295"/>
      <c r="J475" s="264"/>
      <c r="K475" s="265"/>
      <c r="L475" s="266"/>
      <c r="M475" s="266"/>
      <c r="N475" s="266"/>
      <c r="O475" s="266"/>
      <c r="P475" s="266"/>
      <c r="Q475" s="266"/>
      <c r="R475" s="266"/>
    </row>
    <row r="476" spans="1:21" ht="27.75" customHeight="1">
      <c r="A476" s="204" t="str">
        <f>IF(ISBLANK(D476)," ",415-COUNTBLANK($D$6:D476))</f>
        <v xml:space="preserve"> </v>
      </c>
      <c r="B476" s="202"/>
      <c r="C476" s="202"/>
      <c r="D476" s="202"/>
      <c r="E476" s="304"/>
      <c r="F476" s="211"/>
      <c r="G476" s="203"/>
      <c r="H476" s="203"/>
      <c r="I476" s="295"/>
      <c r="J476" s="264"/>
      <c r="K476" s="265"/>
      <c r="L476" s="266"/>
      <c r="M476" s="266"/>
      <c r="N476" s="266"/>
      <c r="O476" s="266"/>
      <c r="P476" s="266"/>
      <c r="Q476" s="266"/>
      <c r="R476" s="266"/>
    </row>
    <row r="477" spans="1:21" ht="27.75" customHeight="1">
      <c r="A477" s="204" t="str">
        <f>IF(ISBLANK(D477)," ",416-COUNTBLANK($D$6:D477))</f>
        <v xml:space="preserve"> </v>
      </c>
      <c r="B477" s="202"/>
      <c r="C477" s="202"/>
      <c r="D477" s="202"/>
      <c r="E477" s="304"/>
      <c r="F477" s="211"/>
      <c r="G477" s="203"/>
      <c r="H477" s="203"/>
      <c r="I477" s="295"/>
      <c r="J477" s="264"/>
      <c r="K477" s="265"/>
      <c r="L477" s="266"/>
      <c r="M477" s="266"/>
      <c r="N477" s="266"/>
      <c r="O477" s="266"/>
      <c r="P477" s="266"/>
      <c r="Q477" s="266"/>
      <c r="R477" s="266"/>
    </row>
    <row r="478" spans="1:21" ht="27.75" customHeight="1">
      <c r="A478" s="204" t="str">
        <f>IF(ISBLANK(D478)," ",417-COUNTBLANK($D$6:D478))</f>
        <v xml:space="preserve"> </v>
      </c>
      <c r="B478" s="202"/>
      <c r="C478" s="202"/>
      <c r="D478" s="202"/>
      <c r="E478" s="304"/>
      <c r="F478" s="211"/>
      <c r="G478" s="203"/>
      <c r="H478" s="203"/>
      <c r="I478" s="295"/>
      <c r="J478" s="264"/>
      <c r="K478" s="265"/>
      <c r="L478" s="266"/>
      <c r="M478" s="266"/>
      <c r="N478" s="266"/>
      <c r="O478" s="266"/>
      <c r="P478" s="266"/>
      <c r="Q478" s="266"/>
      <c r="R478" s="266"/>
    </row>
    <row r="479" spans="1:21" ht="27.75" customHeight="1">
      <c r="A479" s="204" t="str">
        <f>IF(ISBLANK(D479)," ",418-COUNTBLANK($D$6:D479))</f>
        <v xml:space="preserve"> </v>
      </c>
      <c r="B479" s="202"/>
      <c r="C479" s="202"/>
      <c r="D479" s="202"/>
      <c r="E479" s="304"/>
      <c r="F479" s="211"/>
      <c r="G479" s="203"/>
      <c r="H479" s="203"/>
      <c r="I479" s="295"/>
      <c r="J479" s="264"/>
      <c r="K479" s="265"/>
      <c r="L479" s="266"/>
      <c r="M479" s="266"/>
      <c r="N479" s="266"/>
      <c r="O479" s="266"/>
      <c r="P479" s="266"/>
      <c r="Q479" s="266"/>
      <c r="R479" s="266"/>
    </row>
    <row r="480" spans="1:21" ht="27.75" customHeight="1">
      <c r="A480" s="204" t="str">
        <f>IF(ISBLANK(D480)," ",419-COUNTBLANK($D$6:D480))</f>
        <v xml:space="preserve"> </v>
      </c>
      <c r="B480" s="202"/>
      <c r="C480" s="202"/>
      <c r="D480" s="202"/>
      <c r="E480" s="304"/>
      <c r="F480" s="211"/>
      <c r="G480" s="203"/>
      <c r="H480" s="203"/>
      <c r="I480" s="295"/>
      <c r="J480" s="264"/>
      <c r="K480" s="265"/>
      <c r="L480" s="266"/>
      <c r="M480" s="266"/>
      <c r="N480" s="266"/>
      <c r="O480" s="266"/>
      <c r="P480" s="266"/>
      <c r="Q480" s="266"/>
      <c r="R480" s="266"/>
    </row>
    <row r="481" spans="1:21" ht="27.75" customHeight="1">
      <c r="A481" s="204" t="s">
        <v>58</v>
      </c>
      <c r="B481" s="202"/>
      <c r="C481" s="202"/>
      <c r="D481" s="202"/>
      <c r="E481" s="304"/>
      <c r="F481" s="211">
        <f>SUM(F461:F480)</f>
        <v>0</v>
      </c>
      <c r="G481" s="203"/>
      <c r="H481" s="203"/>
      <c r="I481" s="295"/>
      <c r="J481" s="264"/>
      <c r="K481" s="265"/>
      <c r="L481" s="266"/>
      <c r="M481" s="266"/>
      <c r="N481" s="266"/>
      <c r="O481" s="266"/>
      <c r="P481" s="266"/>
      <c r="Q481" s="266"/>
      <c r="R481" s="266"/>
    </row>
    <row r="482" spans="1:21" ht="27.75" customHeight="1">
      <c r="A482" s="204" t="str">
        <f>IF(ISBLANK(D482)," ",421-COUNTBLANK($D$6:D482))</f>
        <v xml:space="preserve"> </v>
      </c>
      <c r="B482" s="202"/>
      <c r="C482" s="202"/>
      <c r="D482" s="202"/>
      <c r="E482" s="304"/>
      <c r="F482" s="211"/>
      <c r="G482" s="203"/>
      <c r="H482" s="203"/>
      <c r="I482" s="295"/>
      <c r="J482" s="264"/>
      <c r="K482" s="265"/>
      <c r="L482" s="266"/>
      <c r="M482" s="266"/>
      <c r="N482" s="266"/>
      <c r="O482" s="266"/>
      <c r="P482" s="266"/>
      <c r="Q482" s="266"/>
      <c r="R482" s="266"/>
    </row>
    <row r="483" spans="1:21" ht="27.75" customHeight="1">
      <c r="A483" s="204" t="str">
        <f>IF(ISBLANK(D483)," ",422-COUNTBLANK($D$6:D483))</f>
        <v xml:space="preserve"> </v>
      </c>
      <c r="B483" s="202"/>
      <c r="C483" s="202"/>
      <c r="D483" s="202"/>
      <c r="E483" s="304"/>
      <c r="F483" s="211"/>
      <c r="G483" s="203"/>
      <c r="H483" s="203"/>
      <c r="I483" s="295"/>
      <c r="J483" s="264"/>
      <c r="K483" s="265"/>
      <c r="L483" s="266"/>
      <c r="M483" s="266"/>
      <c r="N483" s="266"/>
      <c r="O483" s="266"/>
      <c r="P483" s="266"/>
      <c r="Q483" s="266"/>
      <c r="R483" s="266"/>
    </row>
    <row r="484" spans="1:21" ht="27.75" customHeight="1">
      <c r="A484" s="204" t="str">
        <f>IF(ISBLANK(D484)," ",423-COUNTBLANK($D$6:D484))</f>
        <v xml:space="preserve"> </v>
      </c>
      <c r="B484" s="202"/>
      <c r="C484" s="202"/>
      <c r="D484" s="202"/>
      <c r="E484" s="304"/>
      <c r="F484" s="211"/>
      <c r="G484" s="203"/>
      <c r="H484" s="203"/>
      <c r="I484" s="295"/>
      <c r="J484" s="264"/>
      <c r="K484" s="265"/>
      <c r="L484" s="266"/>
      <c r="M484" s="266"/>
      <c r="N484" s="266"/>
      <c r="O484" s="266"/>
      <c r="P484" s="266"/>
      <c r="Q484" s="266"/>
      <c r="R484" s="266"/>
    </row>
    <row r="485" spans="1:21" ht="27.75" customHeight="1">
      <c r="A485" s="204" t="str">
        <f>IF(ISBLANK(D485)," ",424-COUNTBLANK($D$6:D485))</f>
        <v xml:space="preserve"> </v>
      </c>
      <c r="B485" s="202"/>
      <c r="C485" s="202"/>
      <c r="D485" s="202"/>
      <c r="E485" s="304"/>
      <c r="F485" s="211"/>
      <c r="G485" s="203"/>
      <c r="H485" s="203"/>
      <c r="I485" s="295"/>
      <c r="J485" s="264"/>
      <c r="K485" s="267"/>
      <c r="L485" s="266"/>
      <c r="M485" s="266"/>
      <c r="N485" s="266"/>
      <c r="O485" s="266"/>
      <c r="P485" s="266"/>
      <c r="Q485" s="266"/>
      <c r="R485" s="268"/>
    </row>
    <row r="486" spans="1:21" ht="27.75" customHeight="1">
      <c r="A486" s="204" t="str">
        <f>IF(ISBLANK(D486)," ",425-COUNTBLANK($D$6:D486))</f>
        <v xml:space="preserve"> </v>
      </c>
      <c r="B486" s="202"/>
      <c r="C486" s="202"/>
      <c r="D486" s="202"/>
      <c r="E486" s="304"/>
      <c r="F486" s="211"/>
      <c r="G486" s="203"/>
      <c r="H486" s="203"/>
      <c r="I486" s="295"/>
      <c r="J486" s="264"/>
      <c r="K486" s="267"/>
      <c r="L486" s="266"/>
      <c r="M486" s="266"/>
      <c r="N486" s="266"/>
      <c r="O486" s="266"/>
      <c r="P486" s="266"/>
      <c r="Q486" s="266"/>
      <c r="R486" s="268"/>
    </row>
    <row r="487" spans="1:21" ht="27.75" customHeight="1">
      <c r="A487" s="204" t="str">
        <f>IF(ISBLANK(D487)," ",426-COUNTBLANK($D$6:D487))</f>
        <v xml:space="preserve"> </v>
      </c>
      <c r="B487" s="202"/>
      <c r="C487" s="202"/>
      <c r="D487" s="202"/>
      <c r="E487" s="304"/>
      <c r="F487" s="211"/>
      <c r="G487" s="203"/>
      <c r="H487" s="203"/>
      <c r="I487" s="295"/>
      <c r="J487" s="264"/>
      <c r="K487" s="267"/>
      <c r="L487" s="266"/>
      <c r="M487" s="266"/>
      <c r="N487" s="266"/>
      <c r="O487" s="266"/>
      <c r="P487" s="266"/>
      <c r="Q487" s="266"/>
      <c r="R487" s="268"/>
    </row>
    <row r="488" spans="1:21" ht="27.75" customHeight="1">
      <c r="A488" s="204" t="str">
        <f>IF(ISBLANK(D488)," ",427-COUNTBLANK($D$6:D488))</f>
        <v xml:space="preserve"> </v>
      </c>
      <c r="B488" s="202"/>
      <c r="C488" s="202"/>
      <c r="D488" s="202"/>
      <c r="E488" s="304"/>
      <c r="F488" s="211"/>
      <c r="G488" s="203"/>
      <c r="H488" s="203"/>
      <c r="I488" s="295"/>
      <c r="J488" s="264"/>
      <c r="K488" s="267"/>
      <c r="L488" s="266"/>
      <c r="M488" s="266"/>
      <c r="N488" s="266"/>
      <c r="O488" s="266"/>
      <c r="P488" s="266"/>
      <c r="Q488" s="266"/>
      <c r="R488" s="268"/>
    </row>
    <row r="489" spans="1:21" ht="27.75" customHeight="1">
      <c r="A489" s="308" t="str">
        <f>IF(ISBLANK(D489)," ",428-COUNTBLANK($D$6:D489))</f>
        <v xml:space="preserve"> </v>
      </c>
      <c r="B489" s="300"/>
      <c r="C489" s="309"/>
      <c r="D489" s="310"/>
      <c r="E489" s="301"/>
      <c r="F489" s="302"/>
      <c r="G489" s="286"/>
      <c r="H489" s="286"/>
      <c r="I489" s="307"/>
      <c r="J489" s="264"/>
      <c r="K489" s="265"/>
      <c r="L489" s="266"/>
      <c r="M489" s="266"/>
      <c r="N489" s="266"/>
      <c r="O489" s="266"/>
      <c r="P489" s="266"/>
      <c r="Q489" s="266"/>
      <c r="R489" s="288"/>
      <c r="S489" s="266"/>
      <c r="T489" s="266"/>
      <c r="U489" s="266"/>
    </row>
    <row r="490" spans="1:21" ht="27.75" customHeight="1">
      <c r="A490" s="261" t="str">
        <f>IF(ISBLANK(D490)," ",429-COUNTBLANK($D$6:D490))</f>
        <v xml:space="preserve"> </v>
      </c>
      <c r="B490" s="200"/>
      <c r="C490" s="200"/>
      <c r="D490" s="200"/>
      <c r="E490" s="303"/>
      <c r="F490" s="210"/>
      <c r="G490" s="201"/>
      <c r="H490" s="201"/>
      <c r="I490" s="295"/>
      <c r="J490" s="264"/>
      <c r="K490" s="267"/>
      <c r="L490" s="266"/>
      <c r="M490" s="266"/>
      <c r="N490" s="266"/>
      <c r="O490" s="266"/>
      <c r="P490" s="266"/>
      <c r="Q490" s="266"/>
      <c r="R490" s="288"/>
      <c r="S490" s="266"/>
      <c r="T490" s="266"/>
      <c r="U490" s="266"/>
    </row>
    <row r="491" spans="1:21" ht="27.75" customHeight="1">
      <c r="A491" s="204" t="str">
        <f>IF(ISBLANK(D491)," ",430-COUNTBLANK($D$6:D491))</f>
        <v xml:space="preserve"> </v>
      </c>
      <c r="B491" s="202"/>
      <c r="C491" s="202"/>
      <c r="D491" s="202"/>
      <c r="E491" s="304"/>
      <c r="F491" s="211"/>
      <c r="G491" s="203"/>
      <c r="H491" s="203"/>
      <c r="I491" s="295"/>
      <c r="J491" s="264"/>
      <c r="K491" s="265"/>
      <c r="L491" s="266"/>
      <c r="M491" s="266"/>
      <c r="N491" s="266"/>
      <c r="O491" s="266"/>
      <c r="P491" s="266"/>
      <c r="Q491" s="266"/>
      <c r="R491" s="266"/>
    </row>
    <row r="492" spans="1:21" ht="27.75" customHeight="1">
      <c r="A492" s="204" t="str">
        <f>IF(ISBLANK(D492)," ",431-COUNTBLANK($D$6:D492))</f>
        <v xml:space="preserve"> </v>
      </c>
      <c r="B492" s="202"/>
      <c r="C492" s="202"/>
      <c r="D492" s="202"/>
      <c r="E492" s="304"/>
      <c r="F492" s="211"/>
      <c r="G492" s="203"/>
      <c r="H492" s="203"/>
      <c r="I492" s="295"/>
      <c r="J492" s="264"/>
      <c r="K492" s="265"/>
      <c r="L492" s="266"/>
      <c r="M492" s="266"/>
      <c r="N492" s="266"/>
      <c r="O492" s="266"/>
      <c r="P492" s="266"/>
      <c r="Q492" s="266"/>
      <c r="R492" s="266"/>
    </row>
    <row r="493" spans="1:21" ht="27.75" customHeight="1">
      <c r="A493" s="204" t="str">
        <f>IF(ISBLANK(D493)," ",432-COUNTBLANK($D$6:D493))</f>
        <v xml:space="preserve"> </v>
      </c>
      <c r="B493" s="202"/>
      <c r="C493" s="202"/>
      <c r="D493" s="202"/>
      <c r="E493" s="304"/>
      <c r="F493" s="211"/>
      <c r="G493" s="203"/>
      <c r="H493" s="203"/>
      <c r="I493" s="295"/>
      <c r="J493" s="264"/>
      <c r="K493" s="265"/>
      <c r="L493" s="266"/>
      <c r="M493" s="266"/>
      <c r="N493" s="266"/>
      <c r="O493" s="266"/>
      <c r="P493" s="266"/>
      <c r="Q493" s="266"/>
      <c r="R493" s="266"/>
    </row>
    <row r="494" spans="1:21" ht="27.75" customHeight="1">
      <c r="A494" s="204" t="str">
        <f>IF(ISBLANK(D494)," ",433-COUNTBLANK($D$6:D494))</f>
        <v xml:space="preserve"> </v>
      </c>
      <c r="B494" s="202"/>
      <c r="C494" s="202"/>
      <c r="D494" s="202"/>
      <c r="E494" s="304"/>
      <c r="F494" s="211"/>
      <c r="G494" s="203"/>
      <c r="H494" s="203"/>
      <c r="I494" s="295"/>
      <c r="J494" s="264"/>
      <c r="K494" s="265"/>
      <c r="L494" s="266"/>
      <c r="M494" s="266"/>
      <c r="N494" s="266"/>
      <c r="O494" s="266"/>
      <c r="P494" s="266"/>
      <c r="Q494" s="266"/>
      <c r="R494" s="266"/>
    </row>
    <row r="495" spans="1:21" ht="27.75" customHeight="1">
      <c r="A495" s="204" t="str">
        <f>IF(ISBLANK(D495)," ",434-COUNTBLANK($D$6:D495))</f>
        <v xml:space="preserve"> </v>
      </c>
      <c r="B495" s="202"/>
      <c r="C495" s="202"/>
      <c r="D495" s="202"/>
      <c r="E495" s="304"/>
      <c r="F495" s="211"/>
      <c r="G495" s="203"/>
      <c r="H495" s="203"/>
      <c r="I495" s="295"/>
      <c r="J495" s="264"/>
      <c r="K495" s="265"/>
      <c r="L495" s="266"/>
      <c r="M495" s="266"/>
      <c r="N495" s="266"/>
      <c r="O495" s="266"/>
      <c r="P495" s="266"/>
      <c r="Q495" s="266"/>
      <c r="R495" s="266"/>
    </row>
    <row r="496" spans="1:21" ht="27.75" customHeight="1">
      <c r="A496" s="204" t="str">
        <f>IF(ISBLANK(D496)," ",435-COUNTBLANK($D$6:D496))</f>
        <v xml:space="preserve"> </v>
      </c>
      <c r="B496" s="202"/>
      <c r="C496" s="202"/>
      <c r="D496" s="202"/>
      <c r="E496" s="304"/>
      <c r="F496" s="211"/>
      <c r="G496" s="203"/>
      <c r="H496" s="203"/>
      <c r="I496" s="295"/>
      <c r="J496" s="264"/>
      <c r="K496" s="265"/>
      <c r="L496" s="266"/>
      <c r="M496" s="266"/>
      <c r="N496" s="266"/>
      <c r="O496" s="266"/>
      <c r="P496" s="266"/>
      <c r="Q496" s="266"/>
      <c r="R496" s="266"/>
    </row>
    <row r="497" spans="1:21" ht="27.75" customHeight="1">
      <c r="A497" s="204" t="str">
        <f>IF(ISBLANK(D497)," ",436-COUNTBLANK($D$6:D497))</f>
        <v xml:space="preserve"> </v>
      </c>
      <c r="B497" s="202"/>
      <c r="C497" s="202"/>
      <c r="D497" s="202"/>
      <c r="E497" s="304"/>
      <c r="F497" s="211"/>
      <c r="G497" s="203"/>
      <c r="H497" s="203"/>
      <c r="I497" s="295"/>
      <c r="J497" s="264"/>
      <c r="K497" s="265"/>
      <c r="L497" s="266"/>
      <c r="M497" s="266"/>
      <c r="N497" s="266"/>
      <c r="O497" s="266"/>
      <c r="P497" s="266"/>
      <c r="Q497" s="266"/>
      <c r="R497" s="266"/>
    </row>
    <row r="498" spans="1:21" ht="27.75" customHeight="1">
      <c r="A498" s="204" t="str">
        <f>IF(ISBLANK(D498)," ",437-COUNTBLANK($D$6:D498))</f>
        <v xml:space="preserve"> </v>
      </c>
      <c r="B498" s="202"/>
      <c r="C498" s="202"/>
      <c r="D498" s="202"/>
      <c r="E498" s="304"/>
      <c r="F498" s="211"/>
      <c r="G498" s="203"/>
      <c r="H498" s="203"/>
      <c r="I498" s="295"/>
      <c r="J498" s="264"/>
      <c r="K498" s="265"/>
      <c r="L498" s="266"/>
      <c r="M498" s="266"/>
      <c r="N498" s="266"/>
      <c r="O498" s="266"/>
      <c r="P498" s="266"/>
      <c r="Q498" s="266"/>
      <c r="R498" s="266"/>
    </row>
    <row r="499" spans="1:21" ht="27.75" customHeight="1">
      <c r="A499" s="204" t="str">
        <f>IF(ISBLANK(D499)," ",438-COUNTBLANK($D$6:D499))</f>
        <v xml:space="preserve"> </v>
      </c>
      <c r="B499" s="202"/>
      <c r="C499" s="202"/>
      <c r="D499" s="202"/>
      <c r="E499" s="304"/>
      <c r="F499" s="211"/>
      <c r="G499" s="203"/>
      <c r="H499" s="203"/>
      <c r="I499" s="295"/>
      <c r="J499" s="264"/>
      <c r="K499" s="265"/>
      <c r="L499" s="266"/>
      <c r="M499" s="266"/>
      <c r="N499" s="266"/>
      <c r="O499" s="266"/>
      <c r="P499" s="266"/>
      <c r="Q499" s="266"/>
      <c r="R499" s="266"/>
    </row>
    <row r="500" spans="1:21" ht="27.75" customHeight="1">
      <c r="A500" s="204" t="str">
        <f>IF(ISBLANK(D500)," ",439-COUNTBLANK($D$6:D500))</f>
        <v xml:space="preserve"> </v>
      </c>
      <c r="B500" s="202"/>
      <c r="C500" s="202"/>
      <c r="D500" s="202"/>
      <c r="E500" s="304"/>
      <c r="F500" s="211"/>
      <c r="G500" s="203"/>
      <c r="H500" s="203"/>
      <c r="I500" s="295"/>
      <c r="J500" s="264"/>
      <c r="K500" s="265"/>
      <c r="L500" s="266"/>
      <c r="M500" s="266"/>
      <c r="N500" s="266"/>
      <c r="O500" s="266"/>
      <c r="P500" s="266"/>
      <c r="Q500" s="266"/>
      <c r="R500" s="266"/>
    </row>
    <row r="501" spans="1:21" ht="27.75" customHeight="1">
      <c r="A501" s="204" t="str">
        <f>IF(ISBLANK(D501)," ",440-COUNTBLANK($D$6:D501))</f>
        <v xml:space="preserve"> </v>
      </c>
      <c r="B501" s="202"/>
      <c r="C501" s="202"/>
      <c r="D501" s="202"/>
      <c r="E501" s="304"/>
      <c r="F501" s="211"/>
      <c r="G501" s="203"/>
      <c r="H501" s="203"/>
      <c r="I501" s="295"/>
      <c r="J501" s="264"/>
      <c r="K501" s="265"/>
      <c r="L501" s="266"/>
      <c r="M501" s="266"/>
      <c r="N501" s="266"/>
      <c r="O501" s="266"/>
      <c r="P501" s="266"/>
      <c r="Q501" s="266"/>
      <c r="R501" s="266"/>
    </row>
    <row r="502" spans="1:21" ht="27.75" customHeight="1">
      <c r="A502" s="204" t="s">
        <v>58</v>
      </c>
      <c r="B502" s="202"/>
      <c r="C502" s="202"/>
      <c r="D502" s="202"/>
      <c r="E502" s="304"/>
      <c r="F502" s="211">
        <f>SUM(F482:F501)</f>
        <v>0</v>
      </c>
      <c r="G502" s="203"/>
      <c r="H502" s="203"/>
      <c r="I502" s="295"/>
      <c r="J502" s="264"/>
      <c r="K502" s="265"/>
      <c r="L502" s="266"/>
      <c r="M502" s="266"/>
      <c r="N502" s="266"/>
      <c r="O502" s="266"/>
      <c r="P502" s="266"/>
      <c r="Q502" s="266"/>
      <c r="R502" s="266"/>
    </row>
    <row r="503" spans="1:21" ht="27.75" customHeight="1">
      <c r="A503" s="204" t="str">
        <f>IF(ISBLANK(D503)," ",442-COUNTBLANK($D$6:D503))</f>
        <v xml:space="preserve"> </v>
      </c>
      <c r="B503" s="202"/>
      <c r="C503" s="202"/>
      <c r="D503" s="202"/>
      <c r="E503" s="304"/>
      <c r="F503" s="211"/>
      <c r="G503" s="203"/>
      <c r="H503" s="203"/>
      <c r="I503" s="295"/>
      <c r="J503" s="264"/>
      <c r="K503" s="265"/>
      <c r="L503" s="266"/>
      <c r="M503" s="266"/>
      <c r="N503" s="266"/>
      <c r="O503" s="266"/>
      <c r="P503" s="266"/>
      <c r="Q503" s="266"/>
      <c r="R503" s="266"/>
    </row>
    <row r="504" spans="1:21" ht="27.75" customHeight="1">
      <c r="A504" s="204" t="str">
        <f>IF(ISBLANK(D504)," ",443-COUNTBLANK($D$6:D504))</f>
        <v xml:space="preserve"> </v>
      </c>
      <c r="B504" s="202"/>
      <c r="C504" s="202"/>
      <c r="D504" s="202"/>
      <c r="E504" s="304"/>
      <c r="F504" s="211"/>
      <c r="G504" s="203"/>
      <c r="H504" s="203"/>
      <c r="I504" s="295"/>
      <c r="J504" s="264"/>
      <c r="K504" s="265"/>
      <c r="L504" s="266"/>
      <c r="M504" s="266"/>
      <c r="N504" s="266"/>
      <c r="O504" s="266"/>
      <c r="P504" s="266"/>
      <c r="Q504" s="266"/>
      <c r="R504" s="266"/>
    </row>
    <row r="505" spans="1:21" ht="27.75" customHeight="1">
      <c r="A505" s="204" t="str">
        <f>IF(ISBLANK(D505)," ",444-COUNTBLANK($D$6:D505))</f>
        <v xml:space="preserve"> </v>
      </c>
      <c r="B505" s="202"/>
      <c r="C505" s="202"/>
      <c r="D505" s="202"/>
      <c r="E505" s="304"/>
      <c r="F505" s="211"/>
      <c r="G505" s="203"/>
      <c r="H505" s="203"/>
      <c r="I505" s="295"/>
      <c r="J505" s="264"/>
      <c r="K505" s="265"/>
      <c r="L505" s="266"/>
      <c r="M505" s="266"/>
      <c r="N505" s="266"/>
      <c r="O505" s="266"/>
      <c r="P505" s="266"/>
      <c r="Q505" s="266"/>
      <c r="R505" s="266"/>
    </row>
    <row r="506" spans="1:21" ht="27.75" customHeight="1">
      <c r="A506" s="204" t="str">
        <f>IF(ISBLANK(D506)," ",445-COUNTBLANK($D$6:D506))</f>
        <v xml:space="preserve"> </v>
      </c>
      <c r="B506" s="202"/>
      <c r="C506" s="202"/>
      <c r="D506" s="202"/>
      <c r="E506" s="304"/>
      <c r="F506" s="211"/>
      <c r="G506" s="203"/>
      <c r="H506" s="203"/>
      <c r="I506" s="295"/>
      <c r="J506" s="264"/>
      <c r="K506" s="267"/>
      <c r="L506" s="266"/>
      <c r="M506" s="266"/>
      <c r="N506" s="266"/>
      <c r="O506" s="266"/>
      <c r="P506" s="266"/>
      <c r="Q506" s="266"/>
      <c r="R506" s="268"/>
    </row>
    <row r="507" spans="1:21" ht="27.75" customHeight="1">
      <c r="A507" s="204" t="str">
        <f>IF(ISBLANK(D507)," ",446-COUNTBLANK($D$6:D507))</f>
        <v xml:space="preserve"> </v>
      </c>
      <c r="B507" s="202"/>
      <c r="C507" s="202"/>
      <c r="D507" s="202"/>
      <c r="E507" s="304"/>
      <c r="F507" s="211"/>
      <c r="G507" s="203"/>
      <c r="H507" s="203"/>
      <c r="I507" s="295"/>
      <c r="J507" s="264"/>
      <c r="K507" s="267"/>
      <c r="L507" s="266"/>
      <c r="M507" s="266"/>
      <c r="N507" s="266"/>
      <c r="O507" s="266"/>
      <c r="P507" s="266"/>
      <c r="Q507" s="266"/>
      <c r="R507" s="268"/>
    </row>
    <row r="508" spans="1:21" ht="27.75" customHeight="1">
      <c r="A508" s="204" t="str">
        <f>IF(ISBLANK(D508)," ",447-COUNTBLANK($D$6:D508))</f>
        <v xml:space="preserve"> </v>
      </c>
      <c r="B508" s="202"/>
      <c r="C508" s="202"/>
      <c r="D508" s="202"/>
      <c r="E508" s="304"/>
      <c r="F508" s="211"/>
      <c r="G508" s="203"/>
      <c r="H508" s="203"/>
      <c r="I508" s="295"/>
      <c r="J508" s="264"/>
      <c r="K508" s="267"/>
      <c r="L508" s="266"/>
      <c r="M508" s="266"/>
      <c r="N508" s="266"/>
      <c r="O508" s="266"/>
      <c r="P508" s="266"/>
      <c r="Q508" s="266"/>
      <c r="R508" s="268"/>
    </row>
    <row r="509" spans="1:21" ht="27.75" customHeight="1">
      <c r="A509" s="204" t="str">
        <f>IF(ISBLANK(D509)," ",448-COUNTBLANK($D$6:D509))</f>
        <v xml:space="preserve"> </v>
      </c>
      <c r="B509" s="202"/>
      <c r="C509" s="202"/>
      <c r="D509" s="202"/>
      <c r="E509" s="304"/>
      <c r="F509" s="211"/>
      <c r="G509" s="203"/>
      <c r="H509" s="203"/>
      <c r="I509" s="295"/>
      <c r="J509" s="264"/>
      <c r="K509" s="267"/>
      <c r="L509" s="266"/>
      <c r="M509" s="266"/>
      <c r="N509" s="266"/>
      <c r="O509" s="266"/>
      <c r="P509" s="266"/>
      <c r="Q509" s="266"/>
      <c r="R509" s="268"/>
    </row>
    <row r="510" spans="1:21" ht="27.75" customHeight="1">
      <c r="A510" s="308" t="str">
        <f>IF(ISBLANK(D510)," ",449-COUNTBLANK($D$6:D510))</f>
        <v xml:space="preserve"> </v>
      </c>
      <c r="B510" s="300"/>
      <c r="C510" s="309"/>
      <c r="D510" s="310"/>
      <c r="E510" s="301"/>
      <c r="F510" s="302"/>
      <c r="G510" s="286"/>
      <c r="H510" s="286"/>
      <c r="I510" s="307"/>
      <c r="J510" s="264"/>
      <c r="K510" s="265"/>
      <c r="L510" s="266"/>
      <c r="M510" s="266"/>
      <c r="N510" s="266"/>
      <c r="O510" s="266"/>
      <c r="P510" s="266"/>
      <c r="Q510" s="266"/>
      <c r="R510" s="288"/>
      <c r="S510" s="266"/>
      <c r="T510" s="266"/>
      <c r="U510" s="266"/>
    </row>
    <row r="511" spans="1:21" ht="27.75" customHeight="1">
      <c r="A511" s="241" t="str">
        <f>IF(ISBLANK(D511)," ",450-COUNTBLANK($D$6:D511))</f>
        <v xml:space="preserve"> </v>
      </c>
      <c r="J511" s="264"/>
      <c r="K511" s="267"/>
      <c r="L511" s="266"/>
      <c r="M511" s="266"/>
      <c r="N511" s="266"/>
      <c r="O511" s="266"/>
      <c r="P511" s="266"/>
      <c r="Q511" s="266"/>
      <c r="R511" s="288"/>
      <c r="S511" s="266"/>
      <c r="T511" s="266"/>
      <c r="U511" s="266"/>
    </row>
    <row r="512" spans="1:21" ht="27.75" customHeight="1">
      <c r="A512" s="241" t="str">
        <f>IF(ISBLANK(D512)," ",451-COUNTBLANK($D$6:D512))</f>
        <v xml:space="preserve"> </v>
      </c>
      <c r="J512" s="264"/>
      <c r="K512" s="265"/>
      <c r="L512" s="266"/>
      <c r="M512" s="266"/>
      <c r="N512" s="266"/>
      <c r="O512" s="266"/>
      <c r="P512" s="266"/>
      <c r="Q512" s="266"/>
      <c r="R512" s="266"/>
    </row>
    <row r="513" spans="1:18" ht="27.75" customHeight="1">
      <c r="A513" s="241" t="str">
        <f>IF(ISBLANK(D513)," ",452-COUNTBLANK($D$6:D513))</f>
        <v xml:space="preserve"> </v>
      </c>
      <c r="J513" s="264"/>
      <c r="K513" s="265"/>
      <c r="L513" s="266"/>
      <c r="M513" s="266"/>
      <c r="N513" s="266"/>
      <c r="O513" s="266"/>
      <c r="P513" s="266"/>
      <c r="Q513" s="266"/>
      <c r="R513" s="266"/>
    </row>
    <row r="514" spans="1:18" ht="27.75" customHeight="1">
      <c r="A514" s="241" t="str">
        <f>IF(ISBLANK(D514)," ",453-COUNTBLANK($D$6:D514))</f>
        <v xml:space="preserve"> </v>
      </c>
      <c r="J514" s="264"/>
      <c r="K514" s="265"/>
      <c r="L514" s="266"/>
      <c r="M514" s="266"/>
      <c r="N514" s="266"/>
      <c r="O514" s="266"/>
      <c r="P514" s="266"/>
      <c r="Q514" s="266"/>
      <c r="R514" s="266"/>
    </row>
    <row r="515" spans="1:18" ht="27.75" customHeight="1">
      <c r="A515" s="241" t="str">
        <f>IF(ISBLANK(D515)," ",454-COUNTBLANK($D$6:D515))</f>
        <v xml:space="preserve"> </v>
      </c>
      <c r="J515" s="264"/>
      <c r="K515" s="265"/>
      <c r="L515" s="266"/>
      <c r="M515" s="266"/>
      <c r="N515" s="266"/>
      <c r="O515" s="266"/>
      <c r="P515" s="266"/>
      <c r="Q515" s="266"/>
      <c r="R515" s="266"/>
    </row>
    <row r="516" spans="1:18" ht="27.75" customHeight="1">
      <c r="A516" s="241" t="str">
        <f>IF(ISBLANK(D516)," ",455-COUNTBLANK($D$6:D516))</f>
        <v xml:space="preserve"> </v>
      </c>
      <c r="J516" s="264"/>
      <c r="K516" s="265"/>
      <c r="L516" s="266"/>
      <c r="M516" s="266"/>
      <c r="N516" s="266"/>
      <c r="O516" s="266"/>
      <c r="P516" s="266"/>
      <c r="Q516" s="266"/>
      <c r="R516" s="266"/>
    </row>
    <row r="517" spans="1:18" ht="27.75" customHeight="1">
      <c r="A517" s="241" t="str">
        <f>IF(ISBLANK(D517)," ",456-COUNTBLANK($D$6:D517))</f>
        <v xml:space="preserve"> </v>
      </c>
      <c r="J517" s="264"/>
      <c r="K517" s="265"/>
      <c r="L517" s="266"/>
      <c r="M517" s="266"/>
      <c r="N517" s="266"/>
      <c r="O517" s="266"/>
      <c r="P517" s="266"/>
      <c r="Q517" s="266"/>
      <c r="R517" s="266"/>
    </row>
    <row r="518" spans="1:18" ht="27.75" customHeight="1">
      <c r="A518" s="241" t="str">
        <f>IF(ISBLANK(D518)," ",457-COUNTBLANK($D$6:D518))</f>
        <v xml:space="preserve"> </v>
      </c>
      <c r="J518" s="264"/>
      <c r="K518" s="265"/>
      <c r="L518" s="266"/>
      <c r="M518" s="266"/>
      <c r="N518" s="266"/>
      <c r="O518" s="266"/>
      <c r="P518" s="266"/>
      <c r="Q518" s="266"/>
      <c r="R518" s="266"/>
    </row>
    <row r="519" spans="1:18" ht="27.75" customHeight="1">
      <c r="A519" s="241" t="str">
        <f>IF(ISBLANK(D519)," ",458-COUNTBLANK($D$6:D519))</f>
        <v xml:space="preserve"> </v>
      </c>
      <c r="J519" s="264"/>
      <c r="K519" s="265"/>
      <c r="L519" s="266"/>
      <c r="M519" s="266"/>
      <c r="N519" s="266"/>
      <c r="O519" s="266"/>
      <c r="P519" s="266"/>
      <c r="Q519" s="266"/>
      <c r="R519" s="266"/>
    </row>
    <row r="520" spans="1:18" ht="27.75" customHeight="1">
      <c r="A520" s="241" t="str">
        <f>IF(ISBLANK(D520)," ",459-COUNTBLANK($D$6:D520))</f>
        <v xml:space="preserve"> </v>
      </c>
      <c r="J520" s="264"/>
      <c r="K520" s="265"/>
      <c r="L520" s="266"/>
      <c r="M520" s="266"/>
      <c r="N520" s="266"/>
      <c r="O520" s="266"/>
      <c r="P520" s="266"/>
      <c r="Q520" s="266"/>
      <c r="R520" s="266"/>
    </row>
    <row r="521" spans="1:18" ht="27.75" customHeight="1">
      <c r="A521" s="241" t="str">
        <f>IF(ISBLANK(D521)," ",460-COUNTBLANK($D$6:D521))</f>
        <v xml:space="preserve"> </v>
      </c>
      <c r="J521" s="264"/>
      <c r="K521" s="265"/>
      <c r="L521" s="266"/>
      <c r="M521" s="266"/>
      <c r="N521" s="266"/>
      <c r="O521" s="266"/>
      <c r="P521" s="266"/>
      <c r="Q521" s="266"/>
      <c r="R521" s="266"/>
    </row>
    <row r="522" spans="1:18" ht="27.75" customHeight="1">
      <c r="A522" s="241" t="str">
        <f>IF(ISBLANK(D522)," ",461-COUNTBLANK($D$6:D522))</f>
        <v xml:space="preserve"> </v>
      </c>
      <c r="J522" s="264"/>
      <c r="K522" s="265"/>
      <c r="L522" s="266"/>
      <c r="M522" s="266"/>
      <c r="N522" s="266"/>
      <c r="O522" s="266"/>
      <c r="P522" s="266"/>
      <c r="Q522" s="266"/>
      <c r="R522" s="266"/>
    </row>
    <row r="523" spans="1:18" ht="27.75" customHeight="1">
      <c r="A523" s="241" t="s">
        <v>58</v>
      </c>
      <c r="F523" s="313">
        <f>SUM(F503:F522)</f>
        <v>0</v>
      </c>
      <c r="J523" s="264"/>
      <c r="K523" s="265"/>
      <c r="L523" s="266"/>
      <c r="M523" s="266"/>
      <c r="N523" s="266"/>
      <c r="O523" s="266"/>
      <c r="P523" s="266"/>
      <c r="Q523" s="266"/>
      <c r="R523" s="266"/>
    </row>
    <row r="524" spans="1:18" ht="27.75" customHeight="1">
      <c r="A524" s="241" t="str">
        <f>IF(ISBLANK(D524)," ",463-COUNTBLANK($D$6:D524))</f>
        <v xml:space="preserve"> </v>
      </c>
      <c r="J524" s="264"/>
      <c r="K524" s="265"/>
      <c r="L524" s="266"/>
      <c r="M524" s="266"/>
      <c r="N524" s="266"/>
      <c r="O524" s="266"/>
      <c r="P524" s="266"/>
      <c r="Q524" s="266"/>
      <c r="R524" s="266"/>
    </row>
    <row r="525" spans="1:18" ht="27.75" customHeight="1">
      <c r="A525" s="241" t="str">
        <f>IF(ISBLANK(D525)," ",464-COUNTBLANK($D$6:D525))</f>
        <v xml:space="preserve"> </v>
      </c>
      <c r="J525" s="264"/>
      <c r="K525" s="265"/>
      <c r="L525" s="266"/>
      <c r="M525" s="266"/>
      <c r="N525" s="266"/>
      <c r="O525" s="266"/>
      <c r="P525" s="266"/>
      <c r="Q525" s="266"/>
      <c r="R525" s="266"/>
    </row>
    <row r="526" spans="1:18" ht="27.75" customHeight="1">
      <c r="A526" s="241" t="str">
        <f>IF(ISBLANK(D526)," ",465-COUNTBLANK($D$6:D526))</f>
        <v xml:space="preserve"> </v>
      </c>
      <c r="J526" s="264"/>
      <c r="K526" s="265"/>
      <c r="L526" s="266"/>
      <c r="M526" s="266"/>
      <c r="N526" s="266"/>
      <c r="O526" s="266"/>
      <c r="P526" s="266"/>
      <c r="Q526" s="266"/>
      <c r="R526" s="266"/>
    </row>
    <row r="527" spans="1:18" ht="27.75" customHeight="1">
      <c r="A527" s="241" t="str">
        <f>IF(ISBLANK(D527)," ",466-COUNTBLANK($D$6:D527))</f>
        <v xml:space="preserve"> </v>
      </c>
      <c r="J527" s="264"/>
      <c r="K527" s="267"/>
      <c r="L527" s="266"/>
      <c r="M527" s="266"/>
      <c r="N527" s="266"/>
      <c r="O527" s="266"/>
      <c r="P527" s="266"/>
      <c r="Q527" s="266"/>
      <c r="R527" s="268"/>
    </row>
    <row r="528" spans="1:18" ht="27.75" customHeight="1">
      <c r="A528" s="241" t="str">
        <f>IF(ISBLANK(D528)," ",467-COUNTBLANK($D$6:D528))</f>
        <v xml:space="preserve"> </v>
      </c>
      <c r="J528" s="264"/>
      <c r="K528" s="267"/>
      <c r="L528" s="266"/>
      <c r="M528" s="266"/>
      <c r="N528" s="266"/>
      <c r="O528" s="266"/>
      <c r="P528" s="266"/>
      <c r="Q528" s="266"/>
      <c r="R528" s="268"/>
    </row>
    <row r="529" spans="1:21" ht="27.75" customHeight="1">
      <c r="A529" s="241" t="str">
        <f>IF(ISBLANK(D529)," ",468-COUNTBLANK($D$6:D529))</f>
        <v xml:space="preserve"> </v>
      </c>
      <c r="J529" s="264"/>
      <c r="K529" s="267"/>
      <c r="L529" s="266"/>
      <c r="M529" s="266"/>
      <c r="N529" s="266"/>
      <c r="O529" s="266"/>
      <c r="P529" s="266"/>
      <c r="Q529" s="266"/>
      <c r="R529" s="268"/>
    </row>
    <row r="530" spans="1:21" ht="27.75" customHeight="1">
      <c r="A530" s="241" t="str">
        <f>IF(ISBLANK(D530)," ",469-COUNTBLANK($D$6:D530))</f>
        <v xml:space="preserve"> </v>
      </c>
      <c r="J530" s="264"/>
      <c r="K530" s="267"/>
      <c r="L530" s="266"/>
      <c r="M530" s="266"/>
      <c r="N530" s="266"/>
      <c r="O530" s="266"/>
      <c r="P530" s="266"/>
      <c r="Q530" s="266"/>
      <c r="R530" s="268"/>
    </row>
    <row r="531" spans="1:21" ht="27.75" customHeight="1">
      <c r="A531" s="241" t="str">
        <f>IF(ISBLANK(D531)," ",470-COUNTBLANK($D$6:D531))</f>
        <v xml:space="preserve"> </v>
      </c>
      <c r="J531" s="264"/>
      <c r="K531" s="265"/>
      <c r="L531" s="266"/>
      <c r="M531" s="266"/>
      <c r="N531" s="266"/>
      <c r="O531" s="266"/>
      <c r="P531" s="266"/>
      <c r="Q531" s="266"/>
      <c r="R531" s="288"/>
      <c r="S531" s="266"/>
      <c r="T531" s="266"/>
      <c r="U531" s="266"/>
    </row>
    <row r="532" spans="1:21" ht="27.75" customHeight="1">
      <c r="A532" s="241" t="str">
        <f>IF(ISBLANK(D532)," ",471-COUNTBLANK($D$6:D532))</f>
        <v xml:space="preserve"> </v>
      </c>
      <c r="J532" s="264"/>
      <c r="K532" s="267"/>
      <c r="L532" s="266"/>
      <c r="M532" s="266"/>
      <c r="N532" s="266"/>
      <c r="O532" s="266"/>
      <c r="P532" s="266"/>
      <c r="Q532" s="266"/>
      <c r="R532" s="288"/>
      <c r="S532" s="266"/>
      <c r="T532" s="266"/>
      <c r="U532" s="266"/>
    </row>
    <row r="533" spans="1:21" ht="27.75" customHeight="1">
      <c r="A533" s="241" t="str">
        <f>IF(ISBLANK(D533)," ",472-COUNTBLANK($D$6:D533))</f>
        <v xml:space="preserve"> </v>
      </c>
      <c r="J533" s="264"/>
      <c r="K533" s="265"/>
      <c r="L533" s="266"/>
      <c r="M533" s="266"/>
      <c r="N533" s="266"/>
      <c r="O533" s="266"/>
      <c r="P533" s="266"/>
      <c r="Q533" s="266"/>
      <c r="R533" s="266"/>
    </row>
    <row r="534" spans="1:21" ht="27.75" customHeight="1">
      <c r="A534" s="241" t="str">
        <f>IF(ISBLANK(D534)," ",473-COUNTBLANK($D$6:D534))</f>
        <v xml:space="preserve"> </v>
      </c>
      <c r="J534" s="264"/>
      <c r="K534" s="265"/>
      <c r="L534" s="266"/>
      <c r="M534" s="266"/>
      <c r="N534" s="266"/>
      <c r="O534" s="266"/>
      <c r="P534" s="266"/>
      <c r="Q534" s="266"/>
      <c r="R534" s="266"/>
    </row>
    <row r="535" spans="1:21" ht="27.75" customHeight="1">
      <c r="A535" s="241" t="str">
        <f>IF(ISBLANK(D535)," ",474-COUNTBLANK($D$6:D535))</f>
        <v xml:space="preserve"> </v>
      </c>
      <c r="J535" s="264"/>
      <c r="K535" s="265"/>
      <c r="L535" s="266"/>
      <c r="M535" s="266"/>
      <c r="N535" s="266"/>
      <c r="O535" s="266"/>
      <c r="P535" s="266"/>
      <c r="Q535" s="266"/>
      <c r="R535" s="266"/>
    </row>
    <row r="536" spans="1:21" ht="27.75" customHeight="1">
      <c r="A536" s="241" t="str">
        <f>IF(ISBLANK(D536)," ",475-COUNTBLANK($D$6:D536))</f>
        <v xml:space="preserve"> </v>
      </c>
      <c r="J536" s="264"/>
      <c r="K536" s="265"/>
      <c r="L536" s="266"/>
      <c r="M536" s="266"/>
      <c r="N536" s="266"/>
      <c r="O536" s="266"/>
      <c r="P536" s="266"/>
      <c r="Q536" s="266"/>
      <c r="R536" s="266"/>
    </row>
    <row r="537" spans="1:21" ht="27.75" customHeight="1">
      <c r="A537" s="241" t="str">
        <f>IF(ISBLANK(D537)," ",476-COUNTBLANK($D$6:D537))</f>
        <v xml:space="preserve"> </v>
      </c>
      <c r="J537" s="264"/>
      <c r="K537" s="265"/>
      <c r="L537" s="266"/>
      <c r="M537" s="266"/>
      <c r="N537" s="266"/>
      <c r="O537" s="266"/>
      <c r="P537" s="266"/>
      <c r="Q537" s="266"/>
      <c r="R537" s="266"/>
    </row>
    <row r="538" spans="1:21" ht="27.75" customHeight="1">
      <c r="A538" s="241" t="str">
        <f>IF(ISBLANK(D538)," ",477-COUNTBLANK($D$6:D538))</f>
        <v xml:space="preserve"> </v>
      </c>
      <c r="J538" s="264"/>
      <c r="K538" s="265"/>
      <c r="L538" s="266"/>
      <c r="M538" s="266"/>
      <c r="N538" s="266"/>
      <c r="O538" s="266"/>
      <c r="P538" s="266"/>
      <c r="Q538" s="266"/>
      <c r="R538" s="266"/>
    </row>
    <row r="539" spans="1:21" ht="27.75" customHeight="1">
      <c r="A539" s="241" t="str">
        <f>IF(ISBLANK(D539)," ",478-COUNTBLANK($D$6:D539))</f>
        <v xml:space="preserve"> </v>
      </c>
      <c r="J539" s="264"/>
      <c r="K539" s="265"/>
      <c r="L539" s="266"/>
      <c r="M539" s="266"/>
      <c r="N539" s="266"/>
      <c r="O539" s="266"/>
      <c r="P539" s="266"/>
      <c r="Q539" s="266"/>
      <c r="R539" s="266"/>
    </row>
    <row r="540" spans="1:21" ht="27.75" customHeight="1">
      <c r="A540" s="241" t="str">
        <f>IF(ISBLANK(D540)," ",479-COUNTBLANK($D$6:D540))</f>
        <v xml:space="preserve"> </v>
      </c>
      <c r="J540" s="264"/>
      <c r="K540" s="265"/>
      <c r="L540" s="266"/>
      <c r="M540" s="266"/>
      <c r="N540" s="266"/>
      <c r="O540" s="266"/>
      <c r="P540" s="266"/>
      <c r="Q540" s="266"/>
      <c r="R540" s="266"/>
    </row>
    <row r="541" spans="1:21" ht="27.75" customHeight="1">
      <c r="A541" s="241" t="str">
        <f>IF(ISBLANK(D541)," ",480-COUNTBLANK($D$6:D541))</f>
        <v xml:space="preserve"> </v>
      </c>
      <c r="J541" s="264"/>
      <c r="K541" s="265"/>
      <c r="L541" s="266"/>
      <c r="M541" s="266"/>
      <c r="N541" s="266"/>
      <c r="O541" s="266"/>
      <c r="P541" s="266"/>
      <c r="Q541" s="266"/>
      <c r="R541" s="266"/>
    </row>
    <row r="542" spans="1:21" ht="27.75" customHeight="1">
      <c r="A542" s="241" t="str">
        <f>IF(ISBLANK(D542)," ",481-COUNTBLANK($D$6:D542))</f>
        <v xml:space="preserve"> </v>
      </c>
      <c r="J542" s="264"/>
      <c r="K542" s="265"/>
      <c r="L542" s="266"/>
      <c r="M542" s="266"/>
      <c r="N542" s="266"/>
      <c r="O542" s="266"/>
      <c r="P542" s="266"/>
      <c r="Q542" s="266"/>
      <c r="R542" s="266"/>
    </row>
    <row r="543" spans="1:21" ht="27.75" customHeight="1">
      <c r="A543" s="241" t="str">
        <f>IF(ISBLANK(D543)," ",482-COUNTBLANK($D$6:D543))</f>
        <v xml:space="preserve"> </v>
      </c>
      <c r="J543" s="264"/>
      <c r="K543" s="265"/>
      <c r="L543" s="266"/>
      <c r="M543" s="266"/>
      <c r="N543" s="266"/>
      <c r="O543" s="266"/>
      <c r="P543" s="266"/>
      <c r="Q543" s="266"/>
      <c r="R543" s="266"/>
    </row>
    <row r="544" spans="1:21" ht="27.75" customHeight="1">
      <c r="A544" s="241" t="s">
        <v>58</v>
      </c>
      <c r="F544" s="313">
        <f>SUM(F524:F543)</f>
        <v>0</v>
      </c>
      <c r="J544" s="264"/>
      <c r="K544" s="265"/>
      <c r="L544" s="266"/>
      <c r="M544" s="266"/>
      <c r="N544" s="266"/>
      <c r="O544" s="266"/>
      <c r="P544" s="266"/>
      <c r="Q544" s="266"/>
      <c r="R544" s="266"/>
    </row>
    <row r="545" spans="1:21" ht="27.75" customHeight="1">
      <c r="A545" s="241" t="str">
        <f>IF(ISBLANK(D545)," ",484-COUNTBLANK($D$6:D545))</f>
        <v xml:space="preserve"> </v>
      </c>
      <c r="J545" s="264"/>
      <c r="K545" s="265"/>
      <c r="L545" s="266"/>
      <c r="M545" s="266"/>
      <c r="N545" s="266"/>
      <c r="O545" s="266"/>
      <c r="P545" s="266"/>
      <c r="Q545" s="266"/>
      <c r="R545" s="266"/>
    </row>
    <row r="546" spans="1:21" ht="27.75" customHeight="1">
      <c r="A546" s="241" t="str">
        <f>IF(ISBLANK(D546)," ",485-COUNTBLANK($D$6:D546))</f>
        <v xml:space="preserve"> </v>
      </c>
      <c r="J546" s="264"/>
      <c r="K546" s="265"/>
      <c r="L546" s="266"/>
      <c r="M546" s="266"/>
      <c r="N546" s="266"/>
      <c r="O546" s="266"/>
      <c r="P546" s="266"/>
      <c r="Q546" s="266"/>
      <c r="R546" s="266"/>
    </row>
    <row r="547" spans="1:21" ht="27.75" customHeight="1">
      <c r="A547" s="241" t="str">
        <f>IF(ISBLANK(D547)," ",486-COUNTBLANK($D$6:D547))</f>
        <v xml:space="preserve"> </v>
      </c>
      <c r="J547" s="264"/>
      <c r="K547" s="265"/>
      <c r="L547" s="266"/>
      <c r="M547" s="266"/>
      <c r="N547" s="266"/>
      <c r="O547" s="266"/>
      <c r="P547" s="266"/>
      <c r="Q547" s="266"/>
      <c r="R547" s="266"/>
    </row>
    <row r="548" spans="1:21" ht="27.75" customHeight="1">
      <c r="A548" s="241" t="str">
        <f>IF(ISBLANK(D548)," ",487-COUNTBLANK($D$6:D548))</f>
        <v xml:space="preserve"> </v>
      </c>
      <c r="J548" s="264"/>
      <c r="K548" s="267"/>
      <c r="L548" s="266"/>
      <c r="M548" s="266"/>
      <c r="N548" s="266"/>
      <c r="O548" s="266"/>
      <c r="P548" s="266"/>
      <c r="Q548" s="266"/>
      <c r="R548" s="268"/>
    </row>
    <row r="549" spans="1:21" ht="27.75" customHeight="1">
      <c r="A549" s="241" t="str">
        <f>IF(ISBLANK(D549)," ",488-COUNTBLANK($D$6:D549))</f>
        <v xml:space="preserve"> </v>
      </c>
      <c r="J549" s="264"/>
      <c r="K549" s="267"/>
      <c r="L549" s="266"/>
      <c r="M549" s="266"/>
      <c r="N549" s="266"/>
      <c r="O549" s="266"/>
      <c r="P549" s="266"/>
      <c r="Q549" s="266"/>
      <c r="R549" s="268"/>
    </row>
    <row r="550" spans="1:21" ht="27.75" customHeight="1">
      <c r="A550" s="241" t="str">
        <f>IF(ISBLANK(D550)," ",489-COUNTBLANK($D$6:D550))</f>
        <v xml:space="preserve"> </v>
      </c>
      <c r="J550" s="264"/>
      <c r="K550" s="267"/>
      <c r="L550" s="266"/>
      <c r="M550" s="266"/>
      <c r="N550" s="266"/>
      <c r="O550" s="266"/>
      <c r="P550" s="266"/>
      <c r="Q550" s="266"/>
      <c r="R550" s="268"/>
    </row>
    <row r="551" spans="1:21" ht="27.75" customHeight="1">
      <c r="A551" s="241" t="str">
        <f>IF(ISBLANK(D551)," ",490-COUNTBLANK($D$6:D551))</f>
        <v xml:space="preserve"> </v>
      </c>
      <c r="J551" s="264"/>
      <c r="K551" s="267"/>
      <c r="L551" s="266"/>
      <c r="M551" s="266"/>
      <c r="N551" s="266"/>
      <c r="O551" s="266"/>
      <c r="P551" s="266"/>
      <c r="Q551" s="266"/>
      <c r="R551" s="268"/>
    </row>
    <row r="552" spans="1:21" ht="27.75" customHeight="1">
      <c r="A552" s="241" t="str">
        <f>IF(ISBLANK(D552)," ",491-COUNTBLANK($D$6:D552))</f>
        <v xml:space="preserve"> </v>
      </c>
      <c r="J552" s="264"/>
      <c r="K552" s="265"/>
      <c r="L552" s="266"/>
      <c r="M552" s="266"/>
      <c r="N552" s="266"/>
      <c r="O552" s="266"/>
      <c r="P552" s="266"/>
      <c r="Q552" s="266"/>
      <c r="R552" s="288"/>
      <c r="S552" s="266"/>
      <c r="T552" s="266"/>
      <c r="U552" s="266"/>
    </row>
    <row r="553" spans="1:21" ht="27.75" customHeight="1">
      <c r="A553" s="241" t="str">
        <f>IF(ISBLANK(D553)," ",492-COUNTBLANK($D$6:D553))</f>
        <v xml:space="preserve"> </v>
      </c>
      <c r="J553" s="264"/>
      <c r="K553" s="267"/>
      <c r="L553" s="266"/>
      <c r="M553" s="266"/>
      <c r="N553" s="266"/>
      <c r="O553" s="266"/>
      <c r="P553" s="266"/>
      <c r="Q553" s="266"/>
      <c r="R553" s="288"/>
      <c r="S553" s="266"/>
      <c r="T553" s="266"/>
      <c r="U553" s="266"/>
    </row>
    <row r="554" spans="1:21" ht="27.75" customHeight="1">
      <c r="A554" s="241" t="str">
        <f>IF(ISBLANK(D554)," ",493-COUNTBLANK($D$6:D554))</f>
        <v xml:space="preserve"> </v>
      </c>
      <c r="J554" s="264"/>
      <c r="K554" s="265"/>
      <c r="L554" s="266"/>
      <c r="M554" s="266"/>
      <c r="N554" s="266"/>
      <c r="O554" s="266"/>
      <c r="P554" s="266"/>
      <c r="Q554" s="266"/>
      <c r="R554" s="266"/>
    </row>
    <row r="555" spans="1:21" ht="27.75" customHeight="1">
      <c r="A555" s="241" t="str">
        <f>IF(ISBLANK(D555)," ",494-COUNTBLANK($D$6:D555))</f>
        <v xml:space="preserve"> </v>
      </c>
      <c r="J555" s="264"/>
      <c r="K555" s="265"/>
      <c r="L555" s="266"/>
      <c r="M555" s="266"/>
      <c r="N555" s="266"/>
      <c r="O555" s="266"/>
      <c r="P555" s="266"/>
      <c r="Q555" s="266"/>
      <c r="R555" s="266"/>
    </row>
    <row r="556" spans="1:21" ht="27.75" customHeight="1">
      <c r="A556" s="241" t="str">
        <f>IF(ISBLANK(D556)," ",495-COUNTBLANK($D$6:D556))</f>
        <v xml:space="preserve"> </v>
      </c>
      <c r="J556" s="264"/>
      <c r="K556" s="265"/>
      <c r="L556" s="266"/>
      <c r="M556" s="266"/>
      <c r="N556" s="266"/>
      <c r="O556" s="266"/>
      <c r="P556" s="266"/>
      <c r="Q556" s="266"/>
      <c r="R556" s="266"/>
    </row>
    <row r="557" spans="1:21" ht="27.75" customHeight="1">
      <c r="A557" s="241" t="str">
        <f>IF(ISBLANK(D557)," ",496-COUNTBLANK($D$6:D557))</f>
        <v xml:space="preserve"> </v>
      </c>
      <c r="J557" s="264"/>
      <c r="K557" s="265"/>
      <c r="L557" s="266"/>
      <c r="M557" s="266"/>
      <c r="N557" s="266"/>
      <c r="O557" s="266"/>
      <c r="P557" s="266"/>
      <c r="Q557" s="266"/>
      <c r="R557" s="266"/>
    </row>
    <row r="558" spans="1:21" ht="27.75" customHeight="1">
      <c r="A558" s="241" t="str">
        <f>IF(ISBLANK(D558)," ",497-COUNTBLANK($D$6:D558))</f>
        <v xml:space="preserve"> </v>
      </c>
      <c r="J558" s="264"/>
      <c r="K558" s="265"/>
      <c r="L558" s="266"/>
      <c r="M558" s="266"/>
      <c r="N558" s="266"/>
      <c r="O558" s="266"/>
      <c r="P558" s="266"/>
      <c r="Q558" s="266"/>
      <c r="R558" s="266"/>
    </row>
    <row r="559" spans="1:21" ht="27.75" customHeight="1">
      <c r="A559" s="241" t="str">
        <f>IF(ISBLANK(D559)," ",498-COUNTBLANK($D$6:D559))</f>
        <v xml:space="preserve"> </v>
      </c>
      <c r="J559" s="264"/>
      <c r="K559" s="265"/>
      <c r="L559" s="266"/>
      <c r="M559" s="266"/>
      <c r="N559" s="266"/>
      <c r="O559" s="266"/>
      <c r="P559" s="266"/>
      <c r="Q559" s="266"/>
      <c r="R559" s="266"/>
    </row>
    <row r="560" spans="1:21" ht="27.75" customHeight="1">
      <c r="A560" s="241" t="str">
        <f>IF(ISBLANK(D560)," ",499-COUNTBLANK($D$6:D560))</f>
        <v xml:space="preserve"> </v>
      </c>
      <c r="J560" s="264"/>
      <c r="K560" s="265"/>
      <c r="L560" s="266"/>
      <c r="M560" s="266"/>
      <c r="N560" s="266"/>
      <c r="O560" s="266"/>
      <c r="P560" s="266"/>
      <c r="Q560" s="266"/>
      <c r="R560" s="266"/>
    </row>
    <row r="561" spans="1:21" ht="27.75" customHeight="1">
      <c r="A561" s="241" t="str">
        <f>IF(ISBLANK(D561)," ",500-COUNTBLANK($D$6:D561))</f>
        <v xml:space="preserve"> </v>
      </c>
      <c r="J561" s="264"/>
      <c r="K561" s="265"/>
      <c r="L561" s="266"/>
      <c r="M561" s="266"/>
      <c r="N561" s="266"/>
      <c r="O561" s="266"/>
      <c r="P561" s="266"/>
      <c r="Q561" s="266"/>
      <c r="R561" s="266"/>
    </row>
    <row r="562" spans="1:21" ht="27.75" customHeight="1">
      <c r="A562" s="241" t="str">
        <f>IF(ISBLANK(D562)," ",501-COUNTBLANK($D$6:D562))</f>
        <v xml:space="preserve"> </v>
      </c>
      <c r="J562" s="264"/>
      <c r="K562" s="265"/>
      <c r="L562" s="266"/>
      <c r="M562" s="266"/>
      <c r="N562" s="266"/>
      <c r="O562" s="266"/>
      <c r="P562" s="266"/>
      <c r="Q562" s="266"/>
      <c r="R562" s="266"/>
    </row>
    <row r="563" spans="1:21" ht="27.75" customHeight="1">
      <c r="A563" s="241" t="str">
        <f>IF(ISBLANK(D563)," ",502-COUNTBLANK($D$6:D563))</f>
        <v xml:space="preserve"> </v>
      </c>
      <c r="J563" s="264"/>
      <c r="K563" s="265"/>
      <c r="L563" s="266"/>
      <c r="M563" s="266"/>
      <c r="N563" s="266"/>
      <c r="O563" s="266"/>
      <c r="P563" s="266"/>
      <c r="Q563" s="266"/>
      <c r="R563" s="266"/>
    </row>
    <row r="564" spans="1:21" ht="27.75" customHeight="1">
      <c r="A564" s="241" t="str">
        <f>IF(ISBLANK(D564)," ",503-COUNTBLANK($D$6:D564))</f>
        <v xml:space="preserve"> </v>
      </c>
      <c r="J564" s="264"/>
      <c r="K564" s="265"/>
      <c r="L564" s="266"/>
      <c r="M564" s="266"/>
      <c r="N564" s="266"/>
      <c r="O564" s="266"/>
      <c r="P564" s="266"/>
      <c r="Q564" s="266"/>
      <c r="R564" s="266"/>
    </row>
    <row r="565" spans="1:21" ht="27.75" customHeight="1">
      <c r="A565" s="241" t="s">
        <v>58</v>
      </c>
      <c r="F565" s="313">
        <f>SUM(F545:F564)</f>
        <v>0</v>
      </c>
      <c r="J565" s="264"/>
      <c r="K565" s="265"/>
      <c r="L565" s="266"/>
      <c r="M565" s="266"/>
      <c r="N565" s="266"/>
      <c r="O565" s="266"/>
      <c r="P565" s="266"/>
      <c r="Q565" s="266"/>
      <c r="R565" s="266"/>
    </row>
    <row r="566" spans="1:21" ht="27.75" customHeight="1">
      <c r="A566" s="241" t="str">
        <f>IF(ISBLANK(D566)," ",505-COUNTBLANK($D$6:D566))</f>
        <v xml:space="preserve"> </v>
      </c>
      <c r="J566" s="264"/>
      <c r="K566" s="265"/>
      <c r="L566" s="266"/>
      <c r="M566" s="266"/>
      <c r="N566" s="266"/>
      <c r="O566" s="266"/>
      <c r="P566" s="266"/>
      <c r="Q566" s="266"/>
      <c r="R566" s="266"/>
    </row>
    <row r="567" spans="1:21" ht="27.75" customHeight="1">
      <c r="A567" s="241" t="str">
        <f>IF(ISBLANK(D567)," ",506-COUNTBLANK($D$6:D567))</f>
        <v xml:space="preserve"> </v>
      </c>
      <c r="J567" s="264"/>
      <c r="K567" s="265"/>
      <c r="L567" s="266"/>
      <c r="M567" s="266"/>
      <c r="N567" s="266"/>
      <c r="O567" s="266"/>
      <c r="P567" s="266"/>
      <c r="Q567" s="266"/>
      <c r="R567" s="266"/>
    </row>
    <row r="568" spans="1:21" ht="27.75" customHeight="1">
      <c r="A568" s="241" t="str">
        <f>IF(ISBLANK(D568)," ",507-COUNTBLANK($D$6:D568))</f>
        <v xml:space="preserve"> </v>
      </c>
      <c r="J568" s="264"/>
      <c r="K568" s="265"/>
      <c r="L568" s="266"/>
      <c r="M568" s="266"/>
      <c r="N568" s="266"/>
      <c r="O568" s="266"/>
      <c r="P568" s="266"/>
      <c r="Q568" s="266"/>
      <c r="R568" s="266"/>
    </row>
    <row r="569" spans="1:21" ht="27.75" customHeight="1">
      <c r="A569" s="241" t="str">
        <f>IF(ISBLANK(D569)," ",508-COUNTBLANK($D$6:D569))</f>
        <v xml:space="preserve"> </v>
      </c>
      <c r="J569" s="264"/>
      <c r="K569" s="267"/>
      <c r="L569" s="266"/>
      <c r="M569" s="266"/>
      <c r="N569" s="266"/>
      <c r="O569" s="266"/>
      <c r="P569" s="266"/>
      <c r="Q569" s="266"/>
      <c r="R569" s="268"/>
    </row>
    <row r="570" spans="1:21" ht="27.75" customHeight="1">
      <c r="A570" s="241" t="str">
        <f>IF(ISBLANK(D570)," ",509-COUNTBLANK($D$6:D570))</f>
        <v xml:space="preserve"> </v>
      </c>
      <c r="J570" s="264"/>
      <c r="K570" s="267"/>
      <c r="L570" s="266"/>
      <c r="M570" s="266"/>
      <c r="N570" s="266"/>
      <c r="O570" s="266"/>
      <c r="P570" s="266"/>
      <c r="Q570" s="266"/>
      <c r="R570" s="268"/>
    </row>
    <row r="571" spans="1:21" ht="27.75" customHeight="1">
      <c r="A571" s="241" t="str">
        <f>IF(ISBLANK(D571)," ",510-COUNTBLANK($D$6:D571))</f>
        <v xml:space="preserve"> </v>
      </c>
      <c r="J571" s="264"/>
      <c r="K571" s="267"/>
      <c r="L571" s="266"/>
      <c r="M571" s="266"/>
      <c r="N571" s="266"/>
      <c r="O571" s="266"/>
      <c r="P571" s="266"/>
      <c r="Q571" s="266"/>
      <c r="R571" s="268"/>
    </row>
    <row r="572" spans="1:21" ht="27.75" customHeight="1">
      <c r="A572" s="241" t="str">
        <f>IF(ISBLANK(D572)," ",511-COUNTBLANK($D$6:D572))</f>
        <v xml:space="preserve"> </v>
      </c>
      <c r="J572" s="264"/>
      <c r="K572" s="267"/>
      <c r="L572" s="266"/>
      <c r="M572" s="266"/>
      <c r="N572" s="266"/>
      <c r="O572" s="266"/>
      <c r="P572" s="266"/>
      <c r="Q572" s="266"/>
      <c r="R572" s="268"/>
    </row>
    <row r="573" spans="1:21" ht="27.75" customHeight="1">
      <c r="A573" s="241" t="str">
        <f>IF(ISBLANK(D573)," ",512-COUNTBLANK($D$6:D573))</f>
        <v xml:space="preserve"> </v>
      </c>
      <c r="J573" s="264"/>
      <c r="K573" s="265"/>
      <c r="L573" s="266"/>
      <c r="M573" s="266"/>
      <c r="N573" s="266"/>
      <c r="O573" s="266"/>
      <c r="P573" s="266"/>
      <c r="Q573" s="266"/>
      <c r="R573" s="288"/>
      <c r="S573" s="266"/>
      <c r="T573" s="266"/>
      <c r="U573" s="266"/>
    </row>
    <row r="574" spans="1:21" ht="27.75" customHeight="1">
      <c r="A574" s="241" t="str">
        <f>IF(ISBLANK(D574)," ",513-COUNTBLANK($D$6:D574))</f>
        <v xml:space="preserve"> </v>
      </c>
      <c r="J574" s="264"/>
      <c r="K574" s="267"/>
      <c r="L574" s="266"/>
      <c r="M574" s="266"/>
      <c r="N574" s="266"/>
      <c r="O574" s="266"/>
      <c r="P574" s="266"/>
      <c r="Q574" s="266"/>
      <c r="R574" s="288"/>
      <c r="S574" s="266"/>
      <c r="T574" s="266"/>
      <c r="U574" s="266"/>
    </row>
    <row r="575" spans="1:21" ht="27.75" customHeight="1">
      <c r="A575" s="241" t="str">
        <f>IF(ISBLANK(D575)," ",514-COUNTBLANK($D$6:D575))</f>
        <v xml:space="preserve"> </v>
      </c>
      <c r="J575" s="264"/>
      <c r="K575" s="265"/>
      <c r="L575" s="266"/>
      <c r="M575" s="266"/>
      <c r="N575" s="266"/>
      <c r="O575" s="266"/>
      <c r="P575" s="266"/>
      <c r="Q575" s="266"/>
      <c r="R575" s="266"/>
    </row>
    <row r="576" spans="1:21" ht="27.75" customHeight="1">
      <c r="A576" s="241" t="str">
        <f>IF(ISBLANK(D576)," ",515-COUNTBLANK($D$6:D576))</f>
        <v xml:space="preserve"> </v>
      </c>
      <c r="J576" s="264"/>
      <c r="K576" s="265"/>
      <c r="L576" s="266"/>
      <c r="M576" s="266"/>
      <c r="N576" s="266"/>
      <c r="O576" s="266"/>
      <c r="P576" s="266"/>
      <c r="Q576" s="266"/>
      <c r="R576" s="266"/>
    </row>
    <row r="577" spans="1:18" ht="27.75" customHeight="1">
      <c r="A577" s="241" t="str">
        <f>IF(ISBLANK(D577)," ",516-COUNTBLANK($D$6:D577))</f>
        <v xml:space="preserve"> </v>
      </c>
      <c r="J577" s="264"/>
      <c r="K577" s="265"/>
      <c r="L577" s="266"/>
      <c r="M577" s="266"/>
      <c r="N577" s="266"/>
      <c r="O577" s="266"/>
      <c r="P577" s="266"/>
      <c r="Q577" s="266"/>
      <c r="R577" s="266"/>
    </row>
    <row r="578" spans="1:18" ht="27.75" customHeight="1">
      <c r="A578" s="241" t="str">
        <f>IF(ISBLANK(D578)," ",517-COUNTBLANK($D$6:D578))</f>
        <v xml:space="preserve"> </v>
      </c>
      <c r="J578" s="264"/>
      <c r="K578" s="265"/>
      <c r="L578" s="266"/>
      <c r="M578" s="266"/>
      <c r="N578" s="266"/>
      <c r="O578" s="266"/>
      <c r="P578" s="266"/>
      <c r="Q578" s="266"/>
      <c r="R578" s="266"/>
    </row>
    <row r="579" spans="1:18" ht="27.75" customHeight="1">
      <c r="A579" s="241" t="str">
        <f>IF(ISBLANK(D579)," ",518-COUNTBLANK($D$6:D579))</f>
        <v xml:space="preserve"> </v>
      </c>
      <c r="J579" s="264"/>
      <c r="K579" s="265"/>
      <c r="L579" s="266"/>
      <c r="M579" s="266"/>
      <c r="N579" s="266"/>
      <c r="O579" s="266"/>
      <c r="P579" s="266"/>
      <c r="Q579" s="266"/>
      <c r="R579" s="266"/>
    </row>
    <row r="580" spans="1:18" ht="27.75" customHeight="1">
      <c r="A580" s="241" t="str">
        <f>IF(ISBLANK(D580)," ",519-COUNTBLANK($D$6:D580))</f>
        <v xml:space="preserve"> </v>
      </c>
      <c r="J580" s="264"/>
      <c r="K580" s="265"/>
      <c r="L580" s="266"/>
      <c r="M580" s="266"/>
      <c r="N580" s="266"/>
      <c r="O580" s="266"/>
      <c r="P580" s="266"/>
      <c r="Q580" s="266"/>
      <c r="R580" s="266"/>
    </row>
    <row r="581" spans="1:18" ht="27.75" customHeight="1">
      <c r="A581" s="241" t="str">
        <f>IF(ISBLANK(D581)," ",520-COUNTBLANK($D$6:D581))</f>
        <v xml:space="preserve"> </v>
      </c>
      <c r="J581" s="264"/>
      <c r="K581" s="265"/>
      <c r="L581" s="266"/>
      <c r="M581" s="266"/>
      <c r="N581" s="266"/>
      <c r="O581" s="266"/>
      <c r="P581" s="266"/>
      <c r="Q581" s="266"/>
      <c r="R581" s="266"/>
    </row>
    <row r="582" spans="1:18" ht="27.75" customHeight="1">
      <c r="A582" s="241" t="str">
        <f>IF(ISBLANK(D582)," ",521-COUNTBLANK($D$6:D582))</f>
        <v xml:space="preserve"> </v>
      </c>
      <c r="J582" s="264"/>
      <c r="K582" s="265"/>
      <c r="L582" s="266"/>
      <c r="M582" s="266"/>
      <c r="N582" s="266"/>
      <c r="O582" s="266"/>
      <c r="P582" s="266"/>
      <c r="Q582" s="266"/>
      <c r="R582" s="266"/>
    </row>
    <row r="583" spans="1:18" ht="27.75" customHeight="1">
      <c r="A583" s="241" t="str">
        <f>IF(ISBLANK(D583)," ",522-COUNTBLANK($D$6:D583))</f>
        <v xml:space="preserve"> </v>
      </c>
      <c r="J583" s="264"/>
      <c r="K583" s="265"/>
      <c r="L583" s="266"/>
      <c r="M583" s="266"/>
      <c r="N583" s="266"/>
      <c r="O583" s="266"/>
      <c r="P583" s="266"/>
      <c r="Q583" s="266"/>
      <c r="R583" s="266"/>
    </row>
    <row r="584" spans="1:18" ht="27.75" customHeight="1">
      <c r="A584" s="241" t="str">
        <f>IF(ISBLANK(D584)," ",523-COUNTBLANK($D$6:D584))</f>
        <v xml:space="preserve"> </v>
      </c>
      <c r="J584" s="264"/>
      <c r="K584" s="265"/>
      <c r="L584" s="266"/>
      <c r="M584" s="266"/>
      <c r="N584" s="266"/>
      <c r="O584" s="266"/>
      <c r="P584" s="266"/>
      <c r="Q584" s="266"/>
      <c r="R584" s="266"/>
    </row>
    <row r="585" spans="1:18" ht="27.75" customHeight="1">
      <c r="A585" s="241" t="str">
        <f>IF(ISBLANK(D585)," ",524-COUNTBLANK($D$6:D585))</f>
        <v xml:space="preserve"> </v>
      </c>
      <c r="J585" s="264"/>
      <c r="K585" s="265"/>
      <c r="L585" s="266"/>
      <c r="M585" s="266"/>
      <c r="N585" s="266"/>
      <c r="O585" s="266"/>
      <c r="P585" s="266"/>
      <c r="Q585" s="266"/>
      <c r="R585" s="266"/>
    </row>
    <row r="586" spans="1:18" ht="27.75" customHeight="1">
      <c r="A586" s="241" t="s">
        <v>58</v>
      </c>
      <c r="F586" s="313">
        <f>SUM(F566:F585)</f>
        <v>0</v>
      </c>
      <c r="J586" s="264"/>
      <c r="K586" s="265"/>
      <c r="L586" s="266"/>
      <c r="M586" s="266"/>
      <c r="N586" s="266"/>
      <c r="O586" s="266"/>
      <c r="P586" s="266"/>
      <c r="Q586" s="266"/>
      <c r="R586" s="266"/>
    </row>
    <row r="587" spans="1:18" ht="27.75" customHeight="1">
      <c r="J587" s="264"/>
      <c r="K587" s="265"/>
      <c r="L587" s="266"/>
      <c r="M587" s="266"/>
      <c r="N587" s="266"/>
      <c r="O587" s="266"/>
      <c r="P587" s="266"/>
      <c r="Q587" s="266"/>
      <c r="R587" s="266"/>
    </row>
    <row r="588" spans="1:18" ht="27.75" customHeight="1">
      <c r="J588" s="264"/>
      <c r="K588" s="265"/>
      <c r="L588" s="266"/>
      <c r="M588" s="266"/>
      <c r="N588" s="266"/>
      <c r="O588" s="266"/>
      <c r="P588" s="266"/>
      <c r="Q588" s="266"/>
      <c r="R588" s="266"/>
    </row>
    <row r="589" spans="1:18" ht="27.75" customHeight="1">
      <c r="J589" s="264"/>
      <c r="K589" s="265"/>
      <c r="L589" s="266"/>
      <c r="M589" s="266"/>
      <c r="N589" s="266"/>
      <c r="O589" s="266"/>
      <c r="P589" s="266"/>
      <c r="Q589" s="266"/>
      <c r="R589" s="266"/>
    </row>
    <row r="590" spans="1:18" ht="27.75" customHeight="1">
      <c r="J590" s="264"/>
      <c r="K590" s="267"/>
      <c r="L590" s="266"/>
      <c r="M590" s="266"/>
      <c r="N590" s="266"/>
      <c r="O590" s="266"/>
      <c r="P590" s="266"/>
      <c r="Q590" s="266"/>
      <c r="R590" s="268"/>
    </row>
    <row r="591" spans="1:18" ht="27.75" customHeight="1">
      <c r="J591" s="264"/>
      <c r="K591" s="267"/>
      <c r="L591" s="266"/>
      <c r="M591" s="266"/>
      <c r="N591" s="266"/>
      <c r="O591" s="266"/>
      <c r="P591" s="266"/>
      <c r="Q591" s="266"/>
      <c r="R591" s="268"/>
    </row>
    <row r="592" spans="1:18" ht="27.75" customHeight="1">
      <c r="J592" s="264"/>
      <c r="K592" s="267"/>
      <c r="L592" s="266"/>
      <c r="M592" s="266"/>
      <c r="N592" s="266"/>
      <c r="O592" s="266"/>
      <c r="P592" s="266"/>
      <c r="Q592" s="266"/>
      <c r="R592" s="268"/>
    </row>
    <row r="593" spans="10:21" ht="27.75" customHeight="1">
      <c r="J593" s="264"/>
      <c r="K593" s="267"/>
      <c r="L593" s="266"/>
      <c r="M593" s="266"/>
      <c r="N593" s="266"/>
      <c r="O593" s="266"/>
      <c r="P593" s="266"/>
      <c r="Q593" s="266"/>
      <c r="R593" s="268"/>
    </row>
    <row r="594" spans="10:21" ht="27.75" customHeight="1">
      <c r="J594" s="264"/>
      <c r="K594" s="265"/>
      <c r="L594" s="266"/>
      <c r="M594" s="266"/>
      <c r="N594" s="266"/>
      <c r="O594" s="266"/>
      <c r="P594" s="266"/>
      <c r="Q594" s="266"/>
      <c r="R594" s="288"/>
      <c r="S594" s="266"/>
      <c r="T594" s="266"/>
      <c r="U594" s="266"/>
    </row>
    <row r="595" spans="10:21" ht="27.75" customHeight="1">
      <c r="J595" s="264"/>
      <c r="K595" s="267"/>
      <c r="L595" s="266"/>
      <c r="M595" s="266"/>
      <c r="N595" s="266"/>
      <c r="O595" s="266"/>
      <c r="P595" s="266"/>
      <c r="Q595" s="266"/>
      <c r="R595" s="288"/>
      <c r="S595" s="266"/>
      <c r="T595" s="266"/>
      <c r="U595" s="266"/>
    </row>
    <row r="596" spans="10:21">
      <c r="K596" s="316"/>
      <c r="L596" s="315"/>
      <c r="M596" s="315"/>
      <c r="N596" s="315"/>
      <c r="O596" s="315"/>
      <c r="P596" s="315"/>
      <c r="Q596" s="315"/>
      <c r="R596" s="315"/>
    </row>
    <row r="597" spans="10:21">
      <c r="K597" s="316"/>
      <c r="L597" s="315"/>
      <c r="M597" s="315"/>
      <c r="N597" s="315"/>
      <c r="O597" s="315"/>
      <c r="P597" s="315"/>
      <c r="Q597" s="315"/>
      <c r="R597" s="315"/>
    </row>
  </sheetData>
  <mergeCells count="6">
    <mergeCell ref="J4:J5"/>
    <mergeCell ref="K4:K5"/>
    <mergeCell ref="B4:C4"/>
    <mergeCell ref="D4:D5"/>
    <mergeCell ref="G4:H4"/>
    <mergeCell ref="I4:I5"/>
  </mergeCells>
  <phoneticPr fontId="5" type="noConversion"/>
  <printOptions horizontalCentered="1" verticalCentered="1"/>
  <pageMargins left="0.19685039370078741" right="0.19685039370078741" top="1.3779527559055118" bottom="0.59055118110236227" header="0.59055118110236227" footer="0.19685039370078741"/>
  <pageSetup paperSize="9" scale="63" orientation="portrait" horizont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532"/>
  <sheetViews>
    <sheetView showGridLines="0" showZeros="0" view="pageBreakPreview" zoomScaleNormal="55" workbookViewId="0">
      <selection activeCell="A26" sqref="A26:IV26"/>
    </sheetView>
  </sheetViews>
  <sheetFormatPr defaultRowHeight="11.25"/>
  <cols>
    <col min="1" max="1" width="4.33203125" style="51" customWidth="1"/>
    <col min="2" max="2" width="6.33203125" style="97" customWidth="1"/>
    <col min="3" max="3" width="3.77734375" style="51" customWidth="1"/>
    <col min="4" max="4" width="6.77734375" style="51" customWidth="1"/>
    <col min="5" max="5" width="6.77734375" style="98" customWidth="1"/>
    <col min="6" max="6" width="4.109375" style="51" customWidth="1"/>
    <col min="7" max="7" width="4.77734375" style="51" customWidth="1"/>
    <col min="8" max="8" width="7.33203125" style="51" customWidth="1"/>
    <col min="9" max="9" width="11.77734375" style="51" customWidth="1"/>
    <col min="10" max="10" width="6.77734375" style="51" customWidth="1"/>
    <col min="11" max="11" width="11.77734375" style="51" customWidth="1"/>
    <col min="12" max="12" width="6.77734375" style="51" customWidth="1"/>
    <col min="13" max="13" width="3.77734375" style="51" customWidth="1"/>
    <col min="14" max="14" width="20.77734375" style="99" hidden="1" customWidth="1"/>
    <col min="15" max="21" width="9.77734375" style="51" customWidth="1"/>
    <col min="22" max="22" width="10.77734375" style="51" customWidth="1"/>
    <col min="23" max="16384" width="8.88671875" style="51"/>
  </cols>
  <sheetData>
    <row r="1" spans="1:22" ht="30" customHeight="1">
      <c r="A1" s="45" t="s">
        <v>64</v>
      </c>
      <c r="B1" s="46"/>
      <c r="C1" s="47"/>
      <c r="D1" s="47"/>
      <c r="E1" s="48"/>
      <c r="F1" s="47"/>
      <c r="G1" s="47"/>
      <c r="H1" s="47"/>
      <c r="I1" s="47"/>
      <c r="J1" s="47"/>
      <c r="K1" s="47"/>
      <c r="L1" s="47"/>
      <c r="M1" s="47"/>
      <c r="N1" s="49"/>
      <c r="O1" s="50"/>
      <c r="P1" s="50"/>
      <c r="Q1" s="50"/>
      <c r="R1" s="50"/>
      <c r="S1" s="50"/>
      <c r="T1" s="50"/>
      <c r="U1" s="50"/>
      <c r="V1" s="50"/>
    </row>
    <row r="2" spans="1:22" ht="19.899999999999999" customHeight="1">
      <c r="A2" s="50"/>
      <c r="B2" s="52"/>
      <c r="C2" s="50"/>
      <c r="D2" s="50"/>
      <c r="E2" s="53"/>
      <c r="F2" s="50"/>
      <c r="G2" s="50"/>
      <c r="H2" s="50"/>
      <c r="I2" s="50"/>
      <c r="J2" s="54"/>
      <c r="K2" s="55">
        <v>3</v>
      </c>
      <c r="L2" s="47"/>
      <c r="M2" s="47"/>
      <c r="N2" s="56"/>
      <c r="O2" s="50"/>
      <c r="P2" s="50"/>
      <c r="Q2" s="50"/>
      <c r="R2" s="50"/>
      <c r="S2" s="50"/>
      <c r="T2" s="50"/>
      <c r="U2" s="50"/>
      <c r="V2" s="50"/>
    </row>
    <row r="3" spans="1:22" ht="10.15" customHeight="1">
      <c r="A3" s="50"/>
      <c r="B3" s="52"/>
      <c r="C3" s="50"/>
      <c r="D3" s="50"/>
      <c r="E3" s="53"/>
      <c r="F3" s="50"/>
      <c r="G3" s="50"/>
      <c r="H3" s="50"/>
      <c r="I3" s="50"/>
      <c r="J3" s="50"/>
      <c r="K3" s="50"/>
      <c r="L3" s="50"/>
      <c r="M3" s="50"/>
      <c r="N3" s="57"/>
      <c r="O3" s="50"/>
      <c r="P3" s="50"/>
      <c r="Q3" s="50"/>
      <c r="R3" s="50"/>
      <c r="S3" s="50"/>
      <c r="T3" s="50"/>
      <c r="U3" s="50"/>
      <c r="V3" s="50"/>
    </row>
    <row r="4" spans="1:22" ht="30" customHeight="1">
      <c r="A4" s="107" t="s">
        <v>45</v>
      </c>
      <c r="B4" s="381" t="s">
        <v>46</v>
      </c>
      <c r="C4" s="369" t="s">
        <v>47</v>
      </c>
      <c r="D4" s="108" t="s">
        <v>48</v>
      </c>
      <c r="E4" s="109" t="s">
        <v>49</v>
      </c>
      <c r="F4" s="110" t="s">
        <v>50</v>
      </c>
      <c r="G4" s="58"/>
      <c r="H4" s="367" t="s">
        <v>51</v>
      </c>
      <c r="I4" s="368"/>
      <c r="J4" s="59" t="s">
        <v>52</v>
      </c>
      <c r="K4" s="58"/>
      <c r="L4" s="60"/>
      <c r="M4" s="371" t="s">
        <v>37</v>
      </c>
      <c r="N4" s="56"/>
      <c r="O4" s="50"/>
      <c r="P4" s="61"/>
      <c r="Q4" s="61"/>
      <c r="R4" s="61"/>
      <c r="S4" s="61"/>
      <c r="T4" s="61"/>
      <c r="U4" s="61"/>
      <c r="V4" s="61"/>
    </row>
    <row r="5" spans="1:22" ht="30" customHeight="1">
      <c r="A5" s="62" t="s">
        <v>53</v>
      </c>
      <c r="B5" s="382"/>
      <c r="C5" s="370"/>
      <c r="D5" s="63" t="s">
        <v>65</v>
      </c>
      <c r="E5" s="63" t="s">
        <v>65</v>
      </c>
      <c r="F5" s="64" t="s">
        <v>47</v>
      </c>
      <c r="G5" s="65" t="s">
        <v>54</v>
      </c>
      <c r="H5" s="65" t="s">
        <v>55</v>
      </c>
      <c r="I5" s="64" t="s">
        <v>56</v>
      </c>
      <c r="J5" s="65" t="s">
        <v>55</v>
      </c>
      <c r="K5" s="65" t="s">
        <v>56</v>
      </c>
      <c r="L5" s="66" t="s">
        <v>57</v>
      </c>
      <c r="M5" s="372"/>
      <c r="N5" s="67"/>
      <c r="O5" s="61"/>
      <c r="P5" s="68"/>
      <c r="Q5" s="68"/>
      <c r="R5" s="68"/>
      <c r="S5" s="68"/>
      <c r="T5" s="68"/>
      <c r="U5" s="68"/>
      <c r="V5" s="50"/>
    </row>
    <row r="6" spans="1:22" ht="27.75" customHeight="1">
      <c r="A6" s="147"/>
      <c r="B6" s="148"/>
      <c r="C6" s="149"/>
      <c r="D6" s="150"/>
      <c r="E6" s="150"/>
      <c r="F6" s="151"/>
      <c r="G6" s="151"/>
      <c r="H6" s="152"/>
      <c r="I6" s="153"/>
      <c r="J6" s="69"/>
      <c r="K6" s="69"/>
      <c r="L6" s="69"/>
      <c r="M6" s="70"/>
      <c r="N6" s="71" t="str">
        <f t="shared" ref="N6:N69" si="0">CONCATENATE(C6,H6)</f>
        <v/>
      </c>
      <c r="O6" s="72"/>
      <c r="P6" s="72"/>
      <c r="Q6" s="72"/>
      <c r="R6" s="72"/>
      <c r="S6" s="72"/>
      <c r="T6" s="72"/>
      <c r="U6" s="72"/>
      <c r="V6" s="72"/>
    </row>
    <row r="7" spans="1:22" ht="27.75" customHeight="1">
      <c r="A7" s="154"/>
      <c r="B7" s="155"/>
      <c r="C7" s="156"/>
      <c r="D7" s="157"/>
      <c r="E7" s="157"/>
      <c r="F7" s="158"/>
      <c r="G7" s="158"/>
      <c r="H7" s="159"/>
      <c r="I7" s="160"/>
      <c r="J7" s="73"/>
      <c r="K7" s="73"/>
      <c r="L7" s="73"/>
      <c r="M7" s="74"/>
      <c r="N7" s="71" t="str">
        <f t="shared" si="0"/>
        <v/>
      </c>
      <c r="O7" s="72"/>
      <c r="P7" s="72"/>
      <c r="Q7" s="72"/>
      <c r="R7" s="72"/>
      <c r="S7" s="72"/>
      <c r="T7" s="72"/>
      <c r="U7" s="72"/>
      <c r="V7" s="72"/>
    </row>
    <row r="8" spans="1:22" ht="27.75" customHeight="1">
      <c r="A8" s="154"/>
      <c r="B8" s="155"/>
      <c r="C8" s="156"/>
      <c r="D8" s="157"/>
      <c r="E8" s="157"/>
      <c r="F8" s="158"/>
      <c r="G8" s="158"/>
      <c r="H8" s="159"/>
      <c r="I8" s="160"/>
      <c r="J8" s="73"/>
      <c r="K8" s="73"/>
      <c r="L8" s="73"/>
      <c r="M8" s="74"/>
      <c r="N8" s="71" t="str">
        <f t="shared" si="0"/>
        <v/>
      </c>
      <c r="O8" s="72"/>
      <c r="P8" s="72"/>
      <c r="Q8" s="72"/>
      <c r="R8" s="72"/>
      <c r="S8" s="72"/>
      <c r="T8" s="72"/>
      <c r="U8" s="72"/>
      <c r="V8" s="72"/>
    </row>
    <row r="9" spans="1:22" ht="27.75" customHeight="1">
      <c r="A9" s="154"/>
      <c r="B9" s="155"/>
      <c r="C9" s="156"/>
      <c r="D9" s="157"/>
      <c r="E9" s="157"/>
      <c r="F9" s="158"/>
      <c r="G9" s="158"/>
      <c r="H9" s="159"/>
      <c r="I9" s="160"/>
      <c r="J9" s="73"/>
      <c r="K9" s="73"/>
      <c r="L9" s="73"/>
      <c r="M9" s="74"/>
      <c r="N9" s="71" t="str">
        <f t="shared" si="0"/>
        <v/>
      </c>
      <c r="O9" s="72"/>
      <c r="P9" s="72"/>
      <c r="Q9" s="72"/>
      <c r="R9" s="72"/>
      <c r="S9" s="72"/>
      <c r="T9" s="72"/>
      <c r="U9" s="72"/>
      <c r="V9" s="72"/>
    </row>
    <row r="10" spans="1:22" ht="27.75" customHeight="1">
      <c r="A10" s="154"/>
      <c r="B10" s="155"/>
      <c r="C10" s="156"/>
      <c r="D10" s="157"/>
      <c r="E10" s="157"/>
      <c r="F10" s="158"/>
      <c r="G10" s="158"/>
      <c r="H10" s="159"/>
      <c r="I10" s="160"/>
      <c r="J10" s="73"/>
      <c r="K10" s="73"/>
      <c r="L10" s="73"/>
      <c r="M10" s="74"/>
      <c r="N10" s="71" t="str">
        <f t="shared" si="0"/>
        <v/>
      </c>
      <c r="O10" s="72"/>
      <c r="P10" s="72"/>
      <c r="Q10" s="72"/>
      <c r="R10" s="72"/>
      <c r="S10" s="72"/>
      <c r="T10" s="72"/>
      <c r="U10" s="72"/>
      <c r="V10" s="72"/>
    </row>
    <row r="11" spans="1:22" ht="27.75" customHeight="1">
      <c r="A11" s="154"/>
      <c r="B11" s="155"/>
      <c r="C11" s="156"/>
      <c r="D11" s="157"/>
      <c r="E11" s="157"/>
      <c r="F11" s="158"/>
      <c r="G11" s="158"/>
      <c r="H11" s="159"/>
      <c r="I11" s="160"/>
      <c r="J11" s="73"/>
      <c r="K11" s="73"/>
      <c r="L11" s="73"/>
      <c r="M11" s="74"/>
      <c r="N11" s="71" t="str">
        <f t="shared" si="0"/>
        <v/>
      </c>
      <c r="O11" s="72"/>
      <c r="P11" s="72"/>
      <c r="Q11" s="72"/>
      <c r="R11" s="72"/>
      <c r="S11" s="72"/>
      <c r="T11" s="72"/>
      <c r="U11" s="72"/>
      <c r="V11" s="72"/>
    </row>
    <row r="12" spans="1:22" ht="27.75" customHeight="1">
      <c r="A12" s="154"/>
      <c r="B12" s="155"/>
      <c r="C12" s="156"/>
      <c r="D12" s="157"/>
      <c r="E12" s="157"/>
      <c r="F12" s="158"/>
      <c r="G12" s="161"/>
      <c r="H12" s="159"/>
      <c r="I12" s="160"/>
      <c r="J12" s="73"/>
      <c r="K12" s="73"/>
      <c r="L12" s="73"/>
      <c r="M12" s="74"/>
      <c r="N12" s="71" t="str">
        <f t="shared" si="0"/>
        <v/>
      </c>
      <c r="O12" s="72"/>
      <c r="P12" s="72"/>
      <c r="Q12" s="72"/>
      <c r="R12" s="72"/>
      <c r="S12" s="72"/>
      <c r="T12" s="72"/>
      <c r="U12" s="72"/>
      <c r="V12" s="72"/>
    </row>
    <row r="13" spans="1:22" ht="27.75" customHeight="1">
      <c r="A13" s="154"/>
      <c r="B13" s="155"/>
      <c r="C13" s="156"/>
      <c r="D13" s="157"/>
      <c r="E13" s="157"/>
      <c r="F13" s="158"/>
      <c r="G13" s="158"/>
      <c r="H13" s="159"/>
      <c r="I13" s="160"/>
      <c r="J13" s="73"/>
      <c r="K13" s="73"/>
      <c r="L13" s="73"/>
      <c r="M13" s="74"/>
      <c r="N13" s="71" t="str">
        <f t="shared" si="0"/>
        <v/>
      </c>
      <c r="O13" s="72"/>
      <c r="P13" s="72"/>
      <c r="Q13" s="72"/>
      <c r="R13" s="72"/>
      <c r="S13" s="72"/>
      <c r="T13" s="72"/>
      <c r="U13" s="72"/>
      <c r="V13" s="72"/>
    </row>
    <row r="14" spans="1:22" ht="27.75" customHeight="1">
      <c r="A14" s="154"/>
      <c r="B14" s="155"/>
      <c r="C14" s="156"/>
      <c r="D14" s="157"/>
      <c r="E14" s="157"/>
      <c r="F14" s="158"/>
      <c r="G14" s="158"/>
      <c r="H14" s="159"/>
      <c r="I14" s="160"/>
      <c r="J14" s="73"/>
      <c r="K14" s="73"/>
      <c r="L14" s="73"/>
      <c r="M14" s="74"/>
      <c r="N14" s="71" t="str">
        <f t="shared" si="0"/>
        <v/>
      </c>
      <c r="O14" s="72"/>
      <c r="P14" s="72"/>
      <c r="Q14" s="72"/>
      <c r="R14" s="72"/>
      <c r="S14" s="72"/>
      <c r="T14" s="72"/>
      <c r="U14" s="72"/>
      <c r="V14" s="72"/>
    </row>
    <row r="15" spans="1:22" ht="27.75" customHeight="1">
      <c r="A15" s="154"/>
      <c r="B15" s="155"/>
      <c r="C15" s="156"/>
      <c r="D15" s="157"/>
      <c r="E15" s="157"/>
      <c r="F15" s="158"/>
      <c r="G15" s="158"/>
      <c r="H15" s="159"/>
      <c r="I15" s="160"/>
      <c r="J15" s="73"/>
      <c r="K15" s="73"/>
      <c r="L15" s="73"/>
      <c r="M15" s="74"/>
      <c r="N15" s="71" t="str">
        <f t="shared" si="0"/>
        <v/>
      </c>
      <c r="O15" s="72"/>
      <c r="P15" s="72"/>
      <c r="Q15" s="72"/>
      <c r="R15" s="72"/>
      <c r="S15" s="72"/>
      <c r="T15" s="72"/>
      <c r="U15" s="72"/>
      <c r="V15" s="72"/>
    </row>
    <row r="16" spans="1:22" ht="27.75" customHeight="1">
      <c r="A16" s="154"/>
      <c r="B16" s="155"/>
      <c r="C16" s="156"/>
      <c r="D16" s="157"/>
      <c r="E16" s="157"/>
      <c r="F16" s="158"/>
      <c r="G16" s="158"/>
      <c r="H16" s="159"/>
      <c r="I16" s="160"/>
      <c r="J16" s="73"/>
      <c r="K16" s="73"/>
      <c r="L16" s="73"/>
      <c r="M16" s="74"/>
      <c r="N16" s="71" t="str">
        <f t="shared" si="0"/>
        <v/>
      </c>
      <c r="O16" s="72"/>
      <c r="P16" s="72"/>
      <c r="Q16" s="72"/>
      <c r="R16" s="72"/>
      <c r="S16" s="72"/>
      <c r="T16" s="72"/>
      <c r="U16" s="72"/>
      <c r="V16" s="72"/>
    </row>
    <row r="17" spans="1:25" ht="27.75" customHeight="1">
      <c r="A17" s="154"/>
      <c r="B17" s="155"/>
      <c r="C17" s="156"/>
      <c r="D17" s="157"/>
      <c r="E17" s="157"/>
      <c r="F17" s="158"/>
      <c r="G17" s="158"/>
      <c r="H17" s="159"/>
      <c r="I17" s="160"/>
      <c r="J17" s="73"/>
      <c r="K17" s="73"/>
      <c r="L17" s="73"/>
      <c r="M17" s="74"/>
      <c r="N17" s="71" t="str">
        <f t="shared" si="0"/>
        <v/>
      </c>
      <c r="O17" s="72"/>
      <c r="P17" s="72"/>
      <c r="Q17" s="72"/>
      <c r="R17" s="72"/>
      <c r="S17" s="72"/>
      <c r="T17" s="72"/>
      <c r="U17" s="72"/>
      <c r="V17" s="72"/>
    </row>
    <row r="18" spans="1:25" ht="27.75" customHeight="1">
      <c r="A18" s="154"/>
      <c r="B18" s="155"/>
      <c r="C18" s="156"/>
      <c r="D18" s="157"/>
      <c r="E18" s="157"/>
      <c r="F18" s="158"/>
      <c r="G18" s="158"/>
      <c r="H18" s="159"/>
      <c r="I18" s="160"/>
      <c r="J18" s="73"/>
      <c r="K18" s="73"/>
      <c r="L18" s="73"/>
      <c r="M18" s="74"/>
      <c r="N18" s="71" t="str">
        <f t="shared" si="0"/>
        <v/>
      </c>
      <c r="O18" s="72"/>
      <c r="P18" s="72"/>
      <c r="Q18" s="72"/>
      <c r="R18" s="72"/>
      <c r="S18" s="72"/>
      <c r="T18" s="72"/>
      <c r="U18" s="72"/>
      <c r="V18" s="72"/>
    </row>
    <row r="19" spans="1:25" ht="27.75" customHeight="1">
      <c r="A19" s="154"/>
      <c r="B19" s="155"/>
      <c r="C19" s="156"/>
      <c r="D19" s="157"/>
      <c r="E19" s="157"/>
      <c r="F19" s="158"/>
      <c r="G19" s="158"/>
      <c r="H19" s="159"/>
      <c r="I19" s="160"/>
      <c r="J19" s="73"/>
      <c r="K19" s="73"/>
      <c r="L19" s="73"/>
      <c r="M19" s="74"/>
      <c r="N19" s="71" t="str">
        <f t="shared" si="0"/>
        <v/>
      </c>
      <c r="O19" s="72"/>
      <c r="P19" s="72"/>
      <c r="Q19" s="72"/>
      <c r="R19" s="72"/>
      <c r="S19" s="72"/>
      <c r="T19" s="72"/>
      <c r="U19" s="72"/>
      <c r="V19" s="72"/>
    </row>
    <row r="20" spans="1:25" ht="27.75" customHeight="1">
      <c r="A20" s="154"/>
      <c r="B20" s="155"/>
      <c r="C20" s="156"/>
      <c r="D20" s="157"/>
      <c r="E20" s="157"/>
      <c r="F20" s="158"/>
      <c r="G20" s="158"/>
      <c r="H20" s="159"/>
      <c r="I20" s="160"/>
      <c r="J20" s="73"/>
      <c r="K20" s="73"/>
      <c r="L20" s="73"/>
      <c r="M20" s="74"/>
      <c r="N20" s="71" t="str">
        <f t="shared" si="0"/>
        <v/>
      </c>
      <c r="O20" s="72"/>
      <c r="P20" s="72"/>
      <c r="Q20" s="72"/>
      <c r="R20" s="72"/>
      <c r="S20" s="72"/>
      <c r="T20" s="72"/>
      <c r="U20" s="72"/>
      <c r="V20" s="72"/>
    </row>
    <row r="21" spans="1:25" ht="27.75" customHeight="1">
      <c r="A21" s="154"/>
      <c r="B21" s="155"/>
      <c r="C21" s="156"/>
      <c r="D21" s="157"/>
      <c r="E21" s="157"/>
      <c r="F21" s="158"/>
      <c r="G21" s="158"/>
      <c r="H21" s="159"/>
      <c r="I21" s="160"/>
      <c r="J21" s="73"/>
      <c r="K21" s="73"/>
      <c r="L21" s="73"/>
      <c r="M21" s="74"/>
      <c r="N21" s="71" t="str">
        <f t="shared" si="0"/>
        <v/>
      </c>
      <c r="O21" s="75"/>
      <c r="P21" s="72"/>
      <c r="Q21" s="72"/>
      <c r="R21" s="72"/>
      <c r="S21" s="72"/>
      <c r="T21" s="72"/>
      <c r="U21" s="72"/>
      <c r="V21" s="76"/>
    </row>
    <row r="22" spans="1:25" ht="27.75" customHeight="1">
      <c r="A22" s="154"/>
      <c r="B22" s="155"/>
      <c r="C22" s="156"/>
      <c r="D22" s="157"/>
      <c r="E22" s="157"/>
      <c r="F22" s="158"/>
      <c r="G22" s="161"/>
      <c r="H22" s="159"/>
      <c r="I22" s="160"/>
      <c r="J22" s="73"/>
      <c r="K22" s="73"/>
      <c r="L22" s="73"/>
      <c r="M22" s="74"/>
      <c r="N22" s="71" t="str">
        <f t="shared" si="0"/>
        <v/>
      </c>
      <c r="O22" s="75"/>
      <c r="P22" s="72"/>
      <c r="Q22" s="72"/>
      <c r="R22" s="72"/>
      <c r="S22" s="72"/>
      <c r="T22" s="72"/>
      <c r="U22" s="72"/>
      <c r="V22" s="76"/>
    </row>
    <row r="23" spans="1:25" ht="27.75" customHeight="1">
      <c r="A23" s="154"/>
      <c r="B23" s="155"/>
      <c r="C23" s="156"/>
      <c r="D23" s="157"/>
      <c r="E23" s="157"/>
      <c r="F23" s="158"/>
      <c r="G23" s="158"/>
      <c r="H23" s="159"/>
      <c r="I23" s="160"/>
      <c r="J23" s="73"/>
      <c r="K23" s="73"/>
      <c r="L23" s="73"/>
      <c r="M23" s="74"/>
      <c r="N23" s="71" t="str">
        <f t="shared" si="0"/>
        <v/>
      </c>
      <c r="O23" s="75"/>
      <c r="P23" s="72"/>
      <c r="Q23" s="72"/>
      <c r="R23" s="72"/>
      <c r="S23" s="72"/>
      <c r="T23" s="72"/>
      <c r="U23" s="72"/>
      <c r="V23" s="76"/>
    </row>
    <row r="24" spans="1:25" ht="27.75" customHeight="1">
      <c r="A24" s="154"/>
      <c r="B24" s="155"/>
      <c r="C24" s="156"/>
      <c r="D24" s="157"/>
      <c r="E24" s="157"/>
      <c r="F24" s="158"/>
      <c r="G24" s="158"/>
      <c r="H24" s="159"/>
      <c r="I24" s="159"/>
      <c r="J24" s="73"/>
      <c r="K24" s="73"/>
      <c r="L24" s="73"/>
      <c r="M24" s="74"/>
      <c r="N24" s="71" t="str">
        <f t="shared" si="0"/>
        <v/>
      </c>
      <c r="O24" s="75"/>
      <c r="P24" s="72"/>
      <c r="Q24" s="72"/>
      <c r="R24" s="72"/>
      <c r="S24" s="72"/>
      <c r="T24" s="72"/>
      <c r="U24" s="72"/>
      <c r="V24" s="76"/>
    </row>
    <row r="25" spans="1:25" ht="27.75" customHeight="1">
      <c r="A25" s="162"/>
      <c r="B25" s="163"/>
      <c r="C25" s="164"/>
      <c r="D25" s="165"/>
      <c r="E25" s="165"/>
      <c r="F25" s="166"/>
      <c r="G25" s="166"/>
      <c r="H25" s="167"/>
      <c r="I25" s="168"/>
      <c r="J25" s="77"/>
      <c r="K25" s="77"/>
      <c r="L25" s="77"/>
      <c r="M25" s="78"/>
      <c r="N25" s="71" t="str">
        <f t="shared" si="0"/>
        <v/>
      </c>
      <c r="O25" s="72"/>
      <c r="P25" s="72"/>
      <c r="Q25" s="72"/>
      <c r="R25" s="72"/>
      <c r="S25" s="72"/>
      <c r="T25" s="72"/>
      <c r="U25" s="72"/>
      <c r="V25" s="79"/>
      <c r="W25" s="72"/>
      <c r="X25" s="72"/>
      <c r="Y25" s="72"/>
    </row>
    <row r="26" spans="1:25" ht="27.75" customHeight="1">
      <c r="A26" s="80" t="s">
        <v>58</v>
      </c>
      <c r="B26" s="81"/>
      <c r="C26" s="96"/>
      <c r="D26" s="82"/>
      <c r="E26" s="82">
        <f>SUM(E6:E25)</f>
        <v>0</v>
      </c>
      <c r="F26" s="83"/>
      <c r="G26" s="83"/>
      <c r="H26" s="83"/>
      <c r="I26" s="83"/>
      <c r="J26" s="83"/>
      <c r="K26" s="83"/>
      <c r="L26" s="83"/>
      <c r="M26" s="84"/>
      <c r="N26" s="71" t="str">
        <f t="shared" si="0"/>
        <v/>
      </c>
      <c r="O26" s="75"/>
      <c r="P26" s="72"/>
      <c r="Q26" s="72"/>
      <c r="R26" s="72"/>
      <c r="S26" s="72"/>
      <c r="T26" s="72"/>
      <c r="U26" s="72"/>
      <c r="V26" s="79"/>
      <c r="W26" s="72"/>
      <c r="X26" s="72"/>
      <c r="Y26" s="72"/>
    </row>
    <row r="27" spans="1:25" ht="27.75" customHeight="1">
      <c r="A27" s="169"/>
      <c r="B27" s="170"/>
      <c r="C27" s="171"/>
      <c r="D27" s="172"/>
      <c r="E27" s="172"/>
      <c r="F27" s="173"/>
      <c r="G27" s="173"/>
      <c r="H27" s="174"/>
      <c r="I27" s="175"/>
      <c r="J27" s="85"/>
      <c r="K27" s="85"/>
      <c r="L27" s="85"/>
      <c r="M27" s="86"/>
      <c r="N27" s="71" t="str">
        <f t="shared" si="0"/>
        <v/>
      </c>
      <c r="O27" s="72"/>
      <c r="P27" s="72"/>
      <c r="Q27" s="72"/>
      <c r="R27" s="72"/>
      <c r="S27" s="72"/>
      <c r="T27" s="72"/>
      <c r="U27" s="72"/>
      <c r="V27" s="72"/>
    </row>
    <row r="28" spans="1:25" ht="27.75" customHeight="1">
      <c r="A28" s="154"/>
      <c r="B28" s="155"/>
      <c r="C28" s="156"/>
      <c r="D28" s="157"/>
      <c r="E28" s="157"/>
      <c r="F28" s="158"/>
      <c r="G28" s="158"/>
      <c r="H28" s="159"/>
      <c r="I28" s="160"/>
      <c r="J28" s="73"/>
      <c r="K28" s="73"/>
      <c r="L28" s="73"/>
      <c r="M28" s="74"/>
      <c r="N28" s="71" t="str">
        <f t="shared" si="0"/>
        <v/>
      </c>
      <c r="O28" s="72"/>
      <c r="P28" s="72"/>
      <c r="Q28" s="72"/>
      <c r="R28" s="72"/>
      <c r="S28" s="72"/>
      <c r="T28" s="72"/>
      <c r="U28" s="72"/>
      <c r="V28" s="72"/>
    </row>
    <row r="29" spans="1:25" ht="27.75" customHeight="1">
      <c r="A29" s="154"/>
      <c r="B29" s="155"/>
      <c r="C29" s="156"/>
      <c r="D29" s="157"/>
      <c r="E29" s="157"/>
      <c r="F29" s="158"/>
      <c r="G29" s="158"/>
      <c r="H29" s="159"/>
      <c r="I29" s="160"/>
      <c r="J29" s="73"/>
      <c r="K29" s="73"/>
      <c r="L29" s="73"/>
      <c r="M29" s="74"/>
      <c r="N29" s="71" t="str">
        <f t="shared" si="0"/>
        <v/>
      </c>
      <c r="O29" s="72"/>
      <c r="P29" s="72"/>
      <c r="Q29" s="72"/>
      <c r="R29" s="72"/>
      <c r="S29" s="72"/>
      <c r="T29" s="72"/>
      <c r="U29" s="72"/>
      <c r="V29" s="72"/>
    </row>
    <row r="30" spans="1:25" ht="27.75" customHeight="1">
      <c r="A30" s="154"/>
      <c r="B30" s="155"/>
      <c r="C30" s="156"/>
      <c r="D30" s="157"/>
      <c r="E30" s="157"/>
      <c r="F30" s="158"/>
      <c r="G30" s="158"/>
      <c r="H30" s="159"/>
      <c r="I30" s="160"/>
      <c r="J30" s="73"/>
      <c r="K30" s="73"/>
      <c r="L30" s="73"/>
      <c r="M30" s="74"/>
      <c r="N30" s="71" t="str">
        <f t="shared" si="0"/>
        <v/>
      </c>
      <c r="O30" s="72"/>
      <c r="P30" s="72"/>
      <c r="Q30" s="72"/>
      <c r="R30" s="72"/>
      <c r="S30" s="72"/>
      <c r="T30" s="72"/>
      <c r="U30" s="72"/>
      <c r="V30" s="72"/>
    </row>
    <row r="31" spans="1:25" ht="27.75" customHeight="1">
      <c r="A31" s="154"/>
      <c r="B31" s="155"/>
      <c r="C31" s="156"/>
      <c r="D31" s="157"/>
      <c r="E31" s="157"/>
      <c r="F31" s="158"/>
      <c r="G31" s="158"/>
      <c r="H31" s="159"/>
      <c r="I31" s="160"/>
      <c r="J31" s="73"/>
      <c r="K31" s="73"/>
      <c r="L31" s="73"/>
      <c r="M31" s="74"/>
      <c r="N31" s="71" t="str">
        <f t="shared" si="0"/>
        <v/>
      </c>
      <c r="O31" s="72"/>
      <c r="P31" s="72"/>
      <c r="Q31" s="72"/>
      <c r="R31" s="72"/>
      <c r="S31" s="72"/>
      <c r="T31" s="72"/>
      <c r="U31" s="72"/>
      <c r="V31" s="72"/>
    </row>
    <row r="32" spans="1:25" ht="27.75" customHeight="1">
      <c r="A32" s="87" t="str">
        <f>IF(ISBLANK(C32)," ",27-COUNTBLANK($C$6:C32))</f>
        <v xml:space="preserve"> </v>
      </c>
      <c r="B32" s="88"/>
      <c r="C32" s="88"/>
      <c r="D32" s="89"/>
      <c r="E32" s="89"/>
      <c r="F32" s="73"/>
      <c r="G32" s="73"/>
      <c r="H32" s="73"/>
      <c r="I32" s="73"/>
      <c r="J32" s="73"/>
      <c r="K32" s="73"/>
      <c r="L32" s="73"/>
      <c r="M32" s="74"/>
      <c r="N32" s="71" t="str">
        <f t="shared" si="0"/>
        <v/>
      </c>
      <c r="O32" s="72"/>
      <c r="P32" s="72"/>
      <c r="Q32" s="72"/>
      <c r="R32" s="72"/>
      <c r="S32" s="72"/>
      <c r="T32" s="72"/>
      <c r="U32" s="72"/>
      <c r="V32" s="72"/>
    </row>
    <row r="33" spans="1:25" ht="27.75" customHeight="1">
      <c r="A33" s="87" t="str">
        <f>IF(ISBLANK(C33)," ",28-COUNTBLANK($C$6:C33))</f>
        <v xml:space="preserve"> </v>
      </c>
      <c r="B33" s="88"/>
      <c r="C33" s="88"/>
      <c r="D33" s="89"/>
      <c r="E33" s="89"/>
      <c r="F33" s="73"/>
      <c r="G33" s="73"/>
      <c r="H33" s="73"/>
      <c r="I33" s="73"/>
      <c r="J33" s="73"/>
      <c r="K33" s="73"/>
      <c r="L33" s="73"/>
      <c r="M33" s="74"/>
      <c r="N33" s="71" t="str">
        <f t="shared" si="0"/>
        <v/>
      </c>
      <c r="O33" s="72"/>
      <c r="P33" s="72"/>
      <c r="Q33" s="72"/>
      <c r="R33" s="72"/>
      <c r="S33" s="72"/>
      <c r="T33" s="72"/>
      <c r="U33" s="72"/>
      <c r="V33" s="72"/>
    </row>
    <row r="34" spans="1:25" ht="27.75" customHeight="1">
      <c r="A34" s="87" t="str">
        <f>IF(ISBLANK(C34)," ",29-COUNTBLANK($C$6:C34))</f>
        <v xml:space="preserve"> </v>
      </c>
      <c r="B34" s="88"/>
      <c r="C34" s="88"/>
      <c r="D34" s="89"/>
      <c r="E34" s="89"/>
      <c r="F34" s="73"/>
      <c r="G34" s="73"/>
      <c r="H34" s="73"/>
      <c r="I34" s="73"/>
      <c r="J34" s="73"/>
      <c r="K34" s="73"/>
      <c r="L34" s="73"/>
      <c r="M34" s="74"/>
      <c r="N34" s="71" t="str">
        <f t="shared" si="0"/>
        <v/>
      </c>
      <c r="O34" s="72"/>
      <c r="P34" s="72"/>
      <c r="Q34" s="72"/>
      <c r="R34" s="72"/>
      <c r="S34" s="72"/>
      <c r="T34" s="72"/>
      <c r="U34" s="72"/>
      <c r="V34" s="72"/>
    </row>
    <row r="35" spans="1:25" ht="27.75" customHeight="1">
      <c r="A35" s="87" t="str">
        <f>IF(ISBLANK(C35)," ",30-COUNTBLANK($C$6:C35))</f>
        <v xml:space="preserve"> </v>
      </c>
      <c r="B35" s="88"/>
      <c r="C35" s="88"/>
      <c r="D35" s="89"/>
      <c r="E35" s="89"/>
      <c r="F35" s="73"/>
      <c r="G35" s="73"/>
      <c r="H35" s="73"/>
      <c r="I35" s="73"/>
      <c r="J35" s="73"/>
      <c r="K35" s="73"/>
      <c r="L35" s="73"/>
      <c r="M35" s="74"/>
      <c r="N35" s="71" t="str">
        <f t="shared" si="0"/>
        <v/>
      </c>
      <c r="O35" s="72"/>
      <c r="P35" s="72"/>
      <c r="Q35" s="72"/>
      <c r="R35" s="72"/>
      <c r="S35" s="72"/>
      <c r="T35" s="72"/>
      <c r="U35" s="72"/>
      <c r="V35" s="72"/>
    </row>
    <row r="36" spans="1:25" ht="27.75" customHeight="1">
      <c r="A36" s="87" t="str">
        <f>IF(ISBLANK(C36)," ",31-COUNTBLANK($C$6:C36))</f>
        <v xml:space="preserve"> </v>
      </c>
      <c r="B36" s="88"/>
      <c r="C36" s="88"/>
      <c r="D36" s="89"/>
      <c r="E36" s="89"/>
      <c r="F36" s="73"/>
      <c r="G36" s="73"/>
      <c r="H36" s="73"/>
      <c r="I36" s="73"/>
      <c r="J36" s="73"/>
      <c r="K36" s="73"/>
      <c r="L36" s="73"/>
      <c r="M36" s="74"/>
      <c r="N36" s="71" t="str">
        <f t="shared" si="0"/>
        <v/>
      </c>
      <c r="O36" s="72"/>
      <c r="P36" s="72"/>
      <c r="Q36" s="72"/>
      <c r="R36" s="72"/>
      <c r="S36" s="72"/>
      <c r="T36" s="72"/>
      <c r="U36" s="72"/>
      <c r="V36" s="72"/>
    </row>
    <row r="37" spans="1:25" ht="27.75" customHeight="1">
      <c r="A37" s="87" t="str">
        <f>IF(ISBLANK(C37)," ",32-COUNTBLANK($C$6:C37))</f>
        <v xml:space="preserve"> </v>
      </c>
      <c r="B37" s="88"/>
      <c r="C37" s="88"/>
      <c r="D37" s="89"/>
      <c r="E37" s="89"/>
      <c r="F37" s="73"/>
      <c r="G37" s="73"/>
      <c r="H37" s="73"/>
      <c r="I37" s="73"/>
      <c r="J37" s="73"/>
      <c r="K37" s="73"/>
      <c r="L37" s="73"/>
      <c r="M37" s="74"/>
      <c r="N37" s="71" t="str">
        <f t="shared" si="0"/>
        <v/>
      </c>
      <c r="O37" s="72"/>
      <c r="P37" s="72"/>
      <c r="Q37" s="72"/>
      <c r="R37" s="72"/>
      <c r="S37" s="72"/>
      <c r="T37" s="72"/>
      <c r="U37" s="72"/>
      <c r="V37" s="72"/>
    </row>
    <row r="38" spans="1:25" ht="27.75" customHeight="1">
      <c r="A38" s="87" t="str">
        <f>IF(ISBLANK(C38)," ",33-COUNTBLANK($C$6:C38))</f>
        <v xml:space="preserve"> </v>
      </c>
      <c r="B38" s="88"/>
      <c r="C38" s="88"/>
      <c r="D38" s="89"/>
      <c r="E38" s="89"/>
      <c r="F38" s="73"/>
      <c r="G38" s="73"/>
      <c r="H38" s="73"/>
      <c r="I38" s="73"/>
      <c r="J38" s="73"/>
      <c r="K38" s="73"/>
      <c r="L38" s="73"/>
      <c r="M38" s="74"/>
      <c r="N38" s="71" t="str">
        <f t="shared" si="0"/>
        <v/>
      </c>
      <c r="O38" s="72"/>
      <c r="P38" s="72"/>
      <c r="Q38" s="72"/>
      <c r="R38" s="72"/>
      <c r="S38" s="72"/>
      <c r="T38" s="72"/>
      <c r="U38" s="72"/>
      <c r="V38" s="72"/>
    </row>
    <row r="39" spans="1:25" ht="27.75" customHeight="1">
      <c r="A39" s="87" t="str">
        <f>IF(ISBLANK(C39)," ",34-COUNTBLANK($C$6:C39))</f>
        <v xml:space="preserve"> </v>
      </c>
      <c r="B39" s="88"/>
      <c r="C39" s="88"/>
      <c r="D39" s="89"/>
      <c r="E39" s="89"/>
      <c r="F39" s="73"/>
      <c r="G39" s="73"/>
      <c r="H39" s="73"/>
      <c r="I39" s="73"/>
      <c r="J39" s="73"/>
      <c r="K39" s="73"/>
      <c r="L39" s="73"/>
      <c r="M39" s="74"/>
      <c r="N39" s="71" t="str">
        <f t="shared" si="0"/>
        <v/>
      </c>
      <c r="O39" s="72"/>
      <c r="P39" s="72"/>
      <c r="Q39" s="72"/>
      <c r="R39" s="72"/>
      <c r="S39" s="72"/>
      <c r="T39" s="72"/>
      <c r="U39" s="72"/>
      <c r="V39" s="72"/>
    </row>
    <row r="40" spans="1:25" ht="27.75" customHeight="1">
      <c r="A40" s="87" t="str">
        <f>IF(ISBLANK(C40)," ",35-COUNTBLANK($C$6:C40))</f>
        <v xml:space="preserve"> </v>
      </c>
      <c r="B40" s="88"/>
      <c r="C40" s="88"/>
      <c r="D40" s="89"/>
      <c r="E40" s="89"/>
      <c r="F40" s="73"/>
      <c r="G40" s="73"/>
      <c r="H40" s="73"/>
      <c r="I40" s="73"/>
      <c r="J40" s="73"/>
      <c r="K40" s="73"/>
      <c r="L40" s="73"/>
      <c r="M40" s="74"/>
      <c r="N40" s="71" t="str">
        <f t="shared" si="0"/>
        <v/>
      </c>
      <c r="O40" s="72"/>
      <c r="P40" s="72"/>
      <c r="Q40" s="72"/>
      <c r="R40" s="72"/>
      <c r="S40" s="72"/>
      <c r="T40" s="72"/>
      <c r="U40" s="72"/>
      <c r="V40" s="72"/>
    </row>
    <row r="41" spans="1:25" ht="27.75" customHeight="1">
      <c r="A41" s="87" t="str">
        <f>IF(ISBLANK(C41)," ",36-COUNTBLANK($C$6:C41))</f>
        <v xml:space="preserve"> </v>
      </c>
      <c r="B41" s="88"/>
      <c r="C41" s="88"/>
      <c r="D41" s="89"/>
      <c r="E41" s="89"/>
      <c r="F41" s="73"/>
      <c r="G41" s="73"/>
      <c r="H41" s="73"/>
      <c r="I41" s="73"/>
      <c r="J41" s="73"/>
      <c r="K41" s="73"/>
      <c r="L41" s="73"/>
      <c r="M41" s="74"/>
      <c r="N41" s="71" t="str">
        <f t="shared" si="0"/>
        <v/>
      </c>
      <c r="O41" s="72"/>
      <c r="P41" s="72"/>
      <c r="Q41" s="72"/>
      <c r="R41" s="72"/>
      <c r="S41" s="72"/>
      <c r="T41" s="72"/>
      <c r="U41" s="72"/>
      <c r="V41" s="72"/>
    </row>
    <row r="42" spans="1:25" ht="27.75" customHeight="1">
      <c r="A42" s="87" t="str">
        <f>IF(ISBLANK(C42)," ",37-COUNTBLANK($C$6:C42))</f>
        <v xml:space="preserve"> </v>
      </c>
      <c r="B42" s="88"/>
      <c r="C42" s="88"/>
      <c r="D42" s="89"/>
      <c r="E42" s="89"/>
      <c r="F42" s="73"/>
      <c r="G42" s="73"/>
      <c r="H42" s="73"/>
      <c r="I42" s="73"/>
      <c r="J42" s="73"/>
      <c r="K42" s="73"/>
      <c r="L42" s="73"/>
      <c r="M42" s="74"/>
      <c r="N42" s="71" t="str">
        <f t="shared" si="0"/>
        <v/>
      </c>
      <c r="O42" s="75"/>
      <c r="P42" s="72"/>
      <c r="Q42" s="72"/>
      <c r="R42" s="72"/>
      <c r="S42" s="72"/>
      <c r="T42" s="72"/>
      <c r="U42" s="72"/>
      <c r="V42" s="76"/>
    </row>
    <row r="43" spans="1:25" ht="27.75" customHeight="1">
      <c r="A43" s="87" t="str">
        <f>IF(ISBLANK(C43)," ",38-COUNTBLANK($C$6:C43))</f>
        <v xml:space="preserve"> </v>
      </c>
      <c r="B43" s="88"/>
      <c r="C43" s="88"/>
      <c r="D43" s="89"/>
      <c r="E43" s="89"/>
      <c r="F43" s="73"/>
      <c r="G43" s="73"/>
      <c r="H43" s="73"/>
      <c r="I43" s="73"/>
      <c r="J43" s="73"/>
      <c r="K43" s="73"/>
      <c r="L43" s="73"/>
      <c r="M43" s="74"/>
      <c r="N43" s="71" t="str">
        <f t="shared" si="0"/>
        <v/>
      </c>
      <c r="O43" s="75"/>
      <c r="P43" s="72"/>
      <c r="Q43" s="72"/>
      <c r="R43" s="72"/>
      <c r="S43" s="72"/>
      <c r="T43" s="72"/>
      <c r="U43" s="72"/>
      <c r="V43" s="76"/>
    </row>
    <row r="44" spans="1:25" ht="27.75" customHeight="1">
      <c r="A44" s="87" t="str">
        <f>IF(ISBLANK(C44)," ",39-COUNTBLANK($C$6:C44))</f>
        <v xml:space="preserve"> </v>
      </c>
      <c r="B44" s="88"/>
      <c r="C44" s="88"/>
      <c r="D44" s="89"/>
      <c r="E44" s="89"/>
      <c r="F44" s="73"/>
      <c r="G44" s="73"/>
      <c r="H44" s="73"/>
      <c r="I44" s="73"/>
      <c r="J44" s="73"/>
      <c r="K44" s="73"/>
      <c r="L44" s="73"/>
      <c r="M44" s="74"/>
      <c r="N44" s="71" t="str">
        <f t="shared" si="0"/>
        <v/>
      </c>
      <c r="O44" s="75"/>
      <c r="P44" s="72"/>
      <c r="Q44" s="72"/>
      <c r="R44" s="72"/>
      <c r="S44" s="72"/>
      <c r="T44" s="72"/>
      <c r="U44" s="72"/>
      <c r="V44" s="76"/>
    </row>
    <row r="45" spans="1:25" ht="27.75" customHeight="1">
      <c r="A45" s="87" t="str">
        <f>IF(ISBLANK(C45)," ",40-COUNTBLANK($C$6:C45))</f>
        <v xml:space="preserve"> </v>
      </c>
      <c r="B45" s="88"/>
      <c r="C45" s="88"/>
      <c r="D45" s="89"/>
      <c r="E45" s="89"/>
      <c r="F45" s="73"/>
      <c r="G45" s="73"/>
      <c r="H45" s="73"/>
      <c r="I45" s="73"/>
      <c r="J45" s="73"/>
      <c r="K45" s="73"/>
      <c r="L45" s="73"/>
      <c r="M45" s="74"/>
      <c r="N45" s="71" t="str">
        <f t="shared" si="0"/>
        <v/>
      </c>
      <c r="O45" s="75"/>
      <c r="P45" s="72"/>
      <c r="Q45" s="72"/>
      <c r="R45" s="72"/>
      <c r="S45" s="72"/>
      <c r="T45" s="72"/>
      <c r="U45" s="72"/>
      <c r="V45" s="76"/>
    </row>
    <row r="46" spans="1:25" ht="27.75" customHeight="1">
      <c r="A46" s="90" t="str">
        <f>IF(ISBLANK(C46)," ",41-COUNTBLANK($C$6:C46))</f>
        <v xml:space="preserve"> </v>
      </c>
      <c r="B46" s="91"/>
      <c r="C46" s="91"/>
      <c r="D46" s="92"/>
      <c r="E46" s="92"/>
      <c r="F46" s="77"/>
      <c r="G46" s="77"/>
      <c r="H46" s="77"/>
      <c r="I46" s="77"/>
      <c r="J46" s="77"/>
      <c r="K46" s="77"/>
      <c r="L46" s="77"/>
      <c r="M46" s="78"/>
      <c r="N46" s="71" t="str">
        <f t="shared" si="0"/>
        <v/>
      </c>
      <c r="O46" s="72"/>
      <c r="P46" s="72"/>
      <c r="Q46" s="72"/>
      <c r="R46" s="72"/>
      <c r="S46" s="72"/>
      <c r="T46" s="72"/>
      <c r="U46" s="72"/>
      <c r="V46" s="79"/>
      <c r="W46" s="72"/>
      <c r="X46" s="72"/>
      <c r="Y46" s="72"/>
    </row>
    <row r="47" spans="1:25" ht="27.75" customHeight="1">
      <c r="A47" s="80" t="s">
        <v>58</v>
      </c>
      <c r="B47" s="81"/>
      <c r="C47" s="96"/>
      <c r="D47" s="82"/>
      <c r="E47" s="82">
        <f>SUM(E27:E46)</f>
        <v>0</v>
      </c>
      <c r="F47" s="83"/>
      <c r="G47" s="83"/>
      <c r="H47" s="83"/>
      <c r="I47" s="83"/>
      <c r="J47" s="83"/>
      <c r="K47" s="83"/>
      <c r="L47" s="83"/>
      <c r="M47" s="84"/>
      <c r="N47" s="71" t="str">
        <f t="shared" si="0"/>
        <v/>
      </c>
      <c r="O47" s="75"/>
      <c r="P47" s="72"/>
      <c r="Q47" s="72"/>
      <c r="R47" s="72"/>
      <c r="S47" s="72"/>
      <c r="T47" s="72"/>
      <c r="U47" s="72"/>
      <c r="V47" s="79"/>
      <c r="W47" s="72"/>
      <c r="X47" s="72"/>
      <c r="Y47" s="72"/>
    </row>
    <row r="48" spans="1:25" ht="27.75" customHeight="1">
      <c r="A48" s="93" t="str">
        <f>IF(ISBLANK(C48)," ",43-COUNTBLANK($C$6:C48))</f>
        <v xml:space="preserve"> </v>
      </c>
      <c r="B48" s="94"/>
      <c r="C48" s="94"/>
      <c r="D48" s="95"/>
      <c r="E48" s="95"/>
      <c r="F48" s="85"/>
      <c r="G48" s="85"/>
      <c r="H48" s="85"/>
      <c r="I48" s="85"/>
      <c r="J48" s="85"/>
      <c r="K48" s="85"/>
      <c r="L48" s="85"/>
      <c r="M48" s="86"/>
      <c r="N48" s="71" t="str">
        <f t="shared" si="0"/>
        <v/>
      </c>
      <c r="O48" s="72"/>
      <c r="P48" s="72"/>
      <c r="Q48" s="72"/>
      <c r="R48" s="72"/>
      <c r="S48" s="72"/>
      <c r="T48" s="72"/>
      <c r="U48" s="72"/>
      <c r="V48" s="72"/>
    </row>
    <row r="49" spans="1:22" ht="27.75" customHeight="1">
      <c r="A49" s="87" t="str">
        <f>IF(ISBLANK(C49)," ",44-COUNTBLANK($C$6:C49))</f>
        <v xml:space="preserve"> </v>
      </c>
      <c r="B49" s="88"/>
      <c r="C49" s="88"/>
      <c r="D49" s="89"/>
      <c r="E49" s="89"/>
      <c r="F49" s="73"/>
      <c r="G49" s="73"/>
      <c r="H49" s="73"/>
      <c r="I49" s="73"/>
      <c r="J49" s="73"/>
      <c r="K49" s="73"/>
      <c r="L49" s="73"/>
      <c r="M49" s="74"/>
      <c r="N49" s="71" t="str">
        <f t="shared" si="0"/>
        <v/>
      </c>
      <c r="O49" s="72"/>
      <c r="P49" s="72"/>
      <c r="Q49" s="72"/>
      <c r="R49" s="72"/>
      <c r="S49" s="72"/>
      <c r="T49" s="72"/>
      <c r="U49" s="72"/>
      <c r="V49" s="72"/>
    </row>
    <row r="50" spans="1:22" ht="27.75" customHeight="1">
      <c r="A50" s="87" t="str">
        <f>IF(ISBLANK(C50)," ",45-COUNTBLANK($C$6:C50))</f>
        <v xml:space="preserve"> </v>
      </c>
      <c r="B50" s="88"/>
      <c r="C50" s="88"/>
      <c r="D50" s="89"/>
      <c r="E50" s="89"/>
      <c r="F50" s="73"/>
      <c r="G50" s="73"/>
      <c r="H50" s="73"/>
      <c r="I50" s="73"/>
      <c r="J50" s="73"/>
      <c r="K50" s="73"/>
      <c r="L50" s="73"/>
      <c r="M50" s="74"/>
      <c r="N50" s="71" t="str">
        <f t="shared" si="0"/>
        <v/>
      </c>
      <c r="O50" s="72"/>
      <c r="P50" s="72"/>
      <c r="Q50" s="72"/>
      <c r="R50" s="72"/>
      <c r="S50" s="72"/>
      <c r="T50" s="72"/>
      <c r="U50" s="72"/>
      <c r="V50" s="72"/>
    </row>
    <row r="51" spans="1:22" ht="27.75" customHeight="1">
      <c r="A51" s="87" t="str">
        <f>IF(ISBLANK(C51)," ",46-COUNTBLANK($C$6:C51))</f>
        <v xml:space="preserve"> </v>
      </c>
      <c r="B51" s="88"/>
      <c r="C51" s="88"/>
      <c r="D51" s="89"/>
      <c r="E51" s="89"/>
      <c r="F51" s="73"/>
      <c r="G51" s="73"/>
      <c r="H51" s="73"/>
      <c r="I51" s="73"/>
      <c r="J51" s="73"/>
      <c r="K51" s="73"/>
      <c r="L51" s="73"/>
      <c r="M51" s="74"/>
      <c r="N51" s="71" t="str">
        <f t="shared" si="0"/>
        <v/>
      </c>
      <c r="O51" s="72"/>
      <c r="P51" s="72"/>
      <c r="Q51" s="72"/>
      <c r="R51" s="72"/>
      <c r="S51" s="72"/>
      <c r="T51" s="72"/>
      <c r="U51" s="72"/>
      <c r="V51" s="72"/>
    </row>
    <row r="52" spans="1:22" ht="27.75" customHeight="1">
      <c r="A52" s="87" t="str">
        <f>IF(ISBLANK(C52)," ",47-COUNTBLANK($C$6:C52))</f>
        <v xml:space="preserve"> </v>
      </c>
      <c r="B52" s="88"/>
      <c r="C52" s="88"/>
      <c r="D52" s="89"/>
      <c r="E52" s="89"/>
      <c r="F52" s="73"/>
      <c r="G52" s="73"/>
      <c r="H52" s="73"/>
      <c r="I52" s="73"/>
      <c r="J52" s="73"/>
      <c r="K52" s="73"/>
      <c r="L52" s="73"/>
      <c r="M52" s="74"/>
      <c r="N52" s="71" t="str">
        <f t="shared" si="0"/>
        <v/>
      </c>
      <c r="O52" s="72"/>
      <c r="P52" s="72"/>
      <c r="Q52" s="72"/>
      <c r="R52" s="72"/>
      <c r="S52" s="72"/>
      <c r="T52" s="72"/>
      <c r="U52" s="72"/>
      <c r="V52" s="72"/>
    </row>
    <row r="53" spans="1:22" ht="27.75" customHeight="1">
      <c r="A53" s="87" t="str">
        <f>IF(ISBLANK(C53)," ",48-COUNTBLANK($C$6:C53))</f>
        <v xml:space="preserve"> </v>
      </c>
      <c r="B53" s="88"/>
      <c r="C53" s="88"/>
      <c r="D53" s="89"/>
      <c r="E53" s="89"/>
      <c r="F53" s="73"/>
      <c r="G53" s="73"/>
      <c r="H53" s="73"/>
      <c r="I53" s="73"/>
      <c r="J53" s="73"/>
      <c r="K53" s="73"/>
      <c r="L53" s="73"/>
      <c r="M53" s="74"/>
      <c r="N53" s="71" t="str">
        <f t="shared" si="0"/>
        <v/>
      </c>
      <c r="O53" s="72"/>
      <c r="P53" s="72"/>
      <c r="Q53" s="72"/>
      <c r="R53" s="72"/>
      <c r="S53" s="72"/>
      <c r="T53" s="72"/>
      <c r="U53" s="72"/>
      <c r="V53" s="72"/>
    </row>
    <row r="54" spans="1:22" ht="27.75" customHeight="1">
      <c r="A54" s="87" t="str">
        <f>IF(ISBLANK(C54)," ",49-COUNTBLANK($C$6:C54))</f>
        <v xml:space="preserve"> </v>
      </c>
      <c r="B54" s="88"/>
      <c r="C54" s="88"/>
      <c r="D54" s="89"/>
      <c r="E54" s="89"/>
      <c r="F54" s="73"/>
      <c r="G54" s="73"/>
      <c r="H54" s="73"/>
      <c r="I54" s="73"/>
      <c r="J54" s="73"/>
      <c r="K54" s="73"/>
      <c r="L54" s="73"/>
      <c r="M54" s="74"/>
      <c r="N54" s="71" t="str">
        <f t="shared" si="0"/>
        <v/>
      </c>
      <c r="O54" s="72"/>
      <c r="P54" s="72"/>
      <c r="Q54" s="72"/>
      <c r="R54" s="72"/>
      <c r="S54" s="72"/>
      <c r="T54" s="72"/>
      <c r="U54" s="72"/>
      <c r="V54" s="72"/>
    </row>
    <row r="55" spans="1:22" ht="27.75" customHeight="1">
      <c r="A55" s="87" t="str">
        <f>IF(ISBLANK(C55)," ",50-COUNTBLANK($C$6:C55))</f>
        <v xml:space="preserve"> </v>
      </c>
      <c r="B55" s="88"/>
      <c r="C55" s="88"/>
      <c r="D55" s="89"/>
      <c r="E55" s="89"/>
      <c r="F55" s="73"/>
      <c r="G55" s="73"/>
      <c r="H55" s="73"/>
      <c r="I55" s="73"/>
      <c r="J55" s="73"/>
      <c r="K55" s="73"/>
      <c r="L55" s="73"/>
      <c r="M55" s="74"/>
      <c r="N55" s="71" t="str">
        <f t="shared" si="0"/>
        <v/>
      </c>
      <c r="O55" s="72"/>
      <c r="P55" s="72"/>
      <c r="Q55" s="72"/>
      <c r="R55" s="72"/>
      <c r="S55" s="72"/>
      <c r="T55" s="72"/>
      <c r="U55" s="72"/>
      <c r="V55" s="72"/>
    </row>
    <row r="56" spans="1:22" ht="27.75" customHeight="1">
      <c r="A56" s="87" t="str">
        <f>IF(ISBLANK(C56)," ",51-COUNTBLANK($C$6:C56))</f>
        <v xml:space="preserve"> </v>
      </c>
      <c r="B56" s="88"/>
      <c r="C56" s="88"/>
      <c r="D56" s="89"/>
      <c r="E56" s="89"/>
      <c r="F56" s="73"/>
      <c r="G56" s="73"/>
      <c r="H56" s="73"/>
      <c r="I56" s="73"/>
      <c r="J56" s="73"/>
      <c r="K56" s="73"/>
      <c r="L56" s="73"/>
      <c r="M56" s="74"/>
      <c r="N56" s="71" t="str">
        <f t="shared" si="0"/>
        <v/>
      </c>
      <c r="O56" s="72"/>
      <c r="P56" s="72"/>
      <c r="Q56" s="72"/>
      <c r="R56" s="72"/>
      <c r="S56" s="72"/>
      <c r="T56" s="72"/>
      <c r="U56" s="72"/>
      <c r="V56" s="72"/>
    </row>
    <row r="57" spans="1:22" ht="27.75" customHeight="1">
      <c r="A57" s="87" t="str">
        <f>IF(ISBLANK(C57)," ",52-COUNTBLANK($C$6:C57))</f>
        <v xml:space="preserve"> </v>
      </c>
      <c r="B57" s="88"/>
      <c r="C57" s="88"/>
      <c r="D57" s="89"/>
      <c r="E57" s="89"/>
      <c r="F57" s="73"/>
      <c r="G57" s="73"/>
      <c r="H57" s="73"/>
      <c r="I57" s="73"/>
      <c r="J57" s="73"/>
      <c r="K57" s="73"/>
      <c r="L57" s="73"/>
      <c r="M57" s="74"/>
      <c r="N57" s="71" t="str">
        <f t="shared" si="0"/>
        <v/>
      </c>
      <c r="O57" s="72"/>
      <c r="P57" s="72"/>
      <c r="Q57" s="72"/>
      <c r="R57" s="72"/>
      <c r="S57" s="72"/>
      <c r="T57" s="72"/>
      <c r="U57" s="72"/>
      <c r="V57" s="72"/>
    </row>
    <row r="58" spans="1:22" ht="27.75" customHeight="1">
      <c r="A58" s="87" t="str">
        <f>IF(ISBLANK(C58)," ",53-COUNTBLANK($C$6:C58))</f>
        <v xml:space="preserve"> </v>
      </c>
      <c r="B58" s="88"/>
      <c r="C58" s="88"/>
      <c r="D58" s="89"/>
      <c r="E58" s="89"/>
      <c r="F58" s="73"/>
      <c r="G58" s="73"/>
      <c r="H58" s="73"/>
      <c r="I58" s="73"/>
      <c r="J58" s="73"/>
      <c r="K58" s="73"/>
      <c r="L58" s="73"/>
      <c r="M58" s="74"/>
      <c r="N58" s="71" t="str">
        <f t="shared" si="0"/>
        <v/>
      </c>
      <c r="O58" s="72"/>
      <c r="P58" s="72"/>
      <c r="Q58" s="72"/>
      <c r="R58" s="72"/>
      <c r="S58" s="72"/>
      <c r="T58" s="72"/>
      <c r="U58" s="72"/>
      <c r="V58" s="72"/>
    </row>
    <row r="59" spans="1:22" ht="27.75" customHeight="1">
      <c r="A59" s="87" t="str">
        <f>IF(ISBLANK(C59)," ",54-COUNTBLANK($C$6:C59))</f>
        <v xml:space="preserve"> </v>
      </c>
      <c r="B59" s="88"/>
      <c r="C59" s="88"/>
      <c r="D59" s="89"/>
      <c r="E59" s="89"/>
      <c r="F59" s="73"/>
      <c r="G59" s="73"/>
      <c r="H59" s="73"/>
      <c r="I59" s="73"/>
      <c r="J59" s="73"/>
      <c r="K59" s="73"/>
      <c r="L59" s="73"/>
      <c r="M59" s="74"/>
      <c r="N59" s="71" t="str">
        <f t="shared" si="0"/>
        <v/>
      </c>
      <c r="O59" s="72"/>
      <c r="P59" s="72"/>
      <c r="Q59" s="72"/>
      <c r="R59" s="72"/>
      <c r="S59" s="72"/>
      <c r="T59" s="72"/>
      <c r="U59" s="72"/>
      <c r="V59" s="72"/>
    </row>
    <row r="60" spans="1:22" ht="27.75" customHeight="1">
      <c r="A60" s="87" t="str">
        <f>IF(ISBLANK(C60)," ",55-COUNTBLANK($C$6:C60))</f>
        <v xml:space="preserve"> </v>
      </c>
      <c r="B60" s="88"/>
      <c r="C60" s="88"/>
      <c r="D60" s="89"/>
      <c r="E60" s="89"/>
      <c r="F60" s="73"/>
      <c r="G60" s="73"/>
      <c r="H60" s="73"/>
      <c r="I60" s="73"/>
      <c r="J60" s="73"/>
      <c r="K60" s="73"/>
      <c r="L60" s="73"/>
      <c r="M60" s="74"/>
      <c r="N60" s="71" t="str">
        <f t="shared" si="0"/>
        <v/>
      </c>
      <c r="O60" s="72"/>
      <c r="P60" s="72"/>
      <c r="Q60" s="72"/>
      <c r="R60" s="72"/>
      <c r="S60" s="72"/>
      <c r="T60" s="72"/>
      <c r="U60" s="72"/>
      <c r="V60" s="72"/>
    </row>
    <row r="61" spans="1:22" ht="27.75" customHeight="1">
      <c r="A61" s="87" t="str">
        <f>IF(ISBLANK(C61)," ",56-COUNTBLANK($C$6:C61))</f>
        <v xml:space="preserve"> </v>
      </c>
      <c r="B61" s="88"/>
      <c r="C61" s="88"/>
      <c r="D61" s="89"/>
      <c r="E61" s="89"/>
      <c r="F61" s="73"/>
      <c r="G61" s="73"/>
      <c r="H61" s="73"/>
      <c r="I61" s="73"/>
      <c r="J61" s="73"/>
      <c r="K61" s="73"/>
      <c r="L61" s="73"/>
      <c r="M61" s="74"/>
      <c r="N61" s="71" t="str">
        <f t="shared" si="0"/>
        <v/>
      </c>
      <c r="O61" s="72"/>
      <c r="P61" s="72"/>
      <c r="Q61" s="72"/>
      <c r="R61" s="72"/>
      <c r="S61" s="72"/>
      <c r="T61" s="72"/>
      <c r="U61" s="72"/>
      <c r="V61" s="72"/>
    </row>
    <row r="62" spans="1:22" ht="27.75" customHeight="1">
      <c r="A62" s="87" t="str">
        <f>IF(ISBLANK(C62)," ",57-COUNTBLANK($C$6:C62))</f>
        <v xml:space="preserve"> </v>
      </c>
      <c r="B62" s="88"/>
      <c r="C62" s="88"/>
      <c r="D62" s="89"/>
      <c r="E62" s="89"/>
      <c r="F62" s="73"/>
      <c r="G62" s="73"/>
      <c r="H62" s="73"/>
      <c r="I62" s="73"/>
      <c r="J62" s="73"/>
      <c r="K62" s="73"/>
      <c r="L62" s="73"/>
      <c r="M62" s="74"/>
      <c r="N62" s="71" t="str">
        <f t="shared" si="0"/>
        <v/>
      </c>
      <c r="O62" s="72"/>
      <c r="P62" s="72"/>
      <c r="Q62" s="72"/>
      <c r="R62" s="72"/>
      <c r="S62" s="72"/>
      <c r="T62" s="72"/>
      <c r="U62" s="72"/>
      <c r="V62" s="72"/>
    </row>
    <row r="63" spans="1:22" ht="27.75" customHeight="1">
      <c r="A63" s="87" t="str">
        <f>IF(ISBLANK(C63)," ",58-COUNTBLANK($C$6:C63))</f>
        <v xml:space="preserve"> </v>
      </c>
      <c r="B63" s="88"/>
      <c r="C63" s="88"/>
      <c r="D63" s="89"/>
      <c r="E63" s="89"/>
      <c r="F63" s="73"/>
      <c r="G63" s="73"/>
      <c r="H63" s="73"/>
      <c r="I63" s="73"/>
      <c r="J63" s="73"/>
      <c r="K63" s="73"/>
      <c r="L63" s="73"/>
      <c r="M63" s="74"/>
      <c r="N63" s="71" t="str">
        <f t="shared" si="0"/>
        <v/>
      </c>
      <c r="O63" s="75"/>
      <c r="P63" s="72"/>
      <c r="Q63" s="72"/>
      <c r="R63" s="72"/>
      <c r="S63" s="72"/>
      <c r="T63" s="72"/>
      <c r="U63" s="72"/>
      <c r="V63" s="76"/>
    </row>
    <row r="64" spans="1:22" ht="27.75" customHeight="1">
      <c r="A64" s="87" t="str">
        <f>IF(ISBLANK(C64)," ",59-COUNTBLANK($C$6:C64))</f>
        <v xml:space="preserve"> </v>
      </c>
      <c r="B64" s="88"/>
      <c r="C64" s="88"/>
      <c r="D64" s="89"/>
      <c r="E64" s="89"/>
      <c r="F64" s="73"/>
      <c r="G64" s="73"/>
      <c r="H64" s="73"/>
      <c r="I64" s="73"/>
      <c r="J64" s="73"/>
      <c r="K64" s="73"/>
      <c r="L64" s="73"/>
      <c r="M64" s="74"/>
      <c r="N64" s="71" t="str">
        <f t="shared" si="0"/>
        <v/>
      </c>
      <c r="O64" s="75"/>
      <c r="P64" s="72"/>
      <c r="Q64" s="72"/>
      <c r="R64" s="72"/>
      <c r="S64" s="72"/>
      <c r="T64" s="72"/>
      <c r="U64" s="72"/>
      <c r="V64" s="76"/>
    </row>
    <row r="65" spans="1:25" ht="27.75" customHeight="1">
      <c r="A65" s="87" t="str">
        <f>IF(ISBLANK(C65)," ",60-COUNTBLANK($C$6:C65))</f>
        <v xml:space="preserve"> </v>
      </c>
      <c r="B65" s="88"/>
      <c r="C65" s="88"/>
      <c r="D65" s="89"/>
      <c r="E65" s="89"/>
      <c r="F65" s="73"/>
      <c r="G65" s="73"/>
      <c r="H65" s="73"/>
      <c r="I65" s="73"/>
      <c r="J65" s="73"/>
      <c r="K65" s="73"/>
      <c r="L65" s="73"/>
      <c r="M65" s="74"/>
      <c r="N65" s="71" t="str">
        <f t="shared" si="0"/>
        <v/>
      </c>
      <c r="O65" s="75"/>
      <c r="P65" s="72"/>
      <c r="Q65" s="72"/>
      <c r="R65" s="72"/>
      <c r="S65" s="72"/>
      <c r="T65" s="72"/>
      <c r="U65" s="72"/>
      <c r="V65" s="76"/>
    </row>
    <row r="66" spans="1:25" ht="27.75" customHeight="1">
      <c r="A66" s="87" t="str">
        <f>IF(ISBLANK(C66)," ",61-COUNTBLANK($C$6:C66))</f>
        <v xml:space="preserve"> </v>
      </c>
      <c r="B66" s="88"/>
      <c r="C66" s="88"/>
      <c r="D66" s="89"/>
      <c r="E66" s="89"/>
      <c r="F66" s="73"/>
      <c r="G66" s="73"/>
      <c r="H66" s="73"/>
      <c r="I66" s="73"/>
      <c r="J66" s="73"/>
      <c r="K66" s="73"/>
      <c r="L66" s="73"/>
      <c r="M66" s="74"/>
      <c r="N66" s="71" t="str">
        <f t="shared" si="0"/>
        <v/>
      </c>
      <c r="O66" s="75"/>
      <c r="P66" s="72"/>
      <c r="Q66" s="72"/>
      <c r="R66" s="72"/>
      <c r="S66" s="72"/>
      <c r="T66" s="72"/>
      <c r="U66" s="72"/>
      <c r="V66" s="76"/>
    </row>
    <row r="67" spans="1:25" ht="27.75" customHeight="1">
      <c r="A67" s="87" t="str">
        <f>IF(ISBLANK(C67)," ",62-COUNTBLANK($C$6:C67))</f>
        <v xml:space="preserve"> </v>
      </c>
      <c r="B67" s="88"/>
      <c r="C67" s="88"/>
      <c r="D67" s="89"/>
      <c r="E67" s="89"/>
      <c r="F67" s="73"/>
      <c r="G67" s="73"/>
      <c r="H67" s="73"/>
      <c r="I67" s="73"/>
      <c r="J67" s="73"/>
      <c r="K67" s="73"/>
      <c r="L67" s="73"/>
      <c r="M67" s="74"/>
      <c r="N67" s="71" t="str">
        <f t="shared" si="0"/>
        <v/>
      </c>
      <c r="O67" s="72"/>
      <c r="P67" s="72"/>
      <c r="Q67" s="72"/>
      <c r="R67" s="72"/>
      <c r="S67" s="72"/>
      <c r="T67" s="72"/>
      <c r="U67" s="72"/>
      <c r="V67" s="79"/>
      <c r="W67" s="72"/>
      <c r="X67" s="72"/>
      <c r="Y67" s="72"/>
    </row>
    <row r="68" spans="1:25" ht="27.75" customHeight="1">
      <c r="A68" s="80" t="s">
        <v>58</v>
      </c>
      <c r="B68" s="81"/>
      <c r="C68" s="96"/>
      <c r="D68" s="82"/>
      <c r="E68" s="82">
        <f>SUM(E48:E67)</f>
        <v>0</v>
      </c>
      <c r="F68" s="83"/>
      <c r="G68" s="83"/>
      <c r="H68" s="83"/>
      <c r="I68" s="83"/>
      <c r="J68" s="83"/>
      <c r="K68" s="83"/>
      <c r="L68" s="83"/>
      <c r="M68" s="84"/>
      <c r="N68" s="71" t="str">
        <f t="shared" si="0"/>
        <v/>
      </c>
      <c r="O68" s="75"/>
      <c r="P68" s="72"/>
      <c r="Q68" s="72"/>
      <c r="R68" s="72"/>
      <c r="S68" s="72"/>
      <c r="T68" s="72"/>
      <c r="U68" s="72"/>
      <c r="V68" s="79"/>
      <c r="W68" s="72"/>
      <c r="X68" s="72"/>
      <c r="Y68" s="72"/>
    </row>
    <row r="69" spans="1:25" ht="27.75" customHeight="1">
      <c r="A69" s="93" t="str">
        <f>IF(ISBLANK(C69)," ",64-COUNTBLANK($C$6:C69))</f>
        <v xml:space="preserve"> </v>
      </c>
      <c r="B69" s="94"/>
      <c r="C69" s="94"/>
      <c r="D69" s="95"/>
      <c r="E69" s="95"/>
      <c r="F69" s="85"/>
      <c r="G69" s="85"/>
      <c r="H69" s="85"/>
      <c r="I69" s="85"/>
      <c r="J69" s="85"/>
      <c r="K69" s="85"/>
      <c r="L69" s="85"/>
      <c r="M69" s="86"/>
      <c r="N69" s="71" t="str">
        <f t="shared" si="0"/>
        <v/>
      </c>
      <c r="O69" s="72"/>
      <c r="P69" s="72"/>
      <c r="Q69" s="72"/>
      <c r="R69" s="72"/>
      <c r="S69" s="72"/>
      <c r="T69" s="72"/>
      <c r="U69" s="72"/>
      <c r="V69" s="72"/>
    </row>
    <row r="70" spans="1:25" ht="27.75" customHeight="1">
      <c r="A70" s="87" t="str">
        <f>IF(ISBLANK(C70)," ",65-COUNTBLANK($C$6:C70))</f>
        <v xml:space="preserve"> </v>
      </c>
      <c r="B70" s="88"/>
      <c r="C70" s="88"/>
      <c r="D70" s="89"/>
      <c r="E70" s="89"/>
      <c r="F70" s="73"/>
      <c r="G70" s="73"/>
      <c r="H70" s="73"/>
      <c r="I70" s="73"/>
      <c r="J70" s="73"/>
      <c r="K70" s="73"/>
      <c r="L70" s="73"/>
      <c r="M70" s="74"/>
      <c r="N70" s="71" t="str">
        <f t="shared" ref="N70:N133" si="1">CONCATENATE(C70,H70)</f>
        <v/>
      </c>
      <c r="O70" s="72"/>
      <c r="P70" s="72"/>
      <c r="Q70" s="72"/>
      <c r="R70" s="72"/>
      <c r="S70" s="72"/>
      <c r="T70" s="72"/>
      <c r="U70" s="72"/>
      <c r="V70" s="72"/>
    </row>
    <row r="71" spans="1:25" ht="27.75" customHeight="1">
      <c r="A71" s="87" t="str">
        <f>IF(ISBLANK(C71)," ",66-COUNTBLANK($C$6:C71))</f>
        <v xml:space="preserve"> </v>
      </c>
      <c r="B71" s="88"/>
      <c r="C71" s="88"/>
      <c r="D71" s="89"/>
      <c r="E71" s="89"/>
      <c r="F71" s="73"/>
      <c r="G71" s="73"/>
      <c r="H71" s="73"/>
      <c r="I71" s="73"/>
      <c r="J71" s="73"/>
      <c r="K71" s="73"/>
      <c r="L71" s="73"/>
      <c r="M71" s="74"/>
      <c r="N71" s="71" t="str">
        <f t="shared" si="1"/>
        <v/>
      </c>
      <c r="O71" s="72"/>
      <c r="P71" s="72"/>
      <c r="Q71" s="72"/>
      <c r="R71" s="72"/>
      <c r="S71" s="72"/>
      <c r="T71" s="72"/>
      <c r="U71" s="72"/>
      <c r="V71" s="72"/>
    </row>
    <row r="72" spans="1:25" ht="27.75" customHeight="1">
      <c r="A72" s="87" t="str">
        <f>IF(ISBLANK(C72)," ",67-COUNTBLANK($C$6:C72))</f>
        <v xml:space="preserve"> </v>
      </c>
      <c r="B72" s="88"/>
      <c r="C72" s="88"/>
      <c r="D72" s="89"/>
      <c r="E72" s="89"/>
      <c r="F72" s="73"/>
      <c r="G72" s="73"/>
      <c r="H72" s="73"/>
      <c r="I72" s="73"/>
      <c r="J72" s="73"/>
      <c r="K72" s="73"/>
      <c r="L72" s="73"/>
      <c r="M72" s="74"/>
      <c r="N72" s="71" t="str">
        <f t="shared" si="1"/>
        <v/>
      </c>
      <c r="O72" s="72"/>
      <c r="P72" s="72"/>
      <c r="Q72" s="72"/>
      <c r="R72" s="72"/>
      <c r="S72" s="72"/>
      <c r="T72" s="72"/>
      <c r="U72" s="72"/>
      <c r="V72" s="72"/>
    </row>
    <row r="73" spans="1:25" ht="27.75" customHeight="1">
      <c r="A73" s="87" t="str">
        <f>IF(ISBLANK(C73)," ",68-COUNTBLANK($C$6:C73))</f>
        <v xml:space="preserve"> </v>
      </c>
      <c r="B73" s="88"/>
      <c r="C73" s="88"/>
      <c r="D73" s="89"/>
      <c r="E73" s="89"/>
      <c r="F73" s="73"/>
      <c r="G73" s="73"/>
      <c r="H73" s="73"/>
      <c r="I73" s="73"/>
      <c r="J73" s="73"/>
      <c r="K73" s="73"/>
      <c r="L73" s="73"/>
      <c r="M73" s="74"/>
      <c r="N73" s="71" t="str">
        <f t="shared" si="1"/>
        <v/>
      </c>
      <c r="O73" s="72"/>
      <c r="P73" s="72"/>
      <c r="Q73" s="72"/>
      <c r="R73" s="72"/>
      <c r="S73" s="72"/>
      <c r="T73" s="72"/>
      <c r="U73" s="72"/>
      <c r="V73" s="72"/>
    </row>
    <row r="74" spans="1:25" ht="27.75" customHeight="1">
      <c r="A74" s="87" t="str">
        <f>IF(ISBLANK(C74)," ",69-COUNTBLANK($C$6:C74))</f>
        <v xml:space="preserve"> </v>
      </c>
      <c r="B74" s="88"/>
      <c r="C74" s="88"/>
      <c r="D74" s="89"/>
      <c r="E74" s="89"/>
      <c r="F74" s="73"/>
      <c r="G74" s="73"/>
      <c r="H74" s="73"/>
      <c r="I74" s="73"/>
      <c r="J74" s="73"/>
      <c r="K74" s="73"/>
      <c r="L74" s="73"/>
      <c r="M74" s="74"/>
      <c r="N74" s="71" t="str">
        <f t="shared" si="1"/>
        <v/>
      </c>
      <c r="O74" s="72"/>
      <c r="P74" s="72"/>
      <c r="Q74" s="72"/>
      <c r="R74" s="72"/>
      <c r="S74" s="72"/>
      <c r="T74" s="72"/>
      <c r="U74" s="72"/>
      <c r="V74" s="72"/>
    </row>
    <row r="75" spans="1:25" ht="27.75" customHeight="1">
      <c r="A75" s="87" t="str">
        <f>IF(ISBLANK(C75)," ",70-COUNTBLANK($C$6:C75))</f>
        <v xml:space="preserve"> </v>
      </c>
      <c r="B75" s="88"/>
      <c r="C75" s="88"/>
      <c r="D75" s="89"/>
      <c r="E75" s="89"/>
      <c r="F75" s="73"/>
      <c r="G75" s="73"/>
      <c r="H75" s="73"/>
      <c r="I75" s="73"/>
      <c r="J75" s="73"/>
      <c r="K75" s="73"/>
      <c r="L75" s="73"/>
      <c r="M75" s="74"/>
      <c r="N75" s="71" t="str">
        <f t="shared" si="1"/>
        <v/>
      </c>
      <c r="O75" s="72"/>
      <c r="P75" s="72"/>
      <c r="Q75" s="72"/>
      <c r="R75" s="72"/>
      <c r="S75" s="72"/>
      <c r="T75" s="72"/>
      <c r="U75" s="72"/>
      <c r="V75" s="72"/>
    </row>
    <row r="76" spans="1:25" ht="27.75" customHeight="1">
      <c r="A76" s="87" t="str">
        <f>IF(ISBLANK(C76)," ",71-COUNTBLANK($C$6:C76))</f>
        <v xml:space="preserve"> </v>
      </c>
      <c r="B76" s="88"/>
      <c r="C76" s="88"/>
      <c r="D76" s="89"/>
      <c r="E76" s="89"/>
      <c r="F76" s="73"/>
      <c r="G76" s="73"/>
      <c r="H76" s="73"/>
      <c r="I76" s="73"/>
      <c r="J76" s="73"/>
      <c r="K76" s="73"/>
      <c r="L76" s="73"/>
      <c r="M76" s="74"/>
      <c r="N76" s="71" t="str">
        <f t="shared" si="1"/>
        <v/>
      </c>
      <c r="O76" s="72"/>
      <c r="P76" s="72"/>
      <c r="Q76" s="72"/>
      <c r="R76" s="72"/>
      <c r="S76" s="72"/>
      <c r="T76" s="72"/>
      <c r="U76" s="72"/>
      <c r="V76" s="72"/>
    </row>
    <row r="77" spans="1:25" ht="27.75" customHeight="1">
      <c r="A77" s="87" t="str">
        <f>IF(ISBLANK(C77)," ",72-COUNTBLANK($C$6:C77))</f>
        <v xml:space="preserve"> </v>
      </c>
      <c r="B77" s="88"/>
      <c r="C77" s="88"/>
      <c r="D77" s="89"/>
      <c r="E77" s="89"/>
      <c r="F77" s="73"/>
      <c r="G77" s="73"/>
      <c r="H77" s="73"/>
      <c r="I77" s="73"/>
      <c r="J77" s="73"/>
      <c r="K77" s="73"/>
      <c r="L77" s="73"/>
      <c r="M77" s="74"/>
      <c r="N77" s="71" t="str">
        <f t="shared" si="1"/>
        <v/>
      </c>
      <c r="O77" s="72"/>
      <c r="P77" s="72"/>
      <c r="Q77" s="72"/>
      <c r="R77" s="72"/>
      <c r="S77" s="72"/>
      <c r="T77" s="72"/>
      <c r="U77" s="72"/>
      <c r="V77" s="72"/>
    </row>
    <row r="78" spans="1:25" ht="27.75" customHeight="1">
      <c r="A78" s="87" t="str">
        <f>IF(ISBLANK(C78)," ",73-COUNTBLANK($C$6:C78))</f>
        <v xml:space="preserve"> </v>
      </c>
      <c r="B78" s="88"/>
      <c r="C78" s="88"/>
      <c r="D78" s="89"/>
      <c r="E78" s="89"/>
      <c r="F78" s="73"/>
      <c r="G78" s="73"/>
      <c r="H78" s="73"/>
      <c r="I78" s="73"/>
      <c r="J78" s="73"/>
      <c r="K78" s="73"/>
      <c r="L78" s="73"/>
      <c r="M78" s="74"/>
      <c r="N78" s="71" t="str">
        <f t="shared" si="1"/>
        <v/>
      </c>
      <c r="O78" s="72"/>
      <c r="P78" s="72"/>
      <c r="Q78" s="72"/>
      <c r="R78" s="72"/>
      <c r="S78" s="72"/>
      <c r="T78" s="72"/>
      <c r="U78" s="72"/>
      <c r="V78" s="72"/>
    </row>
    <row r="79" spans="1:25" ht="27.75" customHeight="1">
      <c r="A79" s="87" t="str">
        <f>IF(ISBLANK(C79)," ",74-COUNTBLANK($C$6:C79))</f>
        <v xml:space="preserve"> </v>
      </c>
      <c r="B79" s="88"/>
      <c r="C79" s="88"/>
      <c r="D79" s="89"/>
      <c r="E79" s="89"/>
      <c r="F79" s="73"/>
      <c r="G79" s="73"/>
      <c r="H79" s="73"/>
      <c r="I79" s="73"/>
      <c r="J79" s="73"/>
      <c r="K79" s="73"/>
      <c r="L79" s="73"/>
      <c r="M79" s="74"/>
      <c r="N79" s="71" t="str">
        <f t="shared" si="1"/>
        <v/>
      </c>
      <c r="O79" s="72"/>
      <c r="P79" s="72"/>
      <c r="Q79" s="72"/>
      <c r="R79" s="72"/>
      <c r="S79" s="72"/>
      <c r="T79" s="72"/>
      <c r="U79" s="72"/>
      <c r="V79" s="72"/>
    </row>
    <row r="80" spans="1:25" ht="27.75" customHeight="1">
      <c r="A80" s="87" t="str">
        <f>IF(ISBLANK(C80)," ",75-COUNTBLANK($C$6:C80))</f>
        <v xml:space="preserve"> </v>
      </c>
      <c r="B80" s="88"/>
      <c r="C80" s="88"/>
      <c r="D80" s="89"/>
      <c r="E80" s="89"/>
      <c r="F80" s="73"/>
      <c r="G80" s="73"/>
      <c r="H80" s="73"/>
      <c r="I80" s="73"/>
      <c r="J80" s="73"/>
      <c r="K80" s="73"/>
      <c r="L80" s="73"/>
      <c r="M80" s="74"/>
      <c r="N80" s="71" t="str">
        <f t="shared" si="1"/>
        <v/>
      </c>
      <c r="O80" s="72"/>
      <c r="P80" s="72"/>
      <c r="Q80" s="72"/>
      <c r="R80" s="72"/>
      <c r="S80" s="72"/>
      <c r="T80" s="72"/>
      <c r="U80" s="72"/>
      <c r="V80" s="72"/>
    </row>
    <row r="81" spans="1:25" ht="27.75" customHeight="1">
      <c r="A81" s="87" t="str">
        <f>IF(ISBLANK(C81)," ",76-COUNTBLANK($C$6:C81))</f>
        <v xml:space="preserve"> </v>
      </c>
      <c r="B81" s="88"/>
      <c r="C81" s="88"/>
      <c r="D81" s="89"/>
      <c r="E81" s="89"/>
      <c r="F81" s="73"/>
      <c r="G81" s="73"/>
      <c r="H81" s="73"/>
      <c r="I81" s="73"/>
      <c r="J81" s="73"/>
      <c r="K81" s="73"/>
      <c r="L81" s="73"/>
      <c r="M81" s="74"/>
      <c r="N81" s="71" t="str">
        <f t="shared" si="1"/>
        <v/>
      </c>
      <c r="O81" s="72"/>
      <c r="P81" s="72"/>
      <c r="Q81" s="72"/>
      <c r="R81" s="72"/>
      <c r="S81" s="72"/>
      <c r="T81" s="72"/>
      <c r="U81" s="72"/>
      <c r="V81" s="72"/>
    </row>
    <row r="82" spans="1:25" ht="27.75" customHeight="1">
      <c r="A82" s="87" t="str">
        <f>IF(ISBLANK(C82)," ",77-COUNTBLANK($C$6:C82))</f>
        <v xml:space="preserve"> </v>
      </c>
      <c r="B82" s="88"/>
      <c r="C82" s="88"/>
      <c r="D82" s="89"/>
      <c r="E82" s="89"/>
      <c r="F82" s="73"/>
      <c r="G82" s="73"/>
      <c r="H82" s="73"/>
      <c r="I82" s="73"/>
      <c r="J82" s="73"/>
      <c r="K82" s="73"/>
      <c r="L82" s="73"/>
      <c r="M82" s="74"/>
      <c r="N82" s="71" t="str">
        <f t="shared" si="1"/>
        <v/>
      </c>
      <c r="O82" s="72"/>
      <c r="P82" s="72"/>
      <c r="Q82" s="72"/>
      <c r="R82" s="72"/>
      <c r="S82" s="72"/>
      <c r="T82" s="72"/>
      <c r="U82" s="72"/>
      <c r="V82" s="72"/>
    </row>
    <row r="83" spans="1:25" ht="27.75" customHeight="1">
      <c r="A83" s="87" t="str">
        <f>IF(ISBLANK(C83)," ",78-COUNTBLANK($C$6:C83))</f>
        <v xml:space="preserve"> </v>
      </c>
      <c r="B83" s="88"/>
      <c r="C83" s="88"/>
      <c r="D83" s="89"/>
      <c r="E83" s="89"/>
      <c r="F83" s="73"/>
      <c r="G83" s="73"/>
      <c r="H83" s="73"/>
      <c r="I83" s="73"/>
      <c r="J83" s="73"/>
      <c r="K83" s="73"/>
      <c r="L83" s="73"/>
      <c r="M83" s="74"/>
      <c r="N83" s="71" t="str">
        <f t="shared" si="1"/>
        <v/>
      </c>
      <c r="O83" s="72"/>
      <c r="P83" s="72"/>
      <c r="Q83" s="72"/>
      <c r="R83" s="72"/>
      <c r="S83" s="72"/>
      <c r="T83" s="72"/>
      <c r="U83" s="72"/>
      <c r="V83" s="72"/>
    </row>
    <row r="84" spans="1:25" ht="27.75" customHeight="1">
      <c r="A84" s="87" t="str">
        <f>IF(ISBLANK(C84)," ",79-COUNTBLANK($C$6:C84))</f>
        <v xml:space="preserve"> </v>
      </c>
      <c r="B84" s="88"/>
      <c r="C84" s="88"/>
      <c r="D84" s="89"/>
      <c r="E84" s="89"/>
      <c r="F84" s="73"/>
      <c r="G84" s="73"/>
      <c r="H84" s="73"/>
      <c r="I84" s="73"/>
      <c r="J84" s="73"/>
      <c r="K84" s="73"/>
      <c r="L84" s="73"/>
      <c r="M84" s="74"/>
      <c r="N84" s="71" t="str">
        <f t="shared" si="1"/>
        <v/>
      </c>
      <c r="O84" s="75"/>
      <c r="P84" s="72"/>
      <c r="Q84" s="72"/>
      <c r="R84" s="72"/>
      <c r="S84" s="72"/>
      <c r="T84" s="72"/>
      <c r="U84" s="72"/>
      <c r="V84" s="76"/>
    </row>
    <row r="85" spans="1:25" ht="27.75" customHeight="1">
      <c r="A85" s="87" t="str">
        <f>IF(ISBLANK(C85)," ",80-COUNTBLANK($C$6:C85))</f>
        <v xml:space="preserve"> </v>
      </c>
      <c r="B85" s="88"/>
      <c r="C85" s="88"/>
      <c r="D85" s="89"/>
      <c r="E85" s="89"/>
      <c r="F85" s="73"/>
      <c r="G85" s="73"/>
      <c r="H85" s="73"/>
      <c r="I85" s="73"/>
      <c r="J85" s="73"/>
      <c r="K85" s="73"/>
      <c r="L85" s="73"/>
      <c r="M85" s="74"/>
      <c r="N85" s="71" t="str">
        <f t="shared" si="1"/>
        <v/>
      </c>
      <c r="O85" s="75"/>
      <c r="P85" s="72"/>
      <c r="Q85" s="72"/>
      <c r="R85" s="72"/>
      <c r="S85" s="72"/>
      <c r="T85" s="72"/>
      <c r="U85" s="72"/>
      <c r="V85" s="76"/>
    </row>
    <row r="86" spans="1:25" ht="27.75" customHeight="1">
      <c r="A86" s="87" t="str">
        <f>IF(ISBLANK(C86)," ",81-COUNTBLANK($C$6:C86))</f>
        <v xml:space="preserve"> </v>
      </c>
      <c r="B86" s="88"/>
      <c r="C86" s="88"/>
      <c r="D86" s="89"/>
      <c r="E86" s="89"/>
      <c r="F86" s="73"/>
      <c r="G86" s="73"/>
      <c r="H86" s="73"/>
      <c r="I86" s="73"/>
      <c r="J86" s="73"/>
      <c r="K86" s="73"/>
      <c r="L86" s="73"/>
      <c r="M86" s="74"/>
      <c r="N86" s="71" t="str">
        <f t="shared" si="1"/>
        <v/>
      </c>
      <c r="O86" s="75"/>
      <c r="P86" s="72"/>
      <c r="Q86" s="72"/>
      <c r="R86" s="72"/>
      <c r="S86" s="72"/>
      <c r="T86" s="72"/>
      <c r="U86" s="72"/>
      <c r="V86" s="76"/>
    </row>
    <row r="87" spans="1:25" ht="27.75" customHeight="1">
      <c r="A87" s="87" t="str">
        <f>IF(ISBLANK(C87)," ",82-COUNTBLANK($C$6:C87))</f>
        <v xml:space="preserve"> </v>
      </c>
      <c r="B87" s="88"/>
      <c r="C87" s="88"/>
      <c r="D87" s="89"/>
      <c r="E87" s="89"/>
      <c r="F87" s="73"/>
      <c r="G87" s="73"/>
      <c r="H87" s="73"/>
      <c r="I87" s="73"/>
      <c r="J87" s="73"/>
      <c r="K87" s="73"/>
      <c r="L87" s="73"/>
      <c r="M87" s="74"/>
      <c r="N87" s="71" t="str">
        <f t="shared" si="1"/>
        <v/>
      </c>
      <c r="O87" s="75"/>
      <c r="P87" s="72"/>
      <c r="Q87" s="72"/>
      <c r="R87" s="72"/>
      <c r="S87" s="72"/>
      <c r="T87" s="72"/>
      <c r="U87" s="72"/>
      <c r="V87" s="76"/>
    </row>
    <row r="88" spans="1:25" ht="27.75" customHeight="1">
      <c r="A88" s="87" t="str">
        <f>IF(ISBLANK(C88)," ",83-COUNTBLANK($C$6:C88))</f>
        <v xml:space="preserve"> </v>
      </c>
      <c r="B88" s="88"/>
      <c r="C88" s="88"/>
      <c r="D88" s="89"/>
      <c r="E88" s="89"/>
      <c r="F88" s="73"/>
      <c r="G88" s="73"/>
      <c r="H88" s="73"/>
      <c r="I88" s="73"/>
      <c r="J88" s="73"/>
      <c r="K88" s="73"/>
      <c r="L88" s="73"/>
      <c r="M88" s="74"/>
      <c r="N88" s="71" t="str">
        <f t="shared" si="1"/>
        <v/>
      </c>
      <c r="O88" s="72"/>
      <c r="P88" s="72"/>
      <c r="Q88" s="72"/>
      <c r="R88" s="72"/>
      <c r="S88" s="72"/>
      <c r="T88" s="72"/>
      <c r="U88" s="72"/>
      <c r="V88" s="79"/>
      <c r="W88" s="72"/>
      <c r="X88" s="72"/>
      <c r="Y88" s="72"/>
    </row>
    <row r="89" spans="1:25" ht="27.75" customHeight="1">
      <c r="A89" s="80" t="s">
        <v>58</v>
      </c>
      <c r="B89" s="81"/>
      <c r="C89" s="96"/>
      <c r="D89" s="82"/>
      <c r="E89" s="82">
        <f>SUM(E69:E88)</f>
        <v>0</v>
      </c>
      <c r="F89" s="83"/>
      <c r="G89" s="83"/>
      <c r="H89" s="83"/>
      <c r="I89" s="83"/>
      <c r="J89" s="83"/>
      <c r="K89" s="83"/>
      <c r="L89" s="83"/>
      <c r="M89" s="84"/>
      <c r="N89" s="71" t="str">
        <f t="shared" si="1"/>
        <v/>
      </c>
      <c r="O89" s="75"/>
      <c r="P89" s="72"/>
      <c r="Q89" s="72"/>
      <c r="R89" s="72"/>
      <c r="S89" s="72"/>
      <c r="T89" s="72"/>
      <c r="U89" s="72"/>
      <c r="V89" s="79"/>
      <c r="W89" s="72"/>
      <c r="X89" s="72"/>
      <c r="Y89" s="72"/>
    </row>
    <row r="90" spans="1:25" ht="27.75" customHeight="1">
      <c r="A90" s="93" t="str">
        <f>IF(ISBLANK(C90)," ",85-COUNTBLANK($C$6:C90))</f>
        <v xml:space="preserve"> </v>
      </c>
      <c r="B90" s="94"/>
      <c r="C90" s="94"/>
      <c r="D90" s="95"/>
      <c r="E90" s="95"/>
      <c r="F90" s="85"/>
      <c r="G90" s="85"/>
      <c r="H90" s="85"/>
      <c r="I90" s="85"/>
      <c r="J90" s="85"/>
      <c r="K90" s="85"/>
      <c r="L90" s="85"/>
      <c r="M90" s="86"/>
      <c r="N90" s="71" t="str">
        <f t="shared" si="1"/>
        <v/>
      </c>
      <c r="O90" s="72"/>
      <c r="P90" s="72"/>
      <c r="Q90" s="72"/>
      <c r="R90" s="72"/>
      <c r="S90" s="72"/>
      <c r="T90" s="72"/>
      <c r="U90" s="72"/>
      <c r="V90" s="72"/>
    </row>
    <row r="91" spans="1:25" ht="27.75" customHeight="1">
      <c r="A91" s="87" t="str">
        <f>IF(ISBLANK(C91)," ",86-COUNTBLANK($C$6:C91))</f>
        <v xml:space="preserve"> </v>
      </c>
      <c r="B91" s="88"/>
      <c r="C91" s="88"/>
      <c r="D91" s="89"/>
      <c r="E91" s="89"/>
      <c r="F91" s="73"/>
      <c r="G91" s="73"/>
      <c r="H91" s="73"/>
      <c r="I91" s="73"/>
      <c r="J91" s="73"/>
      <c r="K91" s="73"/>
      <c r="L91" s="73"/>
      <c r="M91" s="74"/>
      <c r="N91" s="71" t="str">
        <f t="shared" si="1"/>
        <v/>
      </c>
      <c r="O91" s="72"/>
      <c r="P91" s="72"/>
      <c r="Q91" s="72"/>
      <c r="R91" s="72"/>
      <c r="S91" s="72"/>
      <c r="T91" s="72"/>
      <c r="U91" s="72"/>
      <c r="V91" s="72"/>
    </row>
    <row r="92" spans="1:25" ht="27.75" customHeight="1">
      <c r="A92" s="87" t="str">
        <f>IF(ISBLANK(C92)," ",87-COUNTBLANK($C$6:C92))</f>
        <v xml:space="preserve"> </v>
      </c>
      <c r="B92" s="88"/>
      <c r="C92" s="88"/>
      <c r="D92" s="89"/>
      <c r="E92" s="89"/>
      <c r="F92" s="73"/>
      <c r="G92" s="73"/>
      <c r="H92" s="73"/>
      <c r="I92" s="73"/>
      <c r="J92" s="73"/>
      <c r="K92" s="73"/>
      <c r="L92" s="73"/>
      <c r="M92" s="74"/>
      <c r="N92" s="71" t="str">
        <f t="shared" si="1"/>
        <v/>
      </c>
      <c r="O92" s="72"/>
      <c r="P92" s="72"/>
      <c r="Q92" s="72"/>
      <c r="R92" s="72"/>
      <c r="S92" s="72"/>
      <c r="T92" s="72"/>
      <c r="U92" s="72"/>
      <c r="V92" s="72"/>
    </row>
    <row r="93" spans="1:25" ht="27.75" customHeight="1">
      <c r="A93" s="87" t="str">
        <f>IF(ISBLANK(C93)," ",88-COUNTBLANK($C$6:C93))</f>
        <v xml:space="preserve"> </v>
      </c>
      <c r="B93" s="88"/>
      <c r="C93" s="88"/>
      <c r="D93" s="89"/>
      <c r="E93" s="89"/>
      <c r="F93" s="73"/>
      <c r="G93" s="73"/>
      <c r="H93" s="73"/>
      <c r="I93" s="73"/>
      <c r="J93" s="73"/>
      <c r="K93" s="73"/>
      <c r="L93" s="73"/>
      <c r="M93" s="74"/>
      <c r="N93" s="71" t="str">
        <f t="shared" si="1"/>
        <v/>
      </c>
      <c r="O93" s="72"/>
      <c r="P93" s="72"/>
      <c r="Q93" s="72"/>
      <c r="R93" s="72"/>
      <c r="S93" s="72"/>
      <c r="T93" s="72"/>
      <c r="U93" s="72"/>
      <c r="V93" s="72"/>
    </row>
    <row r="94" spans="1:25" ht="27.75" customHeight="1">
      <c r="A94" s="87" t="str">
        <f>IF(ISBLANK(C94)," ",89-COUNTBLANK($C$6:C94))</f>
        <v xml:space="preserve"> </v>
      </c>
      <c r="B94" s="88"/>
      <c r="C94" s="88"/>
      <c r="D94" s="89"/>
      <c r="E94" s="89"/>
      <c r="F94" s="73"/>
      <c r="G94" s="73"/>
      <c r="H94" s="73"/>
      <c r="I94" s="73"/>
      <c r="J94" s="73"/>
      <c r="K94" s="73"/>
      <c r="L94" s="73"/>
      <c r="M94" s="74"/>
      <c r="N94" s="71" t="str">
        <f t="shared" si="1"/>
        <v/>
      </c>
      <c r="O94" s="72"/>
      <c r="P94" s="72"/>
      <c r="Q94" s="72"/>
      <c r="R94" s="72"/>
      <c r="S94" s="72"/>
      <c r="T94" s="72"/>
      <c r="U94" s="72"/>
      <c r="V94" s="72"/>
    </row>
    <row r="95" spans="1:25" ht="27.75" customHeight="1">
      <c r="A95" s="87" t="str">
        <f>IF(ISBLANK(C95)," ",90-COUNTBLANK($C$6:C95))</f>
        <v xml:space="preserve"> </v>
      </c>
      <c r="B95" s="88"/>
      <c r="C95" s="88"/>
      <c r="D95" s="89"/>
      <c r="E95" s="89"/>
      <c r="F95" s="73"/>
      <c r="G95" s="73"/>
      <c r="H95" s="73"/>
      <c r="I95" s="73"/>
      <c r="J95" s="73"/>
      <c r="K95" s="73"/>
      <c r="L95" s="73"/>
      <c r="M95" s="74"/>
      <c r="N95" s="71" t="str">
        <f t="shared" si="1"/>
        <v/>
      </c>
      <c r="O95" s="72"/>
      <c r="P95" s="72"/>
      <c r="Q95" s="72"/>
      <c r="R95" s="72"/>
      <c r="S95" s="72"/>
      <c r="T95" s="72"/>
      <c r="U95" s="72"/>
      <c r="V95" s="72"/>
    </row>
    <row r="96" spans="1:25" ht="27.75" customHeight="1">
      <c r="A96" s="87" t="str">
        <f>IF(ISBLANK(C96)," ",91-COUNTBLANK($C$6:C96))</f>
        <v xml:space="preserve"> </v>
      </c>
      <c r="B96" s="88"/>
      <c r="C96" s="88"/>
      <c r="D96" s="89"/>
      <c r="E96" s="89"/>
      <c r="F96" s="73"/>
      <c r="G96" s="73"/>
      <c r="H96" s="73"/>
      <c r="I96" s="73"/>
      <c r="J96" s="73"/>
      <c r="K96" s="73"/>
      <c r="L96" s="73"/>
      <c r="M96" s="74"/>
      <c r="N96" s="71" t="str">
        <f t="shared" si="1"/>
        <v/>
      </c>
      <c r="O96" s="72"/>
      <c r="P96" s="72"/>
      <c r="Q96" s="72"/>
      <c r="R96" s="72"/>
      <c r="S96" s="72"/>
      <c r="T96" s="72"/>
      <c r="U96" s="72"/>
      <c r="V96" s="72"/>
    </row>
    <row r="97" spans="1:25" ht="27.75" customHeight="1">
      <c r="A97" s="87" t="str">
        <f>IF(ISBLANK(C97)," ",92-COUNTBLANK($C$6:C97))</f>
        <v xml:space="preserve"> </v>
      </c>
      <c r="B97" s="88"/>
      <c r="C97" s="88"/>
      <c r="D97" s="89"/>
      <c r="E97" s="89"/>
      <c r="F97" s="73"/>
      <c r="G97" s="73"/>
      <c r="H97" s="73"/>
      <c r="I97" s="73"/>
      <c r="J97" s="73"/>
      <c r="K97" s="73"/>
      <c r="L97" s="73"/>
      <c r="M97" s="74"/>
      <c r="N97" s="71" t="str">
        <f t="shared" si="1"/>
        <v/>
      </c>
      <c r="O97" s="72"/>
      <c r="P97" s="72"/>
      <c r="Q97" s="72"/>
      <c r="R97" s="72"/>
      <c r="S97" s="72"/>
      <c r="T97" s="72"/>
      <c r="U97" s="72"/>
      <c r="V97" s="72"/>
    </row>
    <row r="98" spans="1:25" ht="27.75" customHeight="1">
      <c r="A98" s="87" t="str">
        <f>IF(ISBLANK(C98)," ",93-COUNTBLANK($C$6:C98))</f>
        <v xml:space="preserve"> </v>
      </c>
      <c r="B98" s="88"/>
      <c r="C98" s="88"/>
      <c r="D98" s="89"/>
      <c r="E98" s="89"/>
      <c r="F98" s="73"/>
      <c r="G98" s="73"/>
      <c r="H98" s="73"/>
      <c r="I98" s="73"/>
      <c r="J98" s="73"/>
      <c r="K98" s="73"/>
      <c r="L98" s="73"/>
      <c r="M98" s="74"/>
      <c r="N98" s="71" t="str">
        <f t="shared" si="1"/>
        <v/>
      </c>
      <c r="O98" s="72"/>
      <c r="P98" s="72"/>
      <c r="Q98" s="72"/>
      <c r="R98" s="72"/>
      <c r="S98" s="72"/>
      <c r="T98" s="72"/>
      <c r="U98" s="72"/>
      <c r="V98" s="72"/>
    </row>
    <row r="99" spans="1:25" ht="27.75" customHeight="1">
      <c r="A99" s="87" t="str">
        <f>IF(ISBLANK(C99)," ",94-COUNTBLANK($C$6:C99))</f>
        <v xml:space="preserve"> </v>
      </c>
      <c r="B99" s="88"/>
      <c r="C99" s="88"/>
      <c r="D99" s="89"/>
      <c r="E99" s="89"/>
      <c r="F99" s="73"/>
      <c r="G99" s="73"/>
      <c r="H99" s="73"/>
      <c r="I99" s="73"/>
      <c r="J99" s="73"/>
      <c r="K99" s="73"/>
      <c r="L99" s="73"/>
      <c r="M99" s="74"/>
      <c r="N99" s="71" t="str">
        <f t="shared" si="1"/>
        <v/>
      </c>
      <c r="O99" s="72"/>
      <c r="P99" s="72"/>
      <c r="Q99" s="72"/>
      <c r="R99" s="72"/>
      <c r="S99" s="72"/>
      <c r="T99" s="72"/>
      <c r="U99" s="72"/>
      <c r="V99" s="72"/>
    </row>
    <row r="100" spans="1:25" ht="27.75" customHeight="1">
      <c r="A100" s="87" t="str">
        <f>IF(ISBLANK(C100)," ",95-COUNTBLANK($C$6:C100))</f>
        <v xml:space="preserve"> </v>
      </c>
      <c r="B100" s="88"/>
      <c r="C100" s="88"/>
      <c r="D100" s="89"/>
      <c r="E100" s="89"/>
      <c r="F100" s="73"/>
      <c r="G100" s="73"/>
      <c r="H100" s="73"/>
      <c r="I100" s="73"/>
      <c r="J100" s="73"/>
      <c r="K100" s="73"/>
      <c r="L100" s="73"/>
      <c r="M100" s="74"/>
      <c r="N100" s="71" t="str">
        <f t="shared" si="1"/>
        <v/>
      </c>
      <c r="O100" s="72"/>
      <c r="P100" s="72"/>
      <c r="Q100" s="72"/>
      <c r="R100" s="72"/>
      <c r="S100" s="72"/>
      <c r="T100" s="72"/>
      <c r="U100" s="72"/>
      <c r="V100" s="72"/>
    </row>
    <row r="101" spans="1:25" ht="27.75" customHeight="1">
      <c r="A101" s="87" t="str">
        <f>IF(ISBLANK(C101)," ",96-COUNTBLANK($C$6:C101))</f>
        <v xml:space="preserve"> </v>
      </c>
      <c r="B101" s="88"/>
      <c r="C101" s="88"/>
      <c r="D101" s="89"/>
      <c r="E101" s="89"/>
      <c r="F101" s="73"/>
      <c r="G101" s="73"/>
      <c r="H101" s="73"/>
      <c r="I101" s="73"/>
      <c r="J101" s="73"/>
      <c r="K101" s="73"/>
      <c r="L101" s="73"/>
      <c r="M101" s="74"/>
      <c r="N101" s="71" t="str">
        <f t="shared" si="1"/>
        <v/>
      </c>
      <c r="O101" s="72"/>
      <c r="P101" s="72"/>
      <c r="Q101" s="72"/>
      <c r="R101" s="72"/>
      <c r="S101" s="72"/>
      <c r="T101" s="72"/>
      <c r="U101" s="72"/>
      <c r="V101" s="72"/>
    </row>
    <row r="102" spans="1:25" ht="27.75" customHeight="1">
      <c r="A102" s="87" t="str">
        <f>IF(ISBLANK(C102)," ",97-COUNTBLANK($C$6:C102))</f>
        <v xml:space="preserve"> </v>
      </c>
      <c r="B102" s="88"/>
      <c r="C102" s="88"/>
      <c r="D102" s="89"/>
      <c r="E102" s="89"/>
      <c r="F102" s="73"/>
      <c r="G102" s="73"/>
      <c r="H102" s="73"/>
      <c r="I102" s="73"/>
      <c r="J102" s="73"/>
      <c r="K102" s="73"/>
      <c r="L102" s="73"/>
      <c r="M102" s="74"/>
      <c r="N102" s="71" t="str">
        <f t="shared" si="1"/>
        <v/>
      </c>
      <c r="O102" s="72"/>
      <c r="P102" s="72"/>
      <c r="Q102" s="72"/>
      <c r="R102" s="72"/>
      <c r="S102" s="72"/>
      <c r="T102" s="72"/>
      <c r="U102" s="72"/>
      <c r="V102" s="72"/>
    </row>
    <row r="103" spans="1:25" ht="27.75" customHeight="1">
      <c r="A103" s="87" t="str">
        <f>IF(ISBLANK(C103)," ",98-COUNTBLANK($C$6:C103))</f>
        <v xml:space="preserve"> </v>
      </c>
      <c r="B103" s="88"/>
      <c r="C103" s="88"/>
      <c r="D103" s="89"/>
      <c r="E103" s="89"/>
      <c r="F103" s="73"/>
      <c r="G103" s="73"/>
      <c r="H103" s="73"/>
      <c r="I103" s="73"/>
      <c r="J103" s="73"/>
      <c r="K103" s="73"/>
      <c r="L103" s="73"/>
      <c r="M103" s="74"/>
      <c r="N103" s="71" t="str">
        <f t="shared" si="1"/>
        <v/>
      </c>
      <c r="O103" s="72"/>
      <c r="P103" s="72"/>
      <c r="Q103" s="72"/>
      <c r="R103" s="72"/>
      <c r="S103" s="72"/>
      <c r="T103" s="72"/>
      <c r="U103" s="72"/>
      <c r="V103" s="72"/>
    </row>
    <row r="104" spans="1:25" ht="27.75" customHeight="1">
      <c r="A104" s="87" t="str">
        <f>IF(ISBLANK(C104)," ",99-COUNTBLANK($C$6:C104))</f>
        <v xml:space="preserve"> </v>
      </c>
      <c r="B104" s="88"/>
      <c r="C104" s="88"/>
      <c r="D104" s="89"/>
      <c r="E104" s="89"/>
      <c r="F104" s="73"/>
      <c r="G104" s="73"/>
      <c r="H104" s="73"/>
      <c r="I104" s="73"/>
      <c r="J104" s="73"/>
      <c r="K104" s="73"/>
      <c r="L104" s="73"/>
      <c r="M104" s="74"/>
      <c r="N104" s="71" t="str">
        <f t="shared" si="1"/>
        <v/>
      </c>
      <c r="O104" s="72"/>
      <c r="P104" s="72"/>
      <c r="Q104" s="72"/>
      <c r="R104" s="72"/>
      <c r="S104" s="72"/>
      <c r="T104" s="72"/>
      <c r="U104" s="72"/>
      <c r="V104" s="72"/>
    </row>
    <row r="105" spans="1:25" ht="27.75" customHeight="1">
      <c r="A105" s="87" t="str">
        <f>IF(ISBLANK(C105)," ",100-COUNTBLANK($C$6:C105))</f>
        <v xml:space="preserve"> </v>
      </c>
      <c r="B105" s="88"/>
      <c r="C105" s="88"/>
      <c r="D105" s="89"/>
      <c r="E105" s="89"/>
      <c r="F105" s="73"/>
      <c r="G105" s="73"/>
      <c r="H105" s="73"/>
      <c r="I105" s="73"/>
      <c r="J105" s="73"/>
      <c r="K105" s="73"/>
      <c r="L105" s="73"/>
      <c r="M105" s="74"/>
      <c r="N105" s="71" t="str">
        <f t="shared" si="1"/>
        <v/>
      </c>
      <c r="O105" s="75"/>
      <c r="P105" s="72"/>
      <c r="Q105" s="72"/>
      <c r="R105" s="72"/>
      <c r="S105" s="72"/>
      <c r="T105" s="72"/>
      <c r="U105" s="72"/>
      <c r="V105" s="76"/>
    </row>
    <row r="106" spans="1:25" ht="27.75" customHeight="1">
      <c r="A106" s="87" t="str">
        <f>IF(ISBLANK(C106)," ",101-COUNTBLANK($C$6:C106))</f>
        <v xml:space="preserve"> </v>
      </c>
      <c r="B106" s="88"/>
      <c r="C106" s="88"/>
      <c r="D106" s="89"/>
      <c r="E106" s="89"/>
      <c r="F106" s="73"/>
      <c r="G106" s="73"/>
      <c r="H106" s="73"/>
      <c r="I106" s="73"/>
      <c r="J106" s="73"/>
      <c r="K106" s="73"/>
      <c r="L106" s="73"/>
      <c r="M106" s="74"/>
      <c r="N106" s="71" t="str">
        <f t="shared" si="1"/>
        <v/>
      </c>
      <c r="O106" s="75"/>
      <c r="P106" s="72"/>
      <c r="Q106" s="72"/>
      <c r="R106" s="72"/>
      <c r="S106" s="72"/>
      <c r="T106" s="72"/>
      <c r="U106" s="72"/>
      <c r="V106" s="76"/>
    </row>
    <row r="107" spans="1:25" ht="27.75" customHeight="1">
      <c r="A107" s="87" t="str">
        <f>IF(ISBLANK(C107)," ",102-COUNTBLANK($C$6:C107))</f>
        <v xml:space="preserve"> </v>
      </c>
      <c r="B107" s="88"/>
      <c r="C107" s="88"/>
      <c r="D107" s="89"/>
      <c r="E107" s="89"/>
      <c r="F107" s="73"/>
      <c r="G107" s="73"/>
      <c r="H107" s="73"/>
      <c r="I107" s="73"/>
      <c r="J107" s="73"/>
      <c r="K107" s="73"/>
      <c r="L107" s="73"/>
      <c r="M107" s="74"/>
      <c r="N107" s="71" t="str">
        <f t="shared" si="1"/>
        <v/>
      </c>
      <c r="O107" s="75"/>
      <c r="P107" s="72"/>
      <c r="Q107" s="72"/>
      <c r="R107" s="72"/>
      <c r="S107" s="72"/>
      <c r="T107" s="72"/>
      <c r="U107" s="72"/>
      <c r="V107" s="76"/>
    </row>
    <row r="108" spans="1:25" ht="27.75" customHeight="1">
      <c r="A108" s="87" t="str">
        <f>IF(ISBLANK(C108)," ",103-COUNTBLANK($C$6:C108))</f>
        <v xml:space="preserve"> </v>
      </c>
      <c r="B108" s="88"/>
      <c r="C108" s="88"/>
      <c r="D108" s="89"/>
      <c r="E108" s="89"/>
      <c r="F108" s="73"/>
      <c r="G108" s="73"/>
      <c r="H108" s="73"/>
      <c r="I108" s="73"/>
      <c r="J108" s="73"/>
      <c r="K108" s="73"/>
      <c r="L108" s="73"/>
      <c r="M108" s="74"/>
      <c r="N108" s="71" t="str">
        <f t="shared" si="1"/>
        <v/>
      </c>
      <c r="O108" s="75"/>
      <c r="P108" s="72"/>
      <c r="Q108" s="72"/>
      <c r="R108" s="72"/>
      <c r="S108" s="72"/>
      <c r="T108" s="72"/>
      <c r="U108" s="72"/>
      <c r="V108" s="76"/>
    </row>
    <row r="109" spans="1:25" ht="27.75" customHeight="1">
      <c r="A109" s="87" t="str">
        <f>IF(ISBLANK(C109)," ",104-COUNTBLANK($C$6:C109))</f>
        <v xml:space="preserve"> </v>
      </c>
      <c r="B109" s="88"/>
      <c r="C109" s="88"/>
      <c r="D109" s="89"/>
      <c r="E109" s="89"/>
      <c r="F109" s="73"/>
      <c r="G109" s="73"/>
      <c r="H109" s="73"/>
      <c r="I109" s="73"/>
      <c r="J109" s="73"/>
      <c r="K109" s="73"/>
      <c r="L109" s="73"/>
      <c r="M109" s="74"/>
      <c r="N109" s="71" t="str">
        <f t="shared" si="1"/>
        <v/>
      </c>
      <c r="O109" s="72"/>
      <c r="P109" s="72"/>
      <c r="Q109" s="72"/>
      <c r="R109" s="72"/>
      <c r="S109" s="72"/>
      <c r="T109" s="72"/>
      <c r="U109" s="72"/>
      <c r="V109" s="79"/>
      <c r="W109" s="72"/>
      <c r="X109" s="72"/>
      <c r="Y109" s="72"/>
    </row>
    <row r="110" spans="1:25" ht="27.75" customHeight="1">
      <c r="A110" s="80" t="s">
        <v>58</v>
      </c>
      <c r="B110" s="81"/>
      <c r="C110" s="96"/>
      <c r="D110" s="82"/>
      <c r="E110" s="82">
        <f>SUM(E90:E109)</f>
        <v>0</v>
      </c>
      <c r="F110" s="83"/>
      <c r="G110" s="83"/>
      <c r="H110" s="83"/>
      <c r="I110" s="83"/>
      <c r="J110" s="83"/>
      <c r="K110" s="83"/>
      <c r="L110" s="83"/>
      <c r="M110" s="84"/>
      <c r="N110" s="71" t="str">
        <f t="shared" si="1"/>
        <v/>
      </c>
      <c r="O110" s="75"/>
      <c r="P110" s="72"/>
      <c r="Q110" s="72"/>
      <c r="R110" s="72"/>
      <c r="S110" s="72"/>
      <c r="T110" s="72"/>
      <c r="U110" s="72"/>
      <c r="V110" s="79"/>
      <c r="W110" s="72"/>
      <c r="X110" s="72"/>
      <c r="Y110" s="72"/>
    </row>
    <row r="111" spans="1:25" ht="27.75" customHeight="1">
      <c r="A111" s="93" t="str">
        <f>IF(ISBLANK(C111)," ",106-COUNTBLANK($C$6:C111))</f>
        <v xml:space="preserve"> </v>
      </c>
      <c r="B111" s="94"/>
      <c r="C111" s="94"/>
      <c r="D111" s="95"/>
      <c r="E111" s="95"/>
      <c r="F111" s="85"/>
      <c r="G111" s="85"/>
      <c r="H111" s="85"/>
      <c r="I111" s="85"/>
      <c r="J111" s="85"/>
      <c r="K111" s="85"/>
      <c r="L111" s="85"/>
      <c r="M111" s="86"/>
      <c r="N111" s="71" t="str">
        <f t="shared" si="1"/>
        <v/>
      </c>
      <c r="O111" s="72"/>
      <c r="P111" s="72"/>
      <c r="Q111" s="72"/>
      <c r="R111" s="72"/>
      <c r="S111" s="72"/>
      <c r="T111" s="72"/>
      <c r="U111" s="72"/>
      <c r="V111" s="72"/>
    </row>
    <row r="112" spans="1:25" ht="27.75" customHeight="1">
      <c r="A112" s="87" t="str">
        <f>IF(ISBLANK(C112)," ",107-COUNTBLANK($C$6:C112))</f>
        <v xml:space="preserve"> </v>
      </c>
      <c r="B112" s="88"/>
      <c r="C112" s="88"/>
      <c r="D112" s="89"/>
      <c r="E112" s="89"/>
      <c r="F112" s="73"/>
      <c r="G112" s="73"/>
      <c r="H112" s="73"/>
      <c r="I112" s="73"/>
      <c r="J112" s="73"/>
      <c r="K112" s="73"/>
      <c r="L112" s="73"/>
      <c r="M112" s="74"/>
      <c r="N112" s="71" t="str">
        <f t="shared" si="1"/>
        <v/>
      </c>
      <c r="O112" s="72"/>
      <c r="P112" s="72"/>
      <c r="Q112" s="72"/>
      <c r="R112" s="72"/>
      <c r="S112" s="72"/>
      <c r="T112" s="72"/>
      <c r="U112" s="72"/>
      <c r="V112" s="72"/>
    </row>
    <row r="113" spans="1:22" ht="27.75" customHeight="1">
      <c r="A113" s="87" t="str">
        <f>IF(ISBLANK(C113)," ",108-COUNTBLANK($C$6:C113))</f>
        <v xml:space="preserve"> </v>
      </c>
      <c r="B113" s="88"/>
      <c r="C113" s="88"/>
      <c r="D113" s="89"/>
      <c r="E113" s="89"/>
      <c r="F113" s="73"/>
      <c r="G113" s="73"/>
      <c r="H113" s="73"/>
      <c r="I113" s="73"/>
      <c r="J113" s="73"/>
      <c r="K113" s="73"/>
      <c r="L113" s="73"/>
      <c r="M113" s="74"/>
      <c r="N113" s="71" t="str">
        <f t="shared" si="1"/>
        <v/>
      </c>
      <c r="O113" s="72"/>
      <c r="P113" s="72"/>
      <c r="Q113" s="72"/>
      <c r="R113" s="72"/>
      <c r="S113" s="72"/>
      <c r="T113" s="72"/>
      <c r="U113" s="72"/>
      <c r="V113" s="72"/>
    </row>
    <row r="114" spans="1:22" ht="27.75" customHeight="1">
      <c r="A114" s="87" t="str">
        <f>IF(ISBLANK(C114)," ",109-COUNTBLANK($C$6:C114))</f>
        <v xml:space="preserve"> </v>
      </c>
      <c r="B114" s="88"/>
      <c r="C114" s="88"/>
      <c r="D114" s="89"/>
      <c r="E114" s="89"/>
      <c r="F114" s="73"/>
      <c r="G114" s="73"/>
      <c r="H114" s="73"/>
      <c r="I114" s="73"/>
      <c r="J114" s="73"/>
      <c r="K114" s="73"/>
      <c r="L114" s="73"/>
      <c r="M114" s="74"/>
      <c r="N114" s="71" t="str">
        <f t="shared" si="1"/>
        <v/>
      </c>
      <c r="O114" s="72"/>
      <c r="P114" s="72"/>
      <c r="Q114" s="72"/>
      <c r="R114" s="72"/>
      <c r="S114" s="72"/>
      <c r="T114" s="72"/>
      <c r="U114" s="72"/>
      <c r="V114" s="72"/>
    </row>
    <row r="115" spans="1:22" ht="27.75" customHeight="1">
      <c r="A115" s="87" t="str">
        <f>IF(ISBLANK(C115)," ",110-COUNTBLANK($C$6:C115))</f>
        <v xml:space="preserve"> </v>
      </c>
      <c r="B115" s="88"/>
      <c r="C115" s="88"/>
      <c r="D115" s="89"/>
      <c r="E115" s="89"/>
      <c r="F115" s="73"/>
      <c r="G115" s="73"/>
      <c r="H115" s="73"/>
      <c r="I115" s="73"/>
      <c r="J115" s="73"/>
      <c r="K115" s="73"/>
      <c r="L115" s="73"/>
      <c r="M115" s="74"/>
      <c r="N115" s="71" t="str">
        <f t="shared" si="1"/>
        <v/>
      </c>
      <c r="O115" s="72"/>
      <c r="P115" s="72"/>
      <c r="Q115" s="72"/>
      <c r="R115" s="72"/>
      <c r="S115" s="72"/>
      <c r="T115" s="72"/>
      <c r="U115" s="72"/>
      <c r="V115" s="72"/>
    </row>
    <row r="116" spans="1:22" ht="27.75" customHeight="1">
      <c r="A116" s="87" t="str">
        <f>IF(ISBLANK(C116)," ",111-COUNTBLANK($C$6:C116))</f>
        <v xml:space="preserve"> </v>
      </c>
      <c r="B116" s="88"/>
      <c r="C116" s="88"/>
      <c r="D116" s="89"/>
      <c r="E116" s="89"/>
      <c r="F116" s="73"/>
      <c r="G116" s="73"/>
      <c r="H116" s="73"/>
      <c r="I116" s="73"/>
      <c r="J116" s="73"/>
      <c r="K116" s="73"/>
      <c r="L116" s="73"/>
      <c r="M116" s="74"/>
      <c r="N116" s="71" t="str">
        <f t="shared" si="1"/>
        <v/>
      </c>
      <c r="O116" s="72"/>
      <c r="P116" s="72"/>
      <c r="Q116" s="72"/>
      <c r="R116" s="72"/>
      <c r="S116" s="72"/>
      <c r="T116" s="72"/>
      <c r="U116" s="72"/>
      <c r="V116" s="72"/>
    </row>
    <row r="117" spans="1:22" ht="27.75" customHeight="1">
      <c r="A117" s="87" t="str">
        <f>IF(ISBLANK(C117)," ",112-COUNTBLANK($C$6:C117))</f>
        <v xml:space="preserve"> </v>
      </c>
      <c r="B117" s="88"/>
      <c r="C117" s="88"/>
      <c r="D117" s="89"/>
      <c r="E117" s="89"/>
      <c r="F117" s="73"/>
      <c r="G117" s="73"/>
      <c r="H117" s="73"/>
      <c r="I117" s="73"/>
      <c r="J117" s="73"/>
      <c r="K117" s="73"/>
      <c r="L117" s="73"/>
      <c r="M117" s="74"/>
      <c r="N117" s="71" t="str">
        <f t="shared" si="1"/>
        <v/>
      </c>
      <c r="O117" s="72"/>
      <c r="P117" s="72"/>
      <c r="Q117" s="72"/>
      <c r="R117" s="72"/>
      <c r="S117" s="72"/>
      <c r="T117" s="72"/>
      <c r="U117" s="72"/>
      <c r="V117" s="72"/>
    </row>
    <row r="118" spans="1:22" ht="27.75" customHeight="1">
      <c r="A118" s="87" t="str">
        <f>IF(ISBLANK(C118)," ",113-COUNTBLANK($C$6:C118))</f>
        <v xml:space="preserve"> </v>
      </c>
      <c r="B118" s="88"/>
      <c r="C118" s="88"/>
      <c r="D118" s="89"/>
      <c r="E118" s="89"/>
      <c r="F118" s="73"/>
      <c r="G118" s="73"/>
      <c r="H118" s="73"/>
      <c r="I118" s="73"/>
      <c r="J118" s="73"/>
      <c r="K118" s="73"/>
      <c r="L118" s="73"/>
      <c r="M118" s="74"/>
      <c r="N118" s="71" t="str">
        <f t="shared" si="1"/>
        <v/>
      </c>
      <c r="O118" s="72"/>
      <c r="P118" s="72"/>
      <c r="Q118" s="72"/>
      <c r="R118" s="72"/>
      <c r="S118" s="72"/>
      <c r="T118" s="72"/>
      <c r="U118" s="72"/>
      <c r="V118" s="72"/>
    </row>
    <row r="119" spans="1:22" ht="27.75" customHeight="1">
      <c r="A119" s="87" t="str">
        <f>IF(ISBLANK(C119)," ",114-COUNTBLANK($C$6:C119))</f>
        <v xml:space="preserve"> </v>
      </c>
      <c r="B119" s="88"/>
      <c r="C119" s="88"/>
      <c r="D119" s="89"/>
      <c r="E119" s="89"/>
      <c r="F119" s="73"/>
      <c r="G119" s="73"/>
      <c r="H119" s="73"/>
      <c r="I119" s="73"/>
      <c r="J119" s="73"/>
      <c r="K119" s="73"/>
      <c r="L119" s="73"/>
      <c r="M119" s="74"/>
      <c r="N119" s="71" t="str">
        <f t="shared" si="1"/>
        <v/>
      </c>
      <c r="O119" s="72"/>
      <c r="P119" s="72"/>
      <c r="Q119" s="72"/>
      <c r="R119" s="72"/>
      <c r="S119" s="72"/>
      <c r="T119" s="72"/>
      <c r="U119" s="72"/>
      <c r="V119" s="72"/>
    </row>
    <row r="120" spans="1:22" ht="27.75" customHeight="1">
      <c r="A120" s="87" t="str">
        <f>IF(ISBLANK(C120)," ",115-COUNTBLANK($C$6:C120))</f>
        <v xml:space="preserve"> </v>
      </c>
      <c r="B120" s="88"/>
      <c r="C120" s="88"/>
      <c r="D120" s="89"/>
      <c r="E120" s="89"/>
      <c r="F120" s="73"/>
      <c r="G120" s="73"/>
      <c r="H120" s="73"/>
      <c r="I120" s="73"/>
      <c r="J120" s="73"/>
      <c r="K120" s="73"/>
      <c r="L120" s="73"/>
      <c r="M120" s="74"/>
      <c r="N120" s="71" t="str">
        <f t="shared" si="1"/>
        <v/>
      </c>
      <c r="O120" s="72"/>
      <c r="P120" s="72"/>
      <c r="Q120" s="72"/>
      <c r="R120" s="72"/>
      <c r="S120" s="72"/>
      <c r="T120" s="72"/>
      <c r="U120" s="72"/>
      <c r="V120" s="72"/>
    </row>
    <row r="121" spans="1:22" ht="27.75" customHeight="1">
      <c r="A121" s="87" t="str">
        <f>IF(ISBLANK(C121)," ",116-COUNTBLANK($C$6:C121))</f>
        <v xml:space="preserve"> </v>
      </c>
      <c r="B121" s="88"/>
      <c r="C121" s="88"/>
      <c r="D121" s="89"/>
      <c r="E121" s="89"/>
      <c r="F121" s="73"/>
      <c r="G121" s="73"/>
      <c r="H121" s="73"/>
      <c r="I121" s="73"/>
      <c r="J121" s="73"/>
      <c r="K121" s="73"/>
      <c r="L121" s="73"/>
      <c r="M121" s="74"/>
      <c r="N121" s="71" t="str">
        <f t="shared" si="1"/>
        <v/>
      </c>
      <c r="O121" s="72"/>
      <c r="P121" s="72"/>
      <c r="Q121" s="72"/>
      <c r="R121" s="72"/>
      <c r="S121" s="72"/>
      <c r="T121" s="72"/>
      <c r="U121" s="72"/>
      <c r="V121" s="72"/>
    </row>
    <row r="122" spans="1:22" ht="27.75" customHeight="1">
      <c r="A122" s="87" t="str">
        <f>IF(ISBLANK(C122)," ",117-COUNTBLANK($C$6:C122))</f>
        <v xml:space="preserve"> </v>
      </c>
      <c r="B122" s="88"/>
      <c r="C122" s="88"/>
      <c r="D122" s="89"/>
      <c r="E122" s="89"/>
      <c r="F122" s="73"/>
      <c r="G122" s="73"/>
      <c r="H122" s="73"/>
      <c r="I122" s="73"/>
      <c r="J122" s="73"/>
      <c r="K122" s="73"/>
      <c r="L122" s="73"/>
      <c r="M122" s="74"/>
      <c r="N122" s="71" t="str">
        <f t="shared" si="1"/>
        <v/>
      </c>
      <c r="O122" s="72"/>
      <c r="P122" s="72"/>
      <c r="Q122" s="72"/>
      <c r="R122" s="72"/>
      <c r="S122" s="72"/>
      <c r="T122" s="72"/>
      <c r="U122" s="72"/>
      <c r="V122" s="72"/>
    </row>
    <row r="123" spans="1:22" ht="27.75" customHeight="1">
      <c r="A123" s="87" t="str">
        <f>IF(ISBLANK(C123)," ",118-COUNTBLANK($C$6:C123))</f>
        <v xml:space="preserve"> </v>
      </c>
      <c r="B123" s="88"/>
      <c r="C123" s="88"/>
      <c r="D123" s="89"/>
      <c r="E123" s="89"/>
      <c r="F123" s="73"/>
      <c r="G123" s="73"/>
      <c r="H123" s="73"/>
      <c r="I123" s="73"/>
      <c r="J123" s="73"/>
      <c r="K123" s="73"/>
      <c r="L123" s="73"/>
      <c r="M123" s="74"/>
      <c r="N123" s="71" t="str">
        <f t="shared" si="1"/>
        <v/>
      </c>
      <c r="O123" s="72"/>
      <c r="P123" s="72"/>
      <c r="Q123" s="72"/>
      <c r="R123" s="72"/>
      <c r="S123" s="72"/>
      <c r="T123" s="72"/>
      <c r="U123" s="72"/>
      <c r="V123" s="72"/>
    </row>
    <row r="124" spans="1:22" ht="27.75" customHeight="1">
      <c r="A124" s="87" t="str">
        <f>IF(ISBLANK(C124)," ",119-COUNTBLANK($C$6:C124))</f>
        <v xml:space="preserve"> </v>
      </c>
      <c r="B124" s="88"/>
      <c r="C124" s="88"/>
      <c r="D124" s="89"/>
      <c r="E124" s="89"/>
      <c r="F124" s="73"/>
      <c r="G124" s="73"/>
      <c r="H124" s="73"/>
      <c r="I124" s="73"/>
      <c r="J124" s="73"/>
      <c r="K124" s="73"/>
      <c r="L124" s="73"/>
      <c r="M124" s="74"/>
      <c r="N124" s="71" t="str">
        <f t="shared" si="1"/>
        <v/>
      </c>
      <c r="O124" s="72"/>
      <c r="P124" s="72"/>
      <c r="Q124" s="72"/>
      <c r="R124" s="72"/>
      <c r="S124" s="72"/>
      <c r="T124" s="72"/>
      <c r="U124" s="72"/>
      <c r="V124" s="72"/>
    </row>
    <row r="125" spans="1:22" ht="27.75" customHeight="1">
      <c r="A125" s="87" t="str">
        <f>IF(ISBLANK(C125)," ",120-COUNTBLANK($C$6:C125))</f>
        <v xml:space="preserve"> </v>
      </c>
      <c r="B125" s="88"/>
      <c r="C125" s="88"/>
      <c r="D125" s="89"/>
      <c r="E125" s="89"/>
      <c r="F125" s="73"/>
      <c r="G125" s="73"/>
      <c r="H125" s="73"/>
      <c r="I125" s="73"/>
      <c r="J125" s="73"/>
      <c r="K125" s="73"/>
      <c r="L125" s="73"/>
      <c r="M125" s="74"/>
      <c r="N125" s="71" t="str">
        <f t="shared" si="1"/>
        <v/>
      </c>
      <c r="O125" s="72"/>
      <c r="P125" s="72"/>
      <c r="Q125" s="72"/>
      <c r="R125" s="72"/>
      <c r="S125" s="72"/>
      <c r="T125" s="72"/>
      <c r="U125" s="72"/>
      <c r="V125" s="72"/>
    </row>
    <row r="126" spans="1:22" ht="27.75" customHeight="1">
      <c r="A126" s="87" t="str">
        <f>IF(ISBLANK(C126)," ",121-COUNTBLANK($C$6:C126))</f>
        <v xml:space="preserve"> </v>
      </c>
      <c r="B126" s="88"/>
      <c r="C126" s="88"/>
      <c r="D126" s="89"/>
      <c r="E126" s="89"/>
      <c r="F126" s="73"/>
      <c r="G126" s="73"/>
      <c r="H126" s="73"/>
      <c r="I126" s="73"/>
      <c r="J126" s="73"/>
      <c r="K126" s="73"/>
      <c r="L126" s="73"/>
      <c r="M126" s="74"/>
      <c r="N126" s="71" t="str">
        <f t="shared" si="1"/>
        <v/>
      </c>
      <c r="O126" s="75"/>
      <c r="P126" s="72"/>
      <c r="Q126" s="72"/>
      <c r="R126" s="72"/>
      <c r="S126" s="72"/>
      <c r="T126" s="72"/>
      <c r="U126" s="72"/>
      <c r="V126" s="76"/>
    </row>
    <row r="127" spans="1:22" ht="27.75" customHeight="1">
      <c r="A127" s="87" t="str">
        <f>IF(ISBLANK(C127)," ",122-COUNTBLANK($C$6:C127))</f>
        <v xml:space="preserve"> </v>
      </c>
      <c r="B127" s="88"/>
      <c r="C127" s="88"/>
      <c r="D127" s="89"/>
      <c r="E127" s="89"/>
      <c r="F127" s="73"/>
      <c r="G127" s="73"/>
      <c r="H127" s="73"/>
      <c r="I127" s="73"/>
      <c r="J127" s="73"/>
      <c r="K127" s="73"/>
      <c r="L127" s="73"/>
      <c r="M127" s="74"/>
      <c r="N127" s="71" t="str">
        <f t="shared" si="1"/>
        <v/>
      </c>
      <c r="O127" s="75"/>
      <c r="P127" s="72"/>
      <c r="Q127" s="72"/>
      <c r="R127" s="72"/>
      <c r="S127" s="72"/>
      <c r="T127" s="72"/>
      <c r="U127" s="72"/>
      <c r="V127" s="76"/>
    </row>
    <row r="128" spans="1:22" ht="27.75" customHeight="1">
      <c r="A128" s="87" t="str">
        <f>IF(ISBLANK(C128)," ",123-COUNTBLANK($C$6:C128))</f>
        <v xml:space="preserve"> </v>
      </c>
      <c r="B128" s="88"/>
      <c r="C128" s="88"/>
      <c r="D128" s="89"/>
      <c r="E128" s="89"/>
      <c r="F128" s="73"/>
      <c r="G128" s="73"/>
      <c r="H128" s="73"/>
      <c r="I128" s="73"/>
      <c r="J128" s="73"/>
      <c r="K128" s="73"/>
      <c r="L128" s="73"/>
      <c r="M128" s="74"/>
      <c r="N128" s="71" t="str">
        <f t="shared" si="1"/>
        <v/>
      </c>
      <c r="O128" s="75"/>
      <c r="P128" s="72"/>
      <c r="Q128" s="72"/>
      <c r="R128" s="72"/>
      <c r="S128" s="72"/>
      <c r="T128" s="72"/>
      <c r="U128" s="72"/>
      <c r="V128" s="76"/>
    </row>
    <row r="129" spans="1:25" ht="27.75" customHeight="1">
      <c r="A129" s="87" t="str">
        <f>IF(ISBLANK(C129)," ",124-COUNTBLANK($C$6:C129))</f>
        <v xml:space="preserve"> </v>
      </c>
      <c r="B129" s="88"/>
      <c r="C129" s="88"/>
      <c r="D129" s="89"/>
      <c r="E129" s="89"/>
      <c r="F129" s="73"/>
      <c r="G129" s="73"/>
      <c r="H129" s="73"/>
      <c r="I129" s="73"/>
      <c r="J129" s="73"/>
      <c r="K129" s="73"/>
      <c r="L129" s="73"/>
      <c r="M129" s="74"/>
      <c r="N129" s="71" t="str">
        <f t="shared" si="1"/>
        <v/>
      </c>
      <c r="O129" s="75"/>
      <c r="P129" s="72"/>
      <c r="Q129" s="72"/>
      <c r="R129" s="72"/>
      <c r="S129" s="72"/>
      <c r="T129" s="72"/>
      <c r="U129" s="72"/>
      <c r="V129" s="76"/>
    </row>
    <row r="130" spans="1:25" ht="27.75" customHeight="1">
      <c r="A130" s="87" t="str">
        <f>IF(ISBLANK(C130)," ",125-COUNTBLANK($C$6:C130))</f>
        <v xml:space="preserve"> </v>
      </c>
      <c r="B130" s="88"/>
      <c r="C130" s="88"/>
      <c r="D130" s="89"/>
      <c r="E130" s="89"/>
      <c r="F130" s="73"/>
      <c r="G130" s="73"/>
      <c r="H130" s="73"/>
      <c r="I130" s="73"/>
      <c r="J130" s="73"/>
      <c r="K130" s="73"/>
      <c r="L130" s="73"/>
      <c r="M130" s="74"/>
      <c r="N130" s="71" t="str">
        <f t="shared" si="1"/>
        <v/>
      </c>
      <c r="O130" s="72"/>
      <c r="P130" s="72"/>
      <c r="Q130" s="72"/>
      <c r="R130" s="72"/>
      <c r="S130" s="72"/>
      <c r="T130" s="72"/>
      <c r="U130" s="72"/>
      <c r="V130" s="79"/>
      <c r="W130" s="72"/>
      <c r="X130" s="72"/>
      <c r="Y130" s="72"/>
    </row>
    <row r="131" spans="1:25" ht="27.75" customHeight="1">
      <c r="A131" s="80" t="s">
        <v>58</v>
      </c>
      <c r="B131" s="81"/>
      <c r="C131" s="96"/>
      <c r="D131" s="82"/>
      <c r="E131" s="82">
        <f>SUM(E111:E130)</f>
        <v>0</v>
      </c>
      <c r="F131" s="83"/>
      <c r="G131" s="83"/>
      <c r="H131" s="83"/>
      <c r="I131" s="83"/>
      <c r="J131" s="83"/>
      <c r="K131" s="83"/>
      <c r="L131" s="83"/>
      <c r="M131" s="84"/>
      <c r="N131" s="71" t="str">
        <f t="shared" si="1"/>
        <v/>
      </c>
      <c r="O131" s="75"/>
      <c r="P131" s="72"/>
      <c r="Q131" s="72"/>
      <c r="R131" s="72"/>
      <c r="S131" s="72"/>
      <c r="T131" s="72"/>
      <c r="U131" s="72"/>
      <c r="V131" s="79"/>
      <c r="W131" s="72"/>
      <c r="X131" s="72"/>
      <c r="Y131" s="72"/>
    </row>
    <row r="132" spans="1:25" ht="27.75" customHeight="1">
      <c r="A132" s="93" t="str">
        <f>IF(ISBLANK(C132)," ",127-COUNTBLANK($C$6:C132))</f>
        <v xml:space="preserve"> </v>
      </c>
      <c r="B132" s="94"/>
      <c r="C132" s="94"/>
      <c r="D132" s="95"/>
      <c r="E132" s="95"/>
      <c r="F132" s="85"/>
      <c r="G132" s="85"/>
      <c r="H132" s="85"/>
      <c r="I132" s="85"/>
      <c r="J132" s="85"/>
      <c r="K132" s="85"/>
      <c r="L132" s="85"/>
      <c r="M132" s="86"/>
      <c r="N132" s="71" t="str">
        <f t="shared" si="1"/>
        <v/>
      </c>
      <c r="O132" s="72"/>
      <c r="P132" s="72"/>
      <c r="Q132" s="72"/>
      <c r="R132" s="72"/>
      <c r="S132" s="72"/>
      <c r="T132" s="72"/>
      <c r="U132" s="72"/>
      <c r="V132" s="72"/>
    </row>
    <row r="133" spans="1:25" ht="27.75" customHeight="1">
      <c r="A133" s="87" t="str">
        <f>IF(ISBLANK(C133)," ",128-COUNTBLANK($C$6:C133))</f>
        <v xml:space="preserve"> </v>
      </c>
      <c r="B133" s="88"/>
      <c r="C133" s="88"/>
      <c r="D133" s="89"/>
      <c r="E133" s="89"/>
      <c r="F133" s="73"/>
      <c r="G133" s="73"/>
      <c r="H133" s="73"/>
      <c r="I133" s="73"/>
      <c r="J133" s="73"/>
      <c r="K133" s="73"/>
      <c r="L133" s="73"/>
      <c r="M133" s="74"/>
      <c r="N133" s="71" t="str">
        <f t="shared" si="1"/>
        <v/>
      </c>
      <c r="O133" s="72"/>
      <c r="P133" s="72"/>
      <c r="Q133" s="72"/>
      <c r="R133" s="72"/>
      <c r="S133" s="72"/>
      <c r="T133" s="72"/>
      <c r="U133" s="72"/>
      <c r="V133" s="72"/>
    </row>
    <row r="134" spans="1:25" ht="27.75" customHeight="1">
      <c r="A134" s="87" t="str">
        <f>IF(ISBLANK(C134)," ",129-COUNTBLANK($C$6:C134))</f>
        <v xml:space="preserve"> </v>
      </c>
      <c r="B134" s="88"/>
      <c r="C134" s="88"/>
      <c r="D134" s="89"/>
      <c r="E134" s="89"/>
      <c r="F134" s="73"/>
      <c r="G134" s="73"/>
      <c r="H134" s="73"/>
      <c r="I134" s="73"/>
      <c r="J134" s="73"/>
      <c r="K134" s="73"/>
      <c r="L134" s="73"/>
      <c r="M134" s="74"/>
      <c r="N134" s="71" t="str">
        <f t="shared" ref="N134:N197" si="2">CONCATENATE(C134,H134)</f>
        <v/>
      </c>
      <c r="O134" s="72"/>
      <c r="P134" s="72"/>
      <c r="Q134" s="72"/>
      <c r="R134" s="72"/>
      <c r="S134" s="72"/>
      <c r="T134" s="72"/>
      <c r="U134" s="72"/>
      <c r="V134" s="72"/>
    </row>
    <row r="135" spans="1:25" ht="27.75" customHeight="1">
      <c r="A135" s="87" t="str">
        <f>IF(ISBLANK(C135)," ",130-COUNTBLANK($C$6:C135))</f>
        <v xml:space="preserve"> </v>
      </c>
      <c r="B135" s="88"/>
      <c r="C135" s="88"/>
      <c r="D135" s="89"/>
      <c r="E135" s="89"/>
      <c r="F135" s="73"/>
      <c r="G135" s="73"/>
      <c r="H135" s="73"/>
      <c r="I135" s="73"/>
      <c r="J135" s="73"/>
      <c r="K135" s="73"/>
      <c r="L135" s="73"/>
      <c r="M135" s="74"/>
      <c r="N135" s="71" t="str">
        <f t="shared" si="2"/>
        <v/>
      </c>
      <c r="O135" s="72"/>
      <c r="P135" s="72"/>
      <c r="Q135" s="72"/>
      <c r="R135" s="72"/>
      <c r="S135" s="72"/>
      <c r="T135" s="72"/>
      <c r="U135" s="72"/>
      <c r="V135" s="72"/>
    </row>
    <row r="136" spans="1:25" ht="27.75" customHeight="1">
      <c r="A136" s="87" t="str">
        <f>IF(ISBLANK(C136)," ",131-COUNTBLANK($C$6:C136))</f>
        <v xml:space="preserve"> </v>
      </c>
      <c r="B136" s="88"/>
      <c r="C136" s="88"/>
      <c r="D136" s="89"/>
      <c r="E136" s="89"/>
      <c r="F136" s="73"/>
      <c r="G136" s="73"/>
      <c r="H136" s="73"/>
      <c r="I136" s="73"/>
      <c r="J136" s="73"/>
      <c r="K136" s="73"/>
      <c r="L136" s="73"/>
      <c r="M136" s="74"/>
      <c r="N136" s="71" t="str">
        <f t="shared" si="2"/>
        <v/>
      </c>
      <c r="O136" s="72"/>
      <c r="P136" s="72"/>
      <c r="Q136" s="72"/>
      <c r="R136" s="72"/>
      <c r="S136" s="72"/>
      <c r="T136" s="72"/>
      <c r="U136" s="72"/>
      <c r="V136" s="72"/>
    </row>
    <row r="137" spans="1:25" ht="27.75" customHeight="1">
      <c r="A137" s="87" t="str">
        <f>IF(ISBLANK(C137)," ",132-COUNTBLANK($C$6:C137))</f>
        <v xml:space="preserve"> </v>
      </c>
      <c r="B137" s="88"/>
      <c r="C137" s="88"/>
      <c r="D137" s="89"/>
      <c r="E137" s="89"/>
      <c r="F137" s="73"/>
      <c r="G137" s="73"/>
      <c r="H137" s="73"/>
      <c r="I137" s="73"/>
      <c r="J137" s="73"/>
      <c r="K137" s="73"/>
      <c r="L137" s="73"/>
      <c r="M137" s="74"/>
      <c r="N137" s="71" t="str">
        <f t="shared" si="2"/>
        <v/>
      </c>
      <c r="O137" s="72"/>
      <c r="P137" s="72"/>
      <c r="Q137" s="72"/>
      <c r="R137" s="72"/>
      <c r="S137" s="72"/>
      <c r="T137" s="72"/>
      <c r="U137" s="72"/>
      <c r="V137" s="72"/>
    </row>
    <row r="138" spans="1:25" ht="27.75" customHeight="1">
      <c r="A138" s="87" t="str">
        <f>IF(ISBLANK(C138)," ",133-COUNTBLANK($C$6:C138))</f>
        <v xml:space="preserve"> </v>
      </c>
      <c r="B138" s="88"/>
      <c r="C138" s="88"/>
      <c r="D138" s="89"/>
      <c r="E138" s="89"/>
      <c r="F138" s="73"/>
      <c r="G138" s="73"/>
      <c r="H138" s="73"/>
      <c r="I138" s="73"/>
      <c r="J138" s="73"/>
      <c r="K138" s="73"/>
      <c r="L138" s="73"/>
      <c r="M138" s="74"/>
      <c r="N138" s="71" t="str">
        <f t="shared" si="2"/>
        <v/>
      </c>
      <c r="O138" s="72"/>
      <c r="P138" s="72"/>
      <c r="Q138" s="72"/>
      <c r="R138" s="72"/>
      <c r="S138" s="72"/>
      <c r="T138" s="72"/>
      <c r="U138" s="72"/>
      <c r="V138" s="72"/>
    </row>
    <row r="139" spans="1:25" ht="27.75" customHeight="1">
      <c r="A139" s="87" t="str">
        <f>IF(ISBLANK(C139)," ",134-COUNTBLANK($C$6:C139))</f>
        <v xml:space="preserve"> </v>
      </c>
      <c r="B139" s="88"/>
      <c r="C139" s="88"/>
      <c r="D139" s="89"/>
      <c r="E139" s="89"/>
      <c r="F139" s="73"/>
      <c r="G139" s="73"/>
      <c r="H139" s="73"/>
      <c r="I139" s="73"/>
      <c r="J139" s="73"/>
      <c r="K139" s="73"/>
      <c r="L139" s="73"/>
      <c r="M139" s="74"/>
      <c r="N139" s="71" t="str">
        <f t="shared" si="2"/>
        <v/>
      </c>
      <c r="O139" s="72"/>
      <c r="P139" s="72"/>
      <c r="Q139" s="72"/>
      <c r="R139" s="72"/>
      <c r="S139" s="72"/>
      <c r="T139" s="72"/>
      <c r="U139" s="72"/>
      <c r="V139" s="72"/>
    </row>
    <row r="140" spans="1:25" ht="27.75" customHeight="1">
      <c r="A140" s="87" t="str">
        <f>IF(ISBLANK(C140)," ",135-COUNTBLANK($C$6:C140))</f>
        <v xml:space="preserve"> </v>
      </c>
      <c r="B140" s="88"/>
      <c r="C140" s="88"/>
      <c r="D140" s="89"/>
      <c r="E140" s="89"/>
      <c r="F140" s="73"/>
      <c r="G140" s="73"/>
      <c r="H140" s="73"/>
      <c r="I140" s="73"/>
      <c r="J140" s="73"/>
      <c r="K140" s="73"/>
      <c r="L140" s="73"/>
      <c r="M140" s="74"/>
      <c r="N140" s="71" t="str">
        <f t="shared" si="2"/>
        <v/>
      </c>
      <c r="O140" s="72"/>
      <c r="P140" s="72"/>
      <c r="Q140" s="72"/>
      <c r="R140" s="72"/>
      <c r="S140" s="72"/>
      <c r="T140" s="72"/>
      <c r="U140" s="72"/>
      <c r="V140" s="72"/>
    </row>
    <row r="141" spans="1:25" ht="27.75" customHeight="1">
      <c r="A141" s="87" t="str">
        <f>IF(ISBLANK(C141)," ",136-COUNTBLANK($C$6:C141))</f>
        <v xml:space="preserve"> </v>
      </c>
      <c r="B141" s="88"/>
      <c r="C141" s="88"/>
      <c r="D141" s="89"/>
      <c r="E141" s="89"/>
      <c r="F141" s="73"/>
      <c r="G141" s="73"/>
      <c r="H141" s="73"/>
      <c r="I141" s="73"/>
      <c r="J141" s="73"/>
      <c r="K141" s="73"/>
      <c r="L141" s="73"/>
      <c r="M141" s="74"/>
      <c r="N141" s="71" t="str">
        <f t="shared" si="2"/>
        <v/>
      </c>
      <c r="O141" s="72"/>
      <c r="P141" s="72"/>
      <c r="Q141" s="72"/>
      <c r="R141" s="72"/>
      <c r="S141" s="72"/>
      <c r="T141" s="72"/>
      <c r="U141" s="72"/>
      <c r="V141" s="72"/>
    </row>
    <row r="142" spans="1:25" ht="27.75" customHeight="1">
      <c r="A142" s="87" t="str">
        <f>IF(ISBLANK(C142)," ",137-COUNTBLANK($C$6:C142))</f>
        <v xml:space="preserve"> </v>
      </c>
      <c r="B142" s="88"/>
      <c r="C142" s="88"/>
      <c r="D142" s="89"/>
      <c r="E142" s="89"/>
      <c r="F142" s="73"/>
      <c r="G142" s="73"/>
      <c r="H142" s="73"/>
      <c r="I142" s="73"/>
      <c r="J142" s="73"/>
      <c r="K142" s="73"/>
      <c r="L142" s="73"/>
      <c r="M142" s="74"/>
      <c r="N142" s="71" t="str">
        <f t="shared" si="2"/>
        <v/>
      </c>
      <c r="O142" s="72"/>
      <c r="P142" s="72"/>
      <c r="Q142" s="72"/>
      <c r="R142" s="72"/>
      <c r="S142" s="72"/>
      <c r="T142" s="72"/>
      <c r="U142" s="72"/>
      <c r="V142" s="72"/>
    </row>
    <row r="143" spans="1:25" ht="27.75" customHeight="1">
      <c r="A143" s="87" t="str">
        <f>IF(ISBLANK(C143)," ",138-COUNTBLANK($C$6:C143))</f>
        <v xml:space="preserve"> </v>
      </c>
      <c r="B143" s="88"/>
      <c r="C143" s="88"/>
      <c r="D143" s="89"/>
      <c r="E143" s="89"/>
      <c r="F143" s="73"/>
      <c r="G143" s="73"/>
      <c r="H143" s="73"/>
      <c r="I143" s="73"/>
      <c r="J143" s="73"/>
      <c r="K143" s="73"/>
      <c r="L143" s="73"/>
      <c r="M143" s="74"/>
      <c r="N143" s="71" t="str">
        <f t="shared" si="2"/>
        <v/>
      </c>
      <c r="O143" s="72"/>
      <c r="P143" s="72"/>
      <c r="Q143" s="72"/>
      <c r="R143" s="72"/>
      <c r="S143" s="72"/>
      <c r="T143" s="72"/>
      <c r="U143" s="72"/>
      <c r="V143" s="72"/>
    </row>
    <row r="144" spans="1:25" ht="27.75" customHeight="1">
      <c r="A144" s="87" t="str">
        <f>IF(ISBLANK(C144)," ",139-COUNTBLANK($C$6:C144))</f>
        <v xml:space="preserve"> </v>
      </c>
      <c r="B144" s="88"/>
      <c r="C144" s="88"/>
      <c r="D144" s="89"/>
      <c r="E144" s="89"/>
      <c r="F144" s="73"/>
      <c r="G144" s="73"/>
      <c r="H144" s="73"/>
      <c r="I144" s="73"/>
      <c r="J144" s="73"/>
      <c r="K144" s="73"/>
      <c r="L144" s="73"/>
      <c r="M144" s="74"/>
      <c r="N144" s="71" t="str">
        <f t="shared" si="2"/>
        <v/>
      </c>
      <c r="O144" s="72"/>
      <c r="P144" s="72"/>
      <c r="Q144" s="72"/>
      <c r="R144" s="72"/>
      <c r="S144" s="72"/>
      <c r="T144" s="72"/>
      <c r="U144" s="72"/>
      <c r="V144" s="72"/>
    </row>
    <row r="145" spans="1:25" ht="27.75" customHeight="1">
      <c r="A145" s="87" t="str">
        <f>IF(ISBLANK(C145)," ",140-COUNTBLANK($C$6:C145))</f>
        <v xml:space="preserve"> </v>
      </c>
      <c r="B145" s="88"/>
      <c r="C145" s="88"/>
      <c r="D145" s="89"/>
      <c r="E145" s="89"/>
      <c r="F145" s="73"/>
      <c r="G145" s="73"/>
      <c r="H145" s="73"/>
      <c r="I145" s="73"/>
      <c r="J145" s="73"/>
      <c r="K145" s="73"/>
      <c r="L145" s="73"/>
      <c r="M145" s="74"/>
      <c r="N145" s="71" t="str">
        <f t="shared" si="2"/>
        <v/>
      </c>
      <c r="O145" s="72"/>
      <c r="P145" s="72"/>
      <c r="Q145" s="72"/>
      <c r="R145" s="72"/>
      <c r="S145" s="72"/>
      <c r="T145" s="72"/>
      <c r="U145" s="72"/>
      <c r="V145" s="72"/>
    </row>
    <row r="146" spans="1:25" ht="27.75" customHeight="1">
      <c r="A146" s="87" t="str">
        <f>IF(ISBLANK(C146)," ",141-COUNTBLANK($C$6:C146))</f>
        <v xml:space="preserve"> </v>
      </c>
      <c r="B146" s="88"/>
      <c r="C146" s="88"/>
      <c r="D146" s="89"/>
      <c r="E146" s="89"/>
      <c r="F146" s="73"/>
      <c r="G146" s="73"/>
      <c r="H146" s="73"/>
      <c r="I146" s="73"/>
      <c r="J146" s="73"/>
      <c r="K146" s="73"/>
      <c r="L146" s="73"/>
      <c r="M146" s="74"/>
      <c r="N146" s="71" t="str">
        <f t="shared" si="2"/>
        <v/>
      </c>
      <c r="O146" s="72"/>
      <c r="P146" s="72"/>
      <c r="Q146" s="72"/>
      <c r="R146" s="72"/>
      <c r="S146" s="72"/>
      <c r="T146" s="72"/>
      <c r="U146" s="72"/>
      <c r="V146" s="72"/>
    </row>
    <row r="147" spans="1:25" ht="27.75" customHeight="1">
      <c r="A147" s="87" t="str">
        <f>IF(ISBLANK(C147)," ",142-COUNTBLANK($C$6:C147))</f>
        <v xml:space="preserve"> </v>
      </c>
      <c r="B147" s="88"/>
      <c r="C147" s="88"/>
      <c r="D147" s="89"/>
      <c r="E147" s="89"/>
      <c r="F147" s="73"/>
      <c r="G147" s="73"/>
      <c r="H147" s="73"/>
      <c r="I147" s="73"/>
      <c r="J147" s="73"/>
      <c r="K147" s="73"/>
      <c r="L147" s="73"/>
      <c r="M147" s="74"/>
      <c r="N147" s="71" t="str">
        <f t="shared" si="2"/>
        <v/>
      </c>
      <c r="O147" s="75"/>
      <c r="P147" s="72"/>
      <c r="Q147" s="72"/>
      <c r="R147" s="72"/>
      <c r="S147" s="72"/>
      <c r="T147" s="72"/>
      <c r="U147" s="72"/>
      <c r="V147" s="76"/>
    </row>
    <row r="148" spans="1:25" ht="27.75" customHeight="1">
      <c r="A148" s="87" t="str">
        <f>IF(ISBLANK(C148)," ",143-COUNTBLANK($C$6:C148))</f>
        <v xml:space="preserve"> </v>
      </c>
      <c r="B148" s="88"/>
      <c r="C148" s="88"/>
      <c r="D148" s="89"/>
      <c r="E148" s="89"/>
      <c r="F148" s="73"/>
      <c r="G148" s="73"/>
      <c r="H148" s="73"/>
      <c r="I148" s="73"/>
      <c r="J148" s="73"/>
      <c r="K148" s="73"/>
      <c r="L148" s="73"/>
      <c r="M148" s="74"/>
      <c r="N148" s="71" t="str">
        <f t="shared" si="2"/>
        <v/>
      </c>
      <c r="O148" s="75"/>
      <c r="P148" s="72"/>
      <c r="Q148" s="72"/>
      <c r="R148" s="72"/>
      <c r="S148" s="72"/>
      <c r="T148" s="72"/>
      <c r="U148" s="72"/>
      <c r="V148" s="76"/>
    </row>
    <row r="149" spans="1:25" ht="27.75" customHeight="1">
      <c r="A149" s="87" t="str">
        <f>IF(ISBLANK(C149)," ",144-COUNTBLANK($C$6:C149))</f>
        <v xml:space="preserve"> </v>
      </c>
      <c r="B149" s="88"/>
      <c r="C149" s="88"/>
      <c r="D149" s="89"/>
      <c r="E149" s="89"/>
      <c r="F149" s="73"/>
      <c r="G149" s="73"/>
      <c r="H149" s="73"/>
      <c r="I149" s="73"/>
      <c r="J149" s="73"/>
      <c r="K149" s="73"/>
      <c r="L149" s="73"/>
      <c r="M149" s="74"/>
      <c r="N149" s="71" t="str">
        <f t="shared" si="2"/>
        <v/>
      </c>
      <c r="O149" s="75"/>
      <c r="P149" s="72"/>
      <c r="Q149" s="72"/>
      <c r="R149" s="72"/>
      <c r="S149" s="72"/>
      <c r="T149" s="72"/>
      <c r="U149" s="72"/>
      <c r="V149" s="76"/>
    </row>
    <row r="150" spans="1:25" ht="27.75" customHeight="1">
      <c r="A150" s="87" t="str">
        <f>IF(ISBLANK(C150)," ",145-COUNTBLANK($C$6:C150))</f>
        <v xml:space="preserve"> </v>
      </c>
      <c r="B150" s="88"/>
      <c r="C150" s="88"/>
      <c r="D150" s="89"/>
      <c r="E150" s="89"/>
      <c r="F150" s="73"/>
      <c r="G150" s="73"/>
      <c r="H150" s="73"/>
      <c r="I150" s="73"/>
      <c r="J150" s="73"/>
      <c r="K150" s="73"/>
      <c r="L150" s="73"/>
      <c r="M150" s="74"/>
      <c r="N150" s="71" t="str">
        <f t="shared" si="2"/>
        <v/>
      </c>
      <c r="O150" s="75"/>
      <c r="P150" s="72"/>
      <c r="Q150" s="72"/>
      <c r="R150" s="72"/>
      <c r="S150" s="72"/>
      <c r="T150" s="72"/>
      <c r="U150" s="72"/>
      <c r="V150" s="76"/>
    </row>
    <row r="151" spans="1:25" ht="27.75" customHeight="1">
      <c r="A151" s="87" t="str">
        <f>IF(ISBLANK(C151)," ",146-COUNTBLANK($C$6:C151))</f>
        <v xml:space="preserve"> </v>
      </c>
      <c r="B151" s="88"/>
      <c r="C151" s="88"/>
      <c r="D151" s="89"/>
      <c r="E151" s="89"/>
      <c r="F151" s="73"/>
      <c r="G151" s="73"/>
      <c r="H151" s="73"/>
      <c r="I151" s="73"/>
      <c r="J151" s="73"/>
      <c r="K151" s="73"/>
      <c r="L151" s="73"/>
      <c r="M151" s="74"/>
      <c r="N151" s="71" t="str">
        <f t="shared" si="2"/>
        <v/>
      </c>
      <c r="O151" s="72"/>
      <c r="P151" s="72"/>
      <c r="Q151" s="72"/>
      <c r="R151" s="72"/>
      <c r="S151" s="72"/>
      <c r="T151" s="72"/>
      <c r="U151" s="72"/>
      <c r="V151" s="79"/>
      <c r="W151" s="72"/>
      <c r="X151" s="72"/>
      <c r="Y151" s="72"/>
    </row>
    <row r="152" spans="1:25" ht="27.75" customHeight="1">
      <c r="A152" s="80" t="s">
        <v>58</v>
      </c>
      <c r="B152" s="81"/>
      <c r="C152" s="96"/>
      <c r="D152" s="82"/>
      <c r="E152" s="82">
        <f>SUM(E132:E151)</f>
        <v>0</v>
      </c>
      <c r="F152" s="83"/>
      <c r="G152" s="83"/>
      <c r="H152" s="83"/>
      <c r="I152" s="83"/>
      <c r="J152" s="83"/>
      <c r="K152" s="83"/>
      <c r="L152" s="83"/>
      <c r="M152" s="84"/>
      <c r="N152" s="71" t="str">
        <f t="shared" si="2"/>
        <v/>
      </c>
      <c r="O152" s="75"/>
      <c r="P152" s="72"/>
      <c r="Q152" s="72"/>
      <c r="R152" s="72"/>
      <c r="S152" s="72"/>
      <c r="T152" s="72"/>
      <c r="U152" s="72"/>
      <c r="V152" s="79"/>
      <c r="W152" s="72"/>
      <c r="X152" s="72"/>
      <c r="Y152" s="72"/>
    </row>
    <row r="153" spans="1:25" ht="27.75" customHeight="1">
      <c r="A153" s="93" t="str">
        <f>IF(ISBLANK(C153)," ",148-COUNTBLANK($C$6:C153))</f>
        <v xml:space="preserve"> </v>
      </c>
      <c r="B153" s="94"/>
      <c r="C153" s="94"/>
      <c r="D153" s="95"/>
      <c r="E153" s="95"/>
      <c r="F153" s="85"/>
      <c r="G153" s="85"/>
      <c r="H153" s="85"/>
      <c r="I153" s="85"/>
      <c r="J153" s="85"/>
      <c r="K153" s="85"/>
      <c r="L153" s="85"/>
      <c r="M153" s="86"/>
      <c r="N153" s="71" t="str">
        <f t="shared" si="2"/>
        <v/>
      </c>
      <c r="O153" s="72"/>
      <c r="P153" s="72"/>
      <c r="Q153" s="72"/>
      <c r="R153" s="72"/>
      <c r="S153" s="72"/>
      <c r="T153" s="72"/>
      <c r="U153" s="72"/>
      <c r="V153" s="72"/>
    </row>
    <row r="154" spans="1:25" ht="27.75" customHeight="1">
      <c r="A154" s="87" t="str">
        <f>IF(ISBLANK(C154)," ",149-COUNTBLANK($C$6:C154))</f>
        <v xml:space="preserve"> </v>
      </c>
      <c r="B154" s="88"/>
      <c r="C154" s="88"/>
      <c r="D154" s="89"/>
      <c r="E154" s="89"/>
      <c r="F154" s="73"/>
      <c r="G154" s="73"/>
      <c r="H154" s="73"/>
      <c r="I154" s="73"/>
      <c r="J154" s="73"/>
      <c r="K154" s="73"/>
      <c r="L154" s="73"/>
      <c r="M154" s="74"/>
      <c r="N154" s="71" t="str">
        <f t="shared" si="2"/>
        <v/>
      </c>
      <c r="O154" s="72"/>
      <c r="P154" s="72"/>
      <c r="Q154" s="72"/>
      <c r="R154" s="72"/>
      <c r="S154" s="72"/>
      <c r="T154" s="72"/>
      <c r="U154" s="72"/>
      <c r="V154" s="72"/>
    </row>
    <row r="155" spans="1:25" ht="27.75" customHeight="1">
      <c r="A155" s="87" t="str">
        <f>IF(ISBLANK(C155)," ",150-COUNTBLANK($C$6:C155))</f>
        <v xml:space="preserve"> </v>
      </c>
      <c r="B155" s="88"/>
      <c r="C155" s="88"/>
      <c r="D155" s="89"/>
      <c r="E155" s="89"/>
      <c r="F155" s="73"/>
      <c r="G155" s="73"/>
      <c r="H155" s="73"/>
      <c r="I155" s="73"/>
      <c r="J155" s="73"/>
      <c r="K155" s="73"/>
      <c r="L155" s="73"/>
      <c r="M155" s="74"/>
      <c r="N155" s="71" t="str">
        <f t="shared" si="2"/>
        <v/>
      </c>
      <c r="O155" s="72"/>
      <c r="P155" s="72"/>
      <c r="Q155" s="72"/>
      <c r="R155" s="72"/>
      <c r="S155" s="72"/>
      <c r="T155" s="72"/>
      <c r="U155" s="72"/>
      <c r="V155" s="72"/>
    </row>
    <row r="156" spans="1:25" ht="27.75" customHeight="1">
      <c r="A156" s="87" t="str">
        <f>IF(ISBLANK(C156)," ",151-COUNTBLANK($C$6:C156))</f>
        <v xml:space="preserve"> </v>
      </c>
      <c r="B156" s="88"/>
      <c r="C156" s="88"/>
      <c r="D156" s="89"/>
      <c r="E156" s="89"/>
      <c r="F156" s="73"/>
      <c r="G156" s="73"/>
      <c r="H156" s="73"/>
      <c r="I156" s="73"/>
      <c r="J156" s="73"/>
      <c r="K156" s="73"/>
      <c r="L156" s="73"/>
      <c r="M156" s="74"/>
      <c r="N156" s="71" t="str">
        <f t="shared" si="2"/>
        <v/>
      </c>
      <c r="O156" s="72"/>
      <c r="P156" s="72"/>
      <c r="Q156" s="72"/>
      <c r="R156" s="72"/>
      <c r="S156" s="72"/>
      <c r="T156" s="72"/>
      <c r="U156" s="72"/>
      <c r="V156" s="72"/>
    </row>
    <row r="157" spans="1:25" ht="27.75" customHeight="1">
      <c r="A157" s="87" t="str">
        <f>IF(ISBLANK(C157)," ",152-COUNTBLANK($C$6:C157))</f>
        <v xml:space="preserve"> </v>
      </c>
      <c r="B157" s="88"/>
      <c r="C157" s="88"/>
      <c r="D157" s="89"/>
      <c r="E157" s="89"/>
      <c r="F157" s="73"/>
      <c r="G157" s="73"/>
      <c r="H157" s="73"/>
      <c r="I157" s="73"/>
      <c r="J157" s="73"/>
      <c r="K157" s="73"/>
      <c r="L157" s="73"/>
      <c r="M157" s="74"/>
      <c r="N157" s="71" t="str">
        <f t="shared" si="2"/>
        <v/>
      </c>
      <c r="O157" s="72"/>
      <c r="P157" s="72"/>
      <c r="Q157" s="72"/>
      <c r="R157" s="72"/>
      <c r="S157" s="72"/>
      <c r="T157" s="72"/>
      <c r="U157" s="72"/>
      <c r="V157" s="72"/>
    </row>
    <row r="158" spans="1:25" ht="27.75" customHeight="1">
      <c r="A158" s="87" t="str">
        <f>IF(ISBLANK(C158)," ",153-COUNTBLANK($C$6:C158))</f>
        <v xml:space="preserve"> </v>
      </c>
      <c r="B158" s="88"/>
      <c r="C158" s="88"/>
      <c r="D158" s="89"/>
      <c r="E158" s="89"/>
      <c r="F158" s="73"/>
      <c r="G158" s="73"/>
      <c r="H158" s="73"/>
      <c r="I158" s="73"/>
      <c r="J158" s="73"/>
      <c r="K158" s="73"/>
      <c r="L158" s="73"/>
      <c r="M158" s="74"/>
      <c r="N158" s="71" t="str">
        <f t="shared" si="2"/>
        <v/>
      </c>
      <c r="O158" s="72"/>
      <c r="P158" s="72"/>
      <c r="Q158" s="72"/>
      <c r="R158" s="72"/>
      <c r="S158" s="72"/>
      <c r="T158" s="72"/>
      <c r="U158" s="72"/>
      <c r="V158" s="72"/>
    </row>
    <row r="159" spans="1:25" ht="27.75" customHeight="1">
      <c r="A159" s="87" t="str">
        <f>IF(ISBLANK(C159)," ",154-COUNTBLANK($C$6:C159))</f>
        <v xml:space="preserve"> </v>
      </c>
      <c r="B159" s="88"/>
      <c r="C159" s="88"/>
      <c r="D159" s="89"/>
      <c r="E159" s="89"/>
      <c r="F159" s="73"/>
      <c r="G159" s="73"/>
      <c r="H159" s="73"/>
      <c r="I159" s="73"/>
      <c r="J159" s="73"/>
      <c r="K159" s="73"/>
      <c r="L159" s="73"/>
      <c r="M159" s="74"/>
      <c r="N159" s="71" t="str">
        <f t="shared" si="2"/>
        <v/>
      </c>
      <c r="O159" s="72"/>
      <c r="P159" s="72"/>
      <c r="Q159" s="72"/>
      <c r="R159" s="72"/>
      <c r="S159" s="72"/>
      <c r="T159" s="72"/>
      <c r="U159" s="72"/>
      <c r="V159" s="72"/>
    </row>
    <row r="160" spans="1:25" ht="27.75" customHeight="1">
      <c r="A160" s="87" t="str">
        <f>IF(ISBLANK(C160)," ",155-COUNTBLANK($C$6:C160))</f>
        <v xml:space="preserve"> </v>
      </c>
      <c r="B160" s="88"/>
      <c r="C160" s="88"/>
      <c r="D160" s="89"/>
      <c r="E160" s="89"/>
      <c r="F160" s="73"/>
      <c r="G160" s="73"/>
      <c r="H160" s="73"/>
      <c r="I160" s="73"/>
      <c r="J160" s="73"/>
      <c r="K160" s="73"/>
      <c r="L160" s="73"/>
      <c r="M160" s="74"/>
      <c r="N160" s="71" t="str">
        <f t="shared" si="2"/>
        <v/>
      </c>
      <c r="O160" s="72"/>
      <c r="P160" s="72"/>
      <c r="Q160" s="72"/>
      <c r="R160" s="72"/>
      <c r="S160" s="72"/>
      <c r="T160" s="72"/>
      <c r="U160" s="72"/>
      <c r="V160" s="72"/>
    </row>
    <row r="161" spans="1:25" ht="27.75" customHeight="1">
      <c r="A161" s="87" t="str">
        <f>IF(ISBLANK(C161)," ",156-COUNTBLANK($C$6:C161))</f>
        <v xml:space="preserve"> </v>
      </c>
      <c r="B161" s="88"/>
      <c r="C161" s="88"/>
      <c r="D161" s="89"/>
      <c r="E161" s="89"/>
      <c r="F161" s="73"/>
      <c r="G161" s="73"/>
      <c r="H161" s="73"/>
      <c r="I161" s="73"/>
      <c r="J161" s="73"/>
      <c r="K161" s="73"/>
      <c r="L161" s="73"/>
      <c r="M161" s="74"/>
      <c r="N161" s="71" t="str">
        <f t="shared" si="2"/>
        <v/>
      </c>
      <c r="O161" s="72"/>
      <c r="P161" s="72"/>
      <c r="Q161" s="72"/>
      <c r="R161" s="72"/>
      <c r="S161" s="72"/>
      <c r="T161" s="72"/>
      <c r="U161" s="72"/>
      <c r="V161" s="72"/>
    </row>
    <row r="162" spans="1:25" ht="27.75" customHeight="1">
      <c r="A162" s="87" t="str">
        <f>IF(ISBLANK(C162)," ",157-COUNTBLANK($C$6:C162))</f>
        <v xml:space="preserve"> </v>
      </c>
      <c r="B162" s="88"/>
      <c r="C162" s="88"/>
      <c r="D162" s="89"/>
      <c r="E162" s="89"/>
      <c r="F162" s="73"/>
      <c r="G162" s="73"/>
      <c r="H162" s="73"/>
      <c r="I162" s="73"/>
      <c r="J162" s="73"/>
      <c r="K162" s="73"/>
      <c r="L162" s="73"/>
      <c r="M162" s="74"/>
      <c r="N162" s="71" t="str">
        <f t="shared" si="2"/>
        <v/>
      </c>
      <c r="O162" s="72"/>
      <c r="P162" s="72"/>
      <c r="Q162" s="72"/>
      <c r="R162" s="72"/>
      <c r="S162" s="72"/>
      <c r="T162" s="72"/>
      <c r="U162" s="72"/>
      <c r="V162" s="72"/>
    </row>
    <row r="163" spans="1:25" ht="27.75" customHeight="1">
      <c r="A163" s="87" t="str">
        <f>IF(ISBLANK(C163)," ",158-COUNTBLANK($C$6:C163))</f>
        <v xml:space="preserve"> </v>
      </c>
      <c r="B163" s="88"/>
      <c r="C163" s="88"/>
      <c r="D163" s="89"/>
      <c r="E163" s="89"/>
      <c r="F163" s="73"/>
      <c r="G163" s="73"/>
      <c r="H163" s="73"/>
      <c r="I163" s="73"/>
      <c r="J163" s="73"/>
      <c r="K163" s="73"/>
      <c r="L163" s="73"/>
      <c r="M163" s="74"/>
      <c r="N163" s="71" t="str">
        <f t="shared" si="2"/>
        <v/>
      </c>
      <c r="O163" s="72"/>
      <c r="P163" s="72"/>
      <c r="Q163" s="72"/>
      <c r="R163" s="72"/>
      <c r="S163" s="72"/>
      <c r="T163" s="72"/>
      <c r="U163" s="72"/>
      <c r="V163" s="72"/>
    </row>
    <row r="164" spans="1:25" ht="27.75" customHeight="1">
      <c r="A164" s="87" t="str">
        <f>IF(ISBLANK(C164)," ",159-COUNTBLANK($C$6:C164))</f>
        <v xml:space="preserve"> </v>
      </c>
      <c r="B164" s="88"/>
      <c r="C164" s="88"/>
      <c r="D164" s="89"/>
      <c r="E164" s="89"/>
      <c r="F164" s="73"/>
      <c r="G164" s="73"/>
      <c r="H164" s="73"/>
      <c r="I164" s="73"/>
      <c r="J164" s="73"/>
      <c r="K164" s="73"/>
      <c r="L164" s="73"/>
      <c r="M164" s="74"/>
      <c r="N164" s="71" t="str">
        <f t="shared" si="2"/>
        <v/>
      </c>
      <c r="O164" s="72"/>
      <c r="P164" s="72"/>
      <c r="Q164" s="72"/>
      <c r="R164" s="72"/>
      <c r="S164" s="72"/>
      <c r="T164" s="72"/>
      <c r="U164" s="72"/>
      <c r="V164" s="72"/>
    </row>
    <row r="165" spans="1:25" ht="27.75" customHeight="1">
      <c r="A165" s="87" t="str">
        <f>IF(ISBLANK(C165)," ",160-COUNTBLANK($C$6:C165))</f>
        <v xml:space="preserve"> </v>
      </c>
      <c r="B165" s="88"/>
      <c r="C165" s="88"/>
      <c r="D165" s="89"/>
      <c r="E165" s="89"/>
      <c r="F165" s="73"/>
      <c r="G165" s="73"/>
      <c r="H165" s="73"/>
      <c r="I165" s="73"/>
      <c r="J165" s="73"/>
      <c r="K165" s="73"/>
      <c r="L165" s="73"/>
      <c r="M165" s="74"/>
      <c r="N165" s="71" t="str">
        <f t="shared" si="2"/>
        <v/>
      </c>
      <c r="O165" s="72"/>
      <c r="P165" s="72"/>
      <c r="Q165" s="72"/>
      <c r="R165" s="72"/>
      <c r="S165" s="72"/>
      <c r="T165" s="72"/>
      <c r="U165" s="72"/>
      <c r="V165" s="72"/>
    </row>
    <row r="166" spans="1:25" ht="27.75" customHeight="1">
      <c r="A166" s="87" t="str">
        <f>IF(ISBLANK(C166)," ",161-COUNTBLANK($C$6:C166))</f>
        <v xml:space="preserve"> </v>
      </c>
      <c r="B166" s="88"/>
      <c r="C166" s="88"/>
      <c r="D166" s="89"/>
      <c r="E166" s="89"/>
      <c r="F166" s="73"/>
      <c r="G166" s="73"/>
      <c r="H166" s="73"/>
      <c r="I166" s="73"/>
      <c r="J166" s="73"/>
      <c r="K166" s="73"/>
      <c r="L166" s="73"/>
      <c r="M166" s="74"/>
      <c r="N166" s="71" t="str">
        <f t="shared" si="2"/>
        <v/>
      </c>
      <c r="O166" s="72"/>
      <c r="P166" s="72"/>
      <c r="Q166" s="72"/>
      <c r="R166" s="72"/>
      <c r="S166" s="72"/>
      <c r="T166" s="72"/>
      <c r="U166" s="72"/>
      <c r="V166" s="72"/>
    </row>
    <row r="167" spans="1:25" ht="27.75" customHeight="1">
      <c r="A167" s="87" t="str">
        <f>IF(ISBLANK(C167)," ",162-COUNTBLANK($C$6:C167))</f>
        <v xml:space="preserve"> </v>
      </c>
      <c r="B167" s="88"/>
      <c r="C167" s="88"/>
      <c r="D167" s="89"/>
      <c r="E167" s="89"/>
      <c r="F167" s="73"/>
      <c r="G167" s="73"/>
      <c r="H167" s="73"/>
      <c r="I167" s="73"/>
      <c r="J167" s="73"/>
      <c r="K167" s="73"/>
      <c r="L167" s="73"/>
      <c r="M167" s="74"/>
      <c r="N167" s="71" t="str">
        <f t="shared" si="2"/>
        <v/>
      </c>
      <c r="O167" s="72"/>
      <c r="P167" s="72"/>
      <c r="Q167" s="72"/>
      <c r="R167" s="72"/>
      <c r="S167" s="72"/>
      <c r="T167" s="72"/>
      <c r="U167" s="72"/>
      <c r="V167" s="72"/>
    </row>
    <row r="168" spans="1:25" ht="27.75" customHeight="1">
      <c r="A168" s="87" t="str">
        <f>IF(ISBLANK(C168)," ",163-COUNTBLANK($C$6:C168))</f>
        <v xml:space="preserve"> </v>
      </c>
      <c r="B168" s="88"/>
      <c r="C168" s="88"/>
      <c r="D168" s="89"/>
      <c r="E168" s="89"/>
      <c r="F168" s="73"/>
      <c r="G168" s="73"/>
      <c r="H168" s="73"/>
      <c r="I168" s="73"/>
      <c r="J168" s="73"/>
      <c r="K168" s="73"/>
      <c r="L168" s="73"/>
      <c r="M168" s="74"/>
      <c r="N168" s="71" t="str">
        <f t="shared" si="2"/>
        <v/>
      </c>
      <c r="O168" s="75"/>
      <c r="P168" s="72"/>
      <c r="Q168" s="72"/>
      <c r="R168" s="72"/>
      <c r="S168" s="72"/>
      <c r="T168" s="72"/>
      <c r="U168" s="72"/>
      <c r="V168" s="76"/>
    </row>
    <row r="169" spans="1:25" ht="27.75" customHeight="1">
      <c r="A169" s="87" t="str">
        <f>IF(ISBLANK(C169)," ",164-COUNTBLANK($C$6:C169))</f>
        <v xml:space="preserve"> </v>
      </c>
      <c r="B169" s="88"/>
      <c r="C169" s="88"/>
      <c r="D169" s="89"/>
      <c r="E169" s="89"/>
      <c r="F169" s="73"/>
      <c r="G169" s="73"/>
      <c r="H169" s="73"/>
      <c r="I169" s="73"/>
      <c r="J169" s="73"/>
      <c r="K169" s="73"/>
      <c r="L169" s="73"/>
      <c r="M169" s="74"/>
      <c r="N169" s="71" t="str">
        <f t="shared" si="2"/>
        <v/>
      </c>
      <c r="O169" s="75"/>
      <c r="P169" s="72"/>
      <c r="Q169" s="72"/>
      <c r="R169" s="72"/>
      <c r="S169" s="72"/>
      <c r="T169" s="72"/>
      <c r="U169" s="72"/>
      <c r="V169" s="76"/>
    </row>
    <row r="170" spans="1:25" ht="27.75" customHeight="1">
      <c r="A170" s="87" t="str">
        <f>IF(ISBLANK(C170)," ",165-COUNTBLANK($C$6:C170))</f>
        <v xml:space="preserve"> </v>
      </c>
      <c r="B170" s="88"/>
      <c r="C170" s="88"/>
      <c r="D170" s="89"/>
      <c r="E170" s="89"/>
      <c r="F170" s="73"/>
      <c r="G170" s="73"/>
      <c r="H170" s="73"/>
      <c r="I170" s="73"/>
      <c r="J170" s="73"/>
      <c r="K170" s="73"/>
      <c r="L170" s="73"/>
      <c r="M170" s="74"/>
      <c r="N170" s="71" t="str">
        <f t="shared" si="2"/>
        <v/>
      </c>
      <c r="O170" s="75"/>
      <c r="P170" s="72"/>
      <c r="Q170" s="72"/>
      <c r="R170" s="72"/>
      <c r="S170" s="72"/>
      <c r="T170" s="72"/>
      <c r="U170" s="72"/>
      <c r="V170" s="76"/>
    </row>
    <row r="171" spans="1:25" ht="27.75" customHeight="1">
      <c r="A171" s="87" t="str">
        <f>IF(ISBLANK(C171)," ",166-COUNTBLANK($C$6:C171))</f>
        <v xml:space="preserve"> </v>
      </c>
      <c r="B171" s="88"/>
      <c r="C171" s="88"/>
      <c r="D171" s="89"/>
      <c r="E171" s="89"/>
      <c r="F171" s="73"/>
      <c r="G171" s="73"/>
      <c r="H171" s="73"/>
      <c r="I171" s="73"/>
      <c r="J171" s="73"/>
      <c r="K171" s="73"/>
      <c r="L171" s="73"/>
      <c r="M171" s="74"/>
      <c r="N171" s="71" t="str">
        <f t="shared" si="2"/>
        <v/>
      </c>
      <c r="O171" s="75"/>
      <c r="P171" s="72"/>
      <c r="Q171" s="72"/>
      <c r="R171" s="72"/>
      <c r="S171" s="72"/>
      <c r="T171" s="72"/>
      <c r="U171" s="72"/>
      <c r="V171" s="76"/>
    </row>
    <row r="172" spans="1:25" ht="27.75" customHeight="1">
      <c r="A172" s="87" t="str">
        <f>IF(ISBLANK(C172)," ",167-COUNTBLANK($C$6:C172))</f>
        <v xml:space="preserve"> </v>
      </c>
      <c r="B172" s="88"/>
      <c r="C172" s="88"/>
      <c r="D172" s="89"/>
      <c r="E172" s="89"/>
      <c r="F172" s="73"/>
      <c r="G172" s="73"/>
      <c r="H172" s="73"/>
      <c r="I172" s="73"/>
      <c r="J172" s="73"/>
      <c r="K172" s="73"/>
      <c r="L172" s="73"/>
      <c r="M172" s="74"/>
      <c r="N172" s="71" t="str">
        <f t="shared" si="2"/>
        <v/>
      </c>
      <c r="O172" s="72"/>
      <c r="P172" s="72"/>
      <c r="Q172" s="72"/>
      <c r="R172" s="72"/>
      <c r="S172" s="72"/>
      <c r="T172" s="72"/>
      <c r="U172" s="72"/>
      <c r="V172" s="79"/>
      <c r="W172" s="72"/>
      <c r="X172" s="72"/>
      <c r="Y172" s="72"/>
    </row>
    <row r="173" spans="1:25" ht="27.75" customHeight="1">
      <c r="A173" s="80" t="s">
        <v>58</v>
      </c>
      <c r="B173" s="81"/>
      <c r="C173" s="96"/>
      <c r="D173" s="82"/>
      <c r="E173" s="82">
        <f>SUM(E153:E172)</f>
        <v>0</v>
      </c>
      <c r="F173" s="83"/>
      <c r="G173" s="83"/>
      <c r="H173" s="83"/>
      <c r="I173" s="83"/>
      <c r="J173" s="83"/>
      <c r="K173" s="83"/>
      <c r="L173" s="83"/>
      <c r="M173" s="84"/>
      <c r="N173" s="71" t="str">
        <f t="shared" si="2"/>
        <v/>
      </c>
      <c r="O173" s="75"/>
      <c r="P173" s="72"/>
      <c r="Q173" s="72"/>
      <c r="R173" s="72"/>
      <c r="S173" s="72"/>
      <c r="T173" s="72"/>
      <c r="U173" s="72"/>
      <c r="V173" s="79"/>
      <c r="W173" s="72"/>
      <c r="X173" s="72"/>
      <c r="Y173" s="72"/>
    </row>
    <row r="174" spans="1:25" ht="27.75" customHeight="1">
      <c r="A174" s="93" t="str">
        <f>IF(ISBLANK(C174)," ",169-COUNTBLANK($C$6:C174))</f>
        <v xml:space="preserve"> </v>
      </c>
      <c r="B174" s="94"/>
      <c r="C174" s="94"/>
      <c r="D174" s="95"/>
      <c r="E174" s="95"/>
      <c r="F174" s="85"/>
      <c r="G174" s="85"/>
      <c r="H174" s="85"/>
      <c r="I174" s="85"/>
      <c r="J174" s="85"/>
      <c r="K174" s="85"/>
      <c r="L174" s="85"/>
      <c r="M174" s="86"/>
      <c r="N174" s="71" t="str">
        <f t="shared" si="2"/>
        <v/>
      </c>
      <c r="O174" s="72"/>
      <c r="P174" s="72"/>
      <c r="Q174" s="72"/>
      <c r="R174" s="72"/>
      <c r="S174" s="72"/>
      <c r="T174" s="72"/>
      <c r="U174" s="72"/>
      <c r="V174" s="72"/>
    </row>
    <row r="175" spans="1:25" ht="27.75" customHeight="1">
      <c r="A175" s="87" t="str">
        <f>IF(ISBLANK(C175)," ",170-COUNTBLANK($C$6:C175))</f>
        <v xml:space="preserve"> </v>
      </c>
      <c r="B175" s="88"/>
      <c r="C175" s="88"/>
      <c r="D175" s="89"/>
      <c r="E175" s="89"/>
      <c r="F175" s="73"/>
      <c r="G175" s="73"/>
      <c r="H175" s="73"/>
      <c r="I175" s="73"/>
      <c r="J175" s="73"/>
      <c r="K175" s="73"/>
      <c r="L175" s="73"/>
      <c r="M175" s="74"/>
      <c r="N175" s="71" t="str">
        <f t="shared" si="2"/>
        <v/>
      </c>
      <c r="O175" s="72"/>
      <c r="P175" s="72"/>
      <c r="Q175" s="72"/>
      <c r="R175" s="72"/>
      <c r="S175" s="72"/>
      <c r="T175" s="72"/>
      <c r="U175" s="72"/>
      <c r="V175" s="72"/>
    </row>
    <row r="176" spans="1:25" ht="27.75" customHeight="1">
      <c r="A176" s="87" t="str">
        <f>IF(ISBLANK(C176)," ",171-COUNTBLANK($C$6:C176))</f>
        <v xml:space="preserve"> </v>
      </c>
      <c r="B176" s="88"/>
      <c r="C176" s="88"/>
      <c r="D176" s="89"/>
      <c r="E176" s="89"/>
      <c r="F176" s="73"/>
      <c r="G176" s="73"/>
      <c r="H176" s="73"/>
      <c r="I176" s="73"/>
      <c r="J176" s="73"/>
      <c r="K176" s="73"/>
      <c r="L176" s="73"/>
      <c r="M176" s="74"/>
      <c r="N176" s="71" t="str">
        <f t="shared" si="2"/>
        <v/>
      </c>
      <c r="O176" s="72"/>
      <c r="P176" s="72"/>
      <c r="Q176" s="72"/>
      <c r="R176" s="72"/>
      <c r="S176" s="72"/>
      <c r="T176" s="72"/>
      <c r="U176" s="72"/>
      <c r="V176" s="72"/>
    </row>
    <row r="177" spans="1:22" ht="27.75" customHeight="1">
      <c r="A177" s="87" t="str">
        <f>IF(ISBLANK(C177)," ",172-COUNTBLANK($C$6:C177))</f>
        <v xml:space="preserve"> </v>
      </c>
      <c r="B177" s="88"/>
      <c r="C177" s="88"/>
      <c r="D177" s="89"/>
      <c r="E177" s="89"/>
      <c r="F177" s="73"/>
      <c r="G177" s="73"/>
      <c r="H177" s="73"/>
      <c r="I177" s="73"/>
      <c r="J177" s="73"/>
      <c r="K177" s="73"/>
      <c r="L177" s="73"/>
      <c r="M177" s="74"/>
      <c r="N177" s="71" t="str">
        <f t="shared" si="2"/>
        <v/>
      </c>
      <c r="O177" s="72"/>
      <c r="P177" s="72"/>
      <c r="Q177" s="72"/>
      <c r="R177" s="72"/>
      <c r="S177" s="72"/>
      <c r="T177" s="72"/>
      <c r="U177" s="72"/>
      <c r="V177" s="72"/>
    </row>
    <row r="178" spans="1:22" ht="27.75" customHeight="1">
      <c r="A178" s="87" t="str">
        <f>IF(ISBLANK(C178)," ",173-COUNTBLANK($C$6:C178))</f>
        <v xml:space="preserve"> </v>
      </c>
      <c r="B178" s="88"/>
      <c r="C178" s="88"/>
      <c r="D178" s="89"/>
      <c r="E178" s="89"/>
      <c r="F178" s="73"/>
      <c r="G178" s="73"/>
      <c r="H178" s="73"/>
      <c r="I178" s="73"/>
      <c r="J178" s="73"/>
      <c r="K178" s="73"/>
      <c r="L178" s="73"/>
      <c r="M178" s="74"/>
      <c r="N178" s="71" t="str">
        <f t="shared" si="2"/>
        <v/>
      </c>
      <c r="O178" s="72"/>
      <c r="P178" s="72"/>
      <c r="Q178" s="72"/>
      <c r="R178" s="72"/>
      <c r="S178" s="72"/>
      <c r="T178" s="72"/>
      <c r="U178" s="72"/>
      <c r="V178" s="72"/>
    </row>
    <row r="179" spans="1:22" ht="27.75" customHeight="1">
      <c r="A179" s="87" t="str">
        <f>IF(ISBLANK(C179)," ",174-COUNTBLANK($C$6:C179))</f>
        <v xml:space="preserve"> </v>
      </c>
      <c r="B179" s="88"/>
      <c r="C179" s="88"/>
      <c r="D179" s="89"/>
      <c r="E179" s="89"/>
      <c r="F179" s="73"/>
      <c r="G179" s="73"/>
      <c r="H179" s="73"/>
      <c r="I179" s="73"/>
      <c r="J179" s="73"/>
      <c r="K179" s="73"/>
      <c r="L179" s="73"/>
      <c r="M179" s="74"/>
      <c r="N179" s="71" t="str">
        <f t="shared" si="2"/>
        <v/>
      </c>
      <c r="O179" s="72"/>
      <c r="P179" s="72"/>
      <c r="Q179" s="72"/>
      <c r="R179" s="72"/>
      <c r="S179" s="72"/>
      <c r="T179" s="72"/>
      <c r="U179" s="72"/>
      <c r="V179" s="72"/>
    </row>
    <row r="180" spans="1:22" ht="27.75" customHeight="1">
      <c r="A180" s="87" t="str">
        <f>IF(ISBLANK(C180)," ",175-COUNTBLANK($C$6:C180))</f>
        <v xml:space="preserve"> </v>
      </c>
      <c r="B180" s="88"/>
      <c r="C180" s="88"/>
      <c r="D180" s="89"/>
      <c r="E180" s="89"/>
      <c r="F180" s="73"/>
      <c r="G180" s="73"/>
      <c r="H180" s="73"/>
      <c r="I180" s="73"/>
      <c r="J180" s="73"/>
      <c r="K180" s="73"/>
      <c r="L180" s="73"/>
      <c r="M180" s="74"/>
      <c r="N180" s="71" t="str">
        <f t="shared" si="2"/>
        <v/>
      </c>
      <c r="O180" s="72"/>
      <c r="P180" s="72"/>
      <c r="Q180" s="72"/>
      <c r="R180" s="72"/>
      <c r="S180" s="72"/>
      <c r="T180" s="72"/>
      <c r="U180" s="72"/>
      <c r="V180" s="72"/>
    </row>
    <row r="181" spans="1:22" ht="27.75" customHeight="1">
      <c r="A181" s="87" t="str">
        <f>IF(ISBLANK(C181)," ",176-COUNTBLANK($C$6:C181))</f>
        <v xml:space="preserve"> </v>
      </c>
      <c r="B181" s="88"/>
      <c r="C181" s="88"/>
      <c r="D181" s="89"/>
      <c r="E181" s="89"/>
      <c r="F181" s="73"/>
      <c r="G181" s="73"/>
      <c r="H181" s="73"/>
      <c r="I181" s="73"/>
      <c r="J181" s="73"/>
      <c r="K181" s="73"/>
      <c r="L181" s="73"/>
      <c r="M181" s="74"/>
      <c r="N181" s="71" t="str">
        <f t="shared" si="2"/>
        <v/>
      </c>
      <c r="O181" s="72"/>
      <c r="P181" s="72"/>
      <c r="Q181" s="72"/>
      <c r="R181" s="72"/>
      <c r="S181" s="72"/>
      <c r="T181" s="72"/>
      <c r="U181" s="72"/>
      <c r="V181" s="72"/>
    </row>
    <row r="182" spans="1:22" ht="27.75" customHeight="1">
      <c r="A182" s="87" t="str">
        <f>IF(ISBLANK(C182)," ",177-COUNTBLANK($C$6:C182))</f>
        <v xml:space="preserve"> </v>
      </c>
      <c r="B182" s="88"/>
      <c r="C182" s="88"/>
      <c r="D182" s="89"/>
      <c r="E182" s="89"/>
      <c r="F182" s="73"/>
      <c r="G182" s="73"/>
      <c r="H182" s="73"/>
      <c r="I182" s="73"/>
      <c r="J182" s="73"/>
      <c r="K182" s="73"/>
      <c r="L182" s="73"/>
      <c r="M182" s="74"/>
      <c r="N182" s="71" t="str">
        <f t="shared" si="2"/>
        <v/>
      </c>
      <c r="O182" s="72"/>
      <c r="P182" s="72"/>
      <c r="Q182" s="72"/>
      <c r="R182" s="72"/>
      <c r="S182" s="72"/>
      <c r="T182" s="72"/>
      <c r="U182" s="72"/>
      <c r="V182" s="72"/>
    </row>
    <row r="183" spans="1:22" ht="27.75" customHeight="1">
      <c r="A183" s="87" t="str">
        <f>IF(ISBLANK(C183)," ",178-COUNTBLANK($C$6:C183))</f>
        <v xml:space="preserve"> </v>
      </c>
      <c r="B183" s="88"/>
      <c r="C183" s="88"/>
      <c r="D183" s="89"/>
      <c r="E183" s="89"/>
      <c r="F183" s="73"/>
      <c r="G183" s="73"/>
      <c r="H183" s="73"/>
      <c r="I183" s="73"/>
      <c r="J183" s="73"/>
      <c r="K183" s="73"/>
      <c r="L183" s="73"/>
      <c r="M183" s="74"/>
      <c r="N183" s="71" t="str">
        <f t="shared" si="2"/>
        <v/>
      </c>
      <c r="O183" s="72"/>
      <c r="P183" s="72"/>
      <c r="Q183" s="72"/>
      <c r="R183" s="72"/>
      <c r="S183" s="72"/>
      <c r="T183" s="72"/>
      <c r="U183" s="72"/>
      <c r="V183" s="72"/>
    </row>
    <row r="184" spans="1:22" ht="27.75" customHeight="1">
      <c r="A184" s="87" t="str">
        <f>IF(ISBLANK(C184)," ",179-COUNTBLANK($C$6:C184))</f>
        <v xml:space="preserve"> </v>
      </c>
      <c r="B184" s="88"/>
      <c r="C184" s="88"/>
      <c r="D184" s="89"/>
      <c r="E184" s="89"/>
      <c r="F184" s="73"/>
      <c r="G184" s="73"/>
      <c r="H184" s="73"/>
      <c r="I184" s="73"/>
      <c r="J184" s="73"/>
      <c r="K184" s="73"/>
      <c r="L184" s="73"/>
      <c r="M184" s="74"/>
      <c r="N184" s="71" t="str">
        <f t="shared" si="2"/>
        <v/>
      </c>
      <c r="O184" s="72"/>
      <c r="P184" s="72"/>
      <c r="Q184" s="72"/>
      <c r="R184" s="72"/>
      <c r="S184" s="72"/>
      <c r="T184" s="72"/>
      <c r="U184" s="72"/>
      <c r="V184" s="72"/>
    </row>
    <row r="185" spans="1:22" ht="27.75" customHeight="1">
      <c r="A185" s="87" t="str">
        <f>IF(ISBLANK(C185)," ",180-COUNTBLANK($C$6:C185))</f>
        <v xml:space="preserve"> </v>
      </c>
      <c r="B185" s="88"/>
      <c r="C185" s="88"/>
      <c r="D185" s="89"/>
      <c r="E185" s="89"/>
      <c r="F185" s="73"/>
      <c r="G185" s="73"/>
      <c r="H185" s="73"/>
      <c r="I185" s="73"/>
      <c r="J185" s="73"/>
      <c r="K185" s="73"/>
      <c r="L185" s="73"/>
      <c r="M185" s="74"/>
      <c r="N185" s="71" t="str">
        <f t="shared" si="2"/>
        <v/>
      </c>
      <c r="O185" s="72"/>
      <c r="P185" s="72"/>
      <c r="Q185" s="72"/>
      <c r="R185" s="72"/>
      <c r="S185" s="72"/>
      <c r="T185" s="72"/>
      <c r="U185" s="72"/>
      <c r="V185" s="72"/>
    </row>
    <row r="186" spans="1:22" ht="27.75" customHeight="1">
      <c r="A186" s="87" t="str">
        <f>IF(ISBLANK(C186)," ",181-COUNTBLANK($C$6:C186))</f>
        <v xml:space="preserve"> </v>
      </c>
      <c r="B186" s="88"/>
      <c r="C186" s="88"/>
      <c r="D186" s="89"/>
      <c r="E186" s="89"/>
      <c r="F186" s="73"/>
      <c r="G186" s="73"/>
      <c r="H186" s="73"/>
      <c r="I186" s="73"/>
      <c r="J186" s="73"/>
      <c r="K186" s="73"/>
      <c r="L186" s="73"/>
      <c r="M186" s="74"/>
      <c r="N186" s="71" t="str">
        <f t="shared" si="2"/>
        <v/>
      </c>
      <c r="O186" s="72"/>
      <c r="P186" s="72"/>
      <c r="Q186" s="72"/>
      <c r="R186" s="72"/>
      <c r="S186" s="72"/>
      <c r="T186" s="72"/>
      <c r="U186" s="72"/>
      <c r="V186" s="72"/>
    </row>
    <row r="187" spans="1:22" ht="27.75" customHeight="1">
      <c r="A187" s="87" t="str">
        <f>IF(ISBLANK(C187)," ",182-COUNTBLANK($C$6:C187))</f>
        <v xml:space="preserve"> </v>
      </c>
      <c r="B187" s="88"/>
      <c r="C187" s="88"/>
      <c r="D187" s="89"/>
      <c r="E187" s="89"/>
      <c r="F187" s="73"/>
      <c r="G187" s="73"/>
      <c r="H187" s="73"/>
      <c r="I187" s="73"/>
      <c r="J187" s="73"/>
      <c r="K187" s="73"/>
      <c r="L187" s="73"/>
      <c r="M187" s="74"/>
      <c r="N187" s="71" t="str">
        <f t="shared" si="2"/>
        <v/>
      </c>
      <c r="O187" s="72"/>
      <c r="P187" s="72"/>
      <c r="Q187" s="72"/>
      <c r="R187" s="72"/>
      <c r="S187" s="72"/>
      <c r="T187" s="72"/>
      <c r="U187" s="72"/>
      <c r="V187" s="72"/>
    </row>
    <row r="188" spans="1:22" ht="27.75" customHeight="1">
      <c r="A188" s="87" t="str">
        <f>IF(ISBLANK(C188)," ",183-COUNTBLANK($C$6:C188))</f>
        <v xml:space="preserve"> </v>
      </c>
      <c r="B188" s="88"/>
      <c r="C188" s="88"/>
      <c r="D188" s="89"/>
      <c r="E188" s="89"/>
      <c r="F188" s="73"/>
      <c r="G188" s="73"/>
      <c r="H188" s="73"/>
      <c r="I188" s="73"/>
      <c r="J188" s="73"/>
      <c r="K188" s="73"/>
      <c r="L188" s="73"/>
      <c r="M188" s="74"/>
      <c r="N188" s="71" t="str">
        <f t="shared" si="2"/>
        <v/>
      </c>
      <c r="O188" s="72"/>
      <c r="P188" s="72"/>
      <c r="Q188" s="72"/>
      <c r="R188" s="72"/>
      <c r="S188" s="72"/>
      <c r="T188" s="72"/>
      <c r="U188" s="72"/>
      <c r="V188" s="72"/>
    </row>
    <row r="189" spans="1:22" ht="27.75" customHeight="1">
      <c r="A189" s="87" t="str">
        <f>IF(ISBLANK(C189)," ",184-COUNTBLANK($C$6:C189))</f>
        <v xml:space="preserve"> </v>
      </c>
      <c r="B189" s="88"/>
      <c r="C189" s="88"/>
      <c r="D189" s="89"/>
      <c r="E189" s="89"/>
      <c r="F189" s="73"/>
      <c r="G189" s="73"/>
      <c r="H189" s="73"/>
      <c r="I189" s="73"/>
      <c r="J189" s="73"/>
      <c r="K189" s="73"/>
      <c r="L189" s="73"/>
      <c r="M189" s="74"/>
      <c r="N189" s="71" t="str">
        <f t="shared" si="2"/>
        <v/>
      </c>
      <c r="O189" s="75"/>
      <c r="P189" s="72"/>
      <c r="Q189" s="72"/>
      <c r="R189" s="72"/>
      <c r="S189" s="72"/>
      <c r="T189" s="72"/>
      <c r="U189" s="72"/>
      <c r="V189" s="76"/>
    </row>
    <row r="190" spans="1:22" ht="27.75" customHeight="1">
      <c r="A190" s="87" t="str">
        <f>IF(ISBLANK(C190)," ",185-COUNTBLANK($C$6:C190))</f>
        <v xml:space="preserve"> </v>
      </c>
      <c r="B190" s="88"/>
      <c r="C190" s="88"/>
      <c r="D190" s="89"/>
      <c r="E190" s="89"/>
      <c r="F190" s="73"/>
      <c r="G190" s="73"/>
      <c r="H190" s="73"/>
      <c r="I190" s="73"/>
      <c r="J190" s="73"/>
      <c r="K190" s="73"/>
      <c r="L190" s="73"/>
      <c r="M190" s="74"/>
      <c r="N190" s="71" t="str">
        <f t="shared" si="2"/>
        <v/>
      </c>
      <c r="O190" s="75"/>
      <c r="P190" s="72"/>
      <c r="Q190" s="72"/>
      <c r="R190" s="72"/>
      <c r="S190" s="72"/>
      <c r="T190" s="72"/>
      <c r="U190" s="72"/>
      <c r="V190" s="76"/>
    </row>
    <row r="191" spans="1:22" ht="27.75" customHeight="1">
      <c r="A191" s="87" t="str">
        <f>IF(ISBLANK(C191)," ",186-COUNTBLANK($C$6:C191))</f>
        <v xml:space="preserve"> </v>
      </c>
      <c r="B191" s="88"/>
      <c r="C191" s="88"/>
      <c r="D191" s="89"/>
      <c r="E191" s="89"/>
      <c r="F191" s="73"/>
      <c r="G191" s="73"/>
      <c r="H191" s="73"/>
      <c r="I191" s="73"/>
      <c r="J191" s="73"/>
      <c r="K191" s="73"/>
      <c r="L191" s="73"/>
      <c r="M191" s="74"/>
      <c r="N191" s="71" t="str">
        <f t="shared" si="2"/>
        <v/>
      </c>
      <c r="O191" s="75"/>
      <c r="P191" s="72"/>
      <c r="Q191" s="72"/>
      <c r="R191" s="72"/>
      <c r="S191" s="72"/>
      <c r="T191" s="72"/>
      <c r="U191" s="72"/>
      <c r="V191" s="76"/>
    </row>
    <row r="192" spans="1:22" ht="27.75" customHeight="1">
      <c r="A192" s="87" t="str">
        <f>IF(ISBLANK(C192)," ",187-COUNTBLANK($C$6:C192))</f>
        <v xml:space="preserve"> </v>
      </c>
      <c r="B192" s="88"/>
      <c r="C192" s="88"/>
      <c r="D192" s="89"/>
      <c r="E192" s="89"/>
      <c r="F192" s="73"/>
      <c r="G192" s="73"/>
      <c r="H192" s="73"/>
      <c r="I192" s="73"/>
      <c r="J192" s="73"/>
      <c r="K192" s="73"/>
      <c r="L192" s="73"/>
      <c r="M192" s="74"/>
      <c r="N192" s="71" t="str">
        <f t="shared" si="2"/>
        <v/>
      </c>
      <c r="O192" s="75"/>
      <c r="P192" s="72"/>
      <c r="Q192" s="72"/>
      <c r="R192" s="72"/>
      <c r="S192" s="72"/>
      <c r="T192" s="72"/>
      <c r="U192" s="72"/>
      <c r="V192" s="76"/>
    </row>
    <row r="193" spans="1:25" ht="27.75" customHeight="1">
      <c r="A193" s="87" t="str">
        <f>IF(ISBLANK(C193)," ",188-COUNTBLANK($C$6:C193))</f>
        <v xml:space="preserve"> </v>
      </c>
      <c r="B193" s="88"/>
      <c r="C193" s="88"/>
      <c r="D193" s="89"/>
      <c r="E193" s="89"/>
      <c r="F193" s="73"/>
      <c r="G193" s="73"/>
      <c r="H193" s="73"/>
      <c r="I193" s="73"/>
      <c r="J193" s="73"/>
      <c r="K193" s="73"/>
      <c r="L193" s="73"/>
      <c r="M193" s="74"/>
      <c r="N193" s="71" t="str">
        <f t="shared" si="2"/>
        <v/>
      </c>
      <c r="O193" s="72"/>
      <c r="P193" s="72"/>
      <c r="Q193" s="72"/>
      <c r="R193" s="72"/>
      <c r="S193" s="72"/>
      <c r="T193" s="72"/>
      <c r="U193" s="72"/>
      <c r="V193" s="79"/>
      <c r="W193" s="72"/>
      <c r="X193" s="72"/>
      <c r="Y193" s="72"/>
    </row>
    <row r="194" spans="1:25" ht="27.75" customHeight="1">
      <c r="A194" s="80" t="s">
        <v>58</v>
      </c>
      <c r="B194" s="81"/>
      <c r="C194" s="96"/>
      <c r="D194" s="82"/>
      <c r="E194" s="82">
        <f>SUM(E174:E193)</f>
        <v>0</v>
      </c>
      <c r="F194" s="83"/>
      <c r="G194" s="83"/>
      <c r="H194" s="83"/>
      <c r="I194" s="83"/>
      <c r="J194" s="83"/>
      <c r="K194" s="83"/>
      <c r="L194" s="83"/>
      <c r="M194" s="84"/>
      <c r="N194" s="71" t="str">
        <f t="shared" si="2"/>
        <v/>
      </c>
      <c r="O194" s="75"/>
      <c r="P194" s="72"/>
      <c r="Q194" s="72"/>
      <c r="R194" s="72"/>
      <c r="S194" s="72"/>
      <c r="T194" s="72"/>
      <c r="U194" s="72"/>
      <c r="V194" s="79"/>
      <c r="W194" s="72"/>
      <c r="X194" s="72"/>
      <c r="Y194" s="72"/>
    </row>
    <row r="195" spans="1:25" ht="27.75" customHeight="1">
      <c r="A195" s="93" t="str">
        <f>IF(ISBLANK(C195)," ",190-COUNTBLANK($C$6:C195))</f>
        <v xml:space="preserve"> </v>
      </c>
      <c r="B195" s="94"/>
      <c r="C195" s="94"/>
      <c r="D195" s="95"/>
      <c r="E195" s="95"/>
      <c r="F195" s="85"/>
      <c r="G195" s="85"/>
      <c r="H195" s="85"/>
      <c r="I195" s="85"/>
      <c r="J195" s="85"/>
      <c r="K195" s="85"/>
      <c r="L195" s="85"/>
      <c r="M195" s="86"/>
      <c r="N195" s="71" t="str">
        <f t="shared" si="2"/>
        <v/>
      </c>
      <c r="O195" s="72"/>
      <c r="P195" s="72"/>
      <c r="Q195" s="72"/>
      <c r="R195" s="72"/>
      <c r="S195" s="72"/>
      <c r="T195" s="72"/>
      <c r="U195" s="72"/>
      <c r="V195" s="72"/>
    </row>
    <row r="196" spans="1:25" ht="27.75" customHeight="1">
      <c r="A196" s="87" t="str">
        <f>IF(ISBLANK(C196)," ",191-COUNTBLANK($C$6:C196))</f>
        <v xml:space="preserve"> </v>
      </c>
      <c r="B196" s="88"/>
      <c r="C196" s="88"/>
      <c r="D196" s="89"/>
      <c r="E196" s="89"/>
      <c r="F196" s="73"/>
      <c r="G196" s="73"/>
      <c r="H196" s="73"/>
      <c r="I196" s="73"/>
      <c r="J196" s="73"/>
      <c r="K196" s="73"/>
      <c r="L196" s="73"/>
      <c r="M196" s="74"/>
      <c r="N196" s="71" t="str">
        <f t="shared" si="2"/>
        <v/>
      </c>
      <c r="O196" s="72"/>
      <c r="P196" s="72"/>
      <c r="Q196" s="72"/>
      <c r="R196" s="72"/>
      <c r="S196" s="72"/>
      <c r="T196" s="72"/>
      <c r="U196" s="72"/>
      <c r="V196" s="72"/>
    </row>
    <row r="197" spans="1:25" ht="27.75" customHeight="1">
      <c r="A197" s="87" t="str">
        <f>IF(ISBLANK(C197)," ",192-COUNTBLANK($C$6:C197))</f>
        <v xml:space="preserve"> </v>
      </c>
      <c r="B197" s="88"/>
      <c r="C197" s="88"/>
      <c r="D197" s="89"/>
      <c r="E197" s="89"/>
      <c r="F197" s="73"/>
      <c r="G197" s="73"/>
      <c r="H197" s="73"/>
      <c r="I197" s="73"/>
      <c r="J197" s="73"/>
      <c r="K197" s="73"/>
      <c r="L197" s="73"/>
      <c r="M197" s="74"/>
      <c r="N197" s="71" t="str">
        <f t="shared" si="2"/>
        <v/>
      </c>
      <c r="O197" s="72"/>
      <c r="P197" s="72"/>
      <c r="Q197" s="72"/>
      <c r="R197" s="72"/>
      <c r="S197" s="72"/>
      <c r="T197" s="72"/>
      <c r="U197" s="72"/>
      <c r="V197" s="72"/>
    </row>
    <row r="198" spans="1:25" ht="27.75" customHeight="1">
      <c r="A198" s="87" t="str">
        <f>IF(ISBLANK(C198)," ",193-COUNTBLANK($C$6:C198))</f>
        <v xml:space="preserve"> </v>
      </c>
      <c r="B198" s="88"/>
      <c r="C198" s="88"/>
      <c r="D198" s="89"/>
      <c r="E198" s="89"/>
      <c r="F198" s="73"/>
      <c r="G198" s="73"/>
      <c r="H198" s="73"/>
      <c r="I198" s="73"/>
      <c r="J198" s="73"/>
      <c r="K198" s="73"/>
      <c r="L198" s="73"/>
      <c r="M198" s="74"/>
      <c r="N198" s="71" t="str">
        <f t="shared" ref="N198:N261" si="3">CONCATENATE(C198,H198)</f>
        <v/>
      </c>
      <c r="O198" s="72"/>
      <c r="P198" s="72"/>
      <c r="Q198" s="72"/>
      <c r="R198" s="72"/>
      <c r="S198" s="72"/>
      <c r="T198" s="72"/>
      <c r="U198" s="72"/>
      <c r="V198" s="72"/>
    </row>
    <row r="199" spans="1:25" ht="27.75" customHeight="1">
      <c r="A199" s="87" t="str">
        <f>IF(ISBLANK(C199)," ",194-COUNTBLANK($C$6:C199))</f>
        <v xml:space="preserve"> </v>
      </c>
      <c r="B199" s="88"/>
      <c r="C199" s="88"/>
      <c r="D199" s="89"/>
      <c r="E199" s="89"/>
      <c r="F199" s="73"/>
      <c r="G199" s="73"/>
      <c r="H199" s="73"/>
      <c r="I199" s="73"/>
      <c r="J199" s="73"/>
      <c r="K199" s="73"/>
      <c r="L199" s="73"/>
      <c r="M199" s="74"/>
      <c r="N199" s="71" t="str">
        <f t="shared" si="3"/>
        <v/>
      </c>
      <c r="O199" s="72"/>
      <c r="P199" s="72"/>
      <c r="Q199" s="72"/>
      <c r="R199" s="72"/>
      <c r="S199" s="72"/>
      <c r="T199" s="72"/>
      <c r="U199" s="72"/>
      <c r="V199" s="72"/>
    </row>
    <row r="200" spans="1:25" ht="27.75" customHeight="1">
      <c r="A200" s="87" t="str">
        <f>IF(ISBLANK(C200)," ",195-COUNTBLANK($C$6:C200))</f>
        <v xml:space="preserve"> </v>
      </c>
      <c r="B200" s="88"/>
      <c r="C200" s="88"/>
      <c r="D200" s="89"/>
      <c r="E200" s="89"/>
      <c r="F200" s="73"/>
      <c r="G200" s="73"/>
      <c r="H200" s="73"/>
      <c r="I200" s="73"/>
      <c r="J200" s="73"/>
      <c r="K200" s="73"/>
      <c r="L200" s="73"/>
      <c r="M200" s="74"/>
      <c r="N200" s="71" t="str">
        <f t="shared" si="3"/>
        <v/>
      </c>
      <c r="O200" s="72"/>
      <c r="P200" s="72"/>
      <c r="Q200" s="72"/>
      <c r="R200" s="72"/>
      <c r="S200" s="72"/>
      <c r="T200" s="72"/>
      <c r="U200" s="72"/>
      <c r="V200" s="72"/>
    </row>
    <row r="201" spans="1:25" ht="27.75" customHeight="1">
      <c r="A201" s="87" t="str">
        <f>IF(ISBLANK(C201)," ",196-COUNTBLANK($C$6:C201))</f>
        <v xml:space="preserve"> </v>
      </c>
      <c r="B201" s="88"/>
      <c r="C201" s="88"/>
      <c r="D201" s="89"/>
      <c r="E201" s="89"/>
      <c r="F201" s="73"/>
      <c r="G201" s="73"/>
      <c r="H201" s="73"/>
      <c r="I201" s="73"/>
      <c r="J201" s="73"/>
      <c r="K201" s="73"/>
      <c r="L201" s="73"/>
      <c r="M201" s="74"/>
      <c r="N201" s="71" t="str">
        <f t="shared" si="3"/>
        <v/>
      </c>
      <c r="O201" s="72"/>
      <c r="P201" s="72"/>
      <c r="Q201" s="72"/>
      <c r="R201" s="72"/>
      <c r="S201" s="72"/>
      <c r="T201" s="72"/>
      <c r="U201" s="72"/>
      <c r="V201" s="72"/>
    </row>
    <row r="202" spans="1:25" ht="27.75" customHeight="1">
      <c r="A202" s="87" t="str">
        <f>IF(ISBLANK(C202)," ",197-COUNTBLANK($C$6:C202))</f>
        <v xml:space="preserve"> </v>
      </c>
      <c r="B202" s="88"/>
      <c r="C202" s="88"/>
      <c r="D202" s="89"/>
      <c r="E202" s="89"/>
      <c r="F202" s="73"/>
      <c r="G202" s="73"/>
      <c r="H202" s="73"/>
      <c r="I202" s="73"/>
      <c r="J202" s="73"/>
      <c r="K202" s="73"/>
      <c r="L202" s="73"/>
      <c r="M202" s="74"/>
      <c r="N202" s="71" t="str">
        <f t="shared" si="3"/>
        <v/>
      </c>
      <c r="O202" s="72"/>
      <c r="P202" s="72"/>
      <c r="Q202" s="72"/>
      <c r="R202" s="72"/>
      <c r="S202" s="72"/>
      <c r="T202" s="72"/>
      <c r="U202" s="72"/>
      <c r="V202" s="72"/>
    </row>
    <row r="203" spans="1:25" ht="27.75" customHeight="1">
      <c r="A203" s="87" t="str">
        <f>IF(ISBLANK(C203)," ",198-COUNTBLANK($C$6:C203))</f>
        <v xml:space="preserve"> </v>
      </c>
      <c r="B203" s="88"/>
      <c r="C203" s="88"/>
      <c r="D203" s="89"/>
      <c r="E203" s="89"/>
      <c r="F203" s="73"/>
      <c r="G203" s="73"/>
      <c r="H203" s="73"/>
      <c r="I203" s="73"/>
      <c r="J203" s="73"/>
      <c r="K203" s="73"/>
      <c r="L203" s="73"/>
      <c r="M203" s="74"/>
      <c r="N203" s="71" t="str">
        <f t="shared" si="3"/>
        <v/>
      </c>
      <c r="O203" s="72"/>
      <c r="P203" s="72"/>
      <c r="Q203" s="72"/>
      <c r="R203" s="72"/>
      <c r="S203" s="72"/>
      <c r="T203" s="72"/>
      <c r="U203" s="72"/>
      <c r="V203" s="72"/>
    </row>
    <row r="204" spans="1:25" ht="27.75" customHeight="1">
      <c r="A204" s="87" t="str">
        <f>IF(ISBLANK(C204)," ",199-COUNTBLANK($C$6:C204))</f>
        <v xml:space="preserve"> </v>
      </c>
      <c r="B204" s="88"/>
      <c r="C204" s="88"/>
      <c r="D204" s="89"/>
      <c r="E204" s="89"/>
      <c r="F204" s="73"/>
      <c r="G204" s="73"/>
      <c r="H204" s="73"/>
      <c r="I204" s="73"/>
      <c r="J204" s="73"/>
      <c r="K204" s="73"/>
      <c r="L204" s="73"/>
      <c r="M204" s="74"/>
      <c r="N204" s="71" t="str">
        <f t="shared" si="3"/>
        <v/>
      </c>
      <c r="O204" s="72"/>
      <c r="P204" s="72"/>
      <c r="Q204" s="72"/>
      <c r="R204" s="72"/>
      <c r="S204" s="72"/>
      <c r="T204" s="72"/>
      <c r="U204" s="72"/>
      <c r="V204" s="72"/>
    </row>
    <row r="205" spans="1:25" ht="27.75" customHeight="1">
      <c r="A205" s="87" t="str">
        <f>IF(ISBLANK(C205)," ",200-COUNTBLANK($C$6:C205))</f>
        <v xml:space="preserve"> </v>
      </c>
      <c r="B205" s="88"/>
      <c r="C205" s="88"/>
      <c r="D205" s="89"/>
      <c r="E205" s="89"/>
      <c r="F205" s="73"/>
      <c r="G205" s="73"/>
      <c r="H205" s="73"/>
      <c r="I205" s="73"/>
      <c r="J205" s="73"/>
      <c r="K205" s="73"/>
      <c r="L205" s="73"/>
      <c r="M205" s="74"/>
      <c r="N205" s="71" t="str">
        <f t="shared" si="3"/>
        <v/>
      </c>
      <c r="O205" s="72"/>
      <c r="P205" s="72"/>
      <c r="Q205" s="72"/>
      <c r="R205" s="72"/>
      <c r="S205" s="72"/>
      <c r="T205" s="72"/>
      <c r="U205" s="72"/>
      <c r="V205" s="72"/>
    </row>
    <row r="206" spans="1:25" ht="27.75" customHeight="1">
      <c r="A206" s="87" t="str">
        <f>IF(ISBLANK(C206)," ",201-COUNTBLANK($C$6:C206))</f>
        <v xml:space="preserve"> </v>
      </c>
      <c r="B206" s="88"/>
      <c r="C206" s="88"/>
      <c r="D206" s="89"/>
      <c r="E206" s="89"/>
      <c r="F206" s="73"/>
      <c r="G206" s="73"/>
      <c r="H206" s="73"/>
      <c r="I206" s="73"/>
      <c r="J206" s="73"/>
      <c r="K206" s="73"/>
      <c r="L206" s="73"/>
      <c r="M206" s="74"/>
      <c r="N206" s="71" t="str">
        <f t="shared" si="3"/>
        <v/>
      </c>
      <c r="O206" s="72"/>
      <c r="P206" s="72"/>
      <c r="Q206" s="72"/>
      <c r="R206" s="72"/>
      <c r="S206" s="72"/>
      <c r="T206" s="72"/>
      <c r="U206" s="72"/>
      <c r="V206" s="72"/>
    </row>
    <row r="207" spans="1:25" ht="27.75" customHeight="1">
      <c r="A207" s="87" t="str">
        <f>IF(ISBLANK(C207)," ",202-COUNTBLANK($C$6:C207))</f>
        <v xml:space="preserve"> </v>
      </c>
      <c r="B207" s="88"/>
      <c r="C207" s="88"/>
      <c r="D207" s="89"/>
      <c r="E207" s="89"/>
      <c r="F207" s="73"/>
      <c r="G207" s="73"/>
      <c r="H207" s="73"/>
      <c r="I207" s="73"/>
      <c r="J207" s="73"/>
      <c r="K207" s="73"/>
      <c r="L207" s="73"/>
      <c r="M207" s="74"/>
      <c r="N207" s="71" t="str">
        <f t="shared" si="3"/>
        <v/>
      </c>
      <c r="O207" s="72"/>
      <c r="P207" s="72"/>
      <c r="Q207" s="72"/>
      <c r="R207" s="72"/>
      <c r="S207" s="72"/>
      <c r="T207" s="72"/>
      <c r="U207" s="72"/>
      <c r="V207" s="72"/>
    </row>
    <row r="208" spans="1:25" ht="27.75" customHeight="1">
      <c r="A208" s="87" t="str">
        <f>IF(ISBLANK(C208)," ",203-COUNTBLANK($C$6:C208))</f>
        <v xml:space="preserve"> </v>
      </c>
      <c r="B208" s="88"/>
      <c r="C208" s="88"/>
      <c r="D208" s="89"/>
      <c r="E208" s="89"/>
      <c r="F208" s="73"/>
      <c r="G208" s="73"/>
      <c r="H208" s="73"/>
      <c r="I208" s="73"/>
      <c r="J208" s="73"/>
      <c r="K208" s="73"/>
      <c r="L208" s="73"/>
      <c r="M208" s="74"/>
      <c r="N208" s="71" t="str">
        <f t="shared" si="3"/>
        <v/>
      </c>
      <c r="O208" s="72"/>
      <c r="P208" s="72"/>
      <c r="Q208" s="72"/>
      <c r="R208" s="72"/>
      <c r="S208" s="72"/>
      <c r="T208" s="72"/>
      <c r="U208" s="72"/>
      <c r="V208" s="72"/>
    </row>
    <row r="209" spans="1:25" ht="27.75" customHeight="1">
      <c r="A209" s="87" t="str">
        <f>IF(ISBLANK(C209)," ",204-COUNTBLANK($C$6:C209))</f>
        <v xml:space="preserve"> </v>
      </c>
      <c r="B209" s="88"/>
      <c r="C209" s="88"/>
      <c r="D209" s="89"/>
      <c r="E209" s="89"/>
      <c r="F209" s="73"/>
      <c r="G209" s="73"/>
      <c r="H209" s="73"/>
      <c r="I209" s="73"/>
      <c r="J209" s="73"/>
      <c r="K209" s="73"/>
      <c r="L209" s="73"/>
      <c r="M209" s="74"/>
      <c r="N209" s="71" t="str">
        <f t="shared" si="3"/>
        <v/>
      </c>
      <c r="O209" s="72"/>
      <c r="P209" s="72"/>
      <c r="Q209" s="72"/>
      <c r="R209" s="72"/>
      <c r="S209" s="72"/>
      <c r="T209" s="72"/>
      <c r="U209" s="72"/>
      <c r="V209" s="72"/>
    </row>
    <row r="210" spans="1:25" ht="27.75" customHeight="1">
      <c r="A210" s="87" t="str">
        <f>IF(ISBLANK(C210)," ",205-COUNTBLANK($C$6:C210))</f>
        <v xml:space="preserve"> </v>
      </c>
      <c r="B210" s="88"/>
      <c r="C210" s="88"/>
      <c r="D210" s="89"/>
      <c r="E210" s="89"/>
      <c r="F210" s="73"/>
      <c r="G210" s="73"/>
      <c r="H210" s="73"/>
      <c r="I210" s="73"/>
      <c r="J210" s="73"/>
      <c r="K210" s="73"/>
      <c r="L210" s="73"/>
      <c r="M210" s="74"/>
      <c r="N210" s="71" t="str">
        <f t="shared" si="3"/>
        <v/>
      </c>
      <c r="O210" s="75"/>
      <c r="P210" s="72"/>
      <c r="Q210" s="72"/>
      <c r="R210" s="72"/>
      <c r="S210" s="72"/>
      <c r="T210" s="72"/>
      <c r="U210" s="72"/>
      <c r="V210" s="76"/>
    </row>
    <row r="211" spans="1:25" ht="27.75" customHeight="1">
      <c r="A211" s="87" t="str">
        <f>IF(ISBLANK(C211)," ",206-COUNTBLANK($C$6:C211))</f>
        <v xml:space="preserve"> </v>
      </c>
      <c r="B211" s="88"/>
      <c r="C211" s="88"/>
      <c r="D211" s="89"/>
      <c r="E211" s="89"/>
      <c r="F211" s="73"/>
      <c r="G211" s="73"/>
      <c r="H211" s="73"/>
      <c r="I211" s="73"/>
      <c r="J211" s="73"/>
      <c r="K211" s="73"/>
      <c r="L211" s="73"/>
      <c r="M211" s="74"/>
      <c r="N211" s="71" t="str">
        <f t="shared" si="3"/>
        <v/>
      </c>
      <c r="O211" s="75"/>
      <c r="P211" s="72"/>
      <c r="Q211" s="72"/>
      <c r="R211" s="72"/>
      <c r="S211" s="72"/>
      <c r="T211" s="72"/>
      <c r="U211" s="72"/>
      <c r="V211" s="76"/>
    </row>
    <row r="212" spans="1:25" ht="27.75" customHeight="1">
      <c r="A212" s="87" t="str">
        <f>IF(ISBLANK(C212)," ",207-COUNTBLANK($C$6:C212))</f>
        <v xml:space="preserve"> </v>
      </c>
      <c r="B212" s="88"/>
      <c r="C212" s="88"/>
      <c r="D212" s="89"/>
      <c r="E212" s="89"/>
      <c r="F212" s="73"/>
      <c r="G212" s="73"/>
      <c r="H212" s="73"/>
      <c r="I212" s="73"/>
      <c r="J212" s="73"/>
      <c r="K212" s="73"/>
      <c r="L212" s="73"/>
      <c r="M212" s="74"/>
      <c r="N212" s="71" t="str">
        <f t="shared" si="3"/>
        <v/>
      </c>
      <c r="O212" s="75"/>
      <c r="P212" s="72"/>
      <c r="Q212" s="72"/>
      <c r="R212" s="72"/>
      <c r="S212" s="72"/>
      <c r="T212" s="72"/>
      <c r="U212" s="72"/>
      <c r="V212" s="76"/>
    </row>
    <row r="213" spans="1:25" ht="27.75" customHeight="1">
      <c r="A213" s="87" t="str">
        <f>IF(ISBLANK(C213)," ",208-COUNTBLANK($C$6:C213))</f>
        <v xml:space="preserve"> </v>
      </c>
      <c r="B213" s="88"/>
      <c r="C213" s="88"/>
      <c r="D213" s="89"/>
      <c r="E213" s="89"/>
      <c r="F213" s="73"/>
      <c r="G213" s="73"/>
      <c r="H213" s="73"/>
      <c r="I213" s="73"/>
      <c r="J213" s="73"/>
      <c r="K213" s="73"/>
      <c r="L213" s="73"/>
      <c r="M213" s="74"/>
      <c r="N213" s="71" t="str">
        <f t="shared" si="3"/>
        <v/>
      </c>
      <c r="O213" s="75"/>
      <c r="P213" s="72"/>
      <c r="Q213" s="72"/>
      <c r="R213" s="72"/>
      <c r="S213" s="72"/>
      <c r="T213" s="72"/>
      <c r="U213" s="72"/>
      <c r="V213" s="76"/>
    </row>
    <row r="214" spans="1:25" ht="27.75" customHeight="1">
      <c r="A214" s="87" t="str">
        <f>IF(ISBLANK(C214)," ",209-COUNTBLANK($C$6:C214))</f>
        <v xml:space="preserve"> </v>
      </c>
      <c r="B214" s="88"/>
      <c r="C214" s="88"/>
      <c r="D214" s="89"/>
      <c r="E214" s="89"/>
      <c r="F214" s="73"/>
      <c r="G214" s="73"/>
      <c r="H214" s="73"/>
      <c r="I214" s="73"/>
      <c r="J214" s="73"/>
      <c r="K214" s="73"/>
      <c r="L214" s="73"/>
      <c r="M214" s="74"/>
      <c r="N214" s="71" t="str">
        <f t="shared" si="3"/>
        <v/>
      </c>
      <c r="O214" s="72"/>
      <c r="P214" s="72"/>
      <c r="Q214" s="72"/>
      <c r="R214" s="72"/>
      <c r="S214" s="72"/>
      <c r="T214" s="72"/>
      <c r="U214" s="72"/>
      <c r="V214" s="79"/>
      <c r="W214" s="72"/>
      <c r="X214" s="72"/>
      <c r="Y214" s="72"/>
    </row>
    <row r="215" spans="1:25" ht="27.75" customHeight="1">
      <c r="A215" s="80" t="s">
        <v>58</v>
      </c>
      <c r="B215" s="81"/>
      <c r="C215" s="96"/>
      <c r="D215" s="82"/>
      <c r="E215" s="82">
        <f>SUM(E195:E214)</f>
        <v>0</v>
      </c>
      <c r="F215" s="83"/>
      <c r="G215" s="83"/>
      <c r="H215" s="83"/>
      <c r="I215" s="83"/>
      <c r="J215" s="83"/>
      <c r="K215" s="83"/>
      <c r="L215" s="83"/>
      <c r="M215" s="84"/>
      <c r="N215" s="71" t="str">
        <f t="shared" si="3"/>
        <v/>
      </c>
      <c r="O215" s="75"/>
      <c r="P215" s="72"/>
      <c r="Q215" s="72"/>
      <c r="R215" s="72"/>
      <c r="S215" s="72"/>
      <c r="T215" s="72"/>
      <c r="U215" s="72"/>
      <c r="V215" s="79"/>
      <c r="W215" s="72"/>
      <c r="X215" s="72"/>
      <c r="Y215" s="72"/>
    </row>
    <row r="216" spans="1:25" ht="27.75" customHeight="1">
      <c r="A216" s="93" t="str">
        <f>IF(ISBLANK(C216)," ",211-COUNTBLANK($C$6:C216))</f>
        <v xml:space="preserve"> </v>
      </c>
      <c r="B216" s="94"/>
      <c r="C216" s="94"/>
      <c r="D216" s="95"/>
      <c r="E216" s="95"/>
      <c r="F216" s="85"/>
      <c r="G216" s="85"/>
      <c r="H216" s="85"/>
      <c r="I216" s="85"/>
      <c r="J216" s="85"/>
      <c r="K216" s="85"/>
      <c r="L216" s="85"/>
      <c r="M216" s="86"/>
      <c r="N216" s="71" t="str">
        <f t="shared" si="3"/>
        <v/>
      </c>
      <c r="O216" s="72"/>
      <c r="P216" s="72"/>
      <c r="Q216" s="72"/>
      <c r="R216" s="72"/>
      <c r="S216" s="72"/>
      <c r="T216" s="72"/>
      <c r="U216" s="72"/>
      <c r="V216" s="72"/>
    </row>
    <row r="217" spans="1:25" ht="27.75" customHeight="1">
      <c r="A217" s="87" t="str">
        <f>IF(ISBLANK(C217)," ",212-COUNTBLANK($C$6:C217))</f>
        <v xml:space="preserve"> </v>
      </c>
      <c r="B217" s="88"/>
      <c r="C217" s="88"/>
      <c r="D217" s="89"/>
      <c r="E217" s="89"/>
      <c r="F217" s="73"/>
      <c r="G217" s="73"/>
      <c r="H217" s="73"/>
      <c r="I217" s="73"/>
      <c r="J217" s="73"/>
      <c r="K217" s="73"/>
      <c r="L217" s="73"/>
      <c r="M217" s="74"/>
      <c r="N217" s="71" t="str">
        <f t="shared" si="3"/>
        <v/>
      </c>
      <c r="O217" s="72"/>
      <c r="P217" s="72"/>
      <c r="Q217" s="72"/>
      <c r="R217" s="72"/>
      <c r="S217" s="72"/>
      <c r="T217" s="72"/>
      <c r="U217" s="72"/>
      <c r="V217" s="72"/>
    </row>
    <row r="218" spans="1:25" ht="27.75" customHeight="1">
      <c r="A218" s="87" t="str">
        <f>IF(ISBLANK(C218)," ",213-COUNTBLANK($C$6:C218))</f>
        <v xml:space="preserve"> </v>
      </c>
      <c r="B218" s="88"/>
      <c r="C218" s="88"/>
      <c r="D218" s="89"/>
      <c r="E218" s="89"/>
      <c r="F218" s="73"/>
      <c r="G218" s="73"/>
      <c r="H218" s="73"/>
      <c r="I218" s="73"/>
      <c r="J218" s="73"/>
      <c r="K218" s="73"/>
      <c r="L218" s="73"/>
      <c r="M218" s="74"/>
      <c r="N218" s="71" t="str">
        <f t="shared" si="3"/>
        <v/>
      </c>
      <c r="O218" s="72"/>
      <c r="P218" s="72"/>
      <c r="Q218" s="72"/>
      <c r="R218" s="72"/>
      <c r="S218" s="72"/>
      <c r="T218" s="72"/>
      <c r="U218" s="72"/>
      <c r="V218" s="72"/>
    </row>
    <row r="219" spans="1:25" ht="27.75" customHeight="1">
      <c r="A219" s="87" t="str">
        <f>IF(ISBLANK(C219)," ",214-COUNTBLANK($C$6:C219))</f>
        <v xml:space="preserve"> </v>
      </c>
      <c r="B219" s="88"/>
      <c r="C219" s="88"/>
      <c r="D219" s="89"/>
      <c r="E219" s="89"/>
      <c r="F219" s="73"/>
      <c r="G219" s="73"/>
      <c r="H219" s="73"/>
      <c r="I219" s="73"/>
      <c r="J219" s="73"/>
      <c r="K219" s="73"/>
      <c r="L219" s="73"/>
      <c r="M219" s="74"/>
      <c r="N219" s="71" t="str">
        <f t="shared" si="3"/>
        <v/>
      </c>
      <c r="O219" s="72"/>
      <c r="P219" s="72"/>
      <c r="Q219" s="72"/>
      <c r="R219" s="72"/>
      <c r="S219" s="72"/>
      <c r="T219" s="72"/>
      <c r="U219" s="72"/>
      <c r="V219" s="72"/>
    </row>
    <row r="220" spans="1:25" ht="27.75" customHeight="1">
      <c r="A220" s="87" t="str">
        <f>IF(ISBLANK(C220)," ",215-COUNTBLANK($C$6:C220))</f>
        <v xml:space="preserve"> </v>
      </c>
      <c r="B220" s="88"/>
      <c r="C220" s="88"/>
      <c r="D220" s="89"/>
      <c r="E220" s="89"/>
      <c r="F220" s="73"/>
      <c r="G220" s="73"/>
      <c r="H220" s="73"/>
      <c r="I220" s="73"/>
      <c r="J220" s="73"/>
      <c r="K220" s="73"/>
      <c r="L220" s="73"/>
      <c r="M220" s="74"/>
      <c r="N220" s="71" t="str">
        <f t="shared" si="3"/>
        <v/>
      </c>
      <c r="O220" s="72"/>
      <c r="P220" s="72"/>
      <c r="Q220" s="72"/>
      <c r="R220" s="72"/>
      <c r="S220" s="72"/>
      <c r="T220" s="72"/>
      <c r="U220" s="72"/>
      <c r="V220" s="72"/>
    </row>
    <row r="221" spans="1:25" ht="27.75" customHeight="1">
      <c r="A221" s="87" t="str">
        <f>IF(ISBLANK(C221)," ",216-COUNTBLANK($C$6:C221))</f>
        <v xml:space="preserve"> </v>
      </c>
      <c r="B221" s="88"/>
      <c r="C221" s="88"/>
      <c r="D221" s="89"/>
      <c r="E221" s="89"/>
      <c r="F221" s="73"/>
      <c r="G221" s="73"/>
      <c r="H221" s="73"/>
      <c r="I221" s="73"/>
      <c r="J221" s="73"/>
      <c r="K221" s="73"/>
      <c r="L221" s="73"/>
      <c r="M221" s="74"/>
      <c r="N221" s="71" t="str">
        <f t="shared" si="3"/>
        <v/>
      </c>
      <c r="O221" s="72"/>
      <c r="P221" s="72"/>
      <c r="Q221" s="72"/>
      <c r="R221" s="72"/>
      <c r="S221" s="72"/>
      <c r="T221" s="72"/>
      <c r="U221" s="72"/>
      <c r="V221" s="72"/>
    </row>
    <row r="222" spans="1:25" ht="27.75" customHeight="1">
      <c r="A222" s="87" t="str">
        <f>IF(ISBLANK(C222)," ",217-COUNTBLANK($C$6:C222))</f>
        <v xml:space="preserve"> </v>
      </c>
      <c r="B222" s="88"/>
      <c r="C222" s="88"/>
      <c r="D222" s="89"/>
      <c r="E222" s="89"/>
      <c r="F222" s="73"/>
      <c r="G222" s="73"/>
      <c r="H222" s="73"/>
      <c r="I222" s="73"/>
      <c r="J222" s="73"/>
      <c r="K222" s="73"/>
      <c r="L222" s="73"/>
      <c r="M222" s="74"/>
      <c r="N222" s="71" t="str">
        <f t="shared" si="3"/>
        <v/>
      </c>
      <c r="O222" s="72"/>
      <c r="P222" s="72"/>
      <c r="Q222" s="72"/>
      <c r="R222" s="72"/>
      <c r="S222" s="72"/>
      <c r="T222" s="72"/>
      <c r="U222" s="72"/>
      <c r="V222" s="72"/>
    </row>
    <row r="223" spans="1:25" ht="27.75" customHeight="1">
      <c r="A223" s="87" t="str">
        <f>IF(ISBLANK(C223)," ",218-COUNTBLANK($C$6:C223))</f>
        <v xml:space="preserve"> </v>
      </c>
      <c r="B223" s="88"/>
      <c r="C223" s="88"/>
      <c r="D223" s="89"/>
      <c r="E223" s="89"/>
      <c r="F223" s="73"/>
      <c r="G223" s="73"/>
      <c r="H223" s="73"/>
      <c r="I223" s="73"/>
      <c r="J223" s="73"/>
      <c r="K223" s="73"/>
      <c r="L223" s="73"/>
      <c r="M223" s="74"/>
      <c r="N223" s="71" t="str">
        <f t="shared" si="3"/>
        <v/>
      </c>
      <c r="O223" s="72"/>
      <c r="P223" s="72"/>
      <c r="Q223" s="72"/>
      <c r="R223" s="72"/>
      <c r="S223" s="72"/>
      <c r="T223" s="72"/>
      <c r="U223" s="72"/>
      <c r="V223" s="72"/>
    </row>
    <row r="224" spans="1:25" ht="27.75" customHeight="1">
      <c r="A224" s="87" t="str">
        <f>IF(ISBLANK(C224)," ",219-COUNTBLANK($C$6:C224))</f>
        <v xml:space="preserve"> </v>
      </c>
      <c r="B224" s="88"/>
      <c r="C224" s="88"/>
      <c r="D224" s="89"/>
      <c r="E224" s="89"/>
      <c r="F224" s="73"/>
      <c r="G224" s="73"/>
      <c r="H224" s="73"/>
      <c r="I224" s="73"/>
      <c r="J224" s="73"/>
      <c r="K224" s="73"/>
      <c r="L224" s="73"/>
      <c r="M224" s="74"/>
      <c r="N224" s="71" t="str">
        <f t="shared" si="3"/>
        <v/>
      </c>
      <c r="O224" s="72"/>
      <c r="P224" s="72"/>
      <c r="Q224" s="72"/>
      <c r="R224" s="72"/>
      <c r="S224" s="72"/>
      <c r="T224" s="72"/>
      <c r="U224" s="72"/>
      <c r="V224" s="72"/>
    </row>
    <row r="225" spans="1:25" ht="27.75" customHeight="1">
      <c r="A225" s="87" t="str">
        <f>IF(ISBLANK(C225)," ",220-COUNTBLANK($C$6:C225))</f>
        <v xml:space="preserve"> </v>
      </c>
      <c r="B225" s="88"/>
      <c r="C225" s="88"/>
      <c r="D225" s="89"/>
      <c r="E225" s="89"/>
      <c r="F225" s="73"/>
      <c r="G225" s="73"/>
      <c r="H225" s="73"/>
      <c r="I225" s="73"/>
      <c r="J225" s="73"/>
      <c r="K225" s="73"/>
      <c r="L225" s="73"/>
      <c r="M225" s="74"/>
      <c r="N225" s="71" t="str">
        <f t="shared" si="3"/>
        <v/>
      </c>
      <c r="O225" s="72"/>
      <c r="P225" s="72"/>
      <c r="Q225" s="72"/>
      <c r="R225" s="72"/>
      <c r="S225" s="72"/>
      <c r="T225" s="72"/>
      <c r="U225" s="72"/>
      <c r="V225" s="72"/>
    </row>
    <row r="226" spans="1:25" ht="27.75" customHeight="1">
      <c r="A226" s="87" t="str">
        <f>IF(ISBLANK(C226)," ",221-COUNTBLANK($C$6:C226))</f>
        <v xml:space="preserve"> </v>
      </c>
      <c r="B226" s="88"/>
      <c r="C226" s="88"/>
      <c r="D226" s="89"/>
      <c r="E226" s="89"/>
      <c r="F226" s="73"/>
      <c r="G226" s="73"/>
      <c r="H226" s="73"/>
      <c r="I226" s="73"/>
      <c r="J226" s="73"/>
      <c r="K226" s="73"/>
      <c r="L226" s="73"/>
      <c r="M226" s="74"/>
      <c r="N226" s="71" t="str">
        <f t="shared" si="3"/>
        <v/>
      </c>
      <c r="O226" s="72"/>
      <c r="P226" s="72"/>
      <c r="Q226" s="72"/>
      <c r="R226" s="72"/>
      <c r="S226" s="72"/>
      <c r="T226" s="72"/>
      <c r="U226" s="72"/>
      <c r="V226" s="72"/>
    </row>
    <row r="227" spans="1:25" ht="27.75" customHeight="1">
      <c r="A227" s="87" t="str">
        <f>IF(ISBLANK(C227)," ",222-COUNTBLANK($C$6:C227))</f>
        <v xml:space="preserve"> </v>
      </c>
      <c r="B227" s="88"/>
      <c r="C227" s="88"/>
      <c r="D227" s="89"/>
      <c r="E227" s="89"/>
      <c r="F227" s="73"/>
      <c r="G227" s="73"/>
      <c r="H227" s="73"/>
      <c r="I227" s="73"/>
      <c r="J227" s="73"/>
      <c r="K227" s="73"/>
      <c r="L227" s="73"/>
      <c r="M227" s="74"/>
      <c r="N227" s="71" t="str">
        <f t="shared" si="3"/>
        <v/>
      </c>
      <c r="O227" s="72"/>
      <c r="P227" s="72"/>
      <c r="Q227" s="72"/>
      <c r="R227" s="72"/>
      <c r="S227" s="72"/>
      <c r="T227" s="72"/>
      <c r="U227" s="72"/>
      <c r="V227" s="72"/>
    </row>
    <row r="228" spans="1:25" ht="27.75" customHeight="1">
      <c r="A228" s="87" t="str">
        <f>IF(ISBLANK(C228)," ",223-COUNTBLANK($C$6:C228))</f>
        <v xml:space="preserve"> </v>
      </c>
      <c r="B228" s="88"/>
      <c r="C228" s="88"/>
      <c r="D228" s="89"/>
      <c r="E228" s="89"/>
      <c r="F228" s="73"/>
      <c r="G228" s="73"/>
      <c r="H228" s="73"/>
      <c r="I228" s="73"/>
      <c r="J228" s="73"/>
      <c r="K228" s="73"/>
      <c r="L228" s="73"/>
      <c r="M228" s="74"/>
      <c r="N228" s="71" t="str">
        <f t="shared" si="3"/>
        <v/>
      </c>
      <c r="O228" s="72"/>
      <c r="P228" s="72"/>
      <c r="Q228" s="72"/>
      <c r="R228" s="72"/>
      <c r="S228" s="72"/>
      <c r="T228" s="72"/>
      <c r="U228" s="72"/>
      <c r="V228" s="72"/>
    </row>
    <row r="229" spans="1:25" ht="27.75" customHeight="1">
      <c r="A229" s="87" t="str">
        <f>IF(ISBLANK(C229)," ",224-COUNTBLANK($C$6:C229))</f>
        <v xml:space="preserve"> </v>
      </c>
      <c r="B229" s="88"/>
      <c r="C229" s="88"/>
      <c r="D229" s="89"/>
      <c r="E229" s="89"/>
      <c r="F229" s="73"/>
      <c r="G229" s="73"/>
      <c r="H229" s="73"/>
      <c r="I229" s="73"/>
      <c r="J229" s="73"/>
      <c r="K229" s="73"/>
      <c r="L229" s="73"/>
      <c r="M229" s="74"/>
      <c r="N229" s="71" t="str">
        <f t="shared" si="3"/>
        <v/>
      </c>
      <c r="O229" s="72"/>
      <c r="P229" s="72"/>
      <c r="Q229" s="72"/>
      <c r="R229" s="72"/>
      <c r="S229" s="72"/>
      <c r="T229" s="72"/>
      <c r="U229" s="72"/>
      <c r="V229" s="72"/>
    </row>
    <row r="230" spans="1:25" ht="27.75" customHeight="1">
      <c r="A230" s="87" t="str">
        <f>IF(ISBLANK(C230)," ",225-COUNTBLANK($C$6:C230))</f>
        <v xml:space="preserve"> </v>
      </c>
      <c r="B230" s="88"/>
      <c r="C230" s="88"/>
      <c r="D230" s="89"/>
      <c r="E230" s="89"/>
      <c r="F230" s="73"/>
      <c r="G230" s="73"/>
      <c r="H230" s="73"/>
      <c r="I230" s="73"/>
      <c r="J230" s="73"/>
      <c r="K230" s="73"/>
      <c r="L230" s="73"/>
      <c r="M230" s="74"/>
      <c r="N230" s="71" t="str">
        <f t="shared" si="3"/>
        <v/>
      </c>
      <c r="O230" s="72"/>
      <c r="P230" s="72"/>
      <c r="Q230" s="72"/>
      <c r="R230" s="72"/>
      <c r="S230" s="72"/>
      <c r="T230" s="72"/>
      <c r="U230" s="72"/>
      <c r="V230" s="72"/>
    </row>
    <row r="231" spans="1:25" ht="27.75" customHeight="1">
      <c r="A231" s="87" t="str">
        <f>IF(ISBLANK(C231)," ",226-COUNTBLANK($C$6:C231))</f>
        <v xml:space="preserve"> </v>
      </c>
      <c r="B231" s="88"/>
      <c r="C231" s="88"/>
      <c r="D231" s="89"/>
      <c r="E231" s="89"/>
      <c r="F231" s="73"/>
      <c r="G231" s="73"/>
      <c r="H231" s="73"/>
      <c r="I231" s="73"/>
      <c r="J231" s="73"/>
      <c r="K231" s="73"/>
      <c r="L231" s="73"/>
      <c r="M231" s="74"/>
      <c r="N231" s="71" t="str">
        <f t="shared" si="3"/>
        <v/>
      </c>
      <c r="O231" s="75"/>
      <c r="P231" s="72"/>
      <c r="Q231" s="72"/>
      <c r="R231" s="72"/>
      <c r="S231" s="72"/>
      <c r="T231" s="72"/>
      <c r="U231" s="72"/>
      <c r="V231" s="76"/>
    </row>
    <row r="232" spans="1:25" ht="27.75" customHeight="1">
      <c r="A232" s="87" t="str">
        <f>IF(ISBLANK(C232)," ",227-COUNTBLANK($C$6:C232))</f>
        <v xml:space="preserve"> </v>
      </c>
      <c r="B232" s="88"/>
      <c r="C232" s="88"/>
      <c r="D232" s="89"/>
      <c r="E232" s="89"/>
      <c r="F232" s="73"/>
      <c r="G232" s="73"/>
      <c r="H232" s="73"/>
      <c r="I232" s="73"/>
      <c r="J232" s="73"/>
      <c r="K232" s="73"/>
      <c r="L232" s="73"/>
      <c r="M232" s="74"/>
      <c r="N232" s="71" t="str">
        <f t="shared" si="3"/>
        <v/>
      </c>
      <c r="O232" s="75"/>
      <c r="P232" s="72"/>
      <c r="Q232" s="72"/>
      <c r="R232" s="72"/>
      <c r="S232" s="72"/>
      <c r="T232" s="72"/>
      <c r="U232" s="72"/>
      <c r="V232" s="76"/>
    </row>
    <row r="233" spans="1:25" ht="27.75" customHeight="1">
      <c r="A233" s="87" t="str">
        <f>IF(ISBLANK(C233)," ",228-COUNTBLANK($C$6:C233))</f>
        <v xml:space="preserve"> </v>
      </c>
      <c r="B233" s="88"/>
      <c r="C233" s="88"/>
      <c r="D233" s="89"/>
      <c r="E233" s="89"/>
      <c r="F233" s="73"/>
      <c r="G233" s="73"/>
      <c r="H233" s="73"/>
      <c r="I233" s="73"/>
      <c r="J233" s="73"/>
      <c r="K233" s="73"/>
      <c r="L233" s="73"/>
      <c r="M233" s="74"/>
      <c r="N233" s="71" t="str">
        <f t="shared" si="3"/>
        <v/>
      </c>
      <c r="O233" s="75"/>
      <c r="P233" s="72"/>
      <c r="Q233" s="72"/>
      <c r="R233" s="72"/>
      <c r="S233" s="72"/>
      <c r="T233" s="72"/>
      <c r="U233" s="72"/>
      <c r="V233" s="76"/>
    </row>
    <row r="234" spans="1:25" ht="27.75" customHeight="1">
      <c r="A234" s="87" t="str">
        <f>IF(ISBLANK(C234)," ",229-COUNTBLANK($C$6:C234))</f>
        <v xml:space="preserve"> </v>
      </c>
      <c r="B234" s="88"/>
      <c r="C234" s="88"/>
      <c r="D234" s="89"/>
      <c r="E234" s="89"/>
      <c r="F234" s="73"/>
      <c r="G234" s="73"/>
      <c r="H234" s="73"/>
      <c r="I234" s="73"/>
      <c r="J234" s="73"/>
      <c r="K234" s="73"/>
      <c r="L234" s="73"/>
      <c r="M234" s="74"/>
      <c r="N234" s="71" t="str">
        <f t="shared" si="3"/>
        <v/>
      </c>
      <c r="O234" s="75"/>
      <c r="P234" s="72"/>
      <c r="Q234" s="72"/>
      <c r="R234" s="72"/>
      <c r="S234" s="72"/>
      <c r="T234" s="72"/>
      <c r="U234" s="72"/>
      <c r="V234" s="76"/>
    </row>
    <row r="235" spans="1:25" ht="27.75" customHeight="1">
      <c r="A235" s="87" t="str">
        <f>IF(ISBLANK(C235)," ",230-COUNTBLANK($C$6:C235))</f>
        <v xml:space="preserve"> </v>
      </c>
      <c r="B235" s="88"/>
      <c r="C235" s="88"/>
      <c r="D235" s="89"/>
      <c r="E235" s="89"/>
      <c r="F235" s="73"/>
      <c r="G235" s="73"/>
      <c r="H235" s="73"/>
      <c r="I235" s="73"/>
      <c r="J235" s="73"/>
      <c r="K235" s="73"/>
      <c r="L235" s="73"/>
      <c r="M235" s="74"/>
      <c r="N235" s="71" t="str">
        <f t="shared" si="3"/>
        <v/>
      </c>
      <c r="O235" s="72"/>
      <c r="P235" s="72"/>
      <c r="Q235" s="72"/>
      <c r="R235" s="72"/>
      <c r="S235" s="72"/>
      <c r="T235" s="72"/>
      <c r="U235" s="72"/>
      <c r="V235" s="79"/>
      <c r="W235" s="72"/>
      <c r="X235" s="72"/>
      <c r="Y235" s="72"/>
    </row>
    <row r="236" spans="1:25" ht="27.75" customHeight="1">
      <c r="A236" s="80" t="s">
        <v>58</v>
      </c>
      <c r="B236" s="81"/>
      <c r="C236" s="96"/>
      <c r="D236" s="82"/>
      <c r="E236" s="82">
        <f>SUM(E216:E235)</f>
        <v>0</v>
      </c>
      <c r="F236" s="83"/>
      <c r="G236" s="83"/>
      <c r="H236" s="83"/>
      <c r="I236" s="83"/>
      <c r="J236" s="83"/>
      <c r="K236" s="83"/>
      <c r="L236" s="83"/>
      <c r="M236" s="84"/>
      <c r="N236" s="71" t="str">
        <f t="shared" si="3"/>
        <v/>
      </c>
      <c r="O236" s="75"/>
      <c r="P236" s="72"/>
      <c r="Q236" s="72"/>
      <c r="R236" s="72"/>
      <c r="S236" s="72"/>
      <c r="T236" s="72"/>
      <c r="U236" s="72"/>
      <c r="V236" s="79"/>
      <c r="W236" s="72"/>
      <c r="X236" s="72"/>
      <c r="Y236" s="72"/>
    </row>
    <row r="237" spans="1:25" ht="27.75" customHeight="1">
      <c r="A237" s="93" t="str">
        <f>IF(ISBLANK(C237)," ",232-COUNTBLANK($C$6:C237))</f>
        <v xml:space="preserve"> </v>
      </c>
      <c r="B237" s="94"/>
      <c r="C237" s="94"/>
      <c r="D237" s="95"/>
      <c r="E237" s="95"/>
      <c r="F237" s="85"/>
      <c r="G237" s="85"/>
      <c r="H237" s="85"/>
      <c r="I237" s="85"/>
      <c r="J237" s="85"/>
      <c r="K237" s="85"/>
      <c r="L237" s="85"/>
      <c r="M237" s="86"/>
      <c r="N237" s="71" t="str">
        <f t="shared" si="3"/>
        <v/>
      </c>
      <c r="O237" s="72"/>
      <c r="P237" s="72"/>
      <c r="Q237" s="72"/>
      <c r="R237" s="72"/>
      <c r="S237" s="72"/>
      <c r="T237" s="72"/>
      <c r="U237" s="72"/>
      <c r="V237" s="72"/>
    </row>
    <row r="238" spans="1:25" ht="27.75" customHeight="1">
      <c r="A238" s="87" t="str">
        <f>IF(ISBLANK(C238)," ",233-COUNTBLANK($C$6:C238))</f>
        <v xml:space="preserve"> </v>
      </c>
      <c r="B238" s="88"/>
      <c r="C238" s="88"/>
      <c r="D238" s="89"/>
      <c r="E238" s="89"/>
      <c r="F238" s="73"/>
      <c r="G238" s="73"/>
      <c r="H238" s="73"/>
      <c r="I238" s="73"/>
      <c r="J238" s="73"/>
      <c r="K238" s="73"/>
      <c r="L238" s="73"/>
      <c r="M238" s="74"/>
      <c r="N238" s="71" t="str">
        <f t="shared" si="3"/>
        <v/>
      </c>
      <c r="O238" s="72"/>
      <c r="P238" s="72"/>
      <c r="Q238" s="72"/>
      <c r="R238" s="72"/>
      <c r="S238" s="72"/>
      <c r="T238" s="72"/>
      <c r="U238" s="72"/>
      <c r="V238" s="72"/>
    </row>
    <row r="239" spans="1:25" ht="27.75" customHeight="1">
      <c r="A239" s="87" t="str">
        <f>IF(ISBLANK(C239)," ",234-COUNTBLANK($C$6:C239))</f>
        <v xml:space="preserve"> </v>
      </c>
      <c r="B239" s="88"/>
      <c r="C239" s="88"/>
      <c r="D239" s="89"/>
      <c r="E239" s="89"/>
      <c r="F239" s="73"/>
      <c r="G239" s="73"/>
      <c r="H239" s="73"/>
      <c r="I239" s="73"/>
      <c r="J239" s="73"/>
      <c r="K239" s="73"/>
      <c r="L239" s="73"/>
      <c r="M239" s="74"/>
      <c r="N239" s="71" t="str">
        <f t="shared" si="3"/>
        <v/>
      </c>
      <c r="O239" s="72"/>
      <c r="P239" s="72"/>
      <c r="Q239" s="72"/>
      <c r="R239" s="72"/>
      <c r="S239" s="72"/>
      <c r="T239" s="72"/>
      <c r="U239" s="72"/>
      <c r="V239" s="72"/>
    </row>
    <row r="240" spans="1:25" ht="27.75" customHeight="1">
      <c r="A240" s="87" t="str">
        <f>IF(ISBLANK(C240)," ",235-COUNTBLANK($C$6:C240))</f>
        <v xml:space="preserve"> </v>
      </c>
      <c r="B240" s="88"/>
      <c r="C240" s="88"/>
      <c r="D240" s="89"/>
      <c r="E240" s="89"/>
      <c r="F240" s="73"/>
      <c r="G240" s="73"/>
      <c r="H240" s="73"/>
      <c r="I240" s="73"/>
      <c r="J240" s="73"/>
      <c r="K240" s="73"/>
      <c r="L240" s="73"/>
      <c r="M240" s="74"/>
      <c r="N240" s="71" t="str">
        <f t="shared" si="3"/>
        <v/>
      </c>
      <c r="O240" s="72"/>
      <c r="P240" s="72"/>
      <c r="Q240" s="72"/>
      <c r="R240" s="72"/>
      <c r="S240" s="72"/>
      <c r="T240" s="72"/>
      <c r="U240" s="72"/>
      <c r="V240" s="72"/>
    </row>
    <row r="241" spans="1:25" ht="27.75" customHeight="1">
      <c r="A241" s="87" t="str">
        <f>IF(ISBLANK(C241)," ",236-COUNTBLANK($C$6:C241))</f>
        <v xml:space="preserve"> </v>
      </c>
      <c r="B241" s="88"/>
      <c r="C241" s="88"/>
      <c r="D241" s="89"/>
      <c r="E241" s="89"/>
      <c r="F241" s="73"/>
      <c r="G241" s="73"/>
      <c r="H241" s="73"/>
      <c r="I241" s="73"/>
      <c r="J241" s="73"/>
      <c r="K241" s="73"/>
      <c r="L241" s="73"/>
      <c r="M241" s="74"/>
      <c r="N241" s="71" t="str">
        <f t="shared" si="3"/>
        <v/>
      </c>
      <c r="O241" s="72"/>
      <c r="P241" s="72"/>
      <c r="Q241" s="72"/>
      <c r="R241" s="72"/>
      <c r="S241" s="72"/>
      <c r="T241" s="72"/>
      <c r="U241" s="72"/>
      <c r="V241" s="72"/>
    </row>
    <row r="242" spans="1:25" ht="27.75" customHeight="1">
      <c r="A242" s="87" t="str">
        <f>IF(ISBLANK(C242)," ",237-COUNTBLANK($C$6:C242))</f>
        <v xml:space="preserve"> </v>
      </c>
      <c r="B242" s="88"/>
      <c r="C242" s="88"/>
      <c r="D242" s="89"/>
      <c r="E242" s="89"/>
      <c r="F242" s="73"/>
      <c r="G242" s="73"/>
      <c r="H242" s="73"/>
      <c r="I242" s="73"/>
      <c r="J242" s="73"/>
      <c r="K242" s="73"/>
      <c r="L242" s="73"/>
      <c r="M242" s="74"/>
      <c r="N242" s="71" t="str">
        <f t="shared" si="3"/>
        <v/>
      </c>
      <c r="O242" s="72"/>
      <c r="P242" s="72"/>
      <c r="Q242" s="72"/>
      <c r="R242" s="72"/>
      <c r="S242" s="72"/>
      <c r="T242" s="72"/>
      <c r="U242" s="72"/>
      <c r="V242" s="72"/>
    </row>
    <row r="243" spans="1:25" ht="27.75" customHeight="1">
      <c r="A243" s="87" t="str">
        <f>IF(ISBLANK(C243)," ",238-COUNTBLANK($C$6:C243))</f>
        <v xml:space="preserve"> </v>
      </c>
      <c r="B243" s="88"/>
      <c r="C243" s="88"/>
      <c r="D243" s="89"/>
      <c r="E243" s="89"/>
      <c r="F243" s="73"/>
      <c r="G243" s="73"/>
      <c r="H243" s="73"/>
      <c r="I243" s="73"/>
      <c r="J243" s="73"/>
      <c r="K243" s="73"/>
      <c r="L243" s="73"/>
      <c r="M243" s="74"/>
      <c r="N243" s="71" t="str">
        <f t="shared" si="3"/>
        <v/>
      </c>
      <c r="O243" s="72"/>
      <c r="P243" s="72"/>
      <c r="Q243" s="72"/>
      <c r="R243" s="72"/>
      <c r="S243" s="72"/>
      <c r="T243" s="72"/>
      <c r="U243" s="72"/>
      <c r="V243" s="72"/>
    </row>
    <row r="244" spans="1:25" ht="27.75" customHeight="1">
      <c r="A244" s="87" t="str">
        <f>IF(ISBLANK(C244)," ",239-COUNTBLANK($C$6:C244))</f>
        <v xml:space="preserve"> </v>
      </c>
      <c r="B244" s="88"/>
      <c r="C244" s="88"/>
      <c r="D244" s="89"/>
      <c r="E244" s="89"/>
      <c r="F244" s="73"/>
      <c r="G244" s="73"/>
      <c r="H244" s="73"/>
      <c r="I244" s="73"/>
      <c r="J244" s="73"/>
      <c r="K244" s="73"/>
      <c r="L244" s="73"/>
      <c r="M244" s="74"/>
      <c r="N244" s="71" t="str">
        <f t="shared" si="3"/>
        <v/>
      </c>
      <c r="O244" s="72"/>
      <c r="P244" s="72"/>
      <c r="Q244" s="72"/>
      <c r="R244" s="72"/>
      <c r="S244" s="72"/>
      <c r="T244" s="72"/>
      <c r="U244" s="72"/>
      <c r="V244" s="72"/>
    </row>
    <row r="245" spans="1:25" ht="27.75" customHeight="1">
      <c r="A245" s="87" t="str">
        <f>IF(ISBLANK(C245)," ",240-COUNTBLANK($C$6:C245))</f>
        <v xml:space="preserve"> </v>
      </c>
      <c r="B245" s="88"/>
      <c r="C245" s="88"/>
      <c r="D245" s="89"/>
      <c r="E245" s="89"/>
      <c r="F245" s="73"/>
      <c r="G245" s="73"/>
      <c r="H245" s="73"/>
      <c r="I245" s="73"/>
      <c r="J245" s="73"/>
      <c r="K245" s="73"/>
      <c r="L245" s="73"/>
      <c r="M245" s="74"/>
      <c r="N245" s="71" t="str">
        <f t="shared" si="3"/>
        <v/>
      </c>
      <c r="O245" s="72"/>
      <c r="P245" s="72"/>
      <c r="Q245" s="72"/>
      <c r="R245" s="72"/>
      <c r="S245" s="72"/>
      <c r="T245" s="72"/>
      <c r="U245" s="72"/>
      <c r="V245" s="72"/>
    </row>
    <row r="246" spans="1:25" ht="27.75" customHeight="1">
      <c r="A246" s="87" t="str">
        <f>IF(ISBLANK(C246)," ",241-COUNTBLANK($C$6:C246))</f>
        <v xml:space="preserve"> </v>
      </c>
      <c r="B246" s="88"/>
      <c r="C246" s="88"/>
      <c r="D246" s="89"/>
      <c r="E246" s="89"/>
      <c r="F246" s="73"/>
      <c r="G246" s="73"/>
      <c r="H246" s="73"/>
      <c r="I246" s="73"/>
      <c r="J246" s="73"/>
      <c r="K246" s="73"/>
      <c r="L246" s="73"/>
      <c r="M246" s="74"/>
      <c r="N246" s="71" t="str">
        <f t="shared" si="3"/>
        <v/>
      </c>
      <c r="O246" s="72"/>
      <c r="P246" s="72"/>
      <c r="Q246" s="72"/>
      <c r="R246" s="72"/>
      <c r="S246" s="72"/>
      <c r="T246" s="72"/>
      <c r="U246" s="72"/>
      <c r="V246" s="72"/>
    </row>
    <row r="247" spans="1:25" ht="27.75" customHeight="1">
      <c r="A247" s="87" t="str">
        <f>IF(ISBLANK(C247)," ",242-COUNTBLANK($C$6:C247))</f>
        <v xml:space="preserve"> </v>
      </c>
      <c r="B247" s="88"/>
      <c r="C247" s="88"/>
      <c r="D247" s="89"/>
      <c r="E247" s="89"/>
      <c r="F247" s="73"/>
      <c r="G247" s="73"/>
      <c r="H247" s="73"/>
      <c r="I247" s="73"/>
      <c r="J247" s="73"/>
      <c r="K247" s="73"/>
      <c r="L247" s="73"/>
      <c r="M247" s="74"/>
      <c r="N247" s="71" t="str">
        <f t="shared" si="3"/>
        <v/>
      </c>
      <c r="O247" s="72"/>
      <c r="P247" s="72"/>
      <c r="Q247" s="72"/>
      <c r="R247" s="72"/>
      <c r="S247" s="72"/>
      <c r="T247" s="72"/>
      <c r="U247" s="72"/>
      <c r="V247" s="72"/>
    </row>
    <row r="248" spans="1:25" ht="27.75" customHeight="1">
      <c r="A248" s="87" t="str">
        <f>IF(ISBLANK(C248)," ",243-COUNTBLANK($C$6:C248))</f>
        <v xml:space="preserve"> </v>
      </c>
      <c r="B248" s="88"/>
      <c r="C248" s="88"/>
      <c r="D248" s="89"/>
      <c r="E248" s="89"/>
      <c r="F248" s="73"/>
      <c r="G248" s="73"/>
      <c r="H248" s="73"/>
      <c r="I248" s="73"/>
      <c r="J248" s="73"/>
      <c r="K248" s="73"/>
      <c r="L248" s="73"/>
      <c r="M248" s="74"/>
      <c r="N248" s="71" t="str">
        <f t="shared" si="3"/>
        <v/>
      </c>
      <c r="O248" s="72"/>
      <c r="P248" s="72"/>
      <c r="Q248" s="72"/>
      <c r="R248" s="72"/>
      <c r="S248" s="72"/>
      <c r="T248" s="72"/>
      <c r="U248" s="72"/>
      <c r="V248" s="72"/>
    </row>
    <row r="249" spans="1:25" ht="27.75" customHeight="1">
      <c r="A249" s="87" t="str">
        <f>IF(ISBLANK(C249)," ",244-COUNTBLANK($C$6:C249))</f>
        <v xml:space="preserve"> </v>
      </c>
      <c r="B249" s="88"/>
      <c r="C249" s="88"/>
      <c r="D249" s="89"/>
      <c r="E249" s="89"/>
      <c r="F249" s="73"/>
      <c r="G249" s="73"/>
      <c r="H249" s="73"/>
      <c r="I249" s="73"/>
      <c r="J249" s="73"/>
      <c r="K249" s="73"/>
      <c r="L249" s="73"/>
      <c r="M249" s="74"/>
      <c r="N249" s="71" t="str">
        <f t="shared" si="3"/>
        <v/>
      </c>
      <c r="O249" s="72"/>
      <c r="P249" s="72"/>
      <c r="Q249" s="72"/>
      <c r="R249" s="72"/>
      <c r="S249" s="72"/>
      <c r="T249" s="72"/>
      <c r="U249" s="72"/>
      <c r="V249" s="72"/>
    </row>
    <row r="250" spans="1:25" ht="27.75" customHeight="1">
      <c r="A250" s="87" t="str">
        <f>IF(ISBLANK(C250)," ",245-COUNTBLANK($C$6:C250))</f>
        <v xml:space="preserve"> </v>
      </c>
      <c r="B250" s="88"/>
      <c r="C250" s="88"/>
      <c r="D250" s="89"/>
      <c r="E250" s="89"/>
      <c r="F250" s="73"/>
      <c r="G250" s="73"/>
      <c r="H250" s="73"/>
      <c r="I250" s="73"/>
      <c r="J250" s="73"/>
      <c r="K250" s="73"/>
      <c r="L250" s="73"/>
      <c r="M250" s="74"/>
      <c r="N250" s="71" t="str">
        <f t="shared" si="3"/>
        <v/>
      </c>
      <c r="O250" s="72"/>
      <c r="P250" s="72"/>
      <c r="Q250" s="72"/>
      <c r="R250" s="72"/>
      <c r="S250" s="72"/>
      <c r="T250" s="72"/>
      <c r="U250" s="72"/>
      <c r="V250" s="72"/>
    </row>
    <row r="251" spans="1:25" ht="27.75" customHeight="1">
      <c r="A251" s="87" t="str">
        <f>IF(ISBLANK(C251)," ",246-COUNTBLANK($C$6:C251))</f>
        <v xml:space="preserve"> </v>
      </c>
      <c r="B251" s="88"/>
      <c r="C251" s="88"/>
      <c r="D251" s="89"/>
      <c r="E251" s="89"/>
      <c r="F251" s="73"/>
      <c r="G251" s="73"/>
      <c r="H251" s="73"/>
      <c r="I251" s="73"/>
      <c r="J251" s="73"/>
      <c r="K251" s="73"/>
      <c r="L251" s="73"/>
      <c r="M251" s="74"/>
      <c r="N251" s="71" t="str">
        <f t="shared" si="3"/>
        <v/>
      </c>
      <c r="O251" s="72"/>
      <c r="P251" s="72"/>
      <c r="Q251" s="72"/>
      <c r="R251" s="72"/>
      <c r="S251" s="72"/>
      <c r="T251" s="72"/>
      <c r="U251" s="72"/>
      <c r="V251" s="72"/>
    </row>
    <row r="252" spans="1:25" ht="27.75" customHeight="1">
      <c r="A252" s="87" t="str">
        <f>IF(ISBLANK(C252)," ",247-COUNTBLANK($C$6:C252))</f>
        <v xml:space="preserve"> </v>
      </c>
      <c r="B252" s="88"/>
      <c r="C252" s="88"/>
      <c r="D252" s="89"/>
      <c r="E252" s="89"/>
      <c r="F252" s="73"/>
      <c r="G252" s="73"/>
      <c r="H252" s="73"/>
      <c r="I252" s="73"/>
      <c r="J252" s="73"/>
      <c r="K252" s="73"/>
      <c r="L252" s="73"/>
      <c r="M252" s="74"/>
      <c r="N252" s="71" t="str">
        <f t="shared" si="3"/>
        <v/>
      </c>
      <c r="O252" s="75"/>
      <c r="P252" s="72"/>
      <c r="Q252" s="72"/>
      <c r="R252" s="72"/>
      <c r="S252" s="72"/>
      <c r="T252" s="72"/>
      <c r="U252" s="72"/>
      <c r="V252" s="76"/>
    </row>
    <row r="253" spans="1:25" ht="27.75" customHeight="1">
      <c r="A253" s="87" t="str">
        <f>IF(ISBLANK(C253)," ",248-COUNTBLANK($C$6:C253))</f>
        <v xml:space="preserve"> </v>
      </c>
      <c r="B253" s="88"/>
      <c r="C253" s="88"/>
      <c r="D253" s="89"/>
      <c r="E253" s="89"/>
      <c r="F253" s="73"/>
      <c r="G253" s="73"/>
      <c r="H253" s="73"/>
      <c r="I253" s="73"/>
      <c r="J253" s="73"/>
      <c r="K253" s="73"/>
      <c r="L253" s="73"/>
      <c r="M253" s="74"/>
      <c r="N253" s="71" t="str">
        <f t="shared" si="3"/>
        <v/>
      </c>
      <c r="O253" s="75"/>
      <c r="P253" s="72"/>
      <c r="Q253" s="72"/>
      <c r="R253" s="72"/>
      <c r="S253" s="72"/>
      <c r="T253" s="72"/>
      <c r="U253" s="72"/>
      <c r="V253" s="76"/>
    </row>
    <row r="254" spans="1:25" ht="27.75" customHeight="1">
      <c r="A254" s="87" t="str">
        <f>IF(ISBLANK(C254)," ",249-COUNTBLANK($C$6:C254))</f>
        <v xml:space="preserve"> </v>
      </c>
      <c r="B254" s="88"/>
      <c r="C254" s="88"/>
      <c r="D254" s="89"/>
      <c r="E254" s="89"/>
      <c r="F254" s="73"/>
      <c r="G254" s="73"/>
      <c r="H254" s="73"/>
      <c r="I254" s="73"/>
      <c r="J254" s="73"/>
      <c r="K254" s="73"/>
      <c r="L254" s="73"/>
      <c r="M254" s="74"/>
      <c r="N254" s="71" t="str">
        <f t="shared" si="3"/>
        <v/>
      </c>
      <c r="O254" s="75"/>
      <c r="P254" s="72"/>
      <c r="Q254" s="72"/>
      <c r="R254" s="72"/>
      <c r="S254" s="72"/>
      <c r="T254" s="72"/>
      <c r="U254" s="72"/>
      <c r="V254" s="76"/>
    </row>
    <row r="255" spans="1:25" ht="27.75" customHeight="1">
      <c r="A255" s="87" t="str">
        <f>IF(ISBLANK(C255)," ",250-COUNTBLANK($C$6:C255))</f>
        <v xml:space="preserve"> </v>
      </c>
      <c r="B255" s="88"/>
      <c r="C255" s="88"/>
      <c r="D255" s="89"/>
      <c r="E255" s="89"/>
      <c r="F255" s="73"/>
      <c r="G255" s="73"/>
      <c r="H255" s="73"/>
      <c r="I255" s="73"/>
      <c r="J255" s="73"/>
      <c r="K255" s="73"/>
      <c r="L255" s="73"/>
      <c r="M255" s="74"/>
      <c r="N255" s="71" t="str">
        <f t="shared" si="3"/>
        <v/>
      </c>
      <c r="O255" s="75"/>
      <c r="P255" s="72"/>
      <c r="Q255" s="72"/>
      <c r="R255" s="72"/>
      <c r="S255" s="72"/>
      <c r="T255" s="72"/>
      <c r="U255" s="72"/>
      <c r="V255" s="76"/>
    </row>
    <row r="256" spans="1:25" ht="27.75" customHeight="1">
      <c r="A256" s="87" t="str">
        <f>IF(ISBLANK(C256)," ",251-COUNTBLANK($C$6:C256))</f>
        <v xml:space="preserve"> </v>
      </c>
      <c r="B256" s="88"/>
      <c r="C256" s="88"/>
      <c r="D256" s="89"/>
      <c r="E256" s="89"/>
      <c r="F256" s="73"/>
      <c r="G256" s="73"/>
      <c r="H256" s="73"/>
      <c r="I256" s="73"/>
      <c r="J256" s="73"/>
      <c r="K256" s="73"/>
      <c r="L256" s="73"/>
      <c r="M256" s="74"/>
      <c r="N256" s="71" t="str">
        <f t="shared" si="3"/>
        <v/>
      </c>
      <c r="O256" s="72"/>
      <c r="P256" s="72"/>
      <c r="Q256" s="72"/>
      <c r="R256" s="72"/>
      <c r="S256" s="72"/>
      <c r="T256" s="72"/>
      <c r="U256" s="72"/>
      <c r="V256" s="79"/>
      <c r="W256" s="72"/>
      <c r="X256" s="72"/>
      <c r="Y256" s="72"/>
    </row>
    <row r="257" spans="1:25" ht="27.75" customHeight="1">
      <c r="A257" s="80" t="s">
        <v>58</v>
      </c>
      <c r="B257" s="81"/>
      <c r="C257" s="96"/>
      <c r="D257" s="82"/>
      <c r="E257" s="82">
        <f>SUM(E237:E256)</f>
        <v>0</v>
      </c>
      <c r="F257" s="83"/>
      <c r="G257" s="83"/>
      <c r="H257" s="83"/>
      <c r="I257" s="83"/>
      <c r="J257" s="83"/>
      <c r="K257" s="83"/>
      <c r="L257" s="83"/>
      <c r="M257" s="84"/>
      <c r="N257" s="71" t="str">
        <f t="shared" si="3"/>
        <v/>
      </c>
      <c r="O257" s="75"/>
      <c r="P257" s="72"/>
      <c r="Q257" s="72"/>
      <c r="R257" s="72"/>
      <c r="S257" s="72"/>
      <c r="T257" s="72"/>
      <c r="U257" s="72"/>
      <c r="V257" s="79"/>
      <c r="W257" s="72"/>
      <c r="X257" s="72"/>
      <c r="Y257" s="72"/>
    </row>
    <row r="258" spans="1:25" ht="27.75" customHeight="1">
      <c r="A258" s="93" t="str">
        <f>IF(ISBLANK(C258)," ",253-COUNTBLANK($C$6:C258))</f>
        <v xml:space="preserve"> </v>
      </c>
      <c r="B258" s="94"/>
      <c r="C258" s="94"/>
      <c r="D258" s="95"/>
      <c r="E258" s="95"/>
      <c r="F258" s="85"/>
      <c r="G258" s="85"/>
      <c r="H258" s="85"/>
      <c r="I258" s="85"/>
      <c r="J258" s="85"/>
      <c r="K258" s="85"/>
      <c r="L258" s="85"/>
      <c r="M258" s="86"/>
      <c r="N258" s="71" t="str">
        <f t="shared" si="3"/>
        <v/>
      </c>
      <c r="O258" s="72"/>
      <c r="P258" s="72"/>
      <c r="Q258" s="72"/>
      <c r="R258" s="72"/>
      <c r="S258" s="72"/>
      <c r="T258" s="72"/>
      <c r="U258" s="72"/>
      <c r="V258" s="72"/>
    </row>
    <row r="259" spans="1:25" ht="27.75" customHeight="1">
      <c r="A259" s="87" t="str">
        <f>IF(ISBLANK(C259)," ",254-COUNTBLANK($C$6:C259))</f>
        <v xml:space="preserve"> </v>
      </c>
      <c r="B259" s="88"/>
      <c r="C259" s="88"/>
      <c r="D259" s="89"/>
      <c r="E259" s="89"/>
      <c r="F259" s="73"/>
      <c r="G259" s="73"/>
      <c r="H259" s="73"/>
      <c r="I259" s="73"/>
      <c r="J259" s="73"/>
      <c r="K259" s="73"/>
      <c r="L259" s="73"/>
      <c r="M259" s="74"/>
      <c r="N259" s="71" t="str">
        <f t="shared" si="3"/>
        <v/>
      </c>
      <c r="O259" s="72"/>
      <c r="P259" s="72"/>
      <c r="Q259" s="72"/>
      <c r="R259" s="72"/>
      <c r="S259" s="72"/>
      <c r="T259" s="72"/>
      <c r="U259" s="72"/>
      <c r="V259" s="72"/>
    </row>
    <row r="260" spans="1:25" ht="27.75" customHeight="1">
      <c r="A260" s="87" t="str">
        <f>IF(ISBLANK(C260)," ",255-COUNTBLANK($C$6:C260))</f>
        <v xml:space="preserve"> </v>
      </c>
      <c r="B260" s="88"/>
      <c r="C260" s="88"/>
      <c r="D260" s="89"/>
      <c r="E260" s="89"/>
      <c r="F260" s="73"/>
      <c r="G260" s="73"/>
      <c r="H260" s="73"/>
      <c r="I260" s="73"/>
      <c r="J260" s="73"/>
      <c r="K260" s="73"/>
      <c r="L260" s="73"/>
      <c r="M260" s="74"/>
      <c r="N260" s="71" t="str">
        <f t="shared" si="3"/>
        <v/>
      </c>
      <c r="O260" s="72"/>
      <c r="P260" s="72"/>
      <c r="Q260" s="72"/>
      <c r="R260" s="72"/>
      <c r="S260" s="72"/>
      <c r="T260" s="72"/>
      <c r="U260" s="72"/>
      <c r="V260" s="72"/>
    </row>
    <row r="261" spans="1:25" ht="27.75" customHeight="1">
      <c r="A261" s="87" t="str">
        <f>IF(ISBLANK(C261)," ",256-COUNTBLANK($C$6:C261))</f>
        <v xml:space="preserve"> </v>
      </c>
      <c r="B261" s="88"/>
      <c r="C261" s="88"/>
      <c r="D261" s="89"/>
      <c r="E261" s="89"/>
      <c r="F261" s="73"/>
      <c r="G261" s="73"/>
      <c r="H261" s="73"/>
      <c r="I261" s="73"/>
      <c r="J261" s="73"/>
      <c r="K261" s="73"/>
      <c r="L261" s="73"/>
      <c r="M261" s="74"/>
      <c r="N261" s="71" t="str">
        <f t="shared" si="3"/>
        <v/>
      </c>
      <c r="O261" s="72"/>
      <c r="P261" s="72"/>
      <c r="Q261" s="72"/>
      <c r="R261" s="72"/>
      <c r="S261" s="72"/>
      <c r="T261" s="72"/>
      <c r="U261" s="72"/>
      <c r="V261" s="72"/>
    </row>
    <row r="262" spans="1:25" ht="27.75" customHeight="1">
      <c r="A262" s="87" t="str">
        <f>IF(ISBLANK(C262)," ",257-COUNTBLANK($C$6:C262))</f>
        <v xml:space="preserve"> </v>
      </c>
      <c r="B262" s="88"/>
      <c r="C262" s="88"/>
      <c r="D262" s="89"/>
      <c r="E262" s="89"/>
      <c r="F262" s="73"/>
      <c r="G262" s="73"/>
      <c r="H262" s="73"/>
      <c r="I262" s="73"/>
      <c r="J262" s="73"/>
      <c r="K262" s="73"/>
      <c r="L262" s="73"/>
      <c r="M262" s="74"/>
      <c r="N262" s="71" t="str">
        <f t="shared" ref="N262:N325" si="4">CONCATENATE(C262,H262)</f>
        <v/>
      </c>
      <c r="O262" s="72"/>
      <c r="P262" s="72"/>
      <c r="Q262" s="72"/>
      <c r="R262" s="72"/>
      <c r="S262" s="72"/>
      <c r="T262" s="72"/>
      <c r="U262" s="72"/>
      <c r="V262" s="72"/>
    </row>
    <row r="263" spans="1:25" ht="27.75" customHeight="1">
      <c r="A263" s="87" t="str">
        <f>IF(ISBLANK(C263)," ",258-COUNTBLANK($C$6:C263))</f>
        <v xml:space="preserve"> </v>
      </c>
      <c r="B263" s="88"/>
      <c r="C263" s="88"/>
      <c r="D263" s="89"/>
      <c r="E263" s="89"/>
      <c r="F263" s="73"/>
      <c r="G263" s="73"/>
      <c r="H263" s="73"/>
      <c r="I263" s="73"/>
      <c r="J263" s="73"/>
      <c r="K263" s="73"/>
      <c r="L263" s="73"/>
      <c r="M263" s="74"/>
      <c r="N263" s="71" t="str">
        <f t="shared" si="4"/>
        <v/>
      </c>
      <c r="O263" s="72"/>
      <c r="P263" s="72"/>
      <c r="Q263" s="72"/>
      <c r="R263" s="72"/>
      <c r="S263" s="72"/>
      <c r="T263" s="72"/>
      <c r="U263" s="72"/>
      <c r="V263" s="72"/>
    </row>
    <row r="264" spans="1:25" ht="27.75" customHeight="1">
      <c r="A264" s="87" t="str">
        <f>IF(ISBLANK(C264)," ",259-COUNTBLANK($C$6:C264))</f>
        <v xml:space="preserve"> </v>
      </c>
      <c r="B264" s="88"/>
      <c r="C264" s="88"/>
      <c r="D264" s="89"/>
      <c r="E264" s="89"/>
      <c r="F264" s="73"/>
      <c r="G264" s="73"/>
      <c r="H264" s="73"/>
      <c r="I264" s="73"/>
      <c r="J264" s="73"/>
      <c r="K264" s="73"/>
      <c r="L264" s="73"/>
      <c r="M264" s="74"/>
      <c r="N264" s="71" t="str">
        <f t="shared" si="4"/>
        <v/>
      </c>
      <c r="O264" s="72"/>
      <c r="P264" s="72"/>
      <c r="Q264" s="72"/>
      <c r="R264" s="72"/>
      <c r="S264" s="72"/>
      <c r="T264" s="72"/>
      <c r="U264" s="72"/>
      <c r="V264" s="72"/>
    </row>
    <row r="265" spans="1:25" ht="27.75" customHeight="1">
      <c r="A265" s="87" t="str">
        <f>IF(ISBLANK(C265)," ",260-COUNTBLANK($C$6:C265))</f>
        <v xml:space="preserve"> </v>
      </c>
      <c r="B265" s="88"/>
      <c r="C265" s="88"/>
      <c r="D265" s="89"/>
      <c r="E265" s="89"/>
      <c r="F265" s="73"/>
      <c r="G265" s="73"/>
      <c r="H265" s="73"/>
      <c r="I265" s="73"/>
      <c r="J265" s="73"/>
      <c r="K265" s="73"/>
      <c r="L265" s="73"/>
      <c r="M265" s="74"/>
      <c r="N265" s="71" t="str">
        <f t="shared" si="4"/>
        <v/>
      </c>
      <c r="O265" s="72"/>
      <c r="P265" s="72"/>
      <c r="Q265" s="72"/>
      <c r="R265" s="72"/>
      <c r="S265" s="72"/>
      <c r="T265" s="72"/>
      <c r="U265" s="72"/>
      <c r="V265" s="72"/>
    </row>
    <row r="266" spans="1:25" ht="27.75" customHeight="1">
      <c r="A266" s="87" t="str">
        <f>IF(ISBLANK(C266)," ",261-COUNTBLANK($C$6:C266))</f>
        <v xml:space="preserve"> </v>
      </c>
      <c r="B266" s="88"/>
      <c r="C266" s="88"/>
      <c r="D266" s="89"/>
      <c r="E266" s="89"/>
      <c r="F266" s="73"/>
      <c r="G266" s="73"/>
      <c r="H266" s="73"/>
      <c r="I266" s="73"/>
      <c r="J266" s="73"/>
      <c r="K266" s="73"/>
      <c r="L266" s="73"/>
      <c r="M266" s="74"/>
      <c r="N266" s="71" t="str">
        <f t="shared" si="4"/>
        <v/>
      </c>
      <c r="O266" s="72"/>
      <c r="P266" s="72"/>
      <c r="Q266" s="72"/>
      <c r="R266" s="72"/>
      <c r="S266" s="72"/>
      <c r="T266" s="72"/>
      <c r="U266" s="72"/>
      <c r="V266" s="72"/>
    </row>
    <row r="267" spans="1:25" ht="27.75" customHeight="1">
      <c r="A267" s="87" t="str">
        <f>IF(ISBLANK(C267)," ",262-COUNTBLANK($C$6:C267))</f>
        <v xml:space="preserve"> </v>
      </c>
      <c r="B267" s="88"/>
      <c r="C267" s="88"/>
      <c r="D267" s="89"/>
      <c r="E267" s="89"/>
      <c r="F267" s="73"/>
      <c r="G267" s="73"/>
      <c r="H267" s="73"/>
      <c r="I267" s="73"/>
      <c r="J267" s="73"/>
      <c r="K267" s="73"/>
      <c r="L267" s="73"/>
      <c r="M267" s="74"/>
      <c r="N267" s="71" t="str">
        <f t="shared" si="4"/>
        <v/>
      </c>
      <c r="O267" s="72"/>
      <c r="P267" s="72"/>
      <c r="Q267" s="72"/>
      <c r="R267" s="72"/>
      <c r="S267" s="72"/>
      <c r="T267" s="72"/>
      <c r="U267" s="72"/>
      <c r="V267" s="72"/>
    </row>
    <row r="268" spans="1:25" ht="27.75" customHeight="1">
      <c r="A268" s="87" t="str">
        <f>IF(ISBLANK(C268)," ",263-COUNTBLANK($C$6:C268))</f>
        <v xml:space="preserve"> </v>
      </c>
      <c r="B268" s="88"/>
      <c r="C268" s="88"/>
      <c r="D268" s="89"/>
      <c r="E268" s="89"/>
      <c r="F268" s="73"/>
      <c r="G268" s="73"/>
      <c r="H268" s="73"/>
      <c r="I268" s="73"/>
      <c r="J268" s="73"/>
      <c r="K268" s="73"/>
      <c r="L268" s="73"/>
      <c r="M268" s="74"/>
      <c r="N268" s="71" t="str">
        <f t="shared" si="4"/>
        <v/>
      </c>
      <c r="O268" s="72"/>
      <c r="P268" s="72"/>
      <c r="Q268" s="72"/>
      <c r="R268" s="72"/>
      <c r="S268" s="72"/>
      <c r="T268" s="72"/>
      <c r="U268" s="72"/>
      <c r="V268" s="72"/>
    </row>
    <row r="269" spans="1:25" ht="27.75" customHeight="1">
      <c r="A269" s="87" t="str">
        <f>IF(ISBLANK(C269)," ",264-COUNTBLANK($C$6:C269))</f>
        <v xml:space="preserve"> </v>
      </c>
      <c r="B269" s="88"/>
      <c r="C269" s="88"/>
      <c r="D269" s="89"/>
      <c r="E269" s="89"/>
      <c r="F269" s="73"/>
      <c r="G269" s="73"/>
      <c r="H269" s="73"/>
      <c r="I269" s="73"/>
      <c r="J269" s="73"/>
      <c r="K269" s="73"/>
      <c r="L269" s="73"/>
      <c r="M269" s="74"/>
      <c r="N269" s="71" t="str">
        <f t="shared" si="4"/>
        <v/>
      </c>
      <c r="O269" s="72"/>
      <c r="P269" s="72"/>
      <c r="Q269" s="72"/>
      <c r="R269" s="72"/>
      <c r="S269" s="72"/>
      <c r="T269" s="72"/>
      <c r="U269" s="72"/>
      <c r="V269" s="72"/>
    </row>
    <row r="270" spans="1:25" ht="27.75" customHeight="1">
      <c r="A270" s="87" t="str">
        <f>IF(ISBLANK(C270)," ",265-COUNTBLANK($C$6:C270))</f>
        <v xml:space="preserve"> </v>
      </c>
      <c r="B270" s="88"/>
      <c r="C270" s="88"/>
      <c r="D270" s="89"/>
      <c r="E270" s="89"/>
      <c r="F270" s="73"/>
      <c r="G270" s="73"/>
      <c r="H270" s="73"/>
      <c r="I270" s="73"/>
      <c r="J270" s="73"/>
      <c r="K270" s="73"/>
      <c r="L270" s="73"/>
      <c r="M270" s="74"/>
      <c r="N270" s="71" t="str">
        <f t="shared" si="4"/>
        <v/>
      </c>
      <c r="O270" s="72"/>
      <c r="P270" s="72"/>
      <c r="Q270" s="72"/>
      <c r="R270" s="72"/>
      <c r="S270" s="72"/>
      <c r="T270" s="72"/>
      <c r="U270" s="72"/>
      <c r="V270" s="72"/>
    </row>
    <row r="271" spans="1:25" ht="27.75" customHeight="1">
      <c r="A271" s="87" t="str">
        <f>IF(ISBLANK(C271)," ",266-COUNTBLANK($C$6:C271))</f>
        <v xml:space="preserve"> </v>
      </c>
      <c r="B271" s="88"/>
      <c r="C271" s="88"/>
      <c r="D271" s="89"/>
      <c r="E271" s="89"/>
      <c r="F271" s="73"/>
      <c r="G271" s="73"/>
      <c r="H271" s="73"/>
      <c r="I271" s="73"/>
      <c r="J271" s="73"/>
      <c r="K271" s="73"/>
      <c r="L271" s="73"/>
      <c r="M271" s="74"/>
      <c r="N271" s="71" t="str">
        <f t="shared" si="4"/>
        <v/>
      </c>
      <c r="O271" s="72"/>
      <c r="P271" s="72"/>
      <c r="Q271" s="72"/>
      <c r="R271" s="72"/>
      <c r="S271" s="72"/>
      <c r="T271" s="72"/>
      <c r="U271" s="72"/>
      <c r="V271" s="72"/>
    </row>
    <row r="272" spans="1:25" ht="27.75" customHeight="1">
      <c r="A272" s="87" t="str">
        <f>IF(ISBLANK(C272)," ",267-COUNTBLANK($C$6:C272))</f>
        <v xml:space="preserve"> </v>
      </c>
      <c r="B272" s="88"/>
      <c r="C272" s="88"/>
      <c r="D272" s="89"/>
      <c r="E272" s="89"/>
      <c r="F272" s="73"/>
      <c r="G272" s="73"/>
      <c r="H272" s="73"/>
      <c r="I272" s="73"/>
      <c r="J272" s="73"/>
      <c r="K272" s="73"/>
      <c r="L272" s="73"/>
      <c r="M272" s="74"/>
      <c r="N272" s="71" t="str">
        <f t="shared" si="4"/>
        <v/>
      </c>
      <c r="O272" s="72"/>
      <c r="P272" s="72"/>
      <c r="Q272" s="72"/>
      <c r="R272" s="72"/>
      <c r="S272" s="72"/>
      <c r="T272" s="72"/>
      <c r="U272" s="72"/>
      <c r="V272" s="72"/>
    </row>
    <row r="273" spans="1:25" ht="27.75" customHeight="1">
      <c r="A273" s="87" t="str">
        <f>IF(ISBLANK(C273)," ",268-COUNTBLANK($C$6:C273))</f>
        <v xml:space="preserve"> </v>
      </c>
      <c r="B273" s="88"/>
      <c r="C273" s="88"/>
      <c r="D273" s="89"/>
      <c r="E273" s="89"/>
      <c r="F273" s="73"/>
      <c r="G273" s="73"/>
      <c r="H273" s="73"/>
      <c r="I273" s="73"/>
      <c r="J273" s="73"/>
      <c r="K273" s="73"/>
      <c r="L273" s="73"/>
      <c r="M273" s="74"/>
      <c r="N273" s="71" t="str">
        <f t="shared" si="4"/>
        <v/>
      </c>
      <c r="O273" s="75"/>
      <c r="P273" s="72"/>
      <c r="Q273" s="72"/>
      <c r="R273" s="72"/>
      <c r="S273" s="72"/>
      <c r="T273" s="72"/>
      <c r="U273" s="72"/>
      <c r="V273" s="76"/>
    </row>
    <row r="274" spans="1:25" ht="27.75" customHeight="1">
      <c r="A274" s="87" t="str">
        <f>IF(ISBLANK(C274)," ",269-COUNTBLANK($C$6:C274))</f>
        <v xml:space="preserve"> </v>
      </c>
      <c r="B274" s="88"/>
      <c r="C274" s="88"/>
      <c r="D274" s="89"/>
      <c r="E274" s="89"/>
      <c r="F274" s="73"/>
      <c r="G274" s="73"/>
      <c r="H274" s="73"/>
      <c r="I274" s="73"/>
      <c r="J274" s="73"/>
      <c r="K274" s="73"/>
      <c r="L274" s="73"/>
      <c r="M274" s="74"/>
      <c r="N274" s="71" t="str">
        <f t="shared" si="4"/>
        <v/>
      </c>
      <c r="O274" s="75"/>
      <c r="P274" s="72"/>
      <c r="Q274" s="72"/>
      <c r="R274" s="72"/>
      <c r="S274" s="72"/>
      <c r="T274" s="72"/>
      <c r="U274" s="72"/>
      <c r="V274" s="76"/>
    </row>
    <row r="275" spans="1:25" ht="27.75" customHeight="1">
      <c r="A275" s="87" t="str">
        <f>IF(ISBLANK(C275)," ",270-COUNTBLANK($C$6:C275))</f>
        <v xml:space="preserve"> </v>
      </c>
      <c r="B275" s="88"/>
      <c r="C275" s="88"/>
      <c r="D275" s="89"/>
      <c r="E275" s="89"/>
      <c r="F275" s="73"/>
      <c r="G275" s="73"/>
      <c r="H275" s="73"/>
      <c r="I275" s="73"/>
      <c r="J275" s="73"/>
      <c r="K275" s="73"/>
      <c r="L275" s="73"/>
      <c r="M275" s="74"/>
      <c r="N275" s="71" t="str">
        <f t="shared" si="4"/>
        <v/>
      </c>
      <c r="O275" s="75"/>
      <c r="P275" s="72"/>
      <c r="Q275" s="72"/>
      <c r="R275" s="72"/>
      <c r="S275" s="72"/>
      <c r="T275" s="72"/>
      <c r="U275" s="72"/>
      <c r="V275" s="76"/>
    </row>
    <row r="276" spans="1:25" ht="27.75" customHeight="1">
      <c r="A276" s="87" t="str">
        <f>IF(ISBLANK(C276)," ",271-COUNTBLANK($C$6:C276))</f>
        <v xml:space="preserve"> </v>
      </c>
      <c r="B276" s="88"/>
      <c r="C276" s="88"/>
      <c r="D276" s="89"/>
      <c r="E276" s="89"/>
      <c r="F276" s="73"/>
      <c r="G276" s="73"/>
      <c r="H276" s="73"/>
      <c r="I276" s="73"/>
      <c r="J276" s="73"/>
      <c r="K276" s="73"/>
      <c r="L276" s="73"/>
      <c r="M276" s="74"/>
      <c r="N276" s="71" t="str">
        <f t="shared" si="4"/>
        <v/>
      </c>
      <c r="O276" s="75"/>
      <c r="P276" s="72"/>
      <c r="Q276" s="72"/>
      <c r="R276" s="72"/>
      <c r="S276" s="72"/>
      <c r="T276" s="72"/>
      <c r="U276" s="72"/>
      <c r="V276" s="76"/>
    </row>
    <row r="277" spans="1:25" ht="27.75" customHeight="1">
      <c r="A277" s="87" t="str">
        <f>IF(ISBLANK(C277)," ",272-COUNTBLANK($C$6:C277))</f>
        <v xml:space="preserve"> </v>
      </c>
      <c r="B277" s="88"/>
      <c r="C277" s="88"/>
      <c r="D277" s="89"/>
      <c r="E277" s="89"/>
      <c r="F277" s="73"/>
      <c r="G277" s="73"/>
      <c r="H277" s="73"/>
      <c r="I277" s="73"/>
      <c r="J277" s="73"/>
      <c r="K277" s="73"/>
      <c r="L277" s="73"/>
      <c r="M277" s="74"/>
      <c r="N277" s="71" t="str">
        <f t="shared" si="4"/>
        <v/>
      </c>
      <c r="O277" s="72"/>
      <c r="P277" s="72"/>
      <c r="Q277" s="72"/>
      <c r="R277" s="72"/>
      <c r="S277" s="72"/>
      <c r="T277" s="72"/>
      <c r="U277" s="72"/>
      <c r="V277" s="79"/>
      <c r="W277" s="72"/>
      <c r="X277" s="72"/>
      <c r="Y277" s="72"/>
    </row>
    <row r="278" spans="1:25" ht="27.75" customHeight="1">
      <c r="A278" s="80" t="s">
        <v>58</v>
      </c>
      <c r="B278" s="81"/>
      <c r="C278" s="96"/>
      <c r="D278" s="82"/>
      <c r="E278" s="82">
        <f>SUM(E258:E277)</f>
        <v>0</v>
      </c>
      <c r="F278" s="83"/>
      <c r="G278" s="83"/>
      <c r="H278" s="83"/>
      <c r="I278" s="83"/>
      <c r="J278" s="83"/>
      <c r="K278" s="83"/>
      <c r="L278" s="83"/>
      <c r="M278" s="84"/>
      <c r="N278" s="71" t="str">
        <f t="shared" si="4"/>
        <v/>
      </c>
      <c r="O278" s="75"/>
      <c r="P278" s="72"/>
      <c r="Q278" s="72"/>
      <c r="R278" s="72"/>
      <c r="S278" s="72"/>
      <c r="T278" s="72"/>
      <c r="U278" s="72"/>
      <c r="V278" s="79"/>
      <c r="W278" s="72"/>
      <c r="X278" s="72"/>
      <c r="Y278" s="72"/>
    </row>
    <row r="279" spans="1:25" ht="27.75" customHeight="1">
      <c r="A279" s="93" t="str">
        <f>IF(ISBLANK(C279)," ",274-COUNTBLANK($C$6:C279))</f>
        <v xml:space="preserve"> </v>
      </c>
      <c r="B279" s="94"/>
      <c r="C279" s="94"/>
      <c r="D279" s="95"/>
      <c r="E279" s="95"/>
      <c r="F279" s="85"/>
      <c r="G279" s="85"/>
      <c r="H279" s="85"/>
      <c r="I279" s="85"/>
      <c r="J279" s="85"/>
      <c r="K279" s="85"/>
      <c r="L279" s="85"/>
      <c r="M279" s="86"/>
      <c r="N279" s="71" t="str">
        <f t="shared" si="4"/>
        <v/>
      </c>
      <c r="O279" s="72"/>
      <c r="P279" s="72"/>
      <c r="Q279" s="72"/>
      <c r="R279" s="72"/>
      <c r="S279" s="72"/>
      <c r="T279" s="72"/>
      <c r="U279" s="72"/>
      <c r="V279" s="72"/>
    </row>
    <row r="280" spans="1:25" ht="27.75" customHeight="1">
      <c r="A280" s="87" t="str">
        <f>IF(ISBLANK(C280)," ",275-COUNTBLANK($C$6:C280))</f>
        <v xml:space="preserve"> </v>
      </c>
      <c r="B280" s="88"/>
      <c r="C280" s="88"/>
      <c r="D280" s="89"/>
      <c r="E280" s="89"/>
      <c r="F280" s="73"/>
      <c r="G280" s="73"/>
      <c r="H280" s="73"/>
      <c r="I280" s="73"/>
      <c r="J280" s="73"/>
      <c r="K280" s="73"/>
      <c r="L280" s="73"/>
      <c r="M280" s="74"/>
      <c r="N280" s="71" t="str">
        <f t="shared" si="4"/>
        <v/>
      </c>
      <c r="O280" s="72"/>
      <c r="P280" s="72"/>
      <c r="Q280" s="72"/>
      <c r="R280" s="72"/>
      <c r="S280" s="72"/>
      <c r="T280" s="72"/>
      <c r="U280" s="72"/>
      <c r="V280" s="72"/>
    </row>
    <row r="281" spans="1:25" ht="27.75" customHeight="1">
      <c r="A281" s="87" t="str">
        <f>IF(ISBLANK(C281)," ",276-COUNTBLANK($C$6:C281))</f>
        <v xml:space="preserve"> </v>
      </c>
      <c r="B281" s="88"/>
      <c r="C281" s="88"/>
      <c r="D281" s="89"/>
      <c r="E281" s="89"/>
      <c r="F281" s="73"/>
      <c r="G281" s="73"/>
      <c r="H281" s="73"/>
      <c r="I281" s="73"/>
      <c r="J281" s="73"/>
      <c r="K281" s="73"/>
      <c r="L281" s="73"/>
      <c r="M281" s="74"/>
      <c r="N281" s="71" t="str">
        <f t="shared" si="4"/>
        <v/>
      </c>
      <c r="O281" s="72"/>
      <c r="P281" s="72"/>
      <c r="Q281" s="72"/>
      <c r="R281" s="72"/>
      <c r="S281" s="72"/>
      <c r="T281" s="72"/>
      <c r="U281" s="72"/>
      <c r="V281" s="72"/>
    </row>
    <row r="282" spans="1:25" ht="27.75" customHeight="1">
      <c r="A282" s="87" t="str">
        <f>IF(ISBLANK(C282)," ",277-COUNTBLANK($C$6:C282))</f>
        <v xml:space="preserve"> </v>
      </c>
      <c r="B282" s="88"/>
      <c r="C282" s="88"/>
      <c r="D282" s="89"/>
      <c r="E282" s="89"/>
      <c r="F282" s="73"/>
      <c r="G282" s="73"/>
      <c r="H282" s="73"/>
      <c r="I282" s="73"/>
      <c r="J282" s="73"/>
      <c r="K282" s="73"/>
      <c r="L282" s="73"/>
      <c r="M282" s="74"/>
      <c r="N282" s="71" t="str">
        <f t="shared" si="4"/>
        <v/>
      </c>
      <c r="O282" s="72"/>
      <c r="P282" s="72"/>
      <c r="Q282" s="72"/>
      <c r="R282" s="72"/>
      <c r="S282" s="72"/>
      <c r="T282" s="72"/>
      <c r="U282" s="72"/>
      <c r="V282" s="72"/>
    </row>
    <row r="283" spans="1:25" ht="27.75" customHeight="1">
      <c r="A283" s="87" t="str">
        <f>IF(ISBLANK(C283)," ",278-COUNTBLANK($C$6:C283))</f>
        <v xml:space="preserve"> </v>
      </c>
      <c r="B283" s="88"/>
      <c r="C283" s="88"/>
      <c r="D283" s="89"/>
      <c r="E283" s="89"/>
      <c r="F283" s="73"/>
      <c r="G283" s="73"/>
      <c r="H283" s="73"/>
      <c r="I283" s="73"/>
      <c r="J283" s="73"/>
      <c r="K283" s="73"/>
      <c r="L283" s="73"/>
      <c r="M283" s="74"/>
      <c r="N283" s="71" t="str">
        <f t="shared" si="4"/>
        <v/>
      </c>
      <c r="O283" s="72"/>
      <c r="P283" s="72"/>
      <c r="Q283" s="72"/>
      <c r="R283" s="72"/>
      <c r="S283" s="72"/>
      <c r="T283" s="72"/>
      <c r="U283" s="72"/>
      <c r="V283" s="72"/>
    </row>
    <row r="284" spans="1:25" ht="27.75" customHeight="1">
      <c r="A284" s="87" t="str">
        <f>IF(ISBLANK(C284)," ",279-COUNTBLANK($C$6:C284))</f>
        <v xml:space="preserve"> </v>
      </c>
      <c r="B284" s="88"/>
      <c r="C284" s="88"/>
      <c r="D284" s="89"/>
      <c r="E284" s="89"/>
      <c r="F284" s="73"/>
      <c r="G284" s="73"/>
      <c r="H284" s="73"/>
      <c r="I284" s="73"/>
      <c r="J284" s="73"/>
      <c r="K284" s="73"/>
      <c r="L284" s="73"/>
      <c r="M284" s="74"/>
      <c r="N284" s="71" t="str">
        <f t="shared" si="4"/>
        <v/>
      </c>
      <c r="O284" s="72"/>
      <c r="P284" s="72"/>
      <c r="Q284" s="72"/>
      <c r="R284" s="72"/>
      <c r="S284" s="72"/>
      <c r="T284" s="72"/>
      <c r="U284" s="72"/>
      <c r="V284" s="72"/>
    </row>
    <row r="285" spans="1:25" ht="27.75" customHeight="1">
      <c r="A285" s="87" t="str">
        <f>IF(ISBLANK(C285)," ",280-COUNTBLANK($C$6:C285))</f>
        <v xml:space="preserve"> </v>
      </c>
      <c r="B285" s="88"/>
      <c r="C285" s="88"/>
      <c r="D285" s="89"/>
      <c r="E285" s="89"/>
      <c r="F285" s="73"/>
      <c r="G285" s="73"/>
      <c r="H285" s="73"/>
      <c r="I285" s="73"/>
      <c r="J285" s="73"/>
      <c r="K285" s="73"/>
      <c r="L285" s="73"/>
      <c r="M285" s="74"/>
      <c r="N285" s="71" t="str">
        <f t="shared" si="4"/>
        <v/>
      </c>
      <c r="O285" s="72"/>
      <c r="P285" s="72"/>
      <c r="Q285" s="72"/>
      <c r="R285" s="72"/>
      <c r="S285" s="72"/>
      <c r="T285" s="72"/>
      <c r="U285" s="72"/>
      <c r="V285" s="72"/>
    </row>
    <row r="286" spans="1:25" ht="27.75" customHeight="1">
      <c r="A286" s="87" t="str">
        <f>IF(ISBLANK(C286)," ",281-COUNTBLANK($C$6:C286))</f>
        <v xml:space="preserve"> </v>
      </c>
      <c r="B286" s="88"/>
      <c r="C286" s="88"/>
      <c r="D286" s="89"/>
      <c r="E286" s="89"/>
      <c r="F286" s="73"/>
      <c r="G286" s="73"/>
      <c r="H286" s="73"/>
      <c r="I286" s="73"/>
      <c r="J286" s="73"/>
      <c r="K286" s="73"/>
      <c r="L286" s="73"/>
      <c r="M286" s="74"/>
      <c r="N286" s="71" t="str">
        <f t="shared" si="4"/>
        <v/>
      </c>
      <c r="O286" s="72"/>
      <c r="P286" s="72"/>
      <c r="Q286" s="72"/>
      <c r="R286" s="72"/>
      <c r="S286" s="72"/>
      <c r="T286" s="72"/>
      <c r="U286" s="72"/>
      <c r="V286" s="72"/>
    </row>
    <row r="287" spans="1:25" ht="27.75" customHeight="1">
      <c r="A287" s="87" t="str">
        <f>IF(ISBLANK(C287)," ",282-COUNTBLANK($C$6:C287))</f>
        <v xml:space="preserve"> </v>
      </c>
      <c r="B287" s="88"/>
      <c r="C287" s="88"/>
      <c r="D287" s="89"/>
      <c r="E287" s="89"/>
      <c r="F287" s="73"/>
      <c r="G287" s="73"/>
      <c r="H287" s="73"/>
      <c r="I287" s="73"/>
      <c r="J287" s="73"/>
      <c r="K287" s="73"/>
      <c r="L287" s="73"/>
      <c r="M287" s="74"/>
      <c r="N287" s="71" t="str">
        <f t="shared" si="4"/>
        <v/>
      </c>
      <c r="O287" s="72"/>
      <c r="P287" s="72"/>
      <c r="Q287" s="72"/>
      <c r="R287" s="72"/>
      <c r="S287" s="72"/>
      <c r="T287" s="72"/>
      <c r="U287" s="72"/>
      <c r="V287" s="72"/>
    </row>
    <row r="288" spans="1:25" ht="27.75" customHeight="1">
      <c r="A288" s="87" t="str">
        <f>IF(ISBLANK(C288)," ",283-COUNTBLANK($C$6:C288))</f>
        <v xml:space="preserve"> </v>
      </c>
      <c r="B288" s="88"/>
      <c r="C288" s="88"/>
      <c r="D288" s="89"/>
      <c r="E288" s="89"/>
      <c r="F288" s="73"/>
      <c r="G288" s="73"/>
      <c r="H288" s="73"/>
      <c r="I288" s="73"/>
      <c r="J288" s="73"/>
      <c r="K288" s="73"/>
      <c r="L288" s="73"/>
      <c r="M288" s="74"/>
      <c r="N288" s="71" t="str">
        <f t="shared" si="4"/>
        <v/>
      </c>
      <c r="O288" s="72"/>
      <c r="P288" s="72"/>
      <c r="Q288" s="72"/>
      <c r="R288" s="72"/>
      <c r="S288" s="72"/>
      <c r="T288" s="72"/>
      <c r="U288" s="72"/>
      <c r="V288" s="72"/>
    </row>
    <row r="289" spans="1:25" ht="27.75" customHeight="1">
      <c r="A289" s="87" t="str">
        <f>IF(ISBLANK(C289)," ",284-COUNTBLANK($C$6:C289))</f>
        <v xml:space="preserve"> </v>
      </c>
      <c r="B289" s="88"/>
      <c r="C289" s="88"/>
      <c r="D289" s="89"/>
      <c r="E289" s="89"/>
      <c r="F289" s="73"/>
      <c r="G289" s="73"/>
      <c r="H289" s="73"/>
      <c r="I289" s="73"/>
      <c r="J289" s="73"/>
      <c r="K289" s="73"/>
      <c r="L289" s="73"/>
      <c r="M289" s="74"/>
      <c r="N289" s="71" t="str">
        <f t="shared" si="4"/>
        <v/>
      </c>
      <c r="O289" s="72"/>
      <c r="P289" s="72"/>
      <c r="Q289" s="72"/>
      <c r="R289" s="72"/>
      <c r="S289" s="72"/>
      <c r="T289" s="72"/>
      <c r="U289" s="72"/>
      <c r="V289" s="72"/>
    </row>
    <row r="290" spans="1:25" ht="27.75" customHeight="1">
      <c r="A290" s="87" t="str">
        <f>IF(ISBLANK(C290)," ",285-COUNTBLANK($C$6:C290))</f>
        <v xml:space="preserve"> </v>
      </c>
      <c r="B290" s="88"/>
      <c r="C290" s="88"/>
      <c r="D290" s="89"/>
      <c r="E290" s="89"/>
      <c r="F290" s="73"/>
      <c r="G290" s="73"/>
      <c r="H290" s="73"/>
      <c r="I290" s="73"/>
      <c r="J290" s="73"/>
      <c r="K290" s="73"/>
      <c r="L290" s="73"/>
      <c r="M290" s="74"/>
      <c r="N290" s="71" t="str">
        <f t="shared" si="4"/>
        <v/>
      </c>
      <c r="O290" s="72"/>
      <c r="P290" s="72"/>
      <c r="Q290" s="72"/>
      <c r="R290" s="72"/>
      <c r="S290" s="72"/>
      <c r="T290" s="72"/>
      <c r="U290" s="72"/>
      <c r="V290" s="72"/>
    </row>
    <row r="291" spans="1:25" ht="27.75" customHeight="1">
      <c r="A291" s="87" t="str">
        <f>IF(ISBLANK(C291)," ",286-COUNTBLANK($C$6:C291))</f>
        <v xml:space="preserve"> </v>
      </c>
      <c r="B291" s="88"/>
      <c r="C291" s="88"/>
      <c r="D291" s="89"/>
      <c r="E291" s="89"/>
      <c r="F291" s="73"/>
      <c r="G291" s="73"/>
      <c r="H291" s="73"/>
      <c r="I291" s="73"/>
      <c r="J291" s="73"/>
      <c r="K291" s="73"/>
      <c r="L291" s="73"/>
      <c r="M291" s="74"/>
      <c r="N291" s="71" t="str">
        <f t="shared" si="4"/>
        <v/>
      </c>
      <c r="O291" s="72"/>
      <c r="P291" s="72"/>
      <c r="Q291" s="72"/>
      <c r="R291" s="72"/>
      <c r="S291" s="72"/>
      <c r="T291" s="72"/>
      <c r="U291" s="72"/>
      <c r="V291" s="72"/>
    </row>
    <row r="292" spans="1:25" ht="27.75" customHeight="1">
      <c r="A292" s="87" t="str">
        <f>IF(ISBLANK(C292)," ",287-COUNTBLANK($C$6:C292))</f>
        <v xml:space="preserve"> </v>
      </c>
      <c r="B292" s="88"/>
      <c r="C292" s="88"/>
      <c r="D292" s="89"/>
      <c r="E292" s="89"/>
      <c r="F292" s="73"/>
      <c r="G292" s="73"/>
      <c r="H292" s="73"/>
      <c r="I292" s="73"/>
      <c r="J292" s="73"/>
      <c r="K292" s="73"/>
      <c r="L292" s="73"/>
      <c r="M292" s="74"/>
      <c r="N292" s="71" t="str">
        <f t="shared" si="4"/>
        <v/>
      </c>
      <c r="O292" s="72"/>
      <c r="P292" s="72"/>
      <c r="Q292" s="72"/>
      <c r="R292" s="72"/>
      <c r="S292" s="72"/>
      <c r="T292" s="72"/>
      <c r="U292" s="72"/>
      <c r="V292" s="72"/>
    </row>
    <row r="293" spans="1:25" ht="27.75" customHeight="1">
      <c r="A293" s="87" t="str">
        <f>IF(ISBLANK(C293)," ",288-COUNTBLANK($C$6:C293))</f>
        <v xml:space="preserve"> </v>
      </c>
      <c r="B293" s="88"/>
      <c r="C293" s="88"/>
      <c r="D293" s="89"/>
      <c r="E293" s="89"/>
      <c r="F293" s="73"/>
      <c r="G293" s="73"/>
      <c r="H293" s="73"/>
      <c r="I293" s="73"/>
      <c r="J293" s="73"/>
      <c r="K293" s="73"/>
      <c r="L293" s="73"/>
      <c r="M293" s="74"/>
      <c r="N293" s="71" t="str">
        <f t="shared" si="4"/>
        <v/>
      </c>
      <c r="O293" s="72"/>
      <c r="P293" s="72"/>
      <c r="Q293" s="72"/>
      <c r="R293" s="72"/>
      <c r="S293" s="72"/>
      <c r="T293" s="72"/>
      <c r="U293" s="72"/>
      <c r="V293" s="72"/>
    </row>
    <row r="294" spans="1:25" ht="27.75" customHeight="1">
      <c r="A294" s="87" t="str">
        <f>IF(ISBLANK(C294)," ",289-COUNTBLANK($C$6:C294))</f>
        <v xml:space="preserve"> </v>
      </c>
      <c r="B294" s="88"/>
      <c r="C294" s="88"/>
      <c r="D294" s="89"/>
      <c r="E294" s="89"/>
      <c r="F294" s="73"/>
      <c r="G294" s="73"/>
      <c r="H294" s="73"/>
      <c r="I294" s="73"/>
      <c r="J294" s="73"/>
      <c r="K294" s="73"/>
      <c r="L294" s="73"/>
      <c r="M294" s="74"/>
      <c r="N294" s="71" t="str">
        <f t="shared" si="4"/>
        <v/>
      </c>
      <c r="O294" s="75"/>
      <c r="P294" s="72"/>
      <c r="Q294" s="72"/>
      <c r="R294" s="72"/>
      <c r="S294" s="72"/>
      <c r="T294" s="72"/>
      <c r="U294" s="72"/>
      <c r="V294" s="76"/>
    </row>
    <row r="295" spans="1:25" ht="27.75" customHeight="1">
      <c r="A295" s="87" t="str">
        <f>IF(ISBLANK(C295)," ",290-COUNTBLANK($C$6:C295))</f>
        <v xml:space="preserve"> </v>
      </c>
      <c r="B295" s="88"/>
      <c r="C295" s="88"/>
      <c r="D295" s="89"/>
      <c r="E295" s="89"/>
      <c r="F295" s="73"/>
      <c r="G295" s="73"/>
      <c r="H295" s="73"/>
      <c r="I295" s="73"/>
      <c r="J295" s="73"/>
      <c r="K295" s="73"/>
      <c r="L295" s="73"/>
      <c r="M295" s="74"/>
      <c r="N295" s="71" t="str">
        <f t="shared" si="4"/>
        <v/>
      </c>
      <c r="O295" s="75"/>
      <c r="P295" s="72"/>
      <c r="Q295" s="72"/>
      <c r="R295" s="72"/>
      <c r="S295" s="72"/>
      <c r="T295" s="72"/>
      <c r="U295" s="72"/>
      <c r="V295" s="76"/>
    </row>
    <row r="296" spans="1:25" ht="27.75" customHeight="1">
      <c r="A296" s="87" t="str">
        <f>IF(ISBLANK(C296)," ",291-COUNTBLANK($C$6:C296))</f>
        <v xml:space="preserve"> </v>
      </c>
      <c r="B296" s="88"/>
      <c r="C296" s="88"/>
      <c r="D296" s="89"/>
      <c r="E296" s="89"/>
      <c r="F296" s="73"/>
      <c r="G296" s="73"/>
      <c r="H296" s="73"/>
      <c r="I296" s="73"/>
      <c r="J296" s="73"/>
      <c r="K296" s="73"/>
      <c r="L296" s="73"/>
      <c r="M296" s="74"/>
      <c r="N296" s="71" t="str">
        <f t="shared" si="4"/>
        <v/>
      </c>
      <c r="O296" s="75"/>
      <c r="P296" s="72"/>
      <c r="Q296" s="72"/>
      <c r="R296" s="72"/>
      <c r="S296" s="72"/>
      <c r="T296" s="72"/>
      <c r="U296" s="72"/>
      <c r="V296" s="76"/>
    </row>
    <row r="297" spans="1:25" ht="27.75" customHeight="1">
      <c r="A297" s="87" t="str">
        <f>IF(ISBLANK(C297)," ",292-COUNTBLANK($C$6:C297))</f>
        <v xml:space="preserve"> </v>
      </c>
      <c r="B297" s="88"/>
      <c r="C297" s="88"/>
      <c r="D297" s="89"/>
      <c r="E297" s="89"/>
      <c r="F297" s="73"/>
      <c r="G297" s="73"/>
      <c r="H297" s="73"/>
      <c r="I297" s="73"/>
      <c r="J297" s="73"/>
      <c r="K297" s="73"/>
      <c r="L297" s="73"/>
      <c r="M297" s="74"/>
      <c r="N297" s="71" t="str">
        <f t="shared" si="4"/>
        <v/>
      </c>
      <c r="O297" s="75"/>
      <c r="P297" s="72"/>
      <c r="Q297" s="72"/>
      <c r="R297" s="72"/>
      <c r="S297" s="72"/>
      <c r="T297" s="72"/>
      <c r="U297" s="72"/>
      <c r="V297" s="76"/>
    </row>
    <row r="298" spans="1:25" ht="27.75" customHeight="1">
      <c r="A298" s="87" t="str">
        <f>IF(ISBLANK(C298)," ",293-COUNTBLANK($C$6:C298))</f>
        <v xml:space="preserve"> </v>
      </c>
      <c r="B298" s="88"/>
      <c r="C298" s="88"/>
      <c r="D298" s="89"/>
      <c r="E298" s="89"/>
      <c r="F298" s="73"/>
      <c r="G298" s="73"/>
      <c r="H298" s="73"/>
      <c r="I298" s="73"/>
      <c r="J298" s="73"/>
      <c r="K298" s="73"/>
      <c r="L298" s="73"/>
      <c r="M298" s="74"/>
      <c r="N298" s="71" t="str">
        <f t="shared" si="4"/>
        <v/>
      </c>
      <c r="O298" s="72"/>
      <c r="P298" s="72"/>
      <c r="Q298" s="72"/>
      <c r="R298" s="72"/>
      <c r="S298" s="72"/>
      <c r="T298" s="72"/>
      <c r="U298" s="72"/>
      <c r="V298" s="79"/>
      <c r="W298" s="72"/>
      <c r="X298" s="72"/>
      <c r="Y298" s="72"/>
    </row>
    <row r="299" spans="1:25" ht="27.75" customHeight="1">
      <c r="A299" s="80" t="s">
        <v>58</v>
      </c>
      <c r="B299" s="81"/>
      <c r="C299" s="96"/>
      <c r="D299" s="82"/>
      <c r="E299" s="82">
        <f>SUM(E279:E298)</f>
        <v>0</v>
      </c>
      <c r="F299" s="83"/>
      <c r="G299" s="83"/>
      <c r="H299" s="83"/>
      <c r="I299" s="83"/>
      <c r="J299" s="83"/>
      <c r="K299" s="83"/>
      <c r="L299" s="83"/>
      <c r="M299" s="84"/>
      <c r="N299" s="71" t="str">
        <f t="shared" si="4"/>
        <v/>
      </c>
      <c r="O299" s="75"/>
      <c r="P299" s="72"/>
      <c r="Q299" s="72"/>
      <c r="R299" s="72"/>
      <c r="S299" s="72"/>
      <c r="T299" s="72"/>
      <c r="U299" s="72"/>
      <c r="V299" s="79"/>
      <c r="W299" s="72"/>
      <c r="X299" s="72"/>
      <c r="Y299" s="72"/>
    </row>
    <row r="300" spans="1:25" ht="27.75" customHeight="1">
      <c r="A300" s="93" t="str">
        <f>IF(ISBLANK(C300)," ",295-COUNTBLANK($C$6:C300))</f>
        <v xml:space="preserve"> </v>
      </c>
      <c r="B300" s="94"/>
      <c r="C300" s="94"/>
      <c r="D300" s="95"/>
      <c r="E300" s="95"/>
      <c r="F300" s="85"/>
      <c r="G300" s="85"/>
      <c r="H300" s="85"/>
      <c r="I300" s="85"/>
      <c r="J300" s="85"/>
      <c r="K300" s="85"/>
      <c r="L300" s="85"/>
      <c r="M300" s="86"/>
      <c r="N300" s="71" t="str">
        <f t="shared" si="4"/>
        <v/>
      </c>
      <c r="O300" s="72"/>
      <c r="P300" s="72"/>
      <c r="Q300" s="72"/>
      <c r="R300" s="72"/>
      <c r="S300" s="72"/>
      <c r="T300" s="72"/>
      <c r="U300" s="72"/>
      <c r="V300" s="72"/>
    </row>
    <row r="301" spans="1:25" ht="27.75" customHeight="1">
      <c r="A301" s="87" t="str">
        <f>IF(ISBLANK(C301)," ",296-COUNTBLANK($C$6:C301))</f>
        <v xml:space="preserve"> </v>
      </c>
      <c r="B301" s="88"/>
      <c r="C301" s="88"/>
      <c r="D301" s="89"/>
      <c r="E301" s="89"/>
      <c r="F301" s="73"/>
      <c r="G301" s="73"/>
      <c r="H301" s="73"/>
      <c r="I301" s="73"/>
      <c r="J301" s="73"/>
      <c r="K301" s="73"/>
      <c r="L301" s="73"/>
      <c r="M301" s="74"/>
      <c r="N301" s="71" t="str">
        <f t="shared" si="4"/>
        <v/>
      </c>
      <c r="O301" s="72"/>
      <c r="P301" s="72"/>
      <c r="Q301" s="72"/>
      <c r="R301" s="72"/>
      <c r="S301" s="72"/>
      <c r="T301" s="72"/>
      <c r="U301" s="72"/>
      <c r="V301" s="72"/>
    </row>
    <row r="302" spans="1:25" ht="27.75" customHeight="1">
      <c r="A302" s="87" t="str">
        <f>IF(ISBLANK(C302)," ",297-COUNTBLANK($C$6:C302))</f>
        <v xml:space="preserve"> </v>
      </c>
      <c r="B302" s="88"/>
      <c r="C302" s="88"/>
      <c r="D302" s="89"/>
      <c r="E302" s="89"/>
      <c r="F302" s="73"/>
      <c r="G302" s="73"/>
      <c r="H302" s="73"/>
      <c r="I302" s="73"/>
      <c r="J302" s="73"/>
      <c r="K302" s="73"/>
      <c r="L302" s="73"/>
      <c r="M302" s="74"/>
      <c r="N302" s="71" t="str">
        <f t="shared" si="4"/>
        <v/>
      </c>
      <c r="O302" s="72"/>
      <c r="P302" s="72"/>
      <c r="Q302" s="72"/>
      <c r="R302" s="72"/>
      <c r="S302" s="72"/>
      <c r="T302" s="72"/>
      <c r="U302" s="72"/>
      <c r="V302" s="72"/>
    </row>
    <row r="303" spans="1:25" ht="27.75" customHeight="1">
      <c r="A303" s="87" t="str">
        <f>IF(ISBLANK(C303)," ",298-COUNTBLANK($C$6:C303))</f>
        <v xml:space="preserve"> </v>
      </c>
      <c r="B303" s="88"/>
      <c r="C303" s="88"/>
      <c r="D303" s="89"/>
      <c r="E303" s="89"/>
      <c r="F303" s="73"/>
      <c r="G303" s="73"/>
      <c r="H303" s="73"/>
      <c r="I303" s="73"/>
      <c r="J303" s="73"/>
      <c r="K303" s="73"/>
      <c r="L303" s="73"/>
      <c r="M303" s="74"/>
      <c r="N303" s="71" t="str">
        <f t="shared" si="4"/>
        <v/>
      </c>
      <c r="O303" s="72"/>
      <c r="P303" s="72"/>
      <c r="Q303" s="72"/>
      <c r="R303" s="72"/>
      <c r="S303" s="72"/>
      <c r="T303" s="72"/>
      <c r="U303" s="72"/>
      <c r="V303" s="72"/>
    </row>
    <row r="304" spans="1:25" ht="27.75" customHeight="1">
      <c r="A304" s="87" t="str">
        <f>IF(ISBLANK(C304)," ",299-COUNTBLANK($C$6:C304))</f>
        <v xml:space="preserve"> </v>
      </c>
      <c r="B304" s="88"/>
      <c r="C304" s="88"/>
      <c r="D304" s="89"/>
      <c r="E304" s="89"/>
      <c r="F304" s="73"/>
      <c r="G304" s="73"/>
      <c r="H304" s="73"/>
      <c r="I304" s="73"/>
      <c r="J304" s="73"/>
      <c r="K304" s="73"/>
      <c r="L304" s="73"/>
      <c r="M304" s="74"/>
      <c r="N304" s="71" t="str">
        <f t="shared" si="4"/>
        <v/>
      </c>
      <c r="O304" s="72"/>
      <c r="P304" s="72"/>
      <c r="Q304" s="72"/>
      <c r="R304" s="72"/>
      <c r="S304" s="72"/>
      <c r="T304" s="72"/>
      <c r="U304" s="72"/>
      <c r="V304" s="72"/>
    </row>
    <row r="305" spans="1:25" ht="27.75" customHeight="1">
      <c r="A305" s="87" t="str">
        <f>IF(ISBLANK(C305)," ",300-COUNTBLANK($C$6:C305))</f>
        <v xml:space="preserve"> </v>
      </c>
      <c r="B305" s="88"/>
      <c r="C305" s="88"/>
      <c r="D305" s="89"/>
      <c r="E305" s="89"/>
      <c r="F305" s="73"/>
      <c r="G305" s="73"/>
      <c r="H305" s="73"/>
      <c r="I305" s="73"/>
      <c r="J305" s="73"/>
      <c r="K305" s="73"/>
      <c r="L305" s="73"/>
      <c r="M305" s="74"/>
      <c r="N305" s="71" t="str">
        <f t="shared" si="4"/>
        <v/>
      </c>
      <c r="O305" s="72"/>
      <c r="P305" s="72"/>
      <c r="Q305" s="72"/>
      <c r="R305" s="72"/>
      <c r="S305" s="72"/>
      <c r="T305" s="72"/>
      <c r="U305" s="72"/>
      <c r="V305" s="72"/>
    </row>
    <row r="306" spans="1:25" ht="27.75" customHeight="1">
      <c r="A306" s="87" t="str">
        <f>IF(ISBLANK(C306)," ",301-COUNTBLANK($C$6:C306))</f>
        <v xml:space="preserve"> </v>
      </c>
      <c r="B306" s="88"/>
      <c r="C306" s="88"/>
      <c r="D306" s="89"/>
      <c r="E306" s="89"/>
      <c r="F306" s="73"/>
      <c r="G306" s="73"/>
      <c r="H306" s="73"/>
      <c r="I306" s="73"/>
      <c r="J306" s="73"/>
      <c r="K306" s="73"/>
      <c r="L306" s="73"/>
      <c r="M306" s="74"/>
      <c r="N306" s="71" t="str">
        <f t="shared" si="4"/>
        <v/>
      </c>
      <c r="O306" s="72"/>
      <c r="P306" s="72"/>
      <c r="Q306" s="72"/>
      <c r="R306" s="72"/>
      <c r="S306" s="72"/>
      <c r="T306" s="72"/>
      <c r="U306" s="72"/>
      <c r="V306" s="72"/>
    </row>
    <row r="307" spans="1:25" ht="27.75" customHeight="1">
      <c r="A307" s="87" t="str">
        <f>IF(ISBLANK(C307)," ",302-COUNTBLANK($C$6:C307))</f>
        <v xml:space="preserve"> </v>
      </c>
      <c r="B307" s="88"/>
      <c r="C307" s="88"/>
      <c r="D307" s="89"/>
      <c r="E307" s="89"/>
      <c r="F307" s="73"/>
      <c r="G307" s="73"/>
      <c r="H307" s="73"/>
      <c r="I307" s="73"/>
      <c r="J307" s="73"/>
      <c r="K307" s="73"/>
      <c r="L307" s="73"/>
      <c r="M307" s="74"/>
      <c r="N307" s="71" t="str">
        <f t="shared" si="4"/>
        <v/>
      </c>
      <c r="O307" s="72"/>
      <c r="P307" s="72"/>
      <c r="Q307" s="72"/>
      <c r="R307" s="72"/>
      <c r="S307" s="72"/>
      <c r="T307" s="72"/>
      <c r="U307" s="72"/>
      <c r="V307" s="72"/>
    </row>
    <row r="308" spans="1:25" ht="27.75" customHeight="1">
      <c r="A308" s="87" t="str">
        <f>IF(ISBLANK(C308)," ",303-COUNTBLANK($C$6:C308))</f>
        <v xml:space="preserve"> </v>
      </c>
      <c r="B308" s="88"/>
      <c r="C308" s="88"/>
      <c r="D308" s="89"/>
      <c r="E308" s="89"/>
      <c r="F308" s="73"/>
      <c r="G308" s="73"/>
      <c r="H308" s="73"/>
      <c r="I308" s="73"/>
      <c r="J308" s="73"/>
      <c r="K308" s="73"/>
      <c r="L308" s="73"/>
      <c r="M308" s="74"/>
      <c r="N308" s="71" t="str">
        <f t="shared" si="4"/>
        <v/>
      </c>
      <c r="O308" s="72"/>
      <c r="P308" s="72"/>
      <c r="Q308" s="72"/>
      <c r="R308" s="72"/>
      <c r="S308" s="72"/>
      <c r="T308" s="72"/>
      <c r="U308" s="72"/>
      <c r="V308" s="72"/>
    </row>
    <row r="309" spans="1:25" ht="27.75" customHeight="1">
      <c r="A309" s="87" t="str">
        <f>IF(ISBLANK(C309)," ",304-COUNTBLANK($C$6:C309))</f>
        <v xml:space="preserve"> </v>
      </c>
      <c r="B309" s="88"/>
      <c r="C309" s="88"/>
      <c r="D309" s="89"/>
      <c r="E309" s="89"/>
      <c r="F309" s="73"/>
      <c r="G309" s="73"/>
      <c r="H309" s="73"/>
      <c r="I309" s="73"/>
      <c r="J309" s="73"/>
      <c r="K309" s="73"/>
      <c r="L309" s="73"/>
      <c r="M309" s="74"/>
      <c r="N309" s="71" t="str">
        <f t="shared" si="4"/>
        <v/>
      </c>
      <c r="O309" s="72"/>
      <c r="P309" s="72"/>
      <c r="Q309" s="72"/>
      <c r="R309" s="72"/>
      <c r="S309" s="72"/>
      <c r="T309" s="72"/>
      <c r="U309" s="72"/>
      <c r="V309" s="72"/>
    </row>
    <row r="310" spans="1:25" ht="27.75" customHeight="1">
      <c r="A310" s="87" t="str">
        <f>IF(ISBLANK(C310)," ",305-COUNTBLANK($C$6:C310))</f>
        <v xml:space="preserve"> </v>
      </c>
      <c r="B310" s="88"/>
      <c r="C310" s="88"/>
      <c r="D310" s="89"/>
      <c r="E310" s="89"/>
      <c r="F310" s="73"/>
      <c r="G310" s="73"/>
      <c r="H310" s="73"/>
      <c r="I310" s="73"/>
      <c r="J310" s="73"/>
      <c r="K310" s="73"/>
      <c r="L310" s="73"/>
      <c r="M310" s="74"/>
      <c r="N310" s="71" t="str">
        <f t="shared" si="4"/>
        <v/>
      </c>
      <c r="O310" s="72"/>
      <c r="P310" s="72"/>
      <c r="Q310" s="72"/>
      <c r="R310" s="72"/>
      <c r="S310" s="72"/>
      <c r="T310" s="72"/>
      <c r="U310" s="72"/>
      <c r="V310" s="72"/>
    </row>
    <row r="311" spans="1:25" ht="27.75" customHeight="1">
      <c r="A311" s="87" t="str">
        <f>IF(ISBLANK(C311)," ",306-COUNTBLANK($C$6:C311))</f>
        <v xml:space="preserve"> </v>
      </c>
      <c r="B311" s="88"/>
      <c r="C311" s="88"/>
      <c r="D311" s="89"/>
      <c r="E311" s="89"/>
      <c r="F311" s="73"/>
      <c r="G311" s="73"/>
      <c r="H311" s="73"/>
      <c r="I311" s="73"/>
      <c r="J311" s="73"/>
      <c r="K311" s="73"/>
      <c r="L311" s="73"/>
      <c r="M311" s="74"/>
      <c r="N311" s="71" t="str">
        <f t="shared" si="4"/>
        <v/>
      </c>
      <c r="O311" s="72"/>
      <c r="P311" s="72"/>
      <c r="Q311" s="72"/>
      <c r="R311" s="72"/>
      <c r="S311" s="72"/>
      <c r="T311" s="72"/>
      <c r="U311" s="72"/>
      <c r="V311" s="72"/>
    </row>
    <row r="312" spans="1:25" ht="27.75" customHeight="1">
      <c r="A312" s="87" t="str">
        <f>IF(ISBLANK(C312)," ",307-COUNTBLANK($C$6:C312))</f>
        <v xml:space="preserve"> </v>
      </c>
      <c r="B312" s="88"/>
      <c r="C312" s="88"/>
      <c r="D312" s="89"/>
      <c r="E312" s="89"/>
      <c r="F312" s="73"/>
      <c r="G312" s="73"/>
      <c r="H312" s="73"/>
      <c r="I312" s="73"/>
      <c r="J312" s="73"/>
      <c r="K312" s="73"/>
      <c r="L312" s="73"/>
      <c r="M312" s="74"/>
      <c r="N312" s="71" t="str">
        <f t="shared" si="4"/>
        <v/>
      </c>
      <c r="O312" s="72"/>
      <c r="P312" s="72"/>
      <c r="Q312" s="72"/>
      <c r="R312" s="72"/>
      <c r="S312" s="72"/>
      <c r="T312" s="72"/>
      <c r="U312" s="72"/>
      <c r="V312" s="72"/>
    </row>
    <row r="313" spans="1:25" ht="27.75" customHeight="1">
      <c r="A313" s="87" t="str">
        <f>IF(ISBLANK(C313)," ",308-COUNTBLANK($C$6:C313))</f>
        <v xml:space="preserve"> </v>
      </c>
      <c r="B313" s="88"/>
      <c r="C313" s="88"/>
      <c r="D313" s="89"/>
      <c r="E313" s="89"/>
      <c r="F313" s="73"/>
      <c r="G313" s="73"/>
      <c r="H313" s="73"/>
      <c r="I313" s="73"/>
      <c r="J313" s="73"/>
      <c r="K313" s="73"/>
      <c r="L313" s="73"/>
      <c r="M313" s="74"/>
      <c r="N313" s="71" t="str">
        <f t="shared" si="4"/>
        <v/>
      </c>
      <c r="O313" s="72"/>
      <c r="P313" s="72"/>
      <c r="Q313" s="72"/>
      <c r="R313" s="72"/>
      <c r="S313" s="72"/>
      <c r="T313" s="72"/>
      <c r="U313" s="72"/>
      <c r="V313" s="72"/>
    </row>
    <row r="314" spans="1:25" ht="27.75" customHeight="1">
      <c r="A314" s="87" t="str">
        <f>IF(ISBLANK(C314)," ",309-COUNTBLANK($C$6:C314))</f>
        <v xml:space="preserve"> </v>
      </c>
      <c r="B314" s="88"/>
      <c r="C314" s="88"/>
      <c r="D314" s="89"/>
      <c r="E314" s="89"/>
      <c r="F314" s="73"/>
      <c r="G314" s="73"/>
      <c r="H314" s="73"/>
      <c r="I314" s="73"/>
      <c r="J314" s="73"/>
      <c r="K314" s="73"/>
      <c r="L314" s="73"/>
      <c r="M314" s="74"/>
      <c r="N314" s="71" t="str">
        <f t="shared" si="4"/>
        <v/>
      </c>
      <c r="O314" s="72"/>
      <c r="P314" s="72"/>
      <c r="Q314" s="72"/>
      <c r="R314" s="72"/>
      <c r="S314" s="72"/>
      <c r="T314" s="72"/>
      <c r="U314" s="72"/>
      <c r="V314" s="72"/>
    </row>
    <row r="315" spans="1:25" ht="27.75" customHeight="1">
      <c r="A315" s="87" t="str">
        <f>IF(ISBLANK(C315)," ",310-COUNTBLANK($C$6:C315))</f>
        <v xml:space="preserve"> </v>
      </c>
      <c r="B315" s="88"/>
      <c r="C315" s="88"/>
      <c r="D315" s="89"/>
      <c r="E315" s="89"/>
      <c r="F315" s="73"/>
      <c r="G315" s="73"/>
      <c r="H315" s="73"/>
      <c r="I315" s="73"/>
      <c r="J315" s="73"/>
      <c r="K315" s="73"/>
      <c r="L315" s="73"/>
      <c r="M315" s="74"/>
      <c r="N315" s="71" t="str">
        <f t="shared" si="4"/>
        <v/>
      </c>
      <c r="O315" s="75"/>
      <c r="P315" s="72"/>
      <c r="Q315" s="72"/>
      <c r="R315" s="72"/>
      <c r="S315" s="72"/>
      <c r="T315" s="72"/>
      <c r="U315" s="72"/>
      <c r="V315" s="76"/>
    </row>
    <row r="316" spans="1:25" ht="27.75" customHeight="1">
      <c r="A316" s="87" t="str">
        <f>IF(ISBLANK(C316)," ",311-COUNTBLANK($C$6:C316))</f>
        <v xml:space="preserve"> </v>
      </c>
      <c r="B316" s="88"/>
      <c r="C316" s="88"/>
      <c r="D316" s="89"/>
      <c r="E316" s="89"/>
      <c r="F316" s="73"/>
      <c r="G316" s="73"/>
      <c r="H316" s="73"/>
      <c r="I316" s="73"/>
      <c r="J316" s="73"/>
      <c r="K316" s="73"/>
      <c r="L316" s="73"/>
      <c r="M316" s="74"/>
      <c r="N316" s="71" t="str">
        <f t="shared" si="4"/>
        <v/>
      </c>
      <c r="O316" s="75"/>
      <c r="P316" s="72"/>
      <c r="Q316" s="72"/>
      <c r="R316" s="72"/>
      <c r="S316" s="72"/>
      <c r="T316" s="72"/>
      <c r="U316" s="72"/>
      <c r="V316" s="76"/>
    </row>
    <row r="317" spans="1:25" ht="27.75" customHeight="1">
      <c r="A317" s="87" t="str">
        <f>IF(ISBLANK(C317)," ",312-COUNTBLANK($C$6:C317))</f>
        <v xml:space="preserve"> </v>
      </c>
      <c r="B317" s="88"/>
      <c r="C317" s="88"/>
      <c r="D317" s="89"/>
      <c r="E317" s="89"/>
      <c r="F317" s="73"/>
      <c r="G317" s="73"/>
      <c r="H317" s="73"/>
      <c r="I317" s="73"/>
      <c r="J317" s="73"/>
      <c r="K317" s="73"/>
      <c r="L317" s="73"/>
      <c r="M317" s="74"/>
      <c r="N317" s="71" t="str">
        <f t="shared" si="4"/>
        <v/>
      </c>
      <c r="O317" s="75"/>
      <c r="P317" s="72"/>
      <c r="Q317" s="72"/>
      <c r="R317" s="72"/>
      <c r="S317" s="72"/>
      <c r="T317" s="72"/>
      <c r="U317" s="72"/>
      <c r="V317" s="76"/>
    </row>
    <row r="318" spans="1:25" ht="27.75" customHeight="1">
      <c r="A318" s="87" t="str">
        <f>IF(ISBLANK(C318)," ",313-COUNTBLANK($C$6:C318))</f>
        <v xml:space="preserve"> </v>
      </c>
      <c r="B318" s="88"/>
      <c r="C318" s="88"/>
      <c r="D318" s="89"/>
      <c r="E318" s="89"/>
      <c r="F318" s="73"/>
      <c r="G318" s="73"/>
      <c r="H318" s="73"/>
      <c r="I318" s="73"/>
      <c r="J318" s="73"/>
      <c r="K318" s="73"/>
      <c r="L318" s="73"/>
      <c r="M318" s="74"/>
      <c r="N318" s="71" t="str">
        <f t="shared" si="4"/>
        <v/>
      </c>
      <c r="O318" s="75"/>
      <c r="P318" s="72"/>
      <c r="Q318" s="72"/>
      <c r="R318" s="72"/>
      <c r="S318" s="72"/>
      <c r="T318" s="72"/>
      <c r="U318" s="72"/>
      <c r="V318" s="76"/>
    </row>
    <row r="319" spans="1:25" ht="27.75" customHeight="1">
      <c r="A319" s="87" t="str">
        <f>IF(ISBLANK(C319)," ",314-COUNTBLANK($C$6:C319))</f>
        <v xml:space="preserve"> </v>
      </c>
      <c r="B319" s="88"/>
      <c r="C319" s="88"/>
      <c r="D319" s="89"/>
      <c r="E319" s="89"/>
      <c r="F319" s="73"/>
      <c r="G319" s="73"/>
      <c r="H319" s="73"/>
      <c r="I319" s="73"/>
      <c r="J319" s="73"/>
      <c r="K319" s="73"/>
      <c r="L319" s="73"/>
      <c r="M319" s="74"/>
      <c r="N319" s="71" t="str">
        <f t="shared" si="4"/>
        <v/>
      </c>
      <c r="O319" s="72"/>
      <c r="P319" s="72"/>
      <c r="Q319" s="72"/>
      <c r="R319" s="72"/>
      <c r="S319" s="72"/>
      <c r="T319" s="72"/>
      <c r="U319" s="72"/>
      <c r="V319" s="79"/>
      <c r="W319" s="72"/>
      <c r="X319" s="72"/>
      <c r="Y319" s="72"/>
    </row>
    <row r="320" spans="1:25" ht="27.75" customHeight="1">
      <c r="A320" s="80" t="s">
        <v>58</v>
      </c>
      <c r="B320" s="81"/>
      <c r="C320" s="96"/>
      <c r="D320" s="82"/>
      <c r="E320" s="82">
        <f>SUM(E300:E319)</f>
        <v>0</v>
      </c>
      <c r="F320" s="83"/>
      <c r="G320" s="83"/>
      <c r="H320" s="83"/>
      <c r="I320" s="83"/>
      <c r="J320" s="83"/>
      <c r="K320" s="83"/>
      <c r="L320" s="83"/>
      <c r="M320" s="84"/>
      <c r="N320" s="71" t="str">
        <f t="shared" si="4"/>
        <v/>
      </c>
      <c r="O320" s="75"/>
      <c r="P320" s="72"/>
      <c r="Q320" s="72"/>
      <c r="R320" s="72"/>
      <c r="S320" s="72"/>
      <c r="T320" s="72"/>
      <c r="U320" s="72"/>
      <c r="V320" s="79"/>
      <c r="W320" s="72"/>
      <c r="X320" s="72"/>
      <c r="Y320" s="72"/>
    </row>
    <row r="321" spans="1:22" ht="27.75" customHeight="1">
      <c r="A321" s="93" t="str">
        <f>IF(ISBLANK(C321)," ",316-COUNTBLANK($C$6:C321))</f>
        <v xml:space="preserve"> </v>
      </c>
      <c r="B321" s="94"/>
      <c r="C321" s="94"/>
      <c r="D321" s="95"/>
      <c r="E321" s="95"/>
      <c r="F321" s="85"/>
      <c r="G321" s="85"/>
      <c r="H321" s="85"/>
      <c r="I321" s="85"/>
      <c r="J321" s="85"/>
      <c r="K321" s="85"/>
      <c r="L321" s="85"/>
      <c r="M321" s="86"/>
      <c r="N321" s="71" t="str">
        <f t="shared" si="4"/>
        <v/>
      </c>
      <c r="O321" s="72"/>
      <c r="P321" s="72"/>
      <c r="Q321" s="72"/>
      <c r="R321" s="72"/>
      <c r="S321" s="72"/>
      <c r="T321" s="72"/>
      <c r="U321" s="72"/>
      <c r="V321" s="72"/>
    </row>
    <row r="322" spans="1:22" ht="27.75" customHeight="1">
      <c r="A322" s="87" t="str">
        <f>IF(ISBLANK(C322)," ",317-COUNTBLANK($C$6:C322))</f>
        <v xml:space="preserve"> </v>
      </c>
      <c r="B322" s="88"/>
      <c r="C322" s="88"/>
      <c r="D322" s="89"/>
      <c r="E322" s="89"/>
      <c r="F322" s="73"/>
      <c r="G322" s="73"/>
      <c r="H322" s="73"/>
      <c r="I322" s="73"/>
      <c r="J322" s="73"/>
      <c r="K322" s="73"/>
      <c r="L322" s="73"/>
      <c r="M322" s="74"/>
      <c r="N322" s="71" t="str">
        <f t="shared" si="4"/>
        <v/>
      </c>
      <c r="O322" s="72"/>
      <c r="P322" s="72"/>
      <c r="Q322" s="72"/>
      <c r="R322" s="72"/>
      <c r="S322" s="72"/>
      <c r="T322" s="72"/>
      <c r="U322" s="72"/>
      <c r="V322" s="72"/>
    </row>
    <row r="323" spans="1:22" ht="27.75" customHeight="1">
      <c r="A323" s="87" t="str">
        <f>IF(ISBLANK(C323)," ",318-COUNTBLANK($C$6:C323))</f>
        <v xml:space="preserve"> </v>
      </c>
      <c r="B323" s="88"/>
      <c r="C323" s="88"/>
      <c r="D323" s="89"/>
      <c r="E323" s="89"/>
      <c r="F323" s="73"/>
      <c r="G323" s="73"/>
      <c r="H323" s="73"/>
      <c r="I323" s="73"/>
      <c r="J323" s="73"/>
      <c r="K323" s="73"/>
      <c r="L323" s="73"/>
      <c r="M323" s="74"/>
      <c r="N323" s="71" t="str">
        <f t="shared" si="4"/>
        <v/>
      </c>
      <c r="O323" s="72"/>
      <c r="P323" s="72"/>
      <c r="Q323" s="72"/>
      <c r="R323" s="72"/>
      <c r="S323" s="72"/>
      <c r="T323" s="72"/>
      <c r="U323" s="72"/>
      <c r="V323" s="72"/>
    </row>
    <row r="324" spans="1:22" ht="27.75" customHeight="1">
      <c r="A324" s="87" t="str">
        <f>IF(ISBLANK(C324)," ",319-COUNTBLANK($C$6:C324))</f>
        <v xml:space="preserve"> </v>
      </c>
      <c r="B324" s="88"/>
      <c r="C324" s="88"/>
      <c r="D324" s="89"/>
      <c r="E324" s="89"/>
      <c r="F324" s="73"/>
      <c r="G324" s="73"/>
      <c r="H324" s="73"/>
      <c r="I324" s="73"/>
      <c r="J324" s="73"/>
      <c r="K324" s="73"/>
      <c r="L324" s="73"/>
      <c r="M324" s="74"/>
      <c r="N324" s="71" t="str">
        <f t="shared" si="4"/>
        <v/>
      </c>
      <c r="O324" s="72"/>
      <c r="P324" s="72"/>
      <c r="Q324" s="72"/>
      <c r="R324" s="72"/>
      <c r="S324" s="72"/>
      <c r="T324" s="72"/>
      <c r="U324" s="72"/>
      <c r="V324" s="72"/>
    </row>
    <row r="325" spans="1:22" ht="27.75" customHeight="1">
      <c r="A325" s="87" t="str">
        <f>IF(ISBLANK(C325)," ",320-COUNTBLANK($C$6:C325))</f>
        <v xml:space="preserve"> </v>
      </c>
      <c r="B325" s="88"/>
      <c r="C325" s="88"/>
      <c r="D325" s="89"/>
      <c r="E325" s="89"/>
      <c r="F325" s="73"/>
      <c r="G325" s="73"/>
      <c r="H325" s="73"/>
      <c r="I325" s="73"/>
      <c r="J325" s="73"/>
      <c r="K325" s="73"/>
      <c r="L325" s="73"/>
      <c r="M325" s="74"/>
      <c r="N325" s="71" t="str">
        <f t="shared" si="4"/>
        <v/>
      </c>
      <c r="O325" s="72"/>
      <c r="P325" s="72"/>
      <c r="Q325" s="72"/>
      <c r="R325" s="72"/>
      <c r="S325" s="72"/>
      <c r="T325" s="72"/>
      <c r="U325" s="72"/>
      <c r="V325" s="72"/>
    </row>
    <row r="326" spans="1:22" ht="27.75" customHeight="1">
      <c r="A326" s="87" t="str">
        <f>IF(ISBLANK(C326)," ",321-COUNTBLANK($C$6:C326))</f>
        <v xml:space="preserve"> </v>
      </c>
      <c r="B326" s="88"/>
      <c r="C326" s="88"/>
      <c r="D326" s="89"/>
      <c r="E326" s="89"/>
      <c r="F326" s="73"/>
      <c r="G326" s="73"/>
      <c r="H326" s="73"/>
      <c r="I326" s="73"/>
      <c r="J326" s="73"/>
      <c r="K326" s="73"/>
      <c r="L326" s="73"/>
      <c r="M326" s="74"/>
      <c r="N326" s="71" t="str">
        <f t="shared" ref="N326:N389" si="5">CONCATENATE(C326,H326)</f>
        <v/>
      </c>
      <c r="O326" s="72"/>
      <c r="P326" s="72"/>
      <c r="Q326" s="72"/>
      <c r="R326" s="72"/>
      <c r="S326" s="72"/>
      <c r="T326" s="72"/>
      <c r="U326" s="72"/>
      <c r="V326" s="72"/>
    </row>
    <row r="327" spans="1:22" ht="27.75" customHeight="1">
      <c r="A327" s="87" t="str">
        <f>IF(ISBLANK(C327)," ",322-COUNTBLANK($C$6:C327))</f>
        <v xml:space="preserve"> </v>
      </c>
      <c r="B327" s="88"/>
      <c r="C327" s="88"/>
      <c r="D327" s="89"/>
      <c r="E327" s="89"/>
      <c r="F327" s="73"/>
      <c r="G327" s="73"/>
      <c r="H327" s="73"/>
      <c r="I327" s="73"/>
      <c r="J327" s="73"/>
      <c r="K327" s="73"/>
      <c r="L327" s="73"/>
      <c r="M327" s="74"/>
      <c r="N327" s="71" t="str">
        <f t="shared" si="5"/>
        <v/>
      </c>
      <c r="O327" s="72"/>
      <c r="P327" s="72"/>
      <c r="Q327" s="72"/>
      <c r="R327" s="72"/>
      <c r="S327" s="72"/>
      <c r="T327" s="72"/>
      <c r="U327" s="72"/>
      <c r="V327" s="72"/>
    </row>
    <row r="328" spans="1:22" ht="27.75" customHeight="1">
      <c r="A328" s="87" t="str">
        <f>IF(ISBLANK(C328)," ",323-COUNTBLANK($C$6:C328))</f>
        <v xml:space="preserve"> </v>
      </c>
      <c r="B328" s="88"/>
      <c r="C328" s="88"/>
      <c r="D328" s="89"/>
      <c r="E328" s="89"/>
      <c r="F328" s="73"/>
      <c r="G328" s="73"/>
      <c r="H328" s="73"/>
      <c r="I328" s="73"/>
      <c r="J328" s="73"/>
      <c r="K328" s="73"/>
      <c r="L328" s="73"/>
      <c r="M328" s="74"/>
      <c r="N328" s="71" t="str">
        <f t="shared" si="5"/>
        <v/>
      </c>
      <c r="O328" s="72"/>
      <c r="P328" s="72"/>
      <c r="Q328" s="72"/>
      <c r="R328" s="72"/>
      <c r="S328" s="72"/>
      <c r="T328" s="72"/>
      <c r="U328" s="72"/>
      <c r="V328" s="72"/>
    </row>
    <row r="329" spans="1:22" ht="27.75" customHeight="1">
      <c r="A329" s="87" t="str">
        <f>IF(ISBLANK(C329)," ",324-COUNTBLANK($C$6:C329))</f>
        <v xml:space="preserve"> </v>
      </c>
      <c r="B329" s="88"/>
      <c r="C329" s="88"/>
      <c r="D329" s="89"/>
      <c r="E329" s="89"/>
      <c r="F329" s="73"/>
      <c r="G329" s="73"/>
      <c r="H329" s="73"/>
      <c r="I329" s="73"/>
      <c r="J329" s="73"/>
      <c r="K329" s="73"/>
      <c r="L329" s="73"/>
      <c r="M329" s="74"/>
      <c r="N329" s="71" t="str">
        <f t="shared" si="5"/>
        <v/>
      </c>
      <c r="O329" s="72"/>
      <c r="P329" s="72"/>
      <c r="Q329" s="72"/>
      <c r="R329" s="72"/>
      <c r="S329" s="72"/>
      <c r="T329" s="72"/>
      <c r="U329" s="72"/>
      <c r="V329" s="72"/>
    </row>
    <row r="330" spans="1:22" ht="27.75" customHeight="1">
      <c r="A330" s="87" t="str">
        <f>IF(ISBLANK(C330)," ",325-COUNTBLANK($C$6:C330))</f>
        <v xml:space="preserve"> </v>
      </c>
      <c r="B330" s="88"/>
      <c r="C330" s="88"/>
      <c r="D330" s="89"/>
      <c r="E330" s="89"/>
      <c r="F330" s="73"/>
      <c r="G330" s="73"/>
      <c r="H330" s="73"/>
      <c r="I330" s="73"/>
      <c r="J330" s="73"/>
      <c r="K330" s="73"/>
      <c r="L330" s="73"/>
      <c r="M330" s="74"/>
      <c r="N330" s="71" t="str">
        <f t="shared" si="5"/>
        <v/>
      </c>
      <c r="O330" s="72"/>
      <c r="P330" s="72"/>
      <c r="Q330" s="72"/>
      <c r="R330" s="72"/>
      <c r="S330" s="72"/>
      <c r="T330" s="72"/>
      <c r="U330" s="72"/>
      <c r="V330" s="72"/>
    </row>
    <row r="331" spans="1:22" ht="27.75" customHeight="1">
      <c r="A331" s="87" t="str">
        <f>IF(ISBLANK(C331)," ",326-COUNTBLANK($C$6:C331))</f>
        <v xml:space="preserve"> </v>
      </c>
      <c r="B331" s="88"/>
      <c r="C331" s="88"/>
      <c r="D331" s="89"/>
      <c r="E331" s="89"/>
      <c r="F331" s="73"/>
      <c r="G331" s="73"/>
      <c r="H331" s="73"/>
      <c r="I331" s="73"/>
      <c r="J331" s="73"/>
      <c r="K331" s="73"/>
      <c r="L331" s="73"/>
      <c r="M331" s="74"/>
      <c r="N331" s="71" t="str">
        <f t="shared" si="5"/>
        <v/>
      </c>
      <c r="O331" s="72"/>
      <c r="P331" s="72"/>
      <c r="Q331" s="72"/>
      <c r="R331" s="72"/>
      <c r="S331" s="72"/>
      <c r="T331" s="72"/>
      <c r="U331" s="72"/>
      <c r="V331" s="72"/>
    </row>
    <row r="332" spans="1:22" ht="27.75" customHeight="1">
      <c r="A332" s="87" t="str">
        <f>IF(ISBLANK(C332)," ",327-COUNTBLANK($C$6:C332))</f>
        <v xml:space="preserve"> </v>
      </c>
      <c r="B332" s="88"/>
      <c r="C332" s="88"/>
      <c r="D332" s="89"/>
      <c r="E332" s="89"/>
      <c r="F332" s="73"/>
      <c r="G332" s="73"/>
      <c r="H332" s="73"/>
      <c r="I332" s="73"/>
      <c r="J332" s="73"/>
      <c r="K332" s="73"/>
      <c r="L332" s="73"/>
      <c r="M332" s="74"/>
      <c r="N332" s="71" t="str">
        <f t="shared" si="5"/>
        <v/>
      </c>
      <c r="O332" s="72"/>
      <c r="P332" s="72"/>
      <c r="Q332" s="72"/>
      <c r="R332" s="72"/>
      <c r="S332" s="72"/>
      <c r="T332" s="72"/>
      <c r="U332" s="72"/>
      <c r="V332" s="72"/>
    </row>
    <row r="333" spans="1:22" ht="27.75" customHeight="1">
      <c r="A333" s="87" t="str">
        <f>IF(ISBLANK(C333)," ",328-COUNTBLANK($C$6:C333))</f>
        <v xml:space="preserve"> </v>
      </c>
      <c r="B333" s="88"/>
      <c r="C333" s="88"/>
      <c r="D333" s="89"/>
      <c r="E333" s="89"/>
      <c r="F333" s="73"/>
      <c r="G333" s="73"/>
      <c r="H333" s="73"/>
      <c r="I333" s="73"/>
      <c r="J333" s="73"/>
      <c r="K333" s="73"/>
      <c r="L333" s="73"/>
      <c r="M333" s="74"/>
      <c r="N333" s="71" t="str">
        <f t="shared" si="5"/>
        <v/>
      </c>
      <c r="O333" s="72"/>
      <c r="P333" s="72"/>
      <c r="Q333" s="72"/>
      <c r="R333" s="72"/>
      <c r="S333" s="72"/>
      <c r="T333" s="72"/>
      <c r="U333" s="72"/>
      <c r="V333" s="72"/>
    </row>
    <row r="334" spans="1:22" ht="27.75" customHeight="1">
      <c r="A334" s="87" t="str">
        <f>IF(ISBLANK(C334)," ",329-COUNTBLANK($C$6:C334))</f>
        <v xml:space="preserve"> </v>
      </c>
      <c r="B334" s="88"/>
      <c r="C334" s="88"/>
      <c r="D334" s="89"/>
      <c r="E334" s="89"/>
      <c r="F334" s="73"/>
      <c r="G334" s="73"/>
      <c r="H334" s="73"/>
      <c r="I334" s="73"/>
      <c r="J334" s="73"/>
      <c r="K334" s="73"/>
      <c r="L334" s="73"/>
      <c r="M334" s="74"/>
      <c r="N334" s="71" t="str">
        <f t="shared" si="5"/>
        <v/>
      </c>
      <c r="O334" s="72"/>
      <c r="P334" s="72"/>
      <c r="Q334" s="72"/>
      <c r="R334" s="72"/>
      <c r="S334" s="72"/>
      <c r="T334" s="72"/>
      <c r="U334" s="72"/>
      <c r="V334" s="72"/>
    </row>
    <row r="335" spans="1:22" ht="27.75" customHeight="1">
      <c r="A335" s="87" t="str">
        <f>IF(ISBLANK(C335)," ",330-COUNTBLANK($C$6:C335))</f>
        <v xml:space="preserve"> </v>
      </c>
      <c r="B335" s="88"/>
      <c r="C335" s="88"/>
      <c r="D335" s="89"/>
      <c r="E335" s="89"/>
      <c r="F335" s="73"/>
      <c r="G335" s="73"/>
      <c r="H335" s="73"/>
      <c r="I335" s="73"/>
      <c r="J335" s="73"/>
      <c r="K335" s="73"/>
      <c r="L335" s="73"/>
      <c r="M335" s="74"/>
      <c r="N335" s="71" t="str">
        <f t="shared" si="5"/>
        <v/>
      </c>
      <c r="O335" s="72"/>
      <c r="P335" s="72"/>
      <c r="Q335" s="72"/>
      <c r="R335" s="72"/>
      <c r="S335" s="72"/>
      <c r="T335" s="72"/>
      <c r="U335" s="72"/>
      <c r="V335" s="72"/>
    </row>
    <row r="336" spans="1:22" ht="27.75" customHeight="1">
      <c r="A336" s="87" t="str">
        <f>IF(ISBLANK(C336)," ",331-COUNTBLANK($C$6:C336))</f>
        <v xml:space="preserve"> </v>
      </c>
      <c r="B336" s="88"/>
      <c r="C336" s="88"/>
      <c r="D336" s="89"/>
      <c r="E336" s="89"/>
      <c r="F336" s="73"/>
      <c r="G336" s="73"/>
      <c r="H336" s="73"/>
      <c r="I336" s="73"/>
      <c r="J336" s="73"/>
      <c r="K336" s="73"/>
      <c r="L336" s="73"/>
      <c r="M336" s="74"/>
      <c r="N336" s="71" t="str">
        <f t="shared" si="5"/>
        <v/>
      </c>
      <c r="O336" s="75"/>
      <c r="P336" s="72"/>
      <c r="Q336" s="72"/>
      <c r="R336" s="72"/>
      <c r="S336" s="72"/>
      <c r="T336" s="72"/>
      <c r="U336" s="72"/>
      <c r="V336" s="76"/>
    </row>
    <row r="337" spans="1:25" ht="27.75" customHeight="1">
      <c r="A337" s="87" t="str">
        <f>IF(ISBLANK(C337)," ",332-COUNTBLANK($C$6:C337))</f>
        <v xml:space="preserve"> </v>
      </c>
      <c r="B337" s="88"/>
      <c r="C337" s="88"/>
      <c r="D337" s="89"/>
      <c r="E337" s="89"/>
      <c r="F337" s="73"/>
      <c r="G337" s="73"/>
      <c r="H337" s="73"/>
      <c r="I337" s="73"/>
      <c r="J337" s="73"/>
      <c r="K337" s="73"/>
      <c r="L337" s="73"/>
      <c r="M337" s="74"/>
      <c r="N337" s="71" t="str">
        <f t="shared" si="5"/>
        <v/>
      </c>
      <c r="O337" s="75"/>
      <c r="P337" s="72"/>
      <c r="Q337" s="72"/>
      <c r="R337" s="72"/>
      <c r="S337" s="72"/>
      <c r="T337" s="72"/>
      <c r="U337" s="72"/>
      <c r="V337" s="76"/>
    </row>
    <row r="338" spans="1:25" ht="27.75" customHeight="1">
      <c r="A338" s="87" t="str">
        <f>IF(ISBLANK(C338)," ",333-COUNTBLANK($C$6:C338))</f>
        <v xml:space="preserve"> </v>
      </c>
      <c r="B338" s="88"/>
      <c r="C338" s="88"/>
      <c r="D338" s="89"/>
      <c r="E338" s="89"/>
      <c r="F338" s="73"/>
      <c r="G338" s="73"/>
      <c r="H338" s="73"/>
      <c r="I338" s="73"/>
      <c r="J338" s="73"/>
      <c r="K338" s="73"/>
      <c r="L338" s="73"/>
      <c r="M338" s="74"/>
      <c r="N338" s="71" t="str">
        <f t="shared" si="5"/>
        <v/>
      </c>
      <c r="O338" s="75"/>
      <c r="P338" s="72"/>
      <c r="Q338" s="72"/>
      <c r="R338" s="72"/>
      <c r="S338" s="72"/>
      <c r="T338" s="72"/>
      <c r="U338" s="72"/>
      <c r="V338" s="76"/>
    </row>
    <row r="339" spans="1:25" ht="27.75" customHeight="1">
      <c r="A339" s="87" t="str">
        <f>IF(ISBLANK(C339)," ",334-COUNTBLANK($C$6:C339))</f>
        <v xml:space="preserve"> </v>
      </c>
      <c r="B339" s="88"/>
      <c r="C339" s="88"/>
      <c r="D339" s="89"/>
      <c r="E339" s="89"/>
      <c r="F339" s="73"/>
      <c r="G339" s="73"/>
      <c r="H339" s="73"/>
      <c r="I339" s="73"/>
      <c r="J339" s="73"/>
      <c r="K339" s="73"/>
      <c r="L339" s="73"/>
      <c r="M339" s="74"/>
      <c r="N339" s="71" t="str">
        <f t="shared" si="5"/>
        <v/>
      </c>
      <c r="O339" s="75"/>
      <c r="P339" s="72"/>
      <c r="Q339" s="72"/>
      <c r="R339" s="72"/>
      <c r="S339" s="72"/>
      <c r="T339" s="72"/>
      <c r="U339" s="72"/>
      <c r="V339" s="76"/>
    </row>
    <row r="340" spans="1:25" ht="27.75" customHeight="1">
      <c r="A340" s="87" t="str">
        <f>IF(ISBLANK(C340)," ",335-COUNTBLANK($C$6:C340))</f>
        <v xml:space="preserve"> </v>
      </c>
      <c r="B340" s="88"/>
      <c r="C340" s="88"/>
      <c r="D340" s="89"/>
      <c r="E340" s="89"/>
      <c r="F340" s="73"/>
      <c r="G340" s="73"/>
      <c r="H340" s="73"/>
      <c r="I340" s="73"/>
      <c r="J340" s="73"/>
      <c r="K340" s="73"/>
      <c r="L340" s="73"/>
      <c r="M340" s="74"/>
      <c r="N340" s="71" t="str">
        <f t="shared" si="5"/>
        <v/>
      </c>
      <c r="O340" s="72"/>
      <c r="P340" s="72"/>
      <c r="Q340" s="72"/>
      <c r="R340" s="72"/>
      <c r="S340" s="72"/>
      <c r="T340" s="72"/>
      <c r="U340" s="72"/>
      <c r="V340" s="79"/>
      <c r="W340" s="72"/>
      <c r="X340" s="72"/>
      <c r="Y340" s="72"/>
    </row>
    <row r="341" spans="1:25" ht="27.75" customHeight="1">
      <c r="A341" s="80" t="s">
        <v>58</v>
      </c>
      <c r="B341" s="81"/>
      <c r="C341" s="96"/>
      <c r="D341" s="82"/>
      <c r="E341" s="82">
        <f>SUM(E321:E340)</f>
        <v>0</v>
      </c>
      <c r="F341" s="83"/>
      <c r="G341" s="83"/>
      <c r="H341" s="83"/>
      <c r="I341" s="83"/>
      <c r="J341" s="83"/>
      <c r="K341" s="83"/>
      <c r="L341" s="83"/>
      <c r="M341" s="84"/>
      <c r="N341" s="71" t="str">
        <f t="shared" si="5"/>
        <v/>
      </c>
      <c r="O341" s="75"/>
      <c r="P341" s="72"/>
      <c r="Q341" s="72"/>
      <c r="R341" s="72"/>
      <c r="S341" s="72"/>
      <c r="T341" s="72"/>
      <c r="U341" s="72"/>
      <c r="V341" s="79"/>
      <c r="W341" s="72"/>
      <c r="X341" s="72"/>
      <c r="Y341" s="72"/>
    </row>
    <row r="342" spans="1:25" ht="27.75" customHeight="1">
      <c r="A342" s="93" t="str">
        <f>IF(ISBLANK(C342)," ",337-COUNTBLANK($C$6:C342))</f>
        <v xml:space="preserve"> </v>
      </c>
      <c r="B342" s="94"/>
      <c r="C342" s="94"/>
      <c r="D342" s="95"/>
      <c r="E342" s="95"/>
      <c r="F342" s="85"/>
      <c r="G342" s="85"/>
      <c r="H342" s="85"/>
      <c r="I342" s="85"/>
      <c r="J342" s="85"/>
      <c r="K342" s="85"/>
      <c r="L342" s="85"/>
      <c r="M342" s="86"/>
      <c r="N342" s="71" t="str">
        <f t="shared" si="5"/>
        <v/>
      </c>
      <c r="O342" s="72"/>
      <c r="P342" s="72"/>
      <c r="Q342" s="72"/>
      <c r="R342" s="72"/>
      <c r="S342" s="72"/>
      <c r="T342" s="72"/>
      <c r="U342" s="72"/>
      <c r="V342" s="72"/>
    </row>
    <row r="343" spans="1:25" ht="27.75" customHeight="1">
      <c r="A343" s="87" t="str">
        <f>IF(ISBLANK(C343)," ",338-COUNTBLANK($C$6:C343))</f>
        <v xml:space="preserve"> </v>
      </c>
      <c r="B343" s="88"/>
      <c r="C343" s="88"/>
      <c r="D343" s="89"/>
      <c r="E343" s="89"/>
      <c r="F343" s="73"/>
      <c r="G343" s="73"/>
      <c r="H343" s="73"/>
      <c r="I343" s="73"/>
      <c r="J343" s="73"/>
      <c r="K343" s="73"/>
      <c r="L343" s="73"/>
      <c r="M343" s="74"/>
      <c r="N343" s="71" t="str">
        <f t="shared" si="5"/>
        <v/>
      </c>
      <c r="O343" s="72"/>
      <c r="P343" s="72"/>
      <c r="Q343" s="72"/>
      <c r="R343" s="72"/>
      <c r="S343" s="72"/>
      <c r="T343" s="72"/>
      <c r="U343" s="72"/>
      <c r="V343" s="72"/>
    </row>
    <row r="344" spans="1:25" ht="27.75" customHeight="1">
      <c r="A344" s="87" t="str">
        <f>IF(ISBLANK(C344)," ",339-COUNTBLANK($C$6:C344))</f>
        <v xml:space="preserve"> </v>
      </c>
      <c r="B344" s="88"/>
      <c r="C344" s="88"/>
      <c r="D344" s="89"/>
      <c r="E344" s="89"/>
      <c r="F344" s="73"/>
      <c r="G344" s="73"/>
      <c r="H344" s="73"/>
      <c r="I344" s="73"/>
      <c r="J344" s="73"/>
      <c r="K344" s="73"/>
      <c r="L344" s="73"/>
      <c r="M344" s="74"/>
      <c r="N344" s="71" t="str">
        <f t="shared" si="5"/>
        <v/>
      </c>
      <c r="O344" s="72"/>
      <c r="P344" s="72"/>
      <c r="Q344" s="72"/>
      <c r="R344" s="72"/>
      <c r="S344" s="72"/>
      <c r="T344" s="72"/>
      <c r="U344" s="72"/>
      <c r="V344" s="72"/>
    </row>
    <row r="345" spans="1:25" ht="27.75" customHeight="1">
      <c r="A345" s="87" t="str">
        <f>IF(ISBLANK(C345)," ",340-COUNTBLANK($C$6:C345))</f>
        <v xml:space="preserve"> </v>
      </c>
      <c r="B345" s="88"/>
      <c r="C345" s="88"/>
      <c r="D345" s="89"/>
      <c r="E345" s="89"/>
      <c r="F345" s="73"/>
      <c r="G345" s="73"/>
      <c r="H345" s="73"/>
      <c r="I345" s="73"/>
      <c r="J345" s="73"/>
      <c r="K345" s="73"/>
      <c r="L345" s="73"/>
      <c r="M345" s="74"/>
      <c r="N345" s="71" t="str">
        <f t="shared" si="5"/>
        <v/>
      </c>
      <c r="O345" s="72"/>
      <c r="P345" s="72"/>
      <c r="Q345" s="72"/>
      <c r="R345" s="72"/>
      <c r="S345" s="72"/>
      <c r="T345" s="72"/>
      <c r="U345" s="72"/>
      <c r="V345" s="72"/>
    </row>
    <row r="346" spans="1:25" ht="27.75" customHeight="1">
      <c r="A346" s="87" t="str">
        <f>IF(ISBLANK(C346)," ",341-COUNTBLANK($C$6:C346))</f>
        <v xml:space="preserve"> </v>
      </c>
      <c r="B346" s="88"/>
      <c r="C346" s="88"/>
      <c r="D346" s="89"/>
      <c r="E346" s="89"/>
      <c r="F346" s="73"/>
      <c r="G346" s="73"/>
      <c r="H346" s="73"/>
      <c r="I346" s="73"/>
      <c r="J346" s="73"/>
      <c r="K346" s="73"/>
      <c r="L346" s="73"/>
      <c r="M346" s="74"/>
      <c r="N346" s="71" t="str">
        <f t="shared" si="5"/>
        <v/>
      </c>
      <c r="O346" s="72"/>
      <c r="P346" s="72"/>
      <c r="Q346" s="72"/>
      <c r="R346" s="72"/>
      <c r="S346" s="72"/>
      <c r="T346" s="72"/>
      <c r="U346" s="72"/>
      <c r="V346" s="72"/>
    </row>
    <row r="347" spans="1:25" ht="27.75" customHeight="1">
      <c r="A347" s="87" t="str">
        <f>IF(ISBLANK(C347)," ",342-COUNTBLANK($C$6:C347))</f>
        <v xml:space="preserve"> </v>
      </c>
      <c r="B347" s="88"/>
      <c r="C347" s="88"/>
      <c r="D347" s="89"/>
      <c r="E347" s="89"/>
      <c r="F347" s="73"/>
      <c r="G347" s="73"/>
      <c r="H347" s="73"/>
      <c r="I347" s="73"/>
      <c r="J347" s="73"/>
      <c r="K347" s="73"/>
      <c r="L347" s="73"/>
      <c r="M347" s="74"/>
      <c r="N347" s="71" t="str">
        <f t="shared" si="5"/>
        <v/>
      </c>
      <c r="O347" s="72"/>
      <c r="P347" s="72"/>
      <c r="Q347" s="72"/>
      <c r="R347" s="72"/>
      <c r="S347" s="72"/>
      <c r="T347" s="72"/>
      <c r="U347" s="72"/>
      <c r="V347" s="72"/>
    </row>
    <row r="348" spans="1:25" ht="27.75" customHeight="1">
      <c r="A348" s="87" t="str">
        <f>IF(ISBLANK(C348)," ",343-COUNTBLANK($C$6:C348))</f>
        <v xml:space="preserve"> </v>
      </c>
      <c r="B348" s="88"/>
      <c r="C348" s="88"/>
      <c r="D348" s="89"/>
      <c r="E348" s="89"/>
      <c r="F348" s="73"/>
      <c r="G348" s="73"/>
      <c r="H348" s="73"/>
      <c r="I348" s="73"/>
      <c r="J348" s="73"/>
      <c r="K348" s="73"/>
      <c r="L348" s="73"/>
      <c r="M348" s="74"/>
      <c r="N348" s="71" t="str">
        <f t="shared" si="5"/>
        <v/>
      </c>
      <c r="O348" s="72"/>
      <c r="P348" s="72"/>
      <c r="Q348" s="72"/>
      <c r="R348" s="72"/>
      <c r="S348" s="72"/>
      <c r="T348" s="72"/>
      <c r="U348" s="72"/>
      <c r="V348" s="72"/>
    </row>
    <row r="349" spans="1:25" ht="27.75" customHeight="1">
      <c r="A349" s="87" t="str">
        <f>IF(ISBLANK(C349)," ",344-COUNTBLANK($C$6:C349))</f>
        <v xml:space="preserve"> </v>
      </c>
      <c r="B349" s="88"/>
      <c r="C349" s="88"/>
      <c r="D349" s="89"/>
      <c r="E349" s="89"/>
      <c r="F349" s="73"/>
      <c r="G349" s="73"/>
      <c r="H349" s="73"/>
      <c r="I349" s="73"/>
      <c r="J349" s="73"/>
      <c r="K349" s="73"/>
      <c r="L349" s="73"/>
      <c r="M349" s="74"/>
      <c r="N349" s="71" t="str">
        <f t="shared" si="5"/>
        <v/>
      </c>
      <c r="O349" s="72"/>
      <c r="P349" s="72"/>
      <c r="Q349" s="72"/>
      <c r="R349" s="72"/>
      <c r="S349" s="72"/>
      <c r="T349" s="72"/>
      <c r="U349" s="72"/>
      <c r="V349" s="72"/>
    </row>
    <row r="350" spans="1:25" ht="27.75" customHeight="1">
      <c r="A350" s="87" t="str">
        <f>IF(ISBLANK(C350)," ",345-COUNTBLANK($C$6:C350))</f>
        <v xml:space="preserve"> </v>
      </c>
      <c r="B350" s="88"/>
      <c r="C350" s="88"/>
      <c r="D350" s="89"/>
      <c r="E350" s="89"/>
      <c r="F350" s="73"/>
      <c r="G350" s="73"/>
      <c r="H350" s="73"/>
      <c r="I350" s="73"/>
      <c r="J350" s="73"/>
      <c r="K350" s="73"/>
      <c r="L350" s="73"/>
      <c r="M350" s="74"/>
      <c r="N350" s="71" t="str">
        <f t="shared" si="5"/>
        <v/>
      </c>
      <c r="O350" s="72"/>
      <c r="P350" s="72"/>
      <c r="Q350" s="72"/>
      <c r="R350" s="72"/>
      <c r="S350" s="72"/>
      <c r="T350" s="72"/>
      <c r="U350" s="72"/>
      <c r="V350" s="72"/>
    </row>
    <row r="351" spans="1:25" ht="27.75" customHeight="1">
      <c r="A351" s="87" t="str">
        <f>IF(ISBLANK(C351)," ",346-COUNTBLANK($C$6:C351))</f>
        <v xml:space="preserve"> </v>
      </c>
      <c r="B351" s="88"/>
      <c r="C351" s="88"/>
      <c r="D351" s="89"/>
      <c r="E351" s="89"/>
      <c r="F351" s="73"/>
      <c r="G351" s="73"/>
      <c r="H351" s="73"/>
      <c r="I351" s="73"/>
      <c r="J351" s="73"/>
      <c r="K351" s="73"/>
      <c r="L351" s="73"/>
      <c r="M351" s="74"/>
      <c r="N351" s="71" t="str">
        <f t="shared" si="5"/>
        <v/>
      </c>
      <c r="O351" s="72"/>
      <c r="P351" s="72"/>
      <c r="Q351" s="72"/>
      <c r="R351" s="72"/>
      <c r="S351" s="72"/>
      <c r="T351" s="72"/>
      <c r="U351" s="72"/>
      <c r="V351" s="72"/>
    </row>
    <row r="352" spans="1:25" ht="27.75" customHeight="1">
      <c r="A352" s="87" t="str">
        <f>IF(ISBLANK(C352)," ",347-COUNTBLANK($C$6:C352))</f>
        <v xml:space="preserve"> </v>
      </c>
      <c r="B352" s="88"/>
      <c r="C352" s="88"/>
      <c r="D352" s="89"/>
      <c r="E352" s="89"/>
      <c r="F352" s="73"/>
      <c r="G352" s="73"/>
      <c r="H352" s="73"/>
      <c r="I352" s="73"/>
      <c r="J352" s="73"/>
      <c r="K352" s="73"/>
      <c r="L352" s="73"/>
      <c r="M352" s="74"/>
      <c r="N352" s="71" t="str">
        <f t="shared" si="5"/>
        <v/>
      </c>
      <c r="O352" s="72"/>
      <c r="P352" s="72"/>
      <c r="Q352" s="72"/>
      <c r="R352" s="72"/>
      <c r="S352" s="72"/>
      <c r="T352" s="72"/>
      <c r="U352" s="72"/>
      <c r="V352" s="72"/>
    </row>
    <row r="353" spans="1:25" ht="27.75" customHeight="1">
      <c r="A353" s="87" t="str">
        <f>IF(ISBLANK(C353)," ",348-COUNTBLANK($C$6:C353))</f>
        <v xml:space="preserve"> </v>
      </c>
      <c r="B353" s="88"/>
      <c r="C353" s="88"/>
      <c r="D353" s="89"/>
      <c r="E353" s="89"/>
      <c r="F353" s="73"/>
      <c r="G353" s="73"/>
      <c r="H353" s="73"/>
      <c r="I353" s="73"/>
      <c r="J353" s="73"/>
      <c r="K353" s="73"/>
      <c r="L353" s="73"/>
      <c r="M353" s="74"/>
      <c r="N353" s="71" t="str">
        <f t="shared" si="5"/>
        <v/>
      </c>
      <c r="O353" s="72"/>
      <c r="P353" s="72"/>
      <c r="Q353" s="72"/>
      <c r="R353" s="72"/>
      <c r="S353" s="72"/>
      <c r="T353" s="72"/>
      <c r="U353" s="72"/>
      <c r="V353" s="72"/>
    </row>
    <row r="354" spans="1:25" ht="27.75" customHeight="1">
      <c r="A354" s="87" t="str">
        <f>IF(ISBLANK(C354)," ",349-COUNTBLANK($C$6:C354))</f>
        <v xml:space="preserve"> </v>
      </c>
      <c r="B354" s="88"/>
      <c r="C354" s="88"/>
      <c r="D354" s="89"/>
      <c r="E354" s="89"/>
      <c r="F354" s="73"/>
      <c r="G354" s="73"/>
      <c r="H354" s="73"/>
      <c r="I354" s="73"/>
      <c r="J354" s="73"/>
      <c r="K354" s="73"/>
      <c r="L354" s="73"/>
      <c r="M354" s="74"/>
      <c r="N354" s="71" t="str">
        <f t="shared" si="5"/>
        <v/>
      </c>
      <c r="O354" s="72"/>
      <c r="P354" s="72"/>
      <c r="Q354" s="72"/>
      <c r="R354" s="72"/>
      <c r="S354" s="72"/>
      <c r="T354" s="72"/>
      <c r="U354" s="72"/>
      <c r="V354" s="72"/>
    </row>
    <row r="355" spans="1:25" ht="27.75" customHeight="1">
      <c r="A355" s="87" t="str">
        <f>IF(ISBLANK(C355)," ",350-COUNTBLANK($C$6:C355))</f>
        <v xml:space="preserve"> </v>
      </c>
      <c r="B355" s="88"/>
      <c r="C355" s="88"/>
      <c r="D355" s="89"/>
      <c r="E355" s="89"/>
      <c r="F355" s="73"/>
      <c r="G355" s="73"/>
      <c r="H355" s="73"/>
      <c r="I355" s="73"/>
      <c r="J355" s="73"/>
      <c r="K355" s="73"/>
      <c r="L355" s="73"/>
      <c r="M355" s="74"/>
      <c r="N355" s="71" t="str">
        <f t="shared" si="5"/>
        <v/>
      </c>
      <c r="O355" s="72"/>
      <c r="P355" s="72"/>
      <c r="Q355" s="72"/>
      <c r="R355" s="72"/>
      <c r="S355" s="72"/>
      <c r="T355" s="72"/>
      <c r="U355" s="72"/>
      <c r="V355" s="72"/>
    </row>
    <row r="356" spans="1:25" ht="27.75" customHeight="1">
      <c r="A356" s="87" t="str">
        <f>IF(ISBLANK(C356)," ",351-COUNTBLANK($C$6:C356))</f>
        <v xml:space="preserve"> </v>
      </c>
      <c r="B356" s="88"/>
      <c r="C356" s="88"/>
      <c r="D356" s="89"/>
      <c r="E356" s="89"/>
      <c r="F356" s="73"/>
      <c r="G356" s="73"/>
      <c r="H356" s="73"/>
      <c r="I356" s="73"/>
      <c r="J356" s="73"/>
      <c r="K356" s="73"/>
      <c r="L356" s="73"/>
      <c r="M356" s="74"/>
      <c r="N356" s="71" t="str">
        <f t="shared" si="5"/>
        <v/>
      </c>
      <c r="O356" s="72"/>
      <c r="P356" s="72"/>
      <c r="Q356" s="72"/>
      <c r="R356" s="72"/>
      <c r="S356" s="72"/>
      <c r="T356" s="72"/>
      <c r="U356" s="72"/>
      <c r="V356" s="72"/>
    </row>
    <row r="357" spans="1:25" ht="27.75" customHeight="1">
      <c r="A357" s="87" t="str">
        <f>IF(ISBLANK(C357)," ",352-COUNTBLANK($C$6:C357))</f>
        <v xml:space="preserve"> </v>
      </c>
      <c r="B357" s="88"/>
      <c r="C357" s="88"/>
      <c r="D357" s="89"/>
      <c r="E357" s="89"/>
      <c r="F357" s="73"/>
      <c r="G357" s="73"/>
      <c r="H357" s="73"/>
      <c r="I357" s="73"/>
      <c r="J357" s="73"/>
      <c r="K357" s="73"/>
      <c r="L357" s="73"/>
      <c r="M357" s="74"/>
      <c r="N357" s="71" t="str">
        <f t="shared" si="5"/>
        <v/>
      </c>
      <c r="O357" s="75"/>
      <c r="P357" s="72"/>
      <c r="Q357" s="72"/>
      <c r="R357" s="72"/>
      <c r="S357" s="72"/>
      <c r="T357" s="72"/>
      <c r="U357" s="72"/>
      <c r="V357" s="76"/>
    </row>
    <row r="358" spans="1:25" ht="27.75" customHeight="1">
      <c r="A358" s="87" t="str">
        <f>IF(ISBLANK(C358)," ",353-COUNTBLANK($C$6:C358))</f>
        <v xml:space="preserve"> </v>
      </c>
      <c r="B358" s="88"/>
      <c r="C358" s="88"/>
      <c r="D358" s="89"/>
      <c r="E358" s="89"/>
      <c r="F358" s="73"/>
      <c r="G358" s="73"/>
      <c r="H358" s="73"/>
      <c r="I358" s="73"/>
      <c r="J358" s="73"/>
      <c r="K358" s="73"/>
      <c r="L358" s="73"/>
      <c r="M358" s="74"/>
      <c r="N358" s="71" t="str">
        <f t="shared" si="5"/>
        <v/>
      </c>
      <c r="O358" s="75"/>
      <c r="P358" s="72"/>
      <c r="Q358" s="72"/>
      <c r="R358" s="72"/>
      <c r="S358" s="72"/>
      <c r="T358" s="72"/>
      <c r="U358" s="72"/>
      <c r="V358" s="76"/>
    </row>
    <row r="359" spans="1:25" ht="27.75" customHeight="1">
      <c r="A359" s="87" t="str">
        <f>IF(ISBLANK(C359)," ",354-COUNTBLANK($C$6:C359))</f>
        <v xml:space="preserve"> </v>
      </c>
      <c r="B359" s="88"/>
      <c r="C359" s="88"/>
      <c r="D359" s="89"/>
      <c r="E359" s="89"/>
      <c r="F359" s="73"/>
      <c r="G359" s="73"/>
      <c r="H359" s="73"/>
      <c r="I359" s="73"/>
      <c r="J359" s="73"/>
      <c r="K359" s="73"/>
      <c r="L359" s="73"/>
      <c r="M359" s="74"/>
      <c r="N359" s="71" t="str">
        <f t="shared" si="5"/>
        <v/>
      </c>
      <c r="O359" s="75"/>
      <c r="P359" s="72"/>
      <c r="Q359" s="72"/>
      <c r="R359" s="72"/>
      <c r="S359" s="72"/>
      <c r="T359" s="72"/>
      <c r="U359" s="72"/>
      <c r="V359" s="76"/>
    </row>
    <row r="360" spans="1:25" ht="27.75" customHeight="1">
      <c r="A360" s="87" t="str">
        <f>IF(ISBLANK(C360)," ",355-COUNTBLANK($C$6:C360))</f>
        <v xml:space="preserve"> </v>
      </c>
      <c r="B360" s="88"/>
      <c r="C360" s="88"/>
      <c r="D360" s="89"/>
      <c r="E360" s="89"/>
      <c r="F360" s="73"/>
      <c r="G360" s="73"/>
      <c r="H360" s="73"/>
      <c r="I360" s="73"/>
      <c r="J360" s="73"/>
      <c r="K360" s="73"/>
      <c r="L360" s="73"/>
      <c r="M360" s="74"/>
      <c r="N360" s="71" t="str">
        <f t="shared" si="5"/>
        <v/>
      </c>
      <c r="O360" s="75"/>
      <c r="P360" s="72"/>
      <c r="Q360" s="72"/>
      <c r="R360" s="72"/>
      <c r="S360" s="72"/>
      <c r="T360" s="72"/>
      <c r="U360" s="72"/>
      <c r="V360" s="76"/>
    </row>
    <row r="361" spans="1:25" ht="27.75" customHeight="1">
      <c r="A361" s="87" t="str">
        <f>IF(ISBLANK(C361)," ",356-COUNTBLANK($C$6:C361))</f>
        <v xml:space="preserve"> </v>
      </c>
      <c r="B361" s="88"/>
      <c r="C361" s="88"/>
      <c r="D361" s="89"/>
      <c r="E361" s="89"/>
      <c r="F361" s="73"/>
      <c r="G361" s="73"/>
      <c r="H361" s="73"/>
      <c r="I361" s="73"/>
      <c r="J361" s="73"/>
      <c r="K361" s="73"/>
      <c r="L361" s="73"/>
      <c r="M361" s="74"/>
      <c r="N361" s="71" t="str">
        <f t="shared" si="5"/>
        <v/>
      </c>
      <c r="O361" s="72"/>
      <c r="P361" s="72"/>
      <c r="Q361" s="72"/>
      <c r="R361" s="72"/>
      <c r="S361" s="72"/>
      <c r="T361" s="72"/>
      <c r="U361" s="72"/>
      <c r="V361" s="79"/>
      <c r="W361" s="72"/>
      <c r="X361" s="72"/>
      <c r="Y361" s="72"/>
    </row>
    <row r="362" spans="1:25" ht="27.75" customHeight="1">
      <c r="A362" s="80" t="s">
        <v>58</v>
      </c>
      <c r="B362" s="81"/>
      <c r="C362" s="96"/>
      <c r="D362" s="82"/>
      <c r="E362" s="82">
        <f>SUM(E342:E361)</f>
        <v>0</v>
      </c>
      <c r="F362" s="83"/>
      <c r="G362" s="83"/>
      <c r="H362" s="83"/>
      <c r="I362" s="83"/>
      <c r="J362" s="83"/>
      <c r="K362" s="83"/>
      <c r="L362" s="83"/>
      <c r="M362" s="84"/>
      <c r="N362" s="71" t="str">
        <f t="shared" si="5"/>
        <v/>
      </c>
      <c r="O362" s="75"/>
      <c r="P362" s="72"/>
      <c r="Q362" s="72"/>
      <c r="R362" s="72"/>
      <c r="S362" s="72"/>
      <c r="T362" s="72"/>
      <c r="U362" s="72"/>
      <c r="V362" s="79"/>
      <c r="W362" s="72"/>
      <c r="X362" s="72"/>
      <c r="Y362" s="72"/>
    </row>
    <row r="363" spans="1:25" ht="27.75" customHeight="1">
      <c r="A363" s="93" t="str">
        <f>IF(ISBLANK(C363)," ",358-COUNTBLANK($C$6:C363))</f>
        <v xml:space="preserve"> </v>
      </c>
      <c r="B363" s="94"/>
      <c r="C363" s="94"/>
      <c r="D363" s="95"/>
      <c r="E363" s="95"/>
      <c r="F363" s="85"/>
      <c r="G363" s="85"/>
      <c r="H363" s="85"/>
      <c r="I363" s="85"/>
      <c r="J363" s="85"/>
      <c r="K363" s="85"/>
      <c r="L363" s="85"/>
      <c r="M363" s="86"/>
      <c r="N363" s="71" t="str">
        <f t="shared" si="5"/>
        <v/>
      </c>
      <c r="O363" s="72"/>
      <c r="P363" s="72"/>
      <c r="Q363" s="72"/>
      <c r="R363" s="72"/>
      <c r="S363" s="72"/>
      <c r="T363" s="72"/>
      <c r="U363" s="72"/>
      <c r="V363" s="72"/>
    </row>
    <row r="364" spans="1:25" ht="27.75" customHeight="1">
      <c r="A364" s="87" t="str">
        <f>IF(ISBLANK(C364)," ",359-COUNTBLANK($C$6:C364))</f>
        <v xml:space="preserve"> </v>
      </c>
      <c r="B364" s="88"/>
      <c r="C364" s="88"/>
      <c r="D364" s="89"/>
      <c r="E364" s="89"/>
      <c r="F364" s="73"/>
      <c r="G364" s="73"/>
      <c r="H364" s="73"/>
      <c r="I364" s="73"/>
      <c r="J364" s="73"/>
      <c r="K364" s="73"/>
      <c r="L364" s="73"/>
      <c r="M364" s="74"/>
      <c r="N364" s="71" t="str">
        <f t="shared" si="5"/>
        <v/>
      </c>
      <c r="O364" s="72"/>
      <c r="P364" s="72"/>
      <c r="Q364" s="72"/>
      <c r="R364" s="72"/>
      <c r="S364" s="72"/>
      <c r="T364" s="72"/>
      <c r="U364" s="72"/>
      <c r="V364" s="72"/>
    </row>
    <row r="365" spans="1:25" ht="27.75" customHeight="1">
      <c r="A365" s="87" t="str">
        <f>IF(ISBLANK(C365)," ",360-COUNTBLANK($C$6:C365))</f>
        <v xml:space="preserve"> </v>
      </c>
      <c r="B365" s="88"/>
      <c r="C365" s="88"/>
      <c r="D365" s="89"/>
      <c r="E365" s="89"/>
      <c r="F365" s="73"/>
      <c r="G365" s="73"/>
      <c r="H365" s="73"/>
      <c r="I365" s="73"/>
      <c r="J365" s="73"/>
      <c r="K365" s="73"/>
      <c r="L365" s="73"/>
      <c r="M365" s="74"/>
      <c r="N365" s="71" t="str">
        <f t="shared" si="5"/>
        <v/>
      </c>
      <c r="O365" s="72"/>
      <c r="P365" s="72"/>
      <c r="Q365" s="72"/>
      <c r="R365" s="72"/>
      <c r="S365" s="72"/>
      <c r="T365" s="72"/>
      <c r="U365" s="72"/>
      <c r="V365" s="72"/>
    </row>
    <row r="366" spans="1:25" ht="27.75" customHeight="1">
      <c r="A366" s="87" t="str">
        <f>IF(ISBLANK(C366)," ",361-COUNTBLANK($C$6:C366))</f>
        <v xml:space="preserve"> </v>
      </c>
      <c r="B366" s="88"/>
      <c r="C366" s="88"/>
      <c r="D366" s="89"/>
      <c r="E366" s="89"/>
      <c r="F366" s="73"/>
      <c r="G366" s="73"/>
      <c r="H366" s="73"/>
      <c r="I366" s="73"/>
      <c r="J366" s="73"/>
      <c r="K366" s="73"/>
      <c r="L366" s="73"/>
      <c r="M366" s="74"/>
      <c r="N366" s="71" t="str">
        <f t="shared" si="5"/>
        <v/>
      </c>
      <c r="O366" s="72"/>
      <c r="P366" s="72"/>
      <c r="Q366" s="72"/>
      <c r="R366" s="72"/>
      <c r="S366" s="72"/>
      <c r="T366" s="72"/>
      <c r="U366" s="72"/>
      <c r="V366" s="72"/>
    </row>
    <row r="367" spans="1:25" ht="27.75" customHeight="1">
      <c r="A367" s="87" t="str">
        <f>IF(ISBLANK(C367)," ",362-COUNTBLANK($C$6:C367))</f>
        <v xml:space="preserve"> </v>
      </c>
      <c r="B367" s="88"/>
      <c r="C367" s="88"/>
      <c r="D367" s="89"/>
      <c r="E367" s="89"/>
      <c r="F367" s="73"/>
      <c r="G367" s="73"/>
      <c r="H367" s="73"/>
      <c r="I367" s="73"/>
      <c r="J367" s="73"/>
      <c r="K367" s="73"/>
      <c r="L367" s="73"/>
      <c r="M367" s="74"/>
      <c r="N367" s="71" t="str">
        <f t="shared" si="5"/>
        <v/>
      </c>
      <c r="O367" s="72"/>
      <c r="P367" s="72"/>
      <c r="Q367" s="72"/>
      <c r="R367" s="72"/>
      <c r="S367" s="72"/>
      <c r="T367" s="72"/>
      <c r="U367" s="72"/>
      <c r="V367" s="72"/>
    </row>
    <row r="368" spans="1:25" ht="27.75" customHeight="1">
      <c r="A368" s="87" t="str">
        <f>IF(ISBLANK(C368)," ",363-COUNTBLANK($C$6:C368))</f>
        <v xml:space="preserve"> </v>
      </c>
      <c r="B368" s="88"/>
      <c r="C368" s="88"/>
      <c r="D368" s="89"/>
      <c r="E368" s="89"/>
      <c r="F368" s="73"/>
      <c r="G368" s="73"/>
      <c r="H368" s="73"/>
      <c r="I368" s="73"/>
      <c r="J368" s="73"/>
      <c r="K368" s="73"/>
      <c r="L368" s="73"/>
      <c r="M368" s="74"/>
      <c r="N368" s="71" t="str">
        <f t="shared" si="5"/>
        <v/>
      </c>
      <c r="O368" s="72"/>
      <c r="P368" s="72"/>
      <c r="Q368" s="72"/>
      <c r="R368" s="72"/>
      <c r="S368" s="72"/>
      <c r="T368" s="72"/>
      <c r="U368" s="72"/>
      <c r="V368" s="72"/>
    </row>
    <row r="369" spans="1:25" ht="27.75" customHeight="1">
      <c r="A369" s="87" t="str">
        <f>IF(ISBLANK(C369)," ",364-COUNTBLANK($C$6:C369))</f>
        <v xml:space="preserve"> </v>
      </c>
      <c r="B369" s="88"/>
      <c r="C369" s="88"/>
      <c r="D369" s="89"/>
      <c r="E369" s="89"/>
      <c r="F369" s="73"/>
      <c r="G369" s="73"/>
      <c r="H369" s="73"/>
      <c r="I369" s="73"/>
      <c r="J369" s="73"/>
      <c r="K369" s="73"/>
      <c r="L369" s="73"/>
      <c r="M369" s="74"/>
      <c r="N369" s="71" t="str">
        <f t="shared" si="5"/>
        <v/>
      </c>
      <c r="O369" s="72"/>
      <c r="P369" s="72"/>
      <c r="Q369" s="72"/>
      <c r="R369" s="72"/>
      <c r="S369" s="72"/>
      <c r="T369" s="72"/>
      <c r="U369" s="72"/>
      <c r="V369" s="72"/>
    </row>
    <row r="370" spans="1:25" ht="27.75" customHeight="1">
      <c r="A370" s="87" t="str">
        <f>IF(ISBLANK(C370)," ",365-COUNTBLANK($C$6:C370))</f>
        <v xml:space="preserve"> </v>
      </c>
      <c r="B370" s="88"/>
      <c r="C370" s="88"/>
      <c r="D370" s="89"/>
      <c r="E370" s="89"/>
      <c r="F370" s="73"/>
      <c r="G370" s="73"/>
      <c r="H370" s="73"/>
      <c r="I370" s="73"/>
      <c r="J370" s="73"/>
      <c r="K370" s="73"/>
      <c r="L370" s="73"/>
      <c r="M370" s="74"/>
      <c r="N370" s="71" t="str">
        <f t="shared" si="5"/>
        <v/>
      </c>
      <c r="O370" s="72"/>
      <c r="P370" s="72"/>
      <c r="Q370" s="72"/>
      <c r="R370" s="72"/>
      <c r="S370" s="72"/>
      <c r="T370" s="72"/>
      <c r="U370" s="72"/>
      <c r="V370" s="72"/>
    </row>
    <row r="371" spans="1:25" ht="27.75" customHeight="1">
      <c r="A371" s="87" t="str">
        <f>IF(ISBLANK(C371)," ",366-COUNTBLANK($C$6:C371))</f>
        <v xml:space="preserve"> </v>
      </c>
      <c r="B371" s="88"/>
      <c r="C371" s="88"/>
      <c r="D371" s="89"/>
      <c r="E371" s="89"/>
      <c r="F371" s="73"/>
      <c r="G371" s="73"/>
      <c r="H371" s="73"/>
      <c r="I371" s="73"/>
      <c r="J371" s="73"/>
      <c r="K371" s="73"/>
      <c r="L371" s="73"/>
      <c r="M371" s="74"/>
      <c r="N371" s="71" t="str">
        <f t="shared" si="5"/>
        <v/>
      </c>
      <c r="O371" s="72"/>
      <c r="P371" s="72"/>
      <c r="Q371" s="72"/>
      <c r="R371" s="72"/>
      <c r="S371" s="72"/>
      <c r="T371" s="72"/>
      <c r="U371" s="72"/>
      <c r="V371" s="72"/>
    </row>
    <row r="372" spans="1:25" ht="27.75" customHeight="1">
      <c r="A372" s="87" t="str">
        <f>IF(ISBLANK(C372)," ",367-COUNTBLANK($C$6:C372))</f>
        <v xml:space="preserve"> </v>
      </c>
      <c r="B372" s="88"/>
      <c r="C372" s="88"/>
      <c r="D372" s="89"/>
      <c r="E372" s="89"/>
      <c r="F372" s="73"/>
      <c r="G372" s="73"/>
      <c r="H372" s="73"/>
      <c r="I372" s="73"/>
      <c r="J372" s="73"/>
      <c r="K372" s="73"/>
      <c r="L372" s="73"/>
      <c r="M372" s="74"/>
      <c r="N372" s="71" t="str">
        <f t="shared" si="5"/>
        <v/>
      </c>
      <c r="O372" s="72"/>
      <c r="P372" s="72"/>
      <c r="Q372" s="72"/>
      <c r="R372" s="72"/>
      <c r="S372" s="72"/>
      <c r="T372" s="72"/>
      <c r="U372" s="72"/>
      <c r="V372" s="72"/>
    </row>
    <row r="373" spans="1:25" ht="27.75" customHeight="1">
      <c r="A373" s="87" t="str">
        <f>IF(ISBLANK(C373)," ",368-COUNTBLANK($C$6:C373))</f>
        <v xml:space="preserve"> </v>
      </c>
      <c r="B373" s="88"/>
      <c r="C373" s="88"/>
      <c r="D373" s="89"/>
      <c r="E373" s="89"/>
      <c r="F373" s="73"/>
      <c r="G373" s="73"/>
      <c r="H373" s="73"/>
      <c r="I373" s="73"/>
      <c r="J373" s="73"/>
      <c r="K373" s="73"/>
      <c r="L373" s="73"/>
      <c r="M373" s="74"/>
      <c r="N373" s="71" t="str">
        <f t="shared" si="5"/>
        <v/>
      </c>
      <c r="O373" s="72"/>
      <c r="P373" s="72"/>
      <c r="Q373" s="72"/>
      <c r="R373" s="72"/>
      <c r="S373" s="72"/>
      <c r="T373" s="72"/>
      <c r="U373" s="72"/>
      <c r="V373" s="72"/>
    </row>
    <row r="374" spans="1:25" ht="27.75" customHeight="1">
      <c r="A374" s="87" t="str">
        <f>IF(ISBLANK(C374)," ",369-COUNTBLANK($C$6:C374))</f>
        <v xml:space="preserve"> </v>
      </c>
      <c r="B374" s="88"/>
      <c r="C374" s="88"/>
      <c r="D374" s="89"/>
      <c r="E374" s="89"/>
      <c r="F374" s="73"/>
      <c r="G374" s="73"/>
      <c r="H374" s="73"/>
      <c r="I374" s="73"/>
      <c r="J374" s="73"/>
      <c r="K374" s="73"/>
      <c r="L374" s="73"/>
      <c r="M374" s="74"/>
      <c r="N374" s="71" t="str">
        <f t="shared" si="5"/>
        <v/>
      </c>
      <c r="O374" s="72"/>
      <c r="P374" s="72"/>
      <c r="Q374" s="72"/>
      <c r="R374" s="72"/>
      <c r="S374" s="72"/>
      <c r="T374" s="72"/>
      <c r="U374" s="72"/>
      <c r="V374" s="72"/>
    </row>
    <row r="375" spans="1:25" ht="27.75" customHeight="1">
      <c r="A375" s="87" t="str">
        <f>IF(ISBLANK(C375)," ",370-COUNTBLANK($C$6:C375))</f>
        <v xml:space="preserve"> </v>
      </c>
      <c r="B375" s="88"/>
      <c r="C375" s="88"/>
      <c r="D375" s="89"/>
      <c r="E375" s="89"/>
      <c r="F375" s="73"/>
      <c r="G375" s="73"/>
      <c r="H375" s="73"/>
      <c r="I375" s="73"/>
      <c r="J375" s="73"/>
      <c r="K375" s="73"/>
      <c r="L375" s="73"/>
      <c r="M375" s="74"/>
      <c r="N375" s="71" t="str">
        <f t="shared" si="5"/>
        <v/>
      </c>
      <c r="O375" s="72"/>
      <c r="P375" s="72"/>
      <c r="Q375" s="72"/>
      <c r="R375" s="72"/>
      <c r="S375" s="72"/>
      <c r="T375" s="72"/>
      <c r="U375" s="72"/>
      <c r="V375" s="72"/>
    </row>
    <row r="376" spans="1:25" ht="27.75" customHeight="1">
      <c r="A376" s="87" t="str">
        <f>IF(ISBLANK(C376)," ",371-COUNTBLANK($C$6:C376))</f>
        <v xml:space="preserve"> </v>
      </c>
      <c r="B376" s="88"/>
      <c r="C376" s="88"/>
      <c r="D376" s="89"/>
      <c r="E376" s="89"/>
      <c r="F376" s="73"/>
      <c r="G376" s="73"/>
      <c r="H376" s="73"/>
      <c r="I376" s="73"/>
      <c r="J376" s="73"/>
      <c r="K376" s="73"/>
      <c r="L376" s="73"/>
      <c r="M376" s="74"/>
      <c r="N376" s="71" t="str">
        <f t="shared" si="5"/>
        <v/>
      </c>
      <c r="O376" s="72"/>
      <c r="P376" s="72"/>
      <c r="Q376" s="72"/>
      <c r="R376" s="72"/>
      <c r="S376" s="72"/>
      <c r="T376" s="72"/>
      <c r="U376" s="72"/>
      <c r="V376" s="72"/>
    </row>
    <row r="377" spans="1:25" ht="27.75" customHeight="1">
      <c r="A377" s="87" t="str">
        <f>IF(ISBLANK(C377)," ",372-COUNTBLANK($C$6:C377))</f>
        <v xml:space="preserve"> </v>
      </c>
      <c r="B377" s="88"/>
      <c r="C377" s="88"/>
      <c r="D377" s="89"/>
      <c r="E377" s="89"/>
      <c r="F377" s="73"/>
      <c r="G377" s="73"/>
      <c r="H377" s="73"/>
      <c r="I377" s="73"/>
      <c r="J377" s="73"/>
      <c r="K377" s="73"/>
      <c r="L377" s="73"/>
      <c r="M377" s="74"/>
      <c r="N377" s="71" t="str">
        <f t="shared" si="5"/>
        <v/>
      </c>
      <c r="O377" s="72"/>
      <c r="P377" s="72"/>
      <c r="Q377" s="72"/>
      <c r="R377" s="72"/>
      <c r="S377" s="72"/>
      <c r="T377" s="72"/>
      <c r="U377" s="72"/>
      <c r="V377" s="72"/>
    </row>
    <row r="378" spans="1:25" ht="27.75" customHeight="1">
      <c r="A378" s="87" t="str">
        <f>IF(ISBLANK(C378)," ",373-COUNTBLANK($C$6:C378))</f>
        <v xml:space="preserve"> </v>
      </c>
      <c r="B378" s="88"/>
      <c r="C378" s="88"/>
      <c r="D378" s="89"/>
      <c r="E378" s="89"/>
      <c r="F378" s="73"/>
      <c r="G378" s="73"/>
      <c r="H378" s="73"/>
      <c r="I378" s="73"/>
      <c r="J378" s="73"/>
      <c r="K378" s="73"/>
      <c r="L378" s="73"/>
      <c r="M378" s="74"/>
      <c r="N378" s="71" t="str">
        <f t="shared" si="5"/>
        <v/>
      </c>
      <c r="O378" s="75"/>
      <c r="P378" s="72"/>
      <c r="Q378" s="72"/>
      <c r="R378" s="72"/>
      <c r="S378" s="72"/>
      <c r="T378" s="72"/>
      <c r="U378" s="72"/>
      <c r="V378" s="76"/>
    </row>
    <row r="379" spans="1:25" ht="27.75" customHeight="1">
      <c r="A379" s="87" t="str">
        <f>IF(ISBLANK(C379)," ",374-COUNTBLANK($C$6:C379))</f>
        <v xml:space="preserve"> </v>
      </c>
      <c r="B379" s="88"/>
      <c r="C379" s="88"/>
      <c r="D379" s="89"/>
      <c r="E379" s="89"/>
      <c r="F379" s="73"/>
      <c r="G379" s="73"/>
      <c r="H379" s="73"/>
      <c r="I379" s="73"/>
      <c r="J379" s="73"/>
      <c r="K379" s="73"/>
      <c r="L379" s="73"/>
      <c r="M379" s="74"/>
      <c r="N379" s="71" t="str">
        <f t="shared" si="5"/>
        <v/>
      </c>
      <c r="O379" s="75"/>
      <c r="P379" s="72"/>
      <c r="Q379" s="72"/>
      <c r="R379" s="72"/>
      <c r="S379" s="72"/>
      <c r="T379" s="72"/>
      <c r="U379" s="72"/>
      <c r="V379" s="76"/>
    </row>
    <row r="380" spans="1:25" ht="27.75" customHeight="1">
      <c r="A380" s="87" t="str">
        <f>IF(ISBLANK(C380)," ",375-COUNTBLANK($C$6:C380))</f>
        <v xml:space="preserve"> </v>
      </c>
      <c r="B380" s="88"/>
      <c r="C380" s="88"/>
      <c r="D380" s="89"/>
      <c r="E380" s="89"/>
      <c r="F380" s="73"/>
      <c r="G380" s="73"/>
      <c r="H380" s="73"/>
      <c r="I380" s="73"/>
      <c r="J380" s="73"/>
      <c r="K380" s="73"/>
      <c r="L380" s="73"/>
      <c r="M380" s="74"/>
      <c r="N380" s="71" t="str">
        <f t="shared" si="5"/>
        <v/>
      </c>
      <c r="O380" s="75"/>
      <c r="P380" s="72"/>
      <c r="Q380" s="72"/>
      <c r="R380" s="72"/>
      <c r="S380" s="72"/>
      <c r="T380" s="72"/>
      <c r="U380" s="72"/>
      <c r="V380" s="76"/>
    </row>
    <row r="381" spans="1:25" ht="27.75" customHeight="1">
      <c r="A381" s="87" t="str">
        <f>IF(ISBLANK(C381)," ",376-COUNTBLANK($C$6:C381))</f>
        <v xml:space="preserve"> </v>
      </c>
      <c r="B381" s="88"/>
      <c r="C381" s="88"/>
      <c r="D381" s="89"/>
      <c r="E381" s="89"/>
      <c r="F381" s="73"/>
      <c r="G381" s="73"/>
      <c r="H381" s="73"/>
      <c r="I381" s="73"/>
      <c r="J381" s="73"/>
      <c r="K381" s="73"/>
      <c r="L381" s="73"/>
      <c r="M381" s="74"/>
      <c r="N381" s="71" t="str">
        <f t="shared" si="5"/>
        <v/>
      </c>
      <c r="O381" s="75"/>
      <c r="P381" s="72"/>
      <c r="Q381" s="72"/>
      <c r="R381" s="72"/>
      <c r="S381" s="72"/>
      <c r="T381" s="72"/>
      <c r="U381" s="72"/>
      <c r="V381" s="76"/>
    </row>
    <row r="382" spans="1:25" ht="27.75" customHeight="1">
      <c r="A382" s="87" t="str">
        <f>IF(ISBLANK(C382)," ",377-COUNTBLANK($C$6:C382))</f>
        <v xml:space="preserve"> </v>
      </c>
      <c r="B382" s="88"/>
      <c r="C382" s="88"/>
      <c r="D382" s="89"/>
      <c r="E382" s="89"/>
      <c r="F382" s="73"/>
      <c r="G382" s="73"/>
      <c r="H382" s="73"/>
      <c r="I382" s="73"/>
      <c r="J382" s="73"/>
      <c r="K382" s="73"/>
      <c r="L382" s="73"/>
      <c r="M382" s="74"/>
      <c r="N382" s="71" t="str">
        <f t="shared" si="5"/>
        <v/>
      </c>
      <c r="O382" s="72"/>
      <c r="P382" s="72"/>
      <c r="Q382" s="72"/>
      <c r="R382" s="72"/>
      <c r="S382" s="72"/>
      <c r="T382" s="72"/>
      <c r="U382" s="72"/>
      <c r="V382" s="79"/>
      <c r="W382" s="72"/>
      <c r="X382" s="72"/>
      <c r="Y382" s="72"/>
    </row>
    <row r="383" spans="1:25" ht="27.75" customHeight="1">
      <c r="A383" s="80" t="s">
        <v>58</v>
      </c>
      <c r="B383" s="81"/>
      <c r="C383" s="96"/>
      <c r="D383" s="82"/>
      <c r="E383" s="82">
        <f>SUM(E363:E382)</f>
        <v>0</v>
      </c>
      <c r="F383" s="83"/>
      <c r="G383" s="83"/>
      <c r="H383" s="83"/>
      <c r="I383" s="83"/>
      <c r="J383" s="83"/>
      <c r="K383" s="83"/>
      <c r="L383" s="83"/>
      <c r="M383" s="84"/>
      <c r="N383" s="71" t="str">
        <f t="shared" si="5"/>
        <v/>
      </c>
      <c r="O383" s="75"/>
      <c r="P383" s="72"/>
      <c r="Q383" s="72"/>
      <c r="R383" s="72"/>
      <c r="S383" s="72"/>
      <c r="T383" s="72"/>
      <c r="U383" s="72"/>
      <c r="V383" s="79"/>
      <c r="W383" s="72"/>
      <c r="X383" s="72"/>
      <c r="Y383" s="72"/>
    </row>
    <row r="384" spans="1:25" ht="27.75" customHeight="1">
      <c r="A384" s="93" t="str">
        <f>IF(ISBLANK(C384)," ",379-COUNTBLANK($C$6:C384))</f>
        <v xml:space="preserve"> </v>
      </c>
      <c r="B384" s="94"/>
      <c r="C384" s="94"/>
      <c r="D384" s="95"/>
      <c r="E384" s="95"/>
      <c r="F384" s="85"/>
      <c r="G384" s="85"/>
      <c r="H384" s="85"/>
      <c r="I384" s="85"/>
      <c r="J384" s="85"/>
      <c r="K384" s="85"/>
      <c r="L384" s="85"/>
      <c r="M384" s="86"/>
      <c r="N384" s="71" t="str">
        <f t="shared" si="5"/>
        <v/>
      </c>
      <c r="O384" s="72"/>
      <c r="P384" s="72"/>
      <c r="Q384" s="72"/>
      <c r="R384" s="72"/>
      <c r="S384" s="72"/>
      <c r="T384" s="72"/>
      <c r="U384" s="72"/>
      <c r="V384" s="72"/>
    </row>
    <row r="385" spans="1:22" ht="27.75" customHeight="1">
      <c r="A385" s="87" t="str">
        <f>IF(ISBLANK(C385)," ",380-COUNTBLANK($C$6:C385))</f>
        <v xml:space="preserve"> </v>
      </c>
      <c r="B385" s="88"/>
      <c r="C385" s="88"/>
      <c r="D385" s="89"/>
      <c r="E385" s="89"/>
      <c r="F385" s="73"/>
      <c r="G385" s="73"/>
      <c r="H385" s="73"/>
      <c r="I385" s="73"/>
      <c r="J385" s="73"/>
      <c r="K385" s="73"/>
      <c r="L385" s="73"/>
      <c r="M385" s="74"/>
      <c r="N385" s="71" t="str">
        <f t="shared" si="5"/>
        <v/>
      </c>
      <c r="O385" s="72"/>
      <c r="P385" s="72"/>
      <c r="Q385" s="72"/>
      <c r="R385" s="72"/>
      <c r="S385" s="72"/>
      <c r="T385" s="72"/>
      <c r="U385" s="72"/>
      <c r="V385" s="72"/>
    </row>
    <row r="386" spans="1:22" ht="27.75" customHeight="1">
      <c r="A386" s="87" t="str">
        <f>IF(ISBLANK(C386)," ",381-COUNTBLANK($C$6:C386))</f>
        <v xml:space="preserve"> </v>
      </c>
      <c r="B386" s="88"/>
      <c r="C386" s="88"/>
      <c r="D386" s="89"/>
      <c r="E386" s="89"/>
      <c r="F386" s="73"/>
      <c r="G386" s="73"/>
      <c r="H386" s="73"/>
      <c r="I386" s="73"/>
      <c r="J386" s="73"/>
      <c r="K386" s="73"/>
      <c r="L386" s="73"/>
      <c r="M386" s="74"/>
      <c r="N386" s="71" t="str">
        <f t="shared" si="5"/>
        <v/>
      </c>
      <c r="O386" s="72"/>
      <c r="P386" s="72"/>
      <c r="Q386" s="72"/>
      <c r="R386" s="72"/>
      <c r="S386" s="72"/>
      <c r="T386" s="72"/>
      <c r="U386" s="72"/>
      <c r="V386" s="72"/>
    </row>
    <row r="387" spans="1:22" ht="27.75" customHeight="1">
      <c r="A387" s="87" t="str">
        <f>IF(ISBLANK(C387)," ",382-COUNTBLANK($C$6:C387))</f>
        <v xml:space="preserve"> </v>
      </c>
      <c r="B387" s="88"/>
      <c r="C387" s="88"/>
      <c r="D387" s="89"/>
      <c r="E387" s="89"/>
      <c r="F387" s="73"/>
      <c r="G387" s="73"/>
      <c r="H387" s="73"/>
      <c r="I387" s="73"/>
      <c r="J387" s="73"/>
      <c r="K387" s="73"/>
      <c r="L387" s="73"/>
      <c r="M387" s="74"/>
      <c r="N387" s="71" t="str">
        <f t="shared" si="5"/>
        <v/>
      </c>
      <c r="O387" s="72"/>
      <c r="P387" s="72"/>
      <c r="Q387" s="72"/>
      <c r="R387" s="72"/>
      <c r="S387" s="72"/>
      <c r="T387" s="72"/>
      <c r="U387" s="72"/>
      <c r="V387" s="72"/>
    </row>
    <row r="388" spans="1:22" ht="27.75" customHeight="1">
      <c r="A388" s="87" t="str">
        <f>IF(ISBLANK(C388)," ",383-COUNTBLANK($C$6:C388))</f>
        <v xml:space="preserve"> </v>
      </c>
      <c r="B388" s="88"/>
      <c r="C388" s="88"/>
      <c r="D388" s="89"/>
      <c r="E388" s="89"/>
      <c r="F388" s="73"/>
      <c r="G388" s="73"/>
      <c r="H388" s="73"/>
      <c r="I388" s="73"/>
      <c r="J388" s="73"/>
      <c r="K388" s="73"/>
      <c r="L388" s="73"/>
      <c r="M388" s="74"/>
      <c r="N388" s="71" t="str">
        <f t="shared" si="5"/>
        <v/>
      </c>
      <c r="O388" s="72"/>
      <c r="P388" s="72"/>
      <c r="Q388" s="72"/>
      <c r="R388" s="72"/>
      <c r="S388" s="72"/>
      <c r="T388" s="72"/>
      <c r="U388" s="72"/>
      <c r="V388" s="72"/>
    </row>
    <row r="389" spans="1:22" ht="27.75" customHeight="1">
      <c r="A389" s="87" t="str">
        <f>IF(ISBLANK(C389)," ",384-COUNTBLANK($C$6:C389))</f>
        <v xml:space="preserve"> </v>
      </c>
      <c r="B389" s="88"/>
      <c r="C389" s="88"/>
      <c r="D389" s="89"/>
      <c r="E389" s="89"/>
      <c r="F389" s="73"/>
      <c r="G389" s="73"/>
      <c r="H389" s="73"/>
      <c r="I389" s="73"/>
      <c r="J389" s="73"/>
      <c r="K389" s="73"/>
      <c r="L389" s="73"/>
      <c r="M389" s="74"/>
      <c r="N389" s="71" t="str">
        <f t="shared" si="5"/>
        <v/>
      </c>
      <c r="O389" s="72"/>
      <c r="P389" s="72"/>
      <c r="Q389" s="72"/>
      <c r="R389" s="72"/>
      <c r="S389" s="72"/>
      <c r="T389" s="72"/>
      <c r="U389" s="72"/>
      <c r="V389" s="72"/>
    </row>
    <row r="390" spans="1:22" ht="27.75" customHeight="1">
      <c r="A390" s="87" t="str">
        <f>IF(ISBLANK(C390)," ",385-COUNTBLANK($C$6:C390))</f>
        <v xml:space="preserve"> </v>
      </c>
      <c r="B390" s="88"/>
      <c r="C390" s="88"/>
      <c r="D390" s="89"/>
      <c r="E390" s="89"/>
      <c r="F390" s="73"/>
      <c r="G390" s="73"/>
      <c r="H390" s="73"/>
      <c r="I390" s="73"/>
      <c r="J390" s="73"/>
      <c r="K390" s="73"/>
      <c r="L390" s="73"/>
      <c r="M390" s="74"/>
      <c r="N390" s="71" t="str">
        <f t="shared" ref="N390:N453" si="6">CONCATENATE(C390,H390)</f>
        <v/>
      </c>
      <c r="O390" s="72"/>
      <c r="P390" s="72"/>
      <c r="Q390" s="72"/>
      <c r="R390" s="72"/>
      <c r="S390" s="72"/>
      <c r="T390" s="72"/>
      <c r="U390" s="72"/>
      <c r="V390" s="72"/>
    </row>
    <row r="391" spans="1:22" ht="27.75" customHeight="1">
      <c r="A391" s="87" t="str">
        <f>IF(ISBLANK(C391)," ",386-COUNTBLANK($C$6:C391))</f>
        <v xml:space="preserve"> </v>
      </c>
      <c r="B391" s="88"/>
      <c r="C391" s="88"/>
      <c r="D391" s="89"/>
      <c r="E391" s="89"/>
      <c r="F391" s="73"/>
      <c r="G391" s="73"/>
      <c r="H391" s="73"/>
      <c r="I391" s="73"/>
      <c r="J391" s="73"/>
      <c r="K391" s="73"/>
      <c r="L391" s="73"/>
      <c r="M391" s="74"/>
      <c r="N391" s="71" t="str">
        <f t="shared" si="6"/>
        <v/>
      </c>
      <c r="O391" s="72"/>
      <c r="P391" s="72"/>
      <c r="Q391" s="72"/>
      <c r="R391" s="72"/>
      <c r="S391" s="72"/>
      <c r="T391" s="72"/>
      <c r="U391" s="72"/>
      <c r="V391" s="72"/>
    </row>
    <row r="392" spans="1:22" ht="27.75" customHeight="1">
      <c r="A392" s="87" t="str">
        <f>IF(ISBLANK(C392)," ",387-COUNTBLANK($C$6:C392))</f>
        <v xml:space="preserve"> </v>
      </c>
      <c r="B392" s="88"/>
      <c r="C392" s="88"/>
      <c r="D392" s="89"/>
      <c r="E392" s="89"/>
      <c r="F392" s="73"/>
      <c r="G392" s="73"/>
      <c r="H392" s="73"/>
      <c r="I392" s="73"/>
      <c r="J392" s="73"/>
      <c r="K392" s="73"/>
      <c r="L392" s="73"/>
      <c r="M392" s="74"/>
      <c r="N392" s="71" t="str">
        <f t="shared" si="6"/>
        <v/>
      </c>
      <c r="O392" s="72"/>
      <c r="P392" s="72"/>
      <c r="Q392" s="72"/>
      <c r="R392" s="72"/>
      <c r="S392" s="72"/>
      <c r="T392" s="72"/>
      <c r="U392" s="72"/>
      <c r="V392" s="72"/>
    </row>
    <row r="393" spans="1:22" ht="27.75" customHeight="1">
      <c r="A393" s="87" t="str">
        <f>IF(ISBLANK(C393)," ",388-COUNTBLANK($C$6:C393))</f>
        <v xml:space="preserve"> </v>
      </c>
      <c r="B393" s="88"/>
      <c r="C393" s="88"/>
      <c r="D393" s="89"/>
      <c r="E393" s="89"/>
      <c r="F393" s="73"/>
      <c r="G393" s="73"/>
      <c r="H393" s="73"/>
      <c r="I393" s="73"/>
      <c r="J393" s="73"/>
      <c r="K393" s="73"/>
      <c r="L393" s="73"/>
      <c r="M393" s="74"/>
      <c r="N393" s="71" t="str">
        <f t="shared" si="6"/>
        <v/>
      </c>
      <c r="O393" s="72"/>
      <c r="P393" s="72"/>
      <c r="Q393" s="72"/>
      <c r="R393" s="72"/>
      <c r="S393" s="72"/>
      <c r="T393" s="72"/>
      <c r="U393" s="72"/>
      <c r="V393" s="72"/>
    </row>
    <row r="394" spans="1:22" ht="27.75" customHeight="1">
      <c r="A394" s="87" t="str">
        <f>IF(ISBLANK(C394)," ",389-COUNTBLANK($C$6:C394))</f>
        <v xml:space="preserve"> </v>
      </c>
      <c r="B394" s="88"/>
      <c r="C394" s="88"/>
      <c r="D394" s="89"/>
      <c r="E394" s="89"/>
      <c r="F394" s="73"/>
      <c r="G394" s="73"/>
      <c r="H394" s="73"/>
      <c r="I394" s="73"/>
      <c r="J394" s="73"/>
      <c r="K394" s="73"/>
      <c r="L394" s="73"/>
      <c r="M394" s="74"/>
      <c r="N394" s="71" t="str">
        <f t="shared" si="6"/>
        <v/>
      </c>
      <c r="O394" s="72"/>
      <c r="P394" s="72"/>
      <c r="Q394" s="72"/>
      <c r="R394" s="72"/>
      <c r="S394" s="72"/>
      <c r="T394" s="72"/>
      <c r="U394" s="72"/>
      <c r="V394" s="72"/>
    </row>
    <row r="395" spans="1:22" ht="27.75" customHeight="1">
      <c r="A395" s="87" t="str">
        <f>IF(ISBLANK(C395)," ",390-COUNTBLANK($C$6:C395))</f>
        <v xml:space="preserve"> </v>
      </c>
      <c r="B395" s="88"/>
      <c r="C395" s="88"/>
      <c r="D395" s="89"/>
      <c r="E395" s="89"/>
      <c r="F395" s="73"/>
      <c r="G395" s="73"/>
      <c r="H395" s="73"/>
      <c r="I395" s="73"/>
      <c r="J395" s="73"/>
      <c r="K395" s="73"/>
      <c r="L395" s="73"/>
      <c r="M395" s="74"/>
      <c r="N395" s="71" t="str">
        <f t="shared" si="6"/>
        <v/>
      </c>
      <c r="O395" s="72"/>
      <c r="P395" s="72"/>
      <c r="Q395" s="72"/>
      <c r="R395" s="72"/>
      <c r="S395" s="72"/>
      <c r="T395" s="72"/>
      <c r="U395" s="72"/>
      <c r="V395" s="72"/>
    </row>
    <row r="396" spans="1:22" ht="27.75" customHeight="1">
      <c r="A396" s="87" t="str">
        <f>IF(ISBLANK(C396)," ",391-COUNTBLANK($C$6:C396))</f>
        <v xml:space="preserve"> </v>
      </c>
      <c r="B396" s="88"/>
      <c r="C396" s="88"/>
      <c r="D396" s="89"/>
      <c r="E396" s="89"/>
      <c r="F396" s="73"/>
      <c r="G396" s="73"/>
      <c r="H396" s="73"/>
      <c r="I396" s="73"/>
      <c r="J396" s="73"/>
      <c r="K396" s="73"/>
      <c r="L396" s="73"/>
      <c r="M396" s="74"/>
      <c r="N396" s="71" t="str">
        <f t="shared" si="6"/>
        <v/>
      </c>
      <c r="O396" s="72"/>
      <c r="P396" s="72"/>
      <c r="Q396" s="72"/>
      <c r="R396" s="72"/>
      <c r="S396" s="72"/>
      <c r="T396" s="72"/>
      <c r="U396" s="72"/>
      <c r="V396" s="72"/>
    </row>
    <row r="397" spans="1:22" ht="27.75" customHeight="1">
      <c r="A397" s="87" t="str">
        <f>IF(ISBLANK(C397)," ",392-COUNTBLANK($C$6:C397))</f>
        <v xml:space="preserve"> </v>
      </c>
      <c r="B397" s="88"/>
      <c r="C397" s="88"/>
      <c r="D397" s="89"/>
      <c r="E397" s="89"/>
      <c r="F397" s="73"/>
      <c r="G397" s="73"/>
      <c r="H397" s="73"/>
      <c r="I397" s="73"/>
      <c r="J397" s="73"/>
      <c r="K397" s="73"/>
      <c r="L397" s="73"/>
      <c r="M397" s="74"/>
      <c r="N397" s="71" t="str">
        <f t="shared" si="6"/>
        <v/>
      </c>
      <c r="O397" s="72"/>
      <c r="P397" s="72"/>
      <c r="Q397" s="72"/>
      <c r="R397" s="72"/>
      <c r="S397" s="72"/>
      <c r="T397" s="72"/>
      <c r="U397" s="72"/>
      <c r="V397" s="72"/>
    </row>
    <row r="398" spans="1:22" ht="27.75" customHeight="1">
      <c r="A398" s="87" t="str">
        <f>IF(ISBLANK(C398)," ",393-COUNTBLANK($C$6:C398))</f>
        <v xml:space="preserve"> </v>
      </c>
      <c r="B398" s="88"/>
      <c r="C398" s="88"/>
      <c r="D398" s="89"/>
      <c r="E398" s="89"/>
      <c r="F398" s="73"/>
      <c r="G398" s="73"/>
      <c r="H398" s="73"/>
      <c r="I398" s="73"/>
      <c r="J398" s="73"/>
      <c r="K398" s="73"/>
      <c r="L398" s="73"/>
      <c r="M398" s="74"/>
      <c r="N398" s="71" t="str">
        <f t="shared" si="6"/>
        <v/>
      </c>
      <c r="O398" s="72"/>
      <c r="P398" s="72"/>
      <c r="Q398" s="72"/>
      <c r="R398" s="72"/>
      <c r="S398" s="72"/>
      <c r="T398" s="72"/>
      <c r="U398" s="72"/>
      <c r="V398" s="72"/>
    </row>
    <row r="399" spans="1:22" ht="27.75" customHeight="1">
      <c r="A399" s="87" t="str">
        <f>IF(ISBLANK(C399)," ",394-COUNTBLANK($C$6:C399))</f>
        <v xml:space="preserve"> </v>
      </c>
      <c r="B399" s="88"/>
      <c r="C399" s="88"/>
      <c r="D399" s="89"/>
      <c r="E399" s="89"/>
      <c r="F399" s="73"/>
      <c r="G399" s="73"/>
      <c r="H399" s="73"/>
      <c r="I399" s="73"/>
      <c r="J399" s="73"/>
      <c r="K399" s="73"/>
      <c r="L399" s="73"/>
      <c r="M399" s="74"/>
      <c r="N399" s="71" t="str">
        <f t="shared" si="6"/>
        <v/>
      </c>
      <c r="O399" s="75"/>
      <c r="P399" s="72"/>
      <c r="Q399" s="72"/>
      <c r="R399" s="72"/>
      <c r="S399" s="72"/>
      <c r="T399" s="72"/>
      <c r="U399" s="72"/>
      <c r="V399" s="76"/>
    </row>
    <row r="400" spans="1:22" ht="27.75" customHeight="1">
      <c r="A400" s="87" t="str">
        <f>IF(ISBLANK(C400)," ",395-COUNTBLANK($C$6:C400))</f>
        <v xml:space="preserve"> </v>
      </c>
      <c r="B400" s="88"/>
      <c r="C400" s="88"/>
      <c r="D400" s="89"/>
      <c r="E400" s="89"/>
      <c r="F400" s="73"/>
      <c r="G400" s="73"/>
      <c r="H400" s="73"/>
      <c r="I400" s="73"/>
      <c r="J400" s="73"/>
      <c r="K400" s="73"/>
      <c r="L400" s="73"/>
      <c r="M400" s="74"/>
      <c r="N400" s="71" t="str">
        <f t="shared" si="6"/>
        <v/>
      </c>
      <c r="O400" s="75"/>
      <c r="P400" s="72"/>
      <c r="Q400" s="72"/>
      <c r="R400" s="72"/>
      <c r="S400" s="72"/>
      <c r="T400" s="72"/>
      <c r="U400" s="72"/>
      <c r="V400" s="76"/>
    </row>
    <row r="401" spans="1:25" ht="27.75" customHeight="1">
      <c r="A401" s="87" t="str">
        <f>IF(ISBLANK(C401)," ",396-COUNTBLANK($C$6:C401))</f>
        <v xml:space="preserve"> </v>
      </c>
      <c r="B401" s="88"/>
      <c r="C401" s="88"/>
      <c r="D401" s="89"/>
      <c r="E401" s="89"/>
      <c r="F401" s="73"/>
      <c r="G401" s="73"/>
      <c r="H401" s="73"/>
      <c r="I401" s="73"/>
      <c r="J401" s="73"/>
      <c r="K401" s="73"/>
      <c r="L401" s="73"/>
      <c r="M401" s="74"/>
      <c r="N401" s="71" t="str">
        <f t="shared" si="6"/>
        <v/>
      </c>
      <c r="O401" s="75"/>
      <c r="P401" s="72"/>
      <c r="Q401" s="72"/>
      <c r="R401" s="72"/>
      <c r="S401" s="72"/>
      <c r="T401" s="72"/>
      <c r="U401" s="72"/>
      <c r="V401" s="76"/>
    </row>
    <row r="402" spans="1:25" ht="27.75" customHeight="1">
      <c r="A402" s="87" t="str">
        <f>IF(ISBLANK(C402)," ",397-COUNTBLANK($C$6:C402))</f>
        <v xml:space="preserve"> </v>
      </c>
      <c r="B402" s="88"/>
      <c r="C402" s="88"/>
      <c r="D402" s="89"/>
      <c r="E402" s="89"/>
      <c r="F402" s="73"/>
      <c r="G402" s="73"/>
      <c r="H402" s="73"/>
      <c r="I402" s="73"/>
      <c r="J402" s="73"/>
      <c r="K402" s="73"/>
      <c r="L402" s="73"/>
      <c r="M402" s="74"/>
      <c r="N402" s="71" t="str">
        <f t="shared" si="6"/>
        <v/>
      </c>
      <c r="O402" s="75"/>
      <c r="P402" s="72"/>
      <c r="Q402" s="72"/>
      <c r="R402" s="72"/>
      <c r="S402" s="72"/>
      <c r="T402" s="72"/>
      <c r="U402" s="72"/>
      <c r="V402" s="76"/>
    </row>
    <row r="403" spans="1:25" ht="27.75" customHeight="1">
      <c r="A403" s="87" t="str">
        <f>IF(ISBLANK(C403)," ",398-COUNTBLANK($C$6:C403))</f>
        <v xml:space="preserve"> </v>
      </c>
      <c r="B403" s="88"/>
      <c r="C403" s="88"/>
      <c r="D403" s="89"/>
      <c r="E403" s="89"/>
      <c r="F403" s="73"/>
      <c r="G403" s="73"/>
      <c r="H403" s="73"/>
      <c r="I403" s="73"/>
      <c r="J403" s="73"/>
      <c r="K403" s="73"/>
      <c r="L403" s="73"/>
      <c r="M403" s="74"/>
      <c r="N403" s="71" t="str">
        <f t="shared" si="6"/>
        <v/>
      </c>
      <c r="O403" s="72"/>
      <c r="P403" s="72"/>
      <c r="Q403" s="72"/>
      <c r="R403" s="72"/>
      <c r="S403" s="72"/>
      <c r="T403" s="72"/>
      <c r="U403" s="72"/>
      <c r="V403" s="79"/>
      <c r="W403" s="72"/>
      <c r="X403" s="72"/>
      <c r="Y403" s="72"/>
    </row>
    <row r="404" spans="1:25" ht="27.75" customHeight="1">
      <c r="A404" s="80" t="s">
        <v>58</v>
      </c>
      <c r="B404" s="81"/>
      <c r="C404" s="96"/>
      <c r="D404" s="82"/>
      <c r="E404" s="82">
        <f>SUM(E384:E403)</f>
        <v>0</v>
      </c>
      <c r="F404" s="83"/>
      <c r="G404" s="83"/>
      <c r="H404" s="83"/>
      <c r="I404" s="83"/>
      <c r="J404" s="83"/>
      <c r="K404" s="83"/>
      <c r="L404" s="83"/>
      <c r="M404" s="84"/>
      <c r="N404" s="71" t="str">
        <f t="shared" si="6"/>
        <v/>
      </c>
      <c r="O404" s="75"/>
      <c r="P404" s="72"/>
      <c r="Q404" s="72"/>
      <c r="R404" s="72"/>
      <c r="S404" s="72"/>
      <c r="T404" s="72"/>
      <c r="U404" s="72"/>
      <c r="V404" s="79"/>
      <c r="W404" s="72"/>
      <c r="X404" s="72"/>
      <c r="Y404" s="72"/>
    </row>
    <row r="405" spans="1:25" ht="27.75" customHeight="1">
      <c r="A405" s="93" t="str">
        <f>IF(ISBLANK(C405)," ",400-COUNTBLANK($C$6:C405))</f>
        <v xml:space="preserve"> </v>
      </c>
      <c r="B405" s="94"/>
      <c r="C405" s="94"/>
      <c r="D405" s="95"/>
      <c r="E405" s="95"/>
      <c r="F405" s="85"/>
      <c r="G405" s="85"/>
      <c r="H405" s="85"/>
      <c r="I405" s="85"/>
      <c r="J405" s="85"/>
      <c r="K405" s="85"/>
      <c r="L405" s="85"/>
      <c r="M405" s="86"/>
      <c r="N405" s="71" t="str">
        <f t="shared" si="6"/>
        <v/>
      </c>
      <c r="O405" s="72"/>
      <c r="P405" s="72"/>
      <c r="Q405" s="72"/>
      <c r="R405" s="72"/>
      <c r="S405" s="72"/>
      <c r="T405" s="72"/>
      <c r="U405" s="72"/>
      <c r="V405" s="72"/>
    </row>
    <row r="406" spans="1:25" ht="27.75" customHeight="1">
      <c r="A406" s="87" t="str">
        <f>IF(ISBLANK(C406)," ",401-COUNTBLANK($C$6:C406))</f>
        <v xml:space="preserve"> </v>
      </c>
      <c r="B406" s="88"/>
      <c r="C406" s="88"/>
      <c r="D406" s="89"/>
      <c r="E406" s="89"/>
      <c r="F406" s="73"/>
      <c r="G406" s="73"/>
      <c r="H406" s="73"/>
      <c r="I406" s="73"/>
      <c r="J406" s="73"/>
      <c r="K406" s="73"/>
      <c r="L406" s="73"/>
      <c r="M406" s="74"/>
      <c r="N406" s="71" t="str">
        <f t="shared" si="6"/>
        <v/>
      </c>
      <c r="O406" s="72"/>
      <c r="P406" s="72"/>
      <c r="Q406" s="72"/>
      <c r="R406" s="72"/>
      <c r="S406" s="72"/>
      <c r="T406" s="72"/>
      <c r="U406" s="72"/>
      <c r="V406" s="72"/>
    </row>
    <row r="407" spans="1:25" ht="27.75" customHeight="1">
      <c r="A407" s="87" t="str">
        <f>IF(ISBLANK(C407)," ",402-COUNTBLANK($C$6:C407))</f>
        <v xml:space="preserve"> </v>
      </c>
      <c r="B407" s="88"/>
      <c r="C407" s="88"/>
      <c r="D407" s="89"/>
      <c r="E407" s="89"/>
      <c r="F407" s="73"/>
      <c r="G407" s="73"/>
      <c r="H407" s="73"/>
      <c r="I407" s="73"/>
      <c r="J407" s="73"/>
      <c r="K407" s="73"/>
      <c r="L407" s="73"/>
      <c r="M407" s="74"/>
      <c r="N407" s="71" t="str">
        <f t="shared" si="6"/>
        <v/>
      </c>
      <c r="O407" s="72"/>
      <c r="P407" s="72"/>
      <c r="Q407" s="72"/>
      <c r="R407" s="72"/>
      <c r="S407" s="72"/>
      <c r="T407" s="72"/>
      <c r="U407" s="72"/>
      <c r="V407" s="72"/>
    </row>
    <row r="408" spans="1:25" ht="27.75" customHeight="1">
      <c r="A408" s="87" t="str">
        <f>IF(ISBLANK(C408)," ",403-COUNTBLANK($C$6:C408))</f>
        <v xml:space="preserve"> </v>
      </c>
      <c r="B408" s="88"/>
      <c r="C408" s="88"/>
      <c r="D408" s="89"/>
      <c r="E408" s="89"/>
      <c r="F408" s="73"/>
      <c r="G408" s="73"/>
      <c r="H408" s="73"/>
      <c r="I408" s="73"/>
      <c r="J408" s="73"/>
      <c r="K408" s="73"/>
      <c r="L408" s="73"/>
      <c r="M408" s="74"/>
      <c r="N408" s="71" t="str">
        <f t="shared" si="6"/>
        <v/>
      </c>
      <c r="O408" s="72"/>
      <c r="P408" s="72"/>
      <c r="Q408" s="72"/>
      <c r="R408" s="72"/>
      <c r="S408" s="72"/>
      <c r="T408" s="72"/>
      <c r="U408" s="72"/>
      <c r="V408" s="72"/>
    </row>
    <row r="409" spans="1:25" ht="27.75" customHeight="1">
      <c r="A409" s="87" t="str">
        <f>IF(ISBLANK(C409)," ",404-COUNTBLANK($C$6:C409))</f>
        <v xml:space="preserve"> </v>
      </c>
      <c r="B409" s="88"/>
      <c r="C409" s="88"/>
      <c r="D409" s="89"/>
      <c r="E409" s="89"/>
      <c r="F409" s="73"/>
      <c r="G409" s="73"/>
      <c r="H409" s="73"/>
      <c r="I409" s="73"/>
      <c r="J409" s="73"/>
      <c r="K409" s="73"/>
      <c r="L409" s="73"/>
      <c r="M409" s="74"/>
      <c r="N409" s="71" t="str">
        <f t="shared" si="6"/>
        <v/>
      </c>
      <c r="O409" s="72"/>
      <c r="P409" s="72"/>
      <c r="Q409" s="72"/>
      <c r="R409" s="72"/>
      <c r="S409" s="72"/>
      <c r="T409" s="72"/>
      <c r="U409" s="72"/>
      <c r="V409" s="72"/>
    </row>
    <row r="410" spans="1:25" ht="27.75" customHeight="1">
      <c r="A410" s="87" t="str">
        <f>IF(ISBLANK(C410)," ",405-COUNTBLANK($C$6:C410))</f>
        <v xml:space="preserve"> </v>
      </c>
      <c r="B410" s="88"/>
      <c r="C410" s="88"/>
      <c r="D410" s="89"/>
      <c r="E410" s="89"/>
      <c r="F410" s="73"/>
      <c r="G410" s="73"/>
      <c r="H410" s="73"/>
      <c r="I410" s="73"/>
      <c r="J410" s="73"/>
      <c r="K410" s="73"/>
      <c r="L410" s="73"/>
      <c r="M410" s="74"/>
      <c r="N410" s="71" t="str">
        <f t="shared" si="6"/>
        <v/>
      </c>
      <c r="O410" s="72"/>
      <c r="P410" s="72"/>
      <c r="Q410" s="72"/>
      <c r="R410" s="72"/>
      <c r="S410" s="72"/>
      <c r="T410" s="72"/>
      <c r="U410" s="72"/>
      <c r="V410" s="72"/>
    </row>
    <row r="411" spans="1:25" ht="27.75" customHeight="1">
      <c r="A411" s="87" t="str">
        <f>IF(ISBLANK(C411)," ",406-COUNTBLANK($C$6:C411))</f>
        <v xml:space="preserve"> </v>
      </c>
      <c r="B411" s="88"/>
      <c r="C411" s="88"/>
      <c r="D411" s="89"/>
      <c r="E411" s="89"/>
      <c r="F411" s="73"/>
      <c r="G411" s="73"/>
      <c r="H411" s="73"/>
      <c r="I411" s="73"/>
      <c r="J411" s="73"/>
      <c r="K411" s="73"/>
      <c r="L411" s="73"/>
      <c r="M411" s="74"/>
      <c r="N411" s="71" t="str">
        <f t="shared" si="6"/>
        <v/>
      </c>
      <c r="O411" s="72"/>
      <c r="P411" s="72"/>
      <c r="Q411" s="72"/>
      <c r="R411" s="72"/>
      <c r="S411" s="72"/>
      <c r="T411" s="72"/>
      <c r="U411" s="72"/>
      <c r="V411" s="72"/>
    </row>
    <row r="412" spans="1:25" ht="27.75" customHeight="1">
      <c r="A412" s="87" t="str">
        <f>IF(ISBLANK(C412)," ",407-COUNTBLANK($C$6:C412))</f>
        <v xml:space="preserve"> </v>
      </c>
      <c r="B412" s="88"/>
      <c r="C412" s="88"/>
      <c r="D412" s="89"/>
      <c r="E412" s="89"/>
      <c r="F412" s="73"/>
      <c r="G412" s="73"/>
      <c r="H412" s="73"/>
      <c r="I412" s="73"/>
      <c r="J412" s="73"/>
      <c r="K412" s="73"/>
      <c r="L412" s="73"/>
      <c r="M412" s="74"/>
      <c r="N412" s="71" t="str">
        <f t="shared" si="6"/>
        <v/>
      </c>
      <c r="O412" s="72"/>
      <c r="P412" s="72"/>
      <c r="Q412" s="72"/>
      <c r="R412" s="72"/>
      <c r="S412" s="72"/>
      <c r="T412" s="72"/>
      <c r="U412" s="72"/>
      <c r="V412" s="72"/>
    </row>
    <row r="413" spans="1:25" ht="27.75" customHeight="1">
      <c r="A413" s="87" t="str">
        <f>IF(ISBLANK(C413)," ",408-COUNTBLANK($C$6:C413))</f>
        <v xml:space="preserve"> </v>
      </c>
      <c r="B413" s="88"/>
      <c r="C413" s="88"/>
      <c r="D413" s="89"/>
      <c r="E413" s="89"/>
      <c r="F413" s="73"/>
      <c r="G413" s="73"/>
      <c r="H413" s="73"/>
      <c r="I413" s="73"/>
      <c r="J413" s="73"/>
      <c r="K413" s="73"/>
      <c r="L413" s="73"/>
      <c r="M413" s="74"/>
      <c r="N413" s="71" t="str">
        <f t="shared" si="6"/>
        <v/>
      </c>
      <c r="O413" s="72"/>
      <c r="P413" s="72"/>
      <c r="Q413" s="72"/>
      <c r="R413" s="72"/>
      <c r="S413" s="72"/>
      <c r="T413" s="72"/>
      <c r="U413" s="72"/>
      <c r="V413" s="72"/>
    </row>
    <row r="414" spans="1:25" ht="27.75" customHeight="1">
      <c r="A414" s="87" t="str">
        <f>IF(ISBLANK(C414)," ",409-COUNTBLANK($C$6:C414))</f>
        <v xml:space="preserve"> </v>
      </c>
      <c r="B414" s="88"/>
      <c r="C414" s="88"/>
      <c r="D414" s="89"/>
      <c r="E414" s="89"/>
      <c r="F414" s="73"/>
      <c r="G414" s="73"/>
      <c r="H414" s="73"/>
      <c r="I414" s="73"/>
      <c r="J414" s="73"/>
      <c r="K414" s="73"/>
      <c r="L414" s="73"/>
      <c r="M414" s="74"/>
      <c r="N414" s="71" t="str">
        <f t="shared" si="6"/>
        <v/>
      </c>
      <c r="O414" s="72"/>
      <c r="P414" s="72"/>
      <c r="Q414" s="72"/>
      <c r="R414" s="72"/>
      <c r="S414" s="72"/>
      <c r="T414" s="72"/>
      <c r="U414" s="72"/>
      <c r="V414" s="72"/>
    </row>
    <row r="415" spans="1:25" ht="27.75" customHeight="1">
      <c r="A415" s="87" t="str">
        <f>IF(ISBLANK(C415)," ",410-COUNTBLANK($C$6:C415))</f>
        <v xml:space="preserve"> </v>
      </c>
      <c r="B415" s="88"/>
      <c r="C415" s="88"/>
      <c r="D415" s="89"/>
      <c r="E415" s="89"/>
      <c r="F415" s="73"/>
      <c r="G415" s="73"/>
      <c r="H415" s="73"/>
      <c r="I415" s="73"/>
      <c r="J415" s="73"/>
      <c r="K415" s="73"/>
      <c r="L415" s="73"/>
      <c r="M415" s="74"/>
      <c r="N415" s="71" t="str">
        <f t="shared" si="6"/>
        <v/>
      </c>
      <c r="O415" s="72"/>
      <c r="P415" s="72"/>
      <c r="Q415" s="72"/>
      <c r="R415" s="72"/>
      <c r="S415" s="72"/>
      <c r="T415" s="72"/>
      <c r="U415" s="72"/>
      <c r="V415" s="72"/>
    </row>
    <row r="416" spans="1:25" ht="27.75" customHeight="1">
      <c r="A416" s="87" t="str">
        <f>IF(ISBLANK(C416)," ",411-COUNTBLANK($C$6:C416))</f>
        <v xml:space="preserve"> </v>
      </c>
      <c r="B416" s="88"/>
      <c r="C416" s="88"/>
      <c r="D416" s="89"/>
      <c r="E416" s="89"/>
      <c r="F416" s="73"/>
      <c r="G416" s="73"/>
      <c r="H416" s="73"/>
      <c r="I416" s="73"/>
      <c r="J416" s="73"/>
      <c r="K416" s="73"/>
      <c r="L416" s="73"/>
      <c r="M416" s="74"/>
      <c r="N416" s="71" t="str">
        <f t="shared" si="6"/>
        <v/>
      </c>
      <c r="O416" s="72"/>
      <c r="P416" s="72"/>
      <c r="Q416" s="72"/>
      <c r="R416" s="72"/>
      <c r="S416" s="72"/>
      <c r="T416" s="72"/>
      <c r="U416" s="72"/>
      <c r="V416" s="72"/>
    </row>
    <row r="417" spans="1:25" ht="27.75" customHeight="1">
      <c r="A417" s="87" t="str">
        <f>IF(ISBLANK(C417)," ",412-COUNTBLANK($C$6:C417))</f>
        <v xml:space="preserve"> </v>
      </c>
      <c r="B417" s="88"/>
      <c r="C417" s="88"/>
      <c r="D417" s="89"/>
      <c r="E417" s="89"/>
      <c r="F417" s="73"/>
      <c r="G417" s="73"/>
      <c r="H417" s="73"/>
      <c r="I417" s="73"/>
      <c r="J417" s="73"/>
      <c r="K417" s="73"/>
      <c r="L417" s="73"/>
      <c r="M417" s="74"/>
      <c r="N417" s="71" t="str">
        <f t="shared" si="6"/>
        <v/>
      </c>
      <c r="O417" s="72"/>
      <c r="P417" s="72"/>
      <c r="Q417" s="72"/>
      <c r="R417" s="72"/>
      <c r="S417" s="72"/>
      <c r="T417" s="72"/>
      <c r="U417" s="72"/>
      <c r="V417" s="72"/>
    </row>
    <row r="418" spans="1:25" ht="27.75" customHeight="1">
      <c r="A418" s="87" t="str">
        <f>IF(ISBLANK(C418)," ",413-COUNTBLANK($C$6:C418))</f>
        <v xml:space="preserve"> </v>
      </c>
      <c r="B418" s="88"/>
      <c r="C418" s="88"/>
      <c r="D418" s="89"/>
      <c r="E418" s="89"/>
      <c r="F418" s="73"/>
      <c r="G418" s="73"/>
      <c r="H418" s="73"/>
      <c r="I418" s="73"/>
      <c r="J418" s="73"/>
      <c r="K418" s="73"/>
      <c r="L418" s="73"/>
      <c r="M418" s="74"/>
      <c r="N418" s="71" t="str">
        <f t="shared" si="6"/>
        <v/>
      </c>
      <c r="O418" s="72"/>
      <c r="P418" s="72"/>
      <c r="Q418" s="72"/>
      <c r="R418" s="72"/>
      <c r="S418" s="72"/>
      <c r="T418" s="72"/>
      <c r="U418" s="72"/>
      <c r="V418" s="72"/>
    </row>
    <row r="419" spans="1:25" ht="27.75" customHeight="1">
      <c r="A419" s="87" t="str">
        <f>IF(ISBLANK(C419)," ",414-COUNTBLANK($C$6:C419))</f>
        <v xml:space="preserve"> </v>
      </c>
      <c r="B419" s="88"/>
      <c r="C419" s="88"/>
      <c r="D419" s="89"/>
      <c r="E419" s="89"/>
      <c r="F419" s="73"/>
      <c r="G419" s="73"/>
      <c r="H419" s="73"/>
      <c r="I419" s="73"/>
      <c r="J419" s="73"/>
      <c r="K419" s="73"/>
      <c r="L419" s="73"/>
      <c r="M419" s="74"/>
      <c r="N419" s="71" t="str">
        <f t="shared" si="6"/>
        <v/>
      </c>
      <c r="O419" s="72"/>
      <c r="P419" s="72"/>
      <c r="Q419" s="72"/>
      <c r="R419" s="72"/>
      <c r="S419" s="72"/>
      <c r="T419" s="72"/>
      <c r="U419" s="72"/>
      <c r="V419" s="72"/>
    </row>
    <row r="420" spans="1:25" ht="27.75" customHeight="1">
      <c r="A420" s="87" t="str">
        <f>IF(ISBLANK(C420)," ",415-COUNTBLANK($C$6:C420))</f>
        <v xml:space="preserve"> </v>
      </c>
      <c r="B420" s="88"/>
      <c r="C420" s="88"/>
      <c r="D420" s="89"/>
      <c r="E420" s="89"/>
      <c r="F420" s="73"/>
      <c r="G420" s="73"/>
      <c r="H420" s="73"/>
      <c r="I420" s="73"/>
      <c r="J420" s="73"/>
      <c r="K420" s="73"/>
      <c r="L420" s="73"/>
      <c r="M420" s="74"/>
      <c r="N420" s="71" t="str">
        <f t="shared" si="6"/>
        <v/>
      </c>
      <c r="O420" s="75"/>
      <c r="P420" s="72"/>
      <c r="Q420" s="72"/>
      <c r="R420" s="72"/>
      <c r="S420" s="72"/>
      <c r="T420" s="72"/>
      <c r="U420" s="72"/>
      <c r="V420" s="76"/>
    </row>
    <row r="421" spans="1:25" ht="27.75" customHeight="1">
      <c r="A421" s="87" t="str">
        <f>IF(ISBLANK(C421)," ",416-COUNTBLANK($C$6:C421))</f>
        <v xml:space="preserve"> </v>
      </c>
      <c r="B421" s="88"/>
      <c r="C421" s="88"/>
      <c r="D421" s="89"/>
      <c r="E421" s="89"/>
      <c r="F421" s="73"/>
      <c r="G421" s="73"/>
      <c r="H421" s="73"/>
      <c r="I421" s="73"/>
      <c r="J421" s="73"/>
      <c r="K421" s="73"/>
      <c r="L421" s="73"/>
      <c r="M421" s="74"/>
      <c r="N421" s="71" t="str">
        <f t="shared" si="6"/>
        <v/>
      </c>
      <c r="O421" s="75"/>
      <c r="P421" s="72"/>
      <c r="Q421" s="72"/>
      <c r="R421" s="72"/>
      <c r="S421" s="72"/>
      <c r="T421" s="72"/>
      <c r="U421" s="72"/>
      <c r="V421" s="76"/>
    </row>
    <row r="422" spans="1:25" ht="27.75" customHeight="1">
      <c r="A422" s="87" t="str">
        <f>IF(ISBLANK(C422)," ",417-COUNTBLANK($C$6:C422))</f>
        <v xml:space="preserve"> </v>
      </c>
      <c r="B422" s="88"/>
      <c r="C422" s="88"/>
      <c r="D422" s="89"/>
      <c r="E422" s="89"/>
      <c r="F422" s="73"/>
      <c r="G422" s="73"/>
      <c r="H422" s="73"/>
      <c r="I422" s="73"/>
      <c r="J422" s="73"/>
      <c r="K422" s="73"/>
      <c r="L422" s="73"/>
      <c r="M422" s="74"/>
      <c r="N422" s="71" t="str">
        <f t="shared" si="6"/>
        <v/>
      </c>
      <c r="O422" s="75"/>
      <c r="P422" s="72"/>
      <c r="Q422" s="72"/>
      <c r="R422" s="72"/>
      <c r="S422" s="72"/>
      <c r="T422" s="72"/>
      <c r="U422" s="72"/>
      <c r="V422" s="76"/>
    </row>
    <row r="423" spans="1:25" ht="27.75" customHeight="1">
      <c r="A423" s="87" t="str">
        <f>IF(ISBLANK(C423)," ",418-COUNTBLANK($C$6:C423))</f>
        <v xml:space="preserve"> </v>
      </c>
      <c r="B423" s="88"/>
      <c r="C423" s="88"/>
      <c r="D423" s="89"/>
      <c r="E423" s="89"/>
      <c r="F423" s="73"/>
      <c r="G423" s="73"/>
      <c r="H423" s="73"/>
      <c r="I423" s="73"/>
      <c r="J423" s="73"/>
      <c r="K423" s="73"/>
      <c r="L423" s="73"/>
      <c r="M423" s="74"/>
      <c r="N423" s="71" t="str">
        <f t="shared" si="6"/>
        <v/>
      </c>
      <c r="O423" s="75"/>
      <c r="P423" s="72"/>
      <c r="Q423" s="72"/>
      <c r="R423" s="72"/>
      <c r="S423" s="72"/>
      <c r="T423" s="72"/>
      <c r="U423" s="72"/>
      <c r="V423" s="76"/>
    </row>
    <row r="424" spans="1:25" ht="27.75" customHeight="1">
      <c r="A424" s="87" t="str">
        <f>IF(ISBLANK(C424)," ",419-COUNTBLANK($C$6:C424))</f>
        <v xml:space="preserve"> </v>
      </c>
      <c r="B424" s="88"/>
      <c r="C424" s="88"/>
      <c r="D424" s="89"/>
      <c r="E424" s="89"/>
      <c r="F424" s="73"/>
      <c r="G424" s="73"/>
      <c r="H424" s="73"/>
      <c r="I424" s="73"/>
      <c r="J424" s="73"/>
      <c r="K424" s="73"/>
      <c r="L424" s="73"/>
      <c r="M424" s="74"/>
      <c r="N424" s="71" t="str">
        <f t="shared" si="6"/>
        <v/>
      </c>
      <c r="O424" s="72"/>
      <c r="P424" s="72"/>
      <c r="Q424" s="72"/>
      <c r="R424" s="72"/>
      <c r="S424" s="72"/>
      <c r="T424" s="72"/>
      <c r="U424" s="72"/>
      <c r="V424" s="79"/>
      <c r="W424" s="72"/>
      <c r="X424" s="72"/>
      <c r="Y424" s="72"/>
    </row>
    <row r="425" spans="1:25" ht="27.75" customHeight="1">
      <c r="A425" s="80" t="s">
        <v>58</v>
      </c>
      <c r="B425" s="81"/>
      <c r="C425" s="96"/>
      <c r="D425" s="82"/>
      <c r="E425" s="82">
        <f>SUM(E405:E424)</f>
        <v>0</v>
      </c>
      <c r="F425" s="83"/>
      <c r="G425" s="83"/>
      <c r="H425" s="83"/>
      <c r="I425" s="83"/>
      <c r="J425" s="83"/>
      <c r="K425" s="83"/>
      <c r="L425" s="83"/>
      <c r="M425" s="84"/>
      <c r="N425" s="71" t="str">
        <f t="shared" si="6"/>
        <v/>
      </c>
      <c r="O425" s="75"/>
      <c r="P425" s="72"/>
      <c r="Q425" s="72"/>
      <c r="R425" s="72"/>
      <c r="S425" s="72"/>
      <c r="T425" s="72"/>
      <c r="U425" s="72"/>
      <c r="V425" s="79"/>
      <c r="W425" s="72"/>
      <c r="X425" s="72"/>
      <c r="Y425" s="72"/>
    </row>
    <row r="426" spans="1:25" ht="27.75" customHeight="1">
      <c r="A426" s="93" t="str">
        <f>IF(ISBLANK(C426)," ",421-COUNTBLANK($C$6:C426))</f>
        <v xml:space="preserve"> </v>
      </c>
      <c r="B426" s="94"/>
      <c r="C426" s="94"/>
      <c r="D426" s="95"/>
      <c r="E426" s="95"/>
      <c r="F426" s="85"/>
      <c r="G426" s="85"/>
      <c r="H426" s="85"/>
      <c r="I426" s="85"/>
      <c r="J426" s="85"/>
      <c r="K426" s="85"/>
      <c r="L426" s="85"/>
      <c r="M426" s="86"/>
      <c r="N426" s="71" t="str">
        <f t="shared" si="6"/>
        <v/>
      </c>
      <c r="O426" s="72"/>
      <c r="P426" s="72"/>
      <c r="Q426" s="72"/>
      <c r="R426" s="72"/>
      <c r="S426" s="72"/>
      <c r="T426" s="72"/>
      <c r="U426" s="72"/>
      <c r="V426" s="72"/>
    </row>
    <row r="427" spans="1:25" ht="27.75" customHeight="1">
      <c r="A427" s="87" t="str">
        <f>IF(ISBLANK(C427)," ",422-COUNTBLANK($C$6:C427))</f>
        <v xml:space="preserve"> </v>
      </c>
      <c r="B427" s="88"/>
      <c r="C427" s="88"/>
      <c r="D427" s="89"/>
      <c r="E427" s="89"/>
      <c r="F427" s="73"/>
      <c r="G427" s="73"/>
      <c r="H427" s="73"/>
      <c r="I427" s="73"/>
      <c r="J427" s="73"/>
      <c r="K427" s="73"/>
      <c r="L427" s="73"/>
      <c r="M427" s="74"/>
      <c r="N427" s="71" t="str">
        <f t="shared" si="6"/>
        <v/>
      </c>
      <c r="O427" s="72"/>
      <c r="P427" s="72"/>
      <c r="Q427" s="72"/>
      <c r="R427" s="72"/>
      <c r="S427" s="72"/>
      <c r="T427" s="72"/>
      <c r="U427" s="72"/>
      <c r="V427" s="72"/>
    </row>
    <row r="428" spans="1:25" ht="27.75" customHeight="1">
      <c r="A428" s="87" t="str">
        <f>IF(ISBLANK(C428)," ",423-COUNTBLANK($C$6:C428))</f>
        <v xml:space="preserve"> </v>
      </c>
      <c r="B428" s="88"/>
      <c r="C428" s="88"/>
      <c r="D428" s="89"/>
      <c r="E428" s="89"/>
      <c r="F428" s="73"/>
      <c r="G428" s="73"/>
      <c r="H428" s="73"/>
      <c r="I428" s="73"/>
      <c r="J428" s="73"/>
      <c r="K428" s="73"/>
      <c r="L428" s="73"/>
      <c r="M428" s="74"/>
      <c r="N428" s="71" t="str">
        <f t="shared" si="6"/>
        <v/>
      </c>
      <c r="O428" s="72"/>
      <c r="P428" s="72"/>
      <c r="Q428" s="72"/>
      <c r="R428" s="72"/>
      <c r="S428" s="72"/>
      <c r="T428" s="72"/>
      <c r="U428" s="72"/>
      <c r="V428" s="72"/>
    </row>
    <row r="429" spans="1:25" ht="27.75" customHeight="1">
      <c r="A429" s="87" t="str">
        <f>IF(ISBLANK(C429)," ",424-COUNTBLANK($C$6:C429))</f>
        <v xml:space="preserve"> </v>
      </c>
      <c r="B429" s="88"/>
      <c r="C429" s="88"/>
      <c r="D429" s="89"/>
      <c r="E429" s="89"/>
      <c r="F429" s="73"/>
      <c r="G429" s="73"/>
      <c r="H429" s="73"/>
      <c r="I429" s="73"/>
      <c r="J429" s="73"/>
      <c r="K429" s="73"/>
      <c r="L429" s="73"/>
      <c r="M429" s="74"/>
      <c r="N429" s="71" t="str">
        <f t="shared" si="6"/>
        <v/>
      </c>
      <c r="O429" s="72"/>
      <c r="P429" s="72"/>
      <c r="Q429" s="72"/>
      <c r="R429" s="72"/>
      <c r="S429" s="72"/>
      <c r="T429" s="72"/>
      <c r="U429" s="72"/>
      <c r="V429" s="72"/>
    </row>
    <row r="430" spans="1:25" ht="27.75" customHeight="1">
      <c r="A430" s="87" t="str">
        <f>IF(ISBLANK(C430)," ",425-COUNTBLANK($C$6:C430))</f>
        <v xml:space="preserve"> </v>
      </c>
      <c r="B430" s="88"/>
      <c r="C430" s="88"/>
      <c r="D430" s="89"/>
      <c r="E430" s="89"/>
      <c r="F430" s="73"/>
      <c r="G430" s="73"/>
      <c r="H430" s="73"/>
      <c r="I430" s="73"/>
      <c r="J430" s="73"/>
      <c r="K430" s="73"/>
      <c r="L430" s="73"/>
      <c r="M430" s="74"/>
      <c r="N430" s="71" t="str">
        <f t="shared" si="6"/>
        <v/>
      </c>
      <c r="O430" s="72"/>
      <c r="P430" s="72"/>
      <c r="Q430" s="72"/>
      <c r="R430" s="72"/>
      <c r="S430" s="72"/>
      <c r="T430" s="72"/>
      <c r="U430" s="72"/>
      <c r="V430" s="72"/>
    </row>
    <row r="431" spans="1:25" ht="27.75" customHeight="1">
      <c r="A431" s="87" t="str">
        <f>IF(ISBLANK(C431)," ",426-COUNTBLANK($C$6:C431))</f>
        <v xml:space="preserve"> </v>
      </c>
      <c r="B431" s="88"/>
      <c r="C431" s="88"/>
      <c r="D431" s="89"/>
      <c r="E431" s="89"/>
      <c r="F431" s="73"/>
      <c r="G431" s="73"/>
      <c r="H431" s="73"/>
      <c r="I431" s="73"/>
      <c r="J431" s="73"/>
      <c r="K431" s="73"/>
      <c r="L431" s="73"/>
      <c r="M431" s="74"/>
      <c r="N431" s="71" t="str">
        <f t="shared" si="6"/>
        <v/>
      </c>
      <c r="O431" s="72"/>
      <c r="P431" s="72"/>
      <c r="Q431" s="72"/>
      <c r="R431" s="72"/>
      <c r="S431" s="72"/>
      <c r="T431" s="72"/>
      <c r="U431" s="72"/>
      <c r="V431" s="72"/>
    </row>
    <row r="432" spans="1:25" ht="27.75" customHeight="1">
      <c r="A432" s="87" t="str">
        <f>IF(ISBLANK(C432)," ",427-COUNTBLANK($C$6:C432))</f>
        <v xml:space="preserve"> </v>
      </c>
      <c r="B432" s="88"/>
      <c r="C432" s="88"/>
      <c r="D432" s="89"/>
      <c r="E432" s="89"/>
      <c r="F432" s="73"/>
      <c r="G432" s="73"/>
      <c r="H432" s="73"/>
      <c r="I432" s="73"/>
      <c r="J432" s="73"/>
      <c r="K432" s="73"/>
      <c r="L432" s="73"/>
      <c r="M432" s="74"/>
      <c r="N432" s="71" t="str">
        <f t="shared" si="6"/>
        <v/>
      </c>
      <c r="O432" s="72"/>
      <c r="P432" s="72"/>
      <c r="Q432" s="72"/>
      <c r="R432" s="72"/>
      <c r="S432" s="72"/>
      <c r="T432" s="72"/>
      <c r="U432" s="72"/>
      <c r="V432" s="72"/>
    </row>
    <row r="433" spans="1:25" ht="27.75" customHeight="1">
      <c r="A433" s="87" t="str">
        <f>IF(ISBLANK(C433)," ",428-COUNTBLANK($C$6:C433))</f>
        <v xml:space="preserve"> </v>
      </c>
      <c r="B433" s="88"/>
      <c r="C433" s="88"/>
      <c r="D433" s="89"/>
      <c r="E433" s="89"/>
      <c r="F433" s="73"/>
      <c r="G433" s="73"/>
      <c r="H433" s="73"/>
      <c r="I433" s="73"/>
      <c r="J433" s="73"/>
      <c r="K433" s="73"/>
      <c r="L433" s="73"/>
      <c r="M433" s="74"/>
      <c r="N433" s="71" t="str">
        <f t="shared" si="6"/>
        <v/>
      </c>
      <c r="O433" s="72"/>
      <c r="P433" s="72"/>
      <c r="Q433" s="72"/>
      <c r="R433" s="72"/>
      <c r="S433" s="72"/>
      <c r="T433" s="72"/>
      <c r="U433" s="72"/>
      <c r="V433" s="72"/>
    </row>
    <row r="434" spans="1:25" ht="27.75" customHeight="1">
      <c r="A434" s="87" t="str">
        <f>IF(ISBLANK(C434)," ",429-COUNTBLANK($C$6:C434))</f>
        <v xml:space="preserve"> </v>
      </c>
      <c r="B434" s="88"/>
      <c r="C434" s="88"/>
      <c r="D434" s="89"/>
      <c r="E434" s="89"/>
      <c r="F434" s="73"/>
      <c r="G434" s="73"/>
      <c r="H434" s="73"/>
      <c r="I434" s="73"/>
      <c r="J434" s="73"/>
      <c r="K434" s="73"/>
      <c r="L434" s="73"/>
      <c r="M434" s="74"/>
      <c r="N434" s="71" t="str">
        <f t="shared" si="6"/>
        <v/>
      </c>
      <c r="O434" s="72"/>
      <c r="P434" s="72"/>
      <c r="Q434" s="72"/>
      <c r="R434" s="72"/>
      <c r="S434" s="72"/>
      <c r="T434" s="72"/>
      <c r="U434" s="72"/>
      <c r="V434" s="72"/>
    </row>
    <row r="435" spans="1:25" ht="27.75" customHeight="1">
      <c r="A435" s="87" t="str">
        <f>IF(ISBLANK(C435)," ",430-COUNTBLANK($C$6:C435))</f>
        <v xml:space="preserve"> </v>
      </c>
      <c r="B435" s="88"/>
      <c r="C435" s="88"/>
      <c r="D435" s="89"/>
      <c r="E435" s="89"/>
      <c r="F435" s="73"/>
      <c r="G435" s="73"/>
      <c r="H435" s="73"/>
      <c r="I435" s="73"/>
      <c r="J435" s="73"/>
      <c r="K435" s="73"/>
      <c r="L435" s="73"/>
      <c r="M435" s="74"/>
      <c r="N435" s="71" t="str">
        <f t="shared" si="6"/>
        <v/>
      </c>
      <c r="O435" s="72"/>
      <c r="P435" s="72"/>
      <c r="Q435" s="72"/>
      <c r="R435" s="72"/>
      <c r="S435" s="72"/>
      <c r="T435" s="72"/>
      <c r="U435" s="72"/>
      <c r="V435" s="72"/>
    </row>
    <row r="436" spans="1:25" ht="27.75" customHeight="1">
      <c r="A436" s="87" t="str">
        <f>IF(ISBLANK(C436)," ",431-COUNTBLANK($C$6:C436))</f>
        <v xml:space="preserve"> </v>
      </c>
      <c r="B436" s="88"/>
      <c r="C436" s="88"/>
      <c r="D436" s="89"/>
      <c r="E436" s="89"/>
      <c r="F436" s="73"/>
      <c r="G436" s="73"/>
      <c r="H436" s="73"/>
      <c r="I436" s="73"/>
      <c r="J436" s="73"/>
      <c r="K436" s="73"/>
      <c r="L436" s="73"/>
      <c r="M436" s="74"/>
      <c r="N436" s="71" t="str">
        <f t="shared" si="6"/>
        <v/>
      </c>
      <c r="O436" s="72"/>
      <c r="P436" s="72"/>
      <c r="Q436" s="72"/>
      <c r="R436" s="72"/>
      <c r="S436" s="72"/>
      <c r="T436" s="72"/>
      <c r="U436" s="72"/>
      <c r="V436" s="72"/>
    </row>
    <row r="437" spans="1:25" ht="27.75" customHeight="1">
      <c r="A437" s="87" t="str">
        <f>IF(ISBLANK(C437)," ",432-COUNTBLANK($C$6:C437))</f>
        <v xml:space="preserve"> </v>
      </c>
      <c r="B437" s="88"/>
      <c r="C437" s="88"/>
      <c r="D437" s="89"/>
      <c r="E437" s="89"/>
      <c r="F437" s="73"/>
      <c r="G437" s="73"/>
      <c r="H437" s="73"/>
      <c r="I437" s="73"/>
      <c r="J437" s="73"/>
      <c r="K437" s="73"/>
      <c r="L437" s="73"/>
      <c r="M437" s="74"/>
      <c r="N437" s="71" t="str">
        <f t="shared" si="6"/>
        <v/>
      </c>
      <c r="O437" s="72"/>
      <c r="P437" s="72"/>
      <c r="Q437" s="72"/>
      <c r="R437" s="72"/>
      <c r="S437" s="72"/>
      <c r="T437" s="72"/>
      <c r="U437" s="72"/>
      <c r="V437" s="72"/>
    </row>
    <row r="438" spans="1:25" ht="27.75" customHeight="1">
      <c r="A438" s="87" t="str">
        <f>IF(ISBLANK(C438)," ",433-COUNTBLANK($C$6:C438))</f>
        <v xml:space="preserve"> </v>
      </c>
      <c r="B438" s="88"/>
      <c r="C438" s="88"/>
      <c r="D438" s="89"/>
      <c r="E438" s="89"/>
      <c r="F438" s="73"/>
      <c r="G438" s="73"/>
      <c r="H438" s="73"/>
      <c r="I438" s="73"/>
      <c r="J438" s="73"/>
      <c r="K438" s="73"/>
      <c r="L438" s="73"/>
      <c r="M438" s="74"/>
      <c r="N438" s="71" t="str">
        <f t="shared" si="6"/>
        <v/>
      </c>
      <c r="O438" s="72"/>
      <c r="P438" s="72"/>
      <c r="Q438" s="72"/>
      <c r="R438" s="72"/>
      <c r="S438" s="72"/>
      <c r="T438" s="72"/>
      <c r="U438" s="72"/>
      <c r="V438" s="72"/>
    </row>
    <row r="439" spans="1:25" ht="27.75" customHeight="1">
      <c r="A439" s="87" t="str">
        <f>IF(ISBLANK(C439)," ",434-COUNTBLANK($C$6:C439))</f>
        <v xml:space="preserve"> </v>
      </c>
      <c r="B439" s="88"/>
      <c r="C439" s="88"/>
      <c r="D439" s="89"/>
      <c r="E439" s="89"/>
      <c r="F439" s="73"/>
      <c r="G439" s="73"/>
      <c r="H439" s="73"/>
      <c r="I439" s="73"/>
      <c r="J439" s="73"/>
      <c r="K439" s="73"/>
      <c r="L439" s="73"/>
      <c r="M439" s="74"/>
      <c r="N439" s="71" t="str">
        <f t="shared" si="6"/>
        <v/>
      </c>
      <c r="O439" s="72"/>
      <c r="P439" s="72"/>
      <c r="Q439" s="72"/>
      <c r="R439" s="72"/>
      <c r="S439" s="72"/>
      <c r="T439" s="72"/>
      <c r="U439" s="72"/>
      <c r="V439" s="72"/>
    </row>
    <row r="440" spans="1:25" ht="27.75" customHeight="1">
      <c r="A440" s="87" t="str">
        <f>IF(ISBLANK(C440)," ",435-COUNTBLANK($C$6:C440))</f>
        <v xml:space="preserve"> </v>
      </c>
      <c r="B440" s="88"/>
      <c r="C440" s="88"/>
      <c r="D440" s="89"/>
      <c r="E440" s="89"/>
      <c r="F440" s="73"/>
      <c r="G440" s="73"/>
      <c r="H440" s="73"/>
      <c r="I440" s="73"/>
      <c r="J440" s="73"/>
      <c r="K440" s="73"/>
      <c r="L440" s="73"/>
      <c r="M440" s="74"/>
      <c r="N440" s="71" t="str">
        <f t="shared" si="6"/>
        <v/>
      </c>
      <c r="O440" s="72"/>
      <c r="P440" s="72"/>
      <c r="Q440" s="72"/>
      <c r="R440" s="72"/>
      <c r="S440" s="72"/>
      <c r="T440" s="72"/>
      <c r="U440" s="72"/>
      <c r="V440" s="72"/>
    </row>
    <row r="441" spans="1:25" ht="27.75" customHeight="1">
      <c r="A441" s="87" t="str">
        <f>IF(ISBLANK(C441)," ",436-COUNTBLANK($C$6:C441))</f>
        <v xml:space="preserve"> </v>
      </c>
      <c r="B441" s="88"/>
      <c r="C441" s="88"/>
      <c r="D441" s="89"/>
      <c r="E441" s="89"/>
      <c r="F441" s="73"/>
      <c r="G441" s="73"/>
      <c r="H441" s="73"/>
      <c r="I441" s="73"/>
      <c r="J441" s="73"/>
      <c r="K441" s="73"/>
      <c r="L441" s="73"/>
      <c r="M441" s="74"/>
      <c r="N441" s="71" t="str">
        <f t="shared" si="6"/>
        <v/>
      </c>
      <c r="O441" s="75"/>
      <c r="P441" s="72"/>
      <c r="Q441" s="72"/>
      <c r="R441" s="72"/>
      <c r="S441" s="72"/>
      <c r="T441" s="72"/>
      <c r="U441" s="72"/>
      <c r="V441" s="76"/>
    </row>
    <row r="442" spans="1:25" ht="27.75" customHeight="1">
      <c r="A442" s="87" t="str">
        <f>IF(ISBLANK(C442)," ",437-COUNTBLANK($C$6:C442))</f>
        <v xml:space="preserve"> </v>
      </c>
      <c r="B442" s="88"/>
      <c r="C442" s="88"/>
      <c r="D442" s="89"/>
      <c r="E442" s="89"/>
      <c r="F442" s="73"/>
      <c r="G442" s="73"/>
      <c r="H442" s="73"/>
      <c r="I442" s="73"/>
      <c r="J442" s="73"/>
      <c r="K442" s="73"/>
      <c r="L442" s="73"/>
      <c r="M442" s="74"/>
      <c r="N442" s="71" t="str">
        <f t="shared" si="6"/>
        <v/>
      </c>
      <c r="O442" s="75"/>
      <c r="P442" s="72"/>
      <c r="Q442" s="72"/>
      <c r="R442" s="72"/>
      <c r="S442" s="72"/>
      <c r="T442" s="72"/>
      <c r="U442" s="72"/>
      <c r="V442" s="76"/>
    </row>
    <row r="443" spans="1:25" ht="27.75" customHeight="1">
      <c r="A443" s="87" t="str">
        <f>IF(ISBLANK(C443)," ",438-COUNTBLANK($C$6:C443))</f>
        <v xml:space="preserve"> </v>
      </c>
      <c r="B443" s="88"/>
      <c r="C443" s="88"/>
      <c r="D443" s="89"/>
      <c r="E443" s="89"/>
      <c r="F443" s="73"/>
      <c r="G443" s="73"/>
      <c r="H443" s="73"/>
      <c r="I443" s="73"/>
      <c r="J443" s="73"/>
      <c r="K443" s="73"/>
      <c r="L443" s="73"/>
      <c r="M443" s="74"/>
      <c r="N443" s="71" t="str">
        <f t="shared" si="6"/>
        <v/>
      </c>
      <c r="O443" s="75"/>
      <c r="P443" s="72"/>
      <c r="Q443" s="72"/>
      <c r="R443" s="72"/>
      <c r="S443" s="72"/>
      <c r="T443" s="72"/>
      <c r="U443" s="72"/>
      <c r="V443" s="76"/>
    </row>
    <row r="444" spans="1:25" ht="27.75" customHeight="1">
      <c r="A444" s="87" t="str">
        <f>IF(ISBLANK(C444)," ",439-COUNTBLANK($C$6:C444))</f>
        <v xml:space="preserve"> </v>
      </c>
      <c r="B444" s="88"/>
      <c r="C444" s="88"/>
      <c r="D444" s="89"/>
      <c r="E444" s="89"/>
      <c r="F444" s="73"/>
      <c r="G444" s="73"/>
      <c r="H444" s="73"/>
      <c r="I444" s="73"/>
      <c r="J444" s="73"/>
      <c r="K444" s="73"/>
      <c r="L444" s="73"/>
      <c r="M444" s="74"/>
      <c r="N444" s="71" t="str">
        <f t="shared" si="6"/>
        <v/>
      </c>
      <c r="O444" s="75"/>
      <c r="P444" s="72"/>
      <c r="Q444" s="72"/>
      <c r="R444" s="72"/>
      <c r="S444" s="72"/>
      <c r="T444" s="72"/>
      <c r="U444" s="72"/>
      <c r="V444" s="76"/>
    </row>
    <row r="445" spans="1:25" ht="27.75" customHeight="1">
      <c r="A445" s="87" t="str">
        <f>IF(ISBLANK(C445)," ",440-COUNTBLANK($C$6:C445))</f>
        <v xml:space="preserve"> </v>
      </c>
      <c r="B445" s="88"/>
      <c r="C445" s="88"/>
      <c r="D445" s="89"/>
      <c r="E445" s="89"/>
      <c r="F445" s="73"/>
      <c r="G445" s="73"/>
      <c r="H445" s="73"/>
      <c r="I445" s="73"/>
      <c r="J445" s="73"/>
      <c r="K445" s="73"/>
      <c r="L445" s="73"/>
      <c r="M445" s="74"/>
      <c r="N445" s="71" t="str">
        <f t="shared" si="6"/>
        <v/>
      </c>
      <c r="O445" s="72"/>
      <c r="P445" s="72"/>
      <c r="Q445" s="72"/>
      <c r="R445" s="72"/>
      <c r="S445" s="72"/>
      <c r="T445" s="72"/>
      <c r="U445" s="72"/>
      <c r="V445" s="79"/>
      <c r="W445" s="72"/>
      <c r="X445" s="72"/>
      <c r="Y445" s="72"/>
    </row>
    <row r="446" spans="1:25" ht="27.75" customHeight="1">
      <c r="A446" s="80" t="s">
        <v>58</v>
      </c>
      <c r="B446" s="81"/>
      <c r="C446" s="96"/>
      <c r="D446" s="82"/>
      <c r="E446" s="82">
        <f>SUM(E426:E445)</f>
        <v>0</v>
      </c>
      <c r="F446" s="83"/>
      <c r="G446" s="83"/>
      <c r="H446" s="83"/>
      <c r="I446" s="83"/>
      <c r="J446" s="83"/>
      <c r="K446" s="83"/>
      <c r="L446" s="83"/>
      <c r="M446" s="84"/>
      <c r="N446" s="71" t="str">
        <f t="shared" si="6"/>
        <v/>
      </c>
      <c r="O446" s="75"/>
      <c r="P446" s="72"/>
      <c r="Q446" s="72"/>
      <c r="R446" s="72"/>
      <c r="S446" s="72"/>
      <c r="T446" s="72"/>
      <c r="U446" s="72"/>
      <c r="V446" s="79"/>
      <c r="W446" s="72"/>
      <c r="X446" s="72"/>
      <c r="Y446" s="72"/>
    </row>
    <row r="447" spans="1:25" ht="27.75" customHeight="1">
      <c r="A447" s="93" t="str">
        <f>IF(ISBLANK(C447)," ",442-COUNTBLANK($C$6:C447))</f>
        <v xml:space="preserve"> </v>
      </c>
      <c r="B447" s="94"/>
      <c r="C447" s="94"/>
      <c r="D447" s="95"/>
      <c r="E447" s="95"/>
      <c r="F447" s="85"/>
      <c r="G447" s="85"/>
      <c r="H447" s="85"/>
      <c r="I447" s="85"/>
      <c r="J447" s="85"/>
      <c r="K447" s="85"/>
      <c r="L447" s="85"/>
      <c r="M447" s="86"/>
      <c r="N447" s="71" t="str">
        <f t="shared" si="6"/>
        <v/>
      </c>
      <c r="O447" s="72"/>
      <c r="P447" s="72"/>
      <c r="Q447" s="72"/>
      <c r="R447" s="72"/>
      <c r="S447" s="72"/>
      <c r="T447" s="72"/>
      <c r="U447" s="72"/>
      <c r="V447" s="72"/>
    </row>
    <row r="448" spans="1:25" ht="27.75" customHeight="1">
      <c r="A448" s="87" t="str">
        <f>IF(ISBLANK(C448)," ",443-COUNTBLANK($C$6:C448))</f>
        <v xml:space="preserve"> </v>
      </c>
      <c r="B448" s="88"/>
      <c r="C448" s="88"/>
      <c r="D448" s="89"/>
      <c r="E448" s="89"/>
      <c r="F448" s="73"/>
      <c r="G448" s="73"/>
      <c r="H448" s="73"/>
      <c r="I448" s="73"/>
      <c r="J448" s="73"/>
      <c r="K448" s="73"/>
      <c r="L448" s="73"/>
      <c r="M448" s="74"/>
      <c r="N448" s="71" t="str">
        <f t="shared" si="6"/>
        <v/>
      </c>
      <c r="O448" s="72"/>
      <c r="P448" s="72"/>
      <c r="Q448" s="72"/>
      <c r="R448" s="72"/>
      <c r="S448" s="72"/>
      <c r="T448" s="72"/>
      <c r="U448" s="72"/>
      <c r="V448" s="72"/>
    </row>
    <row r="449" spans="1:22" ht="27.75" customHeight="1">
      <c r="A449" s="87" t="str">
        <f>IF(ISBLANK(C449)," ",444-COUNTBLANK($C$6:C449))</f>
        <v xml:space="preserve"> </v>
      </c>
      <c r="B449" s="88"/>
      <c r="C449" s="88"/>
      <c r="D449" s="89"/>
      <c r="E449" s="89"/>
      <c r="F449" s="73"/>
      <c r="G449" s="73"/>
      <c r="H449" s="73"/>
      <c r="I449" s="73"/>
      <c r="J449" s="73"/>
      <c r="K449" s="73"/>
      <c r="L449" s="73"/>
      <c r="M449" s="74"/>
      <c r="N449" s="71" t="str">
        <f t="shared" si="6"/>
        <v/>
      </c>
      <c r="O449" s="72"/>
      <c r="P449" s="72"/>
      <c r="Q449" s="72"/>
      <c r="R449" s="72"/>
      <c r="S449" s="72"/>
      <c r="T449" s="72"/>
      <c r="U449" s="72"/>
      <c r="V449" s="72"/>
    </row>
    <row r="450" spans="1:22" ht="27.75" customHeight="1">
      <c r="A450" s="87" t="str">
        <f>IF(ISBLANK(C450)," ",445-COUNTBLANK($C$6:C450))</f>
        <v xml:space="preserve"> </v>
      </c>
      <c r="B450" s="88"/>
      <c r="C450" s="88"/>
      <c r="D450" s="89"/>
      <c r="E450" s="89"/>
      <c r="F450" s="73"/>
      <c r="G450" s="73"/>
      <c r="H450" s="73"/>
      <c r="I450" s="73"/>
      <c r="J450" s="73"/>
      <c r="K450" s="73"/>
      <c r="L450" s="73"/>
      <c r="M450" s="74"/>
      <c r="N450" s="71" t="str">
        <f t="shared" si="6"/>
        <v/>
      </c>
      <c r="O450" s="72"/>
      <c r="P450" s="72"/>
      <c r="Q450" s="72"/>
      <c r="R450" s="72"/>
      <c r="S450" s="72"/>
      <c r="T450" s="72"/>
      <c r="U450" s="72"/>
      <c r="V450" s="72"/>
    </row>
    <row r="451" spans="1:22" ht="27.75" customHeight="1">
      <c r="A451" s="87" t="str">
        <f>IF(ISBLANK(C451)," ",446-COUNTBLANK($C$6:C451))</f>
        <v xml:space="preserve"> </v>
      </c>
      <c r="B451" s="88"/>
      <c r="C451" s="88"/>
      <c r="D451" s="89"/>
      <c r="E451" s="89"/>
      <c r="F451" s="73"/>
      <c r="G451" s="73"/>
      <c r="H451" s="73"/>
      <c r="I451" s="73"/>
      <c r="J451" s="73"/>
      <c r="K451" s="73"/>
      <c r="L451" s="73"/>
      <c r="M451" s="74"/>
      <c r="N451" s="71" t="str">
        <f t="shared" si="6"/>
        <v/>
      </c>
      <c r="O451" s="72"/>
      <c r="P451" s="72"/>
      <c r="Q451" s="72"/>
      <c r="R451" s="72"/>
      <c r="S451" s="72"/>
      <c r="T451" s="72"/>
      <c r="U451" s="72"/>
      <c r="V451" s="72"/>
    </row>
    <row r="452" spans="1:22" ht="27.75" customHeight="1">
      <c r="A452" s="87" t="str">
        <f>IF(ISBLANK(C452)," ",447-COUNTBLANK($C$6:C452))</f>
        <v xml:space="preserve"> </v>
      </c>
      <c r="B452" s="88"/>
      <c r="C452" s="88"/>
      <c r="D452" s="89"/>
      <c r="E452" s="89"/>
      <c r="F452" s="73"/>
      <c r="G452" s="73"/>
      <c r="H452" s="73"/>
      <c r="I452" s="73"/>
      <c r="J452" s="73"/>
      <c r="K452" s="73"/>
      <c r="L452" s="73"/>
      <c r="M452" s="74"/>
      <c r="N452" s="71" t="str">
        <f t="shared" si="6"/>
        <v/>
      </c>
      <c r="O452" s="72"/>
      <c r="P452" s="72"/>
      <c r="Q452" s="72"/>
      <c r="R452" s="72"/>
      <c r="S452" s="72"/>
      <c r="T452" s="72"/>
      <c r="U452" s="72"/>
      <c r="V452" s="72"/>
    </row>
    <row r="453" spans="1:22" ht="27.75" customHeight="1">
      <c r="A453" s="87" t="str">
        <f>IF(ISBLANK(C453)," ",448-COUNTBLANK($C$6:C453))</f>
        <v xml:space="preserve"> </v>
      </c>
      <c r="B453" s="88"/>
      <c r="C453" s="88"/>
      <c r="D453" s="89"/>
      <c r="E453" s="89"/>
      <c r="F453" s="73"/>
      <c r="G453" s="73"/>
      <c r="H453" s="73"/>
      <c r="I453" s="73"/>
      <c r="J453" s="73"/>
      <c r="K453" s="73"/>
      <c r="L453" s="73"/>
      <c r="M453" s="74"/>
      <c r="N453" s="71" t="str">
        <f t="shared" si="6"/>
        <v/>
      </c>
      <c r="O453" s="72"/>
      <c r="P453" s="72"/>
      <c r="Q453" s="72"/>
      <c r="R453" s="72"/>
      <c r="S453" s="72"/>
      <c r="T453" s="72"/>
      <c r="U453" s="72"/>
      <c r="V453" s="72"/>
    </row>
    <row r="454" spans="1:22" ht="27.75" customHeight="1">
      <c r="A454" s="87" t="str">
        <f>IF(ISBLANK(C454)," ",449-COUNTBLANK($C$6:C454))</f>
        <v xml:space="preserve"> </v>
      </c>
      <c r="B454" s="88"/>
      <c r="C454" s="88"/>
      <c r="D454" s="89"/>
      <c r="E454" s="89"/>
      <c r="F454" s="73"/>
      <c r="G454" s="73"/>
      <c r="H454" s="73"/>
      <c r="I454" s="73"/>
      <c r="J454" s="73"/>
      <c r="K454" s="73"/>
      <c r="L454" s="73"/>
      <c r="M454" s="74"/>
      <c r="N454" s="71" t="str">
        <f t="shared" ref="N454:N517" si="7">CONCATENATE(C454,H454)</f>
        <v/>
      </c>
      <c r="O454" s="72"/>
      <c r="P454" s="72"/>
      <c r="Q454" s="72"/>
      <c r="R454" s="72"/>
      <c r="S454" s="72"/>
      <c r="T454" s="72"/>
      <c r="U454" s="72"/>
      <c r="V454" s="72"/>
    </row>
    <row r="455" spans="1:22" ht="27.75" customHeight="1">
      <c r="A455" s="87" t="str">
        <f>IF(ISBLANK(C455)," ",450-COUNTBLANK($C$6:C455))</f>
        <v xml:space="preserve"> </v>
      </c>
      <c r="B455" s="88"/>
      <c r="C455" s="88"/>
      <c r="D455" s="89"/>
      <c r="E455" s="89"/>
      <c r="F455" s="73"/>
      <c r="G455" s="73"/>
      <c r="H455" s="73"/>
      <c r="I455" s="73"/>
      <c r="J455" s="73"/>
      <c r="K455" s="73"/>
      <c r="L455" s="73"/>
      <c r="M455" s="74"/>
      <c r="N455" s="71" t="str">
        <f t="shared" si="7"/>
        <v/>
      </c>
      <c r="O455" s="72"/>
      <c r="P455" s="72"/>
      <c r="Q455" s="72"/>
      <c r="R455" s="72"/>
      <c r="S455" s="72"/>
      <c r="T455" s="72"/>
      <c r="U455" s="72"/>
      <c r="V455" s="72"/>
    </row>
    <row r="456" spans="1:22" ht="27.75" customHeight="1">
      <c r="A456" s="87" t="str">
        <f>IF(ISBLANK(C456)," ",451-COUNTBLANK($C$6:C456))</f>
        <v xml:space="preserve"> </v>
      </c>
      <c r="B456" s="88"/>
      <c r="C456" s="88"/>
      <c r="D456" s="89"/>
      <c r="E456" s="89"/>
      <c r="F456" s="73"/>
      <c r="G456" s="73"/>
      <c r="H456" s="73"/>
      <c r="I456" s="73"/>
      <c r="J456" s="73"/>
      <c r="K456" s="73"/>
      <c r="L456" s="73"/>
      <c r="M456" s="74"/>
      <c r="N456" s="71" t="str">
        <f t="shared" si="7"/>
        <v/>
      </c>
      <c r="O456" s="72"/>
      <c r="P456" s="72"/>
      <c r="Q456" s="72"/>
      <c r="R456" s="72"/>
      <c r="S456" s="72"/>
      <c r="T456" s="72"/>
      <c r="U456" s="72"/>
      <c r="V456" s="72"/>
    </row>
    <row r="457" spans="1:22" ht="27.75" customHeight="1">
      <c r="A457" s="87" t="str">
        <f>IF(ISBLANK(C457)," ",452-COUNTBLANK($C$6:C457))</f>
        <v xml:space="preserve"> </v>
      </c>
      <c r="B457" s="88"/>
      <c r="C457" s="88"/>
      <c r="D457" s="89"/>
      <c r="E457" s="89"/>
      <c r="F457" s="73"/>
      <c r="G457" s="73"/>
      <c r="H457" s="73"/>
      <c r="I457" s="73"/>
      <c r="J457" s="73"/>
      <c r="K457" s="73"/>
      <c r="L457" s="73"/>
      <c r="M457" s="74"/>
      <c r="N457" s="71" t="str">
        <f t="shared" si="7"/>
        <v/>
      </c>
      <c r="O457" s="72"/>
      <c r="P457" s="72"/>
      <c r="Q457" s="72"/>
      <c r="R457" s="72"/>
      <c r="S457" s="72"/>
      <c r="T457" s="72"/>
      <c r="U457" s="72"/>
      <c r="V457" s="72"/>
    </row>
    <row r="458" spans="1:22" ht="27.75" customHeight="1">
      <c r="A458" s="87" t="str">
        <f>IF(ISBLANK(C458)," ",453-COUNTBLANK($C$6:C458))</f>
        <v xml:space="preserve"> </v>
      </c>
      <c r="B458" s="88"/>
      <c r="C458" s="88"/>
      <c r="D458" s="89"/>
      <c r="E458" s="89"/>
      <c r="F458" s="73"/>
      <c r="G458" s="73"/>
      <c r="H458" s="73"/>
      <c r="I458" s="73"/>
      <c r="J458" s="73"/>
      <c r="K458" s="73"/>
      <c r="L458" s="73"/>
      <c r="M458" s="74"/>
      <c r="N458" s="71" t="str">
        <f t="shared" si="7"/>
        <v/>
      </c>
      <c r="O458" s="72"/>
      <c r="P458" s="72"/>
      <c r="Q458" s="72"/>
      <c r="R458" s="72"/>
      <c r="S458" s="72"/>
      <c r="T458" s="72"/>
      <c r="U458" s="72"/>
      <c r="V458" s="72"/>
    </row>
    <row r="459" spans="1:22" ht="27.75" customHeight="1">
      <c r="A459" s="87" t="str">
        <f>IF(ISBLANK(C459)," ",454-COUNTBLANK($C$6:C459))</f>
        <v xml:space="preserve"> </v>
      </c>
      <c r="B459" s="88"/>
      <c r="C459" s="88"/>
      <c r="D459" s="89"/>
      <c r="E459" s="89"/>
      <c r="F459" s="73"/>
      <c r="G459" s="73"/>
      <c r="H459" s="73"/>
      <c r="I459" s="73"/>
      <c r="J459" s="73"/>
      <c r="K459" s="73"/>
      <c r="L459" s="73"/>
      <c r="M459" s="74"/>
      <c r="N459" s="71" t="str">
        <f t="shared" si="7"/>
        <v/>
      </c>
      <c r="O459" s="72"/>
      <c r="P459" s="72"/>
      <c r="Q459" s="72"/>
      <c r="R459" s="72"/>
      <c r="S459" s="72"/>
      <c r="T459" s="72"/>
      <c r="U459" s="72"/>
      <c r="V459" s="72"/>
    </row>
    <row r="460" spans="1:22" ht="27.75" customHeight="1">
      <c r="A460" s="87" t="str">
        <f>IF(ISBLANK(C460)," ",455-COUNTBLANK($C$6:C460))</f>
        <v xml:space="preserve"> </v>
      </c>
      <c r="B460" s="88"/>
      <c r="C460" s="88"/>
      <c r="D460" s="89"/>
      <c r="E460" s="89"/>
      <c r="F460" s="73"/>
      <c r="G460" s="73"/>
      <c r="H460" s="73"/>
      <c r="I460" s="73"/>
      <c r="J460" s="73"/>
      <c r="K460" s="73"/>
      <c r="L460" s="73"/>
      <c r="M460" s="74"/>
      <c r="N460" s="71" t="str">
        <f t="shared" si="7"/>
        <v/>
      </c>
      <c r="O460" s="72"/>
      <c r="P460" s="72"/>
      <c r="Q460" s="72"/>
      <c r="R460" s="72"/>
      <c r="S460" s="72"/>
      <c r="T460" s="72"/>
      <c r="U460" s="72"/>
      <c r="V460" s="72"/>
    </row>
    <row r="461" spans="1:22" ht="27.75" customHeight="1">
      <c r="A461" s="87" t="str">
        <f>IF(ISBLANK(C461)," ",456-COUNTBLANK($C$6:C461))</f>
        <v xml:space="preserve"> </v>
      </c>
      <c r="B461" s="88"/>
      <c r="C461" s="88"/>
      <c r="D461" s="89"/>
      <c r="E461" s="89"/>
      <c r="F461" s="73"/>
      <c r="G461" s="73"/>
      <c r="H461" s="73"/>
      <c r="I461" s="73"/>
      <c r="J461" s="73"/>
      <c r="K461" s="73"/>
      <c r="L461" s="73"/>
      <c r="M461" s="74"/>
      <c r="N461" s="71" t="str">
        <f t="shared" si="7"/>
        <v/>
      </c>
      <c r="O461" s="72"/>
      <c r="P461" s="72"/>
      <c r="Q461" s="72"/>
      <c r="R461" s="72"/>
      <c r="S461" s="72"/>
      <c r="T461" s="72"/>
      <c r="U461" s="72"/>
      <c r="V461" s="72"/>
    </row>
    <row r="462" spans="1:22" ht="27.75" customHeight="1">
      <c r="A462" s="87" t="str">
        <f>IF(ISBLANK(C462)," ",457-COUNTBLANK($C$6:C462))</f>
        <v xml:space="preserve"> </v>
      </c>
      <c r="B462" s="88"/>
      <c r="C462" s="88"/>
      <c r="D462" s="89"/>
      <c r="E462" s="89"/>
      <c r="F462" s="73"/>
      <c r="G462" s="73"/>
      <c r="H462" s="73"/>
      <c r="I462" s="73"/>
      <c r="J462" s="73"/>
      <c r="K462" s="73"/>
      <c r="L462" s="73"/>
      <c r="M462" s="74"/>
      <c r="N462" s="71" t="str">
        <f t="shared" si="7"/>
        <v/>
      </c>
      <c r="O462" s="75"/>
      <c r="P462" s="72"/>
      <c r="Q462" s="72"/>
      <c r="R462" s="72"/>
      <c r="S462" s="72"/>
      <c r="T462" s="72"/>
      <c r="U462" s="72"/>
      <c r="V462" s="76"/>
    </row>
    <row r="463" spans="1:22" ht="27.75" customHeight="1">
      <c r="A463" s="87" t="str">
        <f>IF(ISBLANK(C463)," ",458-COUNTBLANK($C$6:C463))</f>
        <v xml:space="preserve"> </v>
      </c>
      <c r="B463" s="88"/>
      <c r="C463" s="88"/>
      <c r="D463" s="89"/>
      <c r="E463" s="89"/>
      <c r="F463" s="73"/>
      <c r="G463" s="73"/>
      <c r="H463" s="73"/>
      <c r="I463" s="73"/>
      <c r="J463" s="73"/>
      <c r="K463" s="73"/>
      <c r="L463" s="73"/>
      <c r="M463" s="74"/>
      <c r="N463" s="71" t="str">
        <f t="shared" si="7"/>
        <v/>
      </c>
      <c r="O463" s="75"/>
      <c r="P463" s="72"/>
      <c r="Q463" s="72"/>
      <c r="R463" s="72"/>
      <c r="S463" s="72"/>
      <c r="T463" s="72"/>
      <c r="U463" s="72"/>
      <c r="V463" s="76"/>
    </row>
    <row r="464" spans="1:22" ht="27.75" customHeight="1">
      <c r="A464" s="87" t="str">
        <f>IF(ISBLANK(C464)," ",459-COUNTBLANK($C$6:C464))</f>
        <v xml:space="preserve"> </v>
      </c>
      <c r="B464" s="88"/>
      <c r="C464" s="88"/>
      <c r="D464" s="89"/>
      <c r="E464" s="89"/>
      <c r="F464" s="73"/>
      <c r="G464" s="73"/>
      <c r="H464" s="73"/>
      <c r="I464" s="73"/>
      <c r="J464" s="73"/>
      <c r="K464" s="73"/>
      <c r="L464" s="73"/>
      <c r="M464" s="74"/>
      <c r="N464" s="71" t="str">
        <f t="shared" si="7"/>
        <v/>
      </c>
      <c r="O464" s="75"/>
      <c r="P464" s="72"/>
      <c r="Q464" s="72"/>
      <c r="R464" s="72"/>
      <c r="S464" s="72"/>
      <c r="T464" s="72"/>
      <c r="U464" s="72"/>
      <c r="V464" s="76"/>
    </row>
    <row r="465" spans="1:25" ht="27.75" customHeight="1">
      <c r="A465" s="87" t="str">
        <f>IF(ISBLANK(C465)," ",460-COUNTBLANK($C$6:C465))</f>
        <v xml:space="preserve"> </v>
      </c>
      <c r="B465" s="88"/>
      <c r="C465" s="88"/>
      <c r="D465" s="89"/>
      <c r="E465" s="89"/>
      <c r="F465" s="73"/>
      <c r="G465" s="73"/>
      <c r="H465" s="73"/>
      <c r="I465" s="73"/>
      <c r="J465" s="73"/>
      <c r="K465" s="73"/>
      <c r="L465" s="73"/>
      <c r="M465" s="74"/>
      <c r="N465" s="71" t="str">
        <f t="shared" si="7"/>
        <v/>
      </c>
      <c r="O465" s="75"/>
      <c r="P465" s="72"/>
      <c r="Q465" s="72"/>
      <c r="R465" s="72"/>
      <c r="S465" s="72"/>
      <c r="T465" s="72"/>
      <c r="U465" s="72"/>
      <c r="V465" s="76"/>
    </row>
    <row r="466" spans="1:25" ht="27.75" customHeight="1">
      <c r="A466" s="87" t="str">
        <f>IF(ISBLANK(C466)," ",461-COUNTBLANK($C$6:C466))</f>
        <v xml:space="preserve"> </v>
      </c>
      <c r="B466" s="88"/>
      <c r="C466" s="88"/>
      <c r="D466" s="89"/>
      <c r="E466" s="89"/>
      <c r="F466" s="73"/>
      <c r="G466" s="73"/>
      <c r="H466" s="73"/>
      <c r="I466" s="73"/>
      <c r="J466" s="73"/>
      <c r="K466" s="73"/>
      <c r="L466" s="73"/>
      <c r="M466" s="74"/>
      <c r="N466" s="71" t="str">
        <f t="shared" si="7"/>
        <v/>
      </c>
      <c r="O466" s="72"/>
      <c r="P466" s="72"/>
      <c r="Q466" s="72"/>
      <c r="R466" s="72"/>
      <c r="S466" s="72"/>
      <c r="T466" s="72"/>
      <c r="U466" s="72"/>
      <c r="V466" s="79"/>
      <c r="W466" s="72"/>
      <c r="X466" s="72"/>
      <c r="Y466" s="72"/>
    </row>
    <row r="467" spans="1:25" ht="27.75" customHeight="1">
      <c r="A467" s="80" t="s">
        <v>58</v>
      </c>
      <c r="B467" s="81"/>
      <c r="C467" s="96"/>
      <c r="D467" s="82"/>
      <c r="E467" s="82">
        <f>SUM(E447:E466)</f>
        <v>0</v>
      </c>
      <c r="F467" s="83"/>
      <c r="G467" s="83"/>
      <c r="H467" s="83"/>
      <c r="I467" s="83"/>
      <c r="J467" s="83"/>
      <c r="K467" s="83"/>
      <c r="L467" s="83"/>
      <c r="M467" s="84"/>
      <c r="N467" s="71" t="str">
        <f t="shared" si="7"/>
        <v/>
      </c>
      <c r="O467" s="75"/>
      <c r="P467" s="72"/>
      <c r="Q467" s="72"/>
      <c r="R467" s="72"/>
      <c r="S467" s="72"/>
      <c r="T467" s="72"/>
      <c r="U467" s="72"/>
      <c r="V467" s="79"/>
      <c r="W467" s="72"/>
      <c r="X467" s="72"/>
      <c r="Y467" s="72"/>
    </row>
    <row r="468" spans="1:25" ht="27.75" customHeight="1">
      <c r="A468" s="93" t="str">
        <f>IF(ISBLANK(C468)," ",463-COUNTBLANK($C$6:C468))</f>
        <v xml:space="preserve"> </v>
      </c>
      <c r="B468" s="94"/>
      <c r="C468" s="94"/>
      <c r="D468" s="95"/>
      <c r="E468" s="95"/>
      <c r="F468" s="85"/>
      <c r="G468" s="85"/>
      <c r="H468" s="85"/>
      <c r="I468" s="85"/>
      <c r="J468" s="85"/>
      <c r="K468" s="85"/>
      <c r="L468" s="85"/>
      <c r="M468" s="86"/>
      <c r="N468" s="71" t="str">
        <f t="shared" si="7"/>
        <v/>
      </c>
      <c r="O468" s="72"/>
      <c r="P468" s="72"/>
      <c r="Q468" s="72"/>
      <c r="R468" s="72"/>
      <c r="S468" s="72"/>
      <c r="T468" s="72"/>
      <c r="U468" s="72"/>
      <c r="V468" s="72"/>
    </row>
    <row r="469" spans="1:25" ht="27.75" customHeight="1">
      <c r="A469" s="87" t="str">
        <f>IF(ISBLANK(C469)," ",464-COUNTBLANK($C$6:C469))</f>
        <v xml:space="preserve"> </v>
      </c>
      <c r="B469" s="88"/>
      <c r="C469" s="88"/>
      <c r="D469" s="89"/>
      <c r="E469" s="89"/>
      <c r="F469" s="73"/>
      <c r="G469" s="73"/>
      <c r="H469" s="73"/>
      <c r="I469" s="73"/>
      <c r="J469" s="73"/>
      <c r="K469" s="73"/>
      <c r="L469" s="73"/>
      <c r="M469" s="74"/>
      <c r="N469" s="71" t="str">
        <f t="shared" si="7"/>
        <v/>
      </c>
      <c r="O469" s="72"/>
      <c r="P469" s="72"/>
      <c r="Q469" s="72"/>
      <c r="R469" s="72"/>
      <c r="S469" s="72"/>
      <c r="T469" s="72"/>
      <c r="U469" s="72"/>
      <c r="V469" s="72"/>
    </row>
    <row r="470" spans="1:25" ht="27.75" customHeight="1">
      <c r="A470" s="87" t="str">
        <f>IF(ISBLANK(C470)," ",465-COUNTBLANK($C$6:C470))</f>
        <v xml:space="preserve"> </v>
      </c>
      <c r="B470" s="88"/>
      <c r="C470" s="88"/>
      <c r="D470" s="89"/>
      <c r="E470" s="89"/>
      <c r="F470" s="73"/>
      <c r="G470" s="73"/>
      <c r="H470" s="73"/>
      <c r="I470" s="73"/>
      <c r="J470" s="73"/>
      <c r="K470" s="73"/>
      <c r="L470" s="73"/>
      <c r="M470" s="74"/>
      <c r="N470" s="71" t="str">
        <f t="shared" si="7"/>
        <v/>
      </c>
      <c r="O470" s="72"/>
      <c r="P470" s="72"/>
      <c r="Q470" s="72"/>
      <c r="R470" s="72"/>
      <c r="S470" s="72"/>
      <c r="T470" s="72"/>
      <c r="U470" s="72"/>
      <c r="V470" s="72"/>
    </row>
    <row r="471" spans="1:25" ht="27.75" customHeight="1">
      <c r="A471" s="87" t="str">
        <f>IF(ISBLANK(C471)," ",466-COUNTBLANK($C$6:C471))</f>
        <v xml:space="preserve"> </v>
      </c>
      <c r="B471" s="88"/>
      <c r="C471" s="88"/>
      <c r="D471" s="89"/>
      <c r="E471" s="89"/>
      <c r="F471" s="73"/>
      <c r="G471" s="73"/>
      <c r="H471" s="73"/>
      <c r="I471" s="73"/>
      <c r="J471" s="73"/>
      <c r="K471" s="73"/>
      <c r="L471" s="73"/>
      <c r="M471" s="74"/>
      <c r="N471" s="71" t="str">
        <f t="shared" si="7"/>
        <v/>
      </c>
      <c r="O471" s="72"/>
      <c r="P471" s="72"/>
      <c r="Q471" s="72"/>
      <c r="R471" s="72"/>
      <c r="S471" s="72"/>
      <c r="T471" s="72"/>
      <c r="U471" s="72"/>
      <c r="V471" s="72"/>
    </row>
    <row r="472" spans="1:25" ht="27.75" customHeight="1">
      <c r="A472" s="87" t="str">
        <f>IF(ISBLANK(C472)," ",467-COUNTBLANK($C$6:C472))</f>
        <v xml:space="preserve"> </v>
      </c>
      <c r="B472" s="88"/>
      <c r="C472" s="88"/>
      <c r="D472" s="89"/>
      <c r="E472" s="89"/>
      <c r="F472" s="73"/>
      <c r="G472" s="73"/>
      <c r="H472" s="73"/>
      <c r="I472" s="73"/>
      <c r="J472" s="73"/>
      <c r="K472" s="73"/>
      <c r="L472" s="73"/>
      <c r="M472" s="74"/>
      <c r="N472" s="71" t="str">
        <f t="shared" si="7"/>
        <v/>
      </c>
      <c r="O472" s="72"/>
      <c r="P472" s="72"/>
      <c r="Q472" s="72"/>
      <c r="R472" s="72"/>
      <c r="S472" s="72"/>
      <c r="T472" s="72"/>
      <c r="U472" s="72"/>
      <c r="V472" s="72"/>
    </row>
    <row r="473" spans="1:25" ht="27.75" customHeight="1">
      <c r="A473" s="87" t="str">
        <f>IF(ISBLANK(C473)," ",468-COUNTBLANK($C$6:C473))</f>
        <v xml:space="preserve"> </v>
      </c>
      <c r="B473" s="88"/>
      <c r="C473" s="88"/>
      <c r="D473" s="89"/>
      <c r="E473" s="89"/>
      <c r="F473" s="73"/>
      <c r="G473" s="73"/>
      <c r="H473" s="73"/>
      <c r="I473" s="73"/>
      <c r="J473" s="73"/>
      <c r="K473" s="73"/>
      <c r="L473" s="73"/>
      <c r="M473" s="74"/>
      <c r="N473" s="71" t="str">
        <f t="shared" si="7"/>
        <v/>
      </c>
      <c r="O473" s="72"/>
      <c r="P473" s="72"/>
      <c r="Q473" s="72"/>
      <c r="R473" s="72"/>
      <c r="S473" s="72"/>
      <c r="T473" s="72"/>
      <c r="U473" s="72"/>
      <c r="V473" s="72"/>
    </row>
    <row r="474" spans="1:25" ht="27.75" customHeight="1">
      <c r="A474" s="87" t="str">
        <f>IF(ISBLANK(C474)," ",469-COUNTBLANK($C$6:C474))</f>
        <v xml:space="preserve"> </v>
      </c>
      <c r="B474" s="88"/>
      <c r="C474" s="88"/>
      <c r="D474" s="89"/>
      <c r="E474" s="89"/>
      <c r="F474" s="73"/>
      <c r="G474" s="73"/>
      <c r="H474" s="73"/>
      <c r="I474" s="73"/>
      <c r="J474" s="73"/>
      <c r="K474" s="73"/>
      <c r="L474" s="73"/>
      <c r="M474" s="74"/>
      <c r="N474" s="71" t="str">
        <f t="shared" si="7"/>
        <v/>
      </c>
      <c r="O474" s="72"/>
      <c r="P474" s="72"/>
      <c r="Q474" s="72"/>
      <c r="R474" s="72"/>
      <c r="S474" s="72"/>
      <c r="T474" s="72"/>
      <c r="U474" s="72"/>
      <c r="V474" s="72"/>
    </row>
    <row r="475" spans="1:25" ht="27.75" customHeight="1">
      <c r="A475" s="87" t="str">
        <f>IF(ISBLANK(C475)," ",470-COUNTBLANK($C$6:C475))</f>
        <v xml:space="preserve"> </v>
      </c>
      <c r="B475" s="88"/>
      <c r="C475" s="88"/>
      <c r="D475" s="89"/>
      <c r="E475" s="89"/>
      <c r="F475" s="73"/>
      <c r="G475" s="73"/>
      <c r="H475" s="73"/>
      <c r="I475" s="73"/>
      <c r="J475" s="73"/>
      <c r="K475" s="73"/>
      <c r="L475" s="73"/>
      <c r="M475" s="74"/>
      <c r="N475" s="71" t="str">
        <f t="shared" si="7"/>
        <v/>
      </c>
      <c r="O475" s="72"/>
      <c r="P475" s="72"/>
      <c r="Q475" s="72"/>
      <c r="R475" s="72"/>
      <c r="S475" s="72"/>
      <c r="T475" s="72"/>
      <c r="U475" s="72"/>
      <c r="V475" s="72"/>
    </row>
    <row r="476" spans="1:25" ht="27.75" customHeight="1">
      <c r="A476" s="87" t="str">
        <f>IF(ISBLANK(C476)," ",471-COUNTBLANK($C$6:C476))</f>
        <v xml:space="preserve"> </v>
      </c>
      <c r="B476" s="88"/>
      <c r="C476" s="88"/>
      <c r="D476" s="89"/>
      <c r="E476" s="89"/>
      <c r="F476" s="73"/>
      <c r="G476" s="73"/>
      <c r="H476" s="73"/>
      <c r="I476" s="73"/>
      <c r="J476" s="73"/>
      <c r="K476" s="73"/>
      <c r="L476" s="73"/>
      <c r="M476" s="74"/>
      <c r="N476" s="71" t="str">
        <f t="shared" si="7"/>
        <v/>
      </c>
      <c r="O476" s="72"/>
      <c r="P476" s="72"/>
      <c r="Q476" s="72"/>
      <c r="R476" s="72"/>
      <c r="S476" s="72"/>
      <c r="T476" s="72"/>
      <c r="U476" s="72"/>
      <c r="V476" s="72"/>
    </row>
    <row r="477" spans="1:25" ht="27.75" customHeight="1">
      <c r="A477" s="87" t="str">
        <f>IF(ISBLANK(C477)," ",472-COUNTBLANK($C$6:C477))</f>
        <v xml:space="preserve"> </v>
      </c>
      <c r="B477" s="88"/>
      <c r="C477" s="88"/>
      <c r="D477" s="89"/>
      <c r="E477" s="89"/>
      <c r="F477" s="73"/>
      <c r="G477" s="73"/>
      <c r="H477" s="73"/>
      <c r="I477" s="73"/>
      <c r="J477" s="73"/>
      <c r="K477" s="73"/>
      <c r="L477" s="73"/>
      <c r="M477" s="74"/>
      <c r="N477" s="71" t="str">
        <f t="shared" si="7"/>
        <v/>
      </c>
      <c r="O477" s="72"/>
      <c r="P477" s="72"/>
      <c r="Q477" s="72"/>
      <c r="R477" s="72"/>
      <c r="S477" s="72"/>
      <c r="T477" s="72"/>
      <c r="U477" s="72"/>
      <c r="V477" s="72"/>
    </row>
    <row r="478" spans="1:25" ht="27.75" customHeight="1">
      <c r="A478" s="87" t="str">
        <f>IF(ISBLANK(C478)," ",473-COUNTBLANK($C$6:C478))</f>
        <v xml:space="preserve"> </v>
      </c>
      <c r="B478" s="88"/>
      <c r="C478" s="88"/>
      <c r="D478" s="89"/>
      <c r="E478" s="89"/>
      <c r="F478" s="73"/>
      <c r="G478" s="73"/>
      <c r="H478" s="73"/>
      <c r="I478" s="73"/>
      <c r="J478" s="73"/>
      <c r="K478" s="73"/>
      <c r="L478" s="73"/>
      <c r="M478" s="74"/>
      <c r="N478" s="71" t="str">
        <f t="shared" si="7"/>
        <v/>
      </c>
      <c r="O478" s="72"/>
      <c r="P478" s="72"/>
      <c r="Q478" s="72"/>
      <c r="R478" s="72"/>
      <c r="S478" s="72"/>
      <c r="T478" s="72"/>
      <c r="U478" s="72"/>
      <c r="V478" s="72"/>
    </row>
    <row r="479" spans="1:25" ht="27.75" customHeight="1">
      <c r="A479" s="87" t="str">
        <f>IF(ISBLANK(C479)," ",474-COUNTBLANK($C$6:C479))</f>
        <v xml:space="preserve"> </v>
      </c>
      <c r="B479" s="88"/>
      <c r="C479" s="88"/>
      <c r="D479" s="89"/>
      <c r="E479" s="89"/>
      <c r="F479" s="73"/>
      <c r="G479" s="73"/>
      <c r="H479" s="73"/>
      <c r="I479" s="73"/>
      <c r="J479" s="73"/>
      <c r="K479" s="73"/>
      <c r="L479" s="73"/>
      <c r="M479" s="74"/>
      <c r="N479" s="71" t="str">
        <f t="shared" si="7"/>
        <v/>
      </c>
      <c r="O479" s="72"/>
      <c r="P479" s="72"/>
      <c r="Q479" s="72"/>
      <c r="R479" s="72"/>
      <c r="S479" s="72"/>
      <c r="T479" s="72"/>
      <c r="U479" s="72"/>
      <c r="V479" s="72"/>
    </row>
    <row r="480" spans="1:25" ht="27.75" customHeight="1">
      <c r="A480" s="87" t="str">
        <f>IF(ISBLANK(C480)," ",475-COUNTBLANK($C$6:C480))</f>
        <v xml:space="preserve"> </v>
      </c>
      <c r="B480" s="88"/>
      <c r="C480" s="88"/>
      <c r="D480" s="89"/>
      <c r="E480" s="89"/>
      <c r="F480" s="73"/>
      <c r="G480" s="73"/>
      <c r="H480" s="73"/>
      <c r="I480" s="73"/>
      <c r="J480" s="73"/>
      <c r="K480" s="73"/>
      <c r="L480" s="73"/>
      <c r="M480" s="74"/>
      <c r="N480" s="71" t="str">
        <f t="shared" si="7"/>
        <v/>
      </c>
      <c r="O480" s="72"/>
      <c r="P480" s="72"/>
      <c r="Q480" s="72"/>
      <c r="R480" s="72"/>
      <c r="S480" s="72"/>
      <c r="T480" s="72"/>
      <c r="U480" s="72"/>
      <c r="V480" s="72"/>
    </row>
    <row r="481" spans="1:25" ht="27.75" customHeight="1">
      <c r="A481" s="87" t="str">
        <f>IF(ISBLANK(C481)," ",476-COUNTBLANK($C$6:C481))</f>
        <v xml:space="preserve"> </v>
      </c>
      <c r="B481" s="88"/>
      <c r="C481" s="88"/>
      <c r="D481" s="89"/>
      <c r="E481" s="89"/>
      <c r="F481" s="73"/>
      <c r="G481" s="73"/>
      <c r="H481" s="73"/>
      <c r="I481" s="73"/>
      <c r="J481" s="73"/>
      <c r="K481" s="73"/>
      <c r="L481" s="73"/>
      <c r="M481" s="74"/>
      <c r="N481" s="71" t="str">
        <f t="shared" si="7"/>
        <v/>
      </c>
      <c r="O481" s="72"/>
      <c r="P481" s="72"/>
      <c r="Q481" s="72"/>
      <c r="R481" s="72"/>
      <c r="S481" s="72"/>
      <c r="T481" s="72"/>
      <c r="U481" s="72"/>
      <c r="V481" s="72"/>
    </row>
    <row r="482" spans="1:25" ht="27.75" customHeight="1">
      <c r="A482" s="87" t="str">
        <f>IF(ISBLANK(C482)," ",477-COUNTBLANK($C$6:C482))</f>
        <v xml:space="preserve"> </v>
      </c>
      <c r="B482" s="88"/>
      <c r="C482" s="88"/>
      <c r="D482" s="89"/>
      <c r="E482" s="89"/>
      <c r="F482" s="73"/>
      <c r="G482" s="73"/>
      <c r="H482" s="73"/>
      <c r="I482" s="73"/>
      <c r="J482" s="73"/>
      <c r="K482" s="73"/>
      <c r="L482" s="73"/>
      <c r="M482" s="74"/>
      <c r="N482" s="71" t="str">
        <f t="shared" si="7"/>
        <v/>
      </c>
      <c r="O482" s="72"/>
      <c r="P482" s="72"/>
      <c r="Q482" s="72"/>
      <c r="R482" s="72"/>
      <c r="S482" s="72"/>
      <c r="T482" s="72"/>
      <c r="U482" s="72"/>
      <c r="V482" s="72"/>
    </row>
    <row r="483" spans="1:25" ht="27.75" customHeight="1">
      <c r="A483" s="87" t="str">
        <f>IF(ISBLANK(C483)," ",478-COUNTBLANK($C$6:C483))</f>
        <v xml:space="preserve"> </v>
      </c>
      <c r="B483" s="88"/>
      <c r="C483" s="88"/>
      <c r="D483" s="89"/>
      <c r="E483" s="89"/>
      <c r="F483" s="73"/>
      <c r="G483" s="73"/>
      <c r="H483" s="73"/>
      <c r="I483" s="73"/>
      <c r="J483" s="73"/>
      <c r="K483" s="73"/>
      <c r="L483" s="73"/>
      <c r="M483" s="74"/>
      <c r="N483" s="71" t="str">
        <f t="shared" si="7"/>
        <v/>
      </c>
      <c r="O483" s="75"/>
      <c r="P483" s="72"/>
      <c r="Q483" s="72"/>
      <c r="R483" s="72"/>
      <c r="S483" s="72"/>
      <c r="T483" s="72"/>
      <c r="U483" s="72"/>
      <c r="V483" s="76"/>
    </row>
    <row r="484" spans="1:25" ht="27.75" customHeight="1">
      <c r="A484" s="87" t="str">
        <f>IF(ISBLANK(C484)," ",479-COUNTBLANK($C$6:C484))</f>
        <v xml:space="preserve"> </v>
      </c>
      <c r="B484" s="88"/>
      <c r="C484" s="88"/>
      <c r="D484" s="89"/>
      <c r="E484" s="89"/>
      <c r="F484" s="73"/>
      <c r="G484" s="73"/>
      <c r="H484" s="73"/>
      <c r="I484" s="73"/>
      <c r="J484" s="73"/>
      <c r="K484" s="73"/>
      <c r="L484" s="73"/>
      <c r="M484" s="74"/>
      <c r="N484" s="71" t="str">
        <f t="shared" si="7"/>
        <v/>
      </c>
      <c r="O484" s="75"/>
      <c r="P484" s="72"/>
      <c r="Q484" s="72"/>
      <c r="R484" s="72"/>
      <c r="S484" s="72"/>
      <c r="T484" s="72"/>
      <c r="U484" s="72"/>
      <c r="V484" s="76"/>
    </row>
    <row r="485" spans="1:25" ht="27.75" customHeight="1">
      <c r="A485" s="87" t="str">
        <f>IF(ISBLANK(C485)," ",480-COUNTBLANK($C$6:C485))</f>
        <v xml:space="preserve"> </v>
      </c>
      <c r="B485" s="88"/>
      <c r="C485" s="88"/>
      <c r="D485" s="89"/>
      <c r="E485" s="89"/>
      <c r="F485" s="73"/>
      <c r="G485" s="73"/>
      <c r="H485" s="73"/>
      <c r="I485" s="73"/>
      <c r="J485" s="73"/>
      <c r="K485" s="73"/>
      <c r="L485" s="73"/>
      <c r="M485" s="74"/>
      <c r="N485" s="71" t="str">
        <f t="shared" si="7"/>
        <v/>
      </c>
      <c r="O485" s="75"/>
      <c r="P485" s="72"/>
      <c r="Q485" s="72"/>
      <c r="R485" s="72"/>
      <c r="S485" s="72"/>
      <c r="T485" s="72"/>
      <c r="U485" s="72"/>
      <c r="V485" s="76"/>
    </row>
    <row r="486" spans="1:25" ht="27.75" customHeight="1">
      <c r="A486" s="87" t="str">
        <f>IF(ISBLANK(C486)," ",481-COUNTBLANK($C$6:C486))</f>
        <v xml:space="preserve"> </v>
      </c>
      <c r="B486" s="88"/>
      <c r="C486" s="88"/>
      <c r="D486" s="89"/>
      <c r="E486" s="89"/>
      <c r="F486" s="73"/>
      <c r="G486" s="73"/>
      <c r="H486" s="73"/>
      <c r="I486" s="73"/>
      <c r="J486" s="73"/>
      <c r="K486" s="73"/>
      <c r="L486" s="73"/>
      <c r="M486" s="74"/>
      <c r="N486" s="71" t="str">
        <f t="shared" si="7"/>
        <v/>
      </c>
      <c r="O486" s="75"/>
      <c r="P486" s="72"/>
      <c r="Q486" s="72"/>
      <c r="R486" s="72"/>
      <c r="S486" s="72"/>
      <c r="T486" s="72"/>
      <c r="U486" s="72"/>
      <c r="V486" s="76"/>
    </row>
    <row r="487" spans="1:25" ht="27.75" customHeight="1">
      <c r="A487" s="87" t="str">
        <f>IF(ISBLANK(C487)," ",482-COUNTBLANK($C$6:C487))</f>
        <v xml:space="preserve"> </v>
      </c>
      <c r="B487" s="88"/>
      <c r="C487" s="88"/>
      <c r="D487" s="89"/>
      <c r="E487" s="89"/>
      <c r="F487" s="73"/>
      <c r="G487" s="73"/>
      <c r="H487" s="73"/>
      <c r="I487" s="73"/>
      <c r="J487" s="73"/>
      <c r="K487" s="73"/>
      <c r="L487" s="73"/>
      <c r="M487" s="74"/>
      <c r="N487" s="71" t="str">
        <f t="shared" si="7"/>
        <v/>
      </c>
      <c r="O487" s="72"/>
      <c r="P487" s="72"/>
      <c r="Q487" s="72"/>
      <c r="R487" s="72"/>
      <c r="S487" s="72"/>
      <c r="T487" s="72"/>
      <c r="U487" s="72"/>
      <c r="V487" s="79"/>
      <c r="W487" s="72"/>
      <c r="X487" s="72"/>
      <c r="Y487" s="72"/>
    </row>
    <row r="488" spans="1:25" ht="27.75" customHeight="1">
      <c r="A488" s="80" t="s">
        <v>58</v>
      </c>
      <c r="B488" s="81"/>
      <c r="C488" s="96"/>
      <c r="D488" s="82"/>
      <c r="E488" s="82">
        <f>SUM(E468:E487)</f>
        <v>0</v>
      </c>
      <c r="F488" s="83"/>
      <c r="G488" s="83"/>
      <c r="H488" s="83"/>
      <c r="I488" s="83"/>
      <c r="J488" s="83"/>
      <c r="K488" s="83"/>
      <c r="L488" s="83"/>
      <c r="M488" s="84"/>
      <c r="N488" s="71" t="str">
        <f t="shared" si="7"/>
        <v/>
      </c>
      <c r="O488" s="75"/>
      <c r="P488" s="72"/>
      <c r="Q488" s="72"/>
      <c r="R488" s="72"/>
      <c r="S488" s="72"/>
      <c r="T488" s="72"/>
      <c r="U488" s="72"/>
      <c r="V488" s="79"/>
      <c r="W488" s="72"/>
      <c r="X488" s="72"/>
      <c r="Y488" s="72"/>
    </row>
    <row r="489" spans="1:25" ht="27.75" customHeight="1">
      <c r="A489" s="93" t="str">
        <f>IF(ISBLANK(C489)," ",484-COUNTBLANK($C$6:C489))</f>
        <v xml:space="preserve"> </v>
      </c>
      <c r="B489" s="94"/>
      <c r="C489" s="94"/>
      <c r="D489" s="95"/>
      <c r="E489" s="95"/>
      <c r="F489" s="85"/>
      <c r="G489" s="85"/>
      <c r="H489" s="85"/>
      <c r="I489" s="85"/>
      <c r="J489" s="85"/>
      <c r="K489" s="85"/>
      <c r="L489" s="85"/>
      <c r="M489" s="86"/>
      <c r="N489" s="71" t="str">
        <f t="shared" si="7"/>
        <v/>
      </c>
      <c r="O489" s="72"/>
      <c r="P489" s="72"/>
      <c r="Q489" s="72"/>
      <c r="R489" s="72"/>
      <c r="S489" s="72"/>
      <c r="T489" s="72"/>
      <c r="U489" s="72"/>
      <c r="V489" s="72"/>
    </row>
    <row r="490" spans="1:25" ht="27.75" customHeight="1">
      <c r="A490" s="87" t="str">
        <f>IF(ISBLANK(C490)," ",485-COUNTBLANK($C$6:C490))</f>
        <v xml:space="preserve"> </v>
      </c>
      <c r="B490" s="88"/>
      <c r="C490" s="88"/>
      <c r="D490" s="89"/>
      <c r="E490" s="89"/>
      <c r="F490" s="73"/>
      <c r="G490" s="73"/>
      <c r="H490" s="73"/>
      <c r="I490" s="73"/>
      <c r="J490" s="73"/>
      <c r="K490" s="73"/>
      <c r="L490" s="73"/>
      <c r="M490" s="74"/>
      <c r="N490" s="71" t="str">
        <f t="shared" si="7"/>
        <v/>
      </c>
      <c r="O490" s="72"/>
      <c r="P490" s="72"/>
      <c r="Q490" s="72"/>
      <c r="R490" s="72"/>
      <c r="S490" s="72"/>
      <c r="T490" s="72"/>
      <c r="U490" s="72"/>
      <c r="V490" s="72"/>
    </row>
    <row r="491" spans="1:25" ht="27.75" customHeight="1">
      <c r="A491" s="87" t="str">
        <f>IF(ISBLANK(C491)," ",486-COUNTBLANK($C$6:C491))</f>
        <v xml:space="preserve"> </v>
      </c>
      <c r="B491" s="88"/>
      <c r="C491" s="88"/>
      <c r="D491" s="89"/>
      <c r="E491" s="89"/>
      <c r="F491" s="73"/>
      <c r="G491" s="73"/>
      <c r="H491" s="73"/>
      <c r="I491" s="73"/>
      <c r="J491" s="73"/>
      <c r="K491" s="73"/>
      <c r="L491" s="73"/>
      <c r="M491" s="74"/>
      <c r="N491" s="71" t="str">
        <f t="shared" si="7"/>
        <v/>
      </c>
      <c r="O491" s="72"/>
      <c r="P491" s="72"/>
      <c r="Q491" s="72"/>
      <c r="R491" s="72"/>
      <c r="S491" s="72"/>
      <c r="T491" s="72"/>
      <c r="U491" s="72"/>
      <c r="V491" s="72"/>
    </row>
    <row r="492" spans="1:25" ht="27.75" customHeight="1">
      <c r="A492" s="87" t="str">
        <f>IF(ISBLANK(C492)," ",487-COUNTBLANK($C$6:C492))</f>
        <v xml:space="preserve"> </v>
      </c>
      <c r="B492" s="88"/>
      <c r="C492" s="88"/>
      <c r="D492" s="89"/>
      <c r="E492" s="89"/>
      <c r="F492" s="73"/>
      <c r="G492" s="73"/>
      <c r="H492" s="73"/>
      <c r="I492" s="73"/>
      <c r="J492" s="73"/>
      <c r="K492" s="73"/>
      <c r="L492" s="73"/>
      <c r="M492" s="74"/>
      <c r="N492" s="71" t="str">
        <f t="shared" si="7"/>
        <v/>
      </c>
      <c r="O492" s="72"/>
      <c r="P492" s="72"/>
      <c r="Q492" s="72"/>
      <c r="R492" s="72"/>
      <c r="S492" s="72"/>
      <c r="T492" s="72"/>
      <c r="U492" s="72"/>
      <c r="V492" s="72"/>
    </row>
    <row r="493" spans="1:25" ht="27.75" customHeight="1">
      <c r="A493" s="87" t="str">
        <f>IF(ISBLANK(C493)," ",488-COUNTBLANK($C$6:C493))</f>
        <v xml:space="preserve"> </v>
      </c>
      <c r="B493" s="88"/>
      <c r="C493" s="88"/>
      <c r="D493" s="89"/>
      <c r="E493" s="89"/>
      <c r="F493" s="73"/>
      <c r="G493" s="73"/>
      <c r="H493" s="73"/>
      <c r="I493" s="73"/>
      <c r="J493" s="73"/>
      <c r="K493" s="73"/>
      <c r="L493" s="73"/>
      <c r="M493" s="74"/>
      <c r="N493" s="71" t="str">
        <f t="shared" si="7"/>
        <v/>
      </c>
      <c r="O493" s="72"/>
      <c r="P493" s="72"/>
      <c r="Q493" s="72"/>
      <c r="R493" s="72"/>
      <c r="S493" s="72"/>
      <c r="T493" s="72"/>
      <c r="U493" s="72"/>
      <c r="V493" s="72"/>
    </row>
    <row r="494" spans="1:25" ht="27.75" customHeight="1">
      <c r="A494" s="87" t="str">
        <f>IF(ISBLANK(C494)," ",489-COUNTBLANK($C$6:C494))</f>
        <v xml:space="preserve"> </v>
      </c>
      <c r="B494" s="88"/>
      <c r="C494" s="88"/>
      <c r="D494" s="89"/>
      <c r="E494" s="89"/>
      <c r="F494" s="73"/>
      <c r="G494" s="73"/>
      <c r="H494" s="73"/>
      <c r="I494" s="73"/>
      <c r="J494" s="73"/>
      <c r="K494" s="73"/>
      <c r="L494" s="73"/>
      <c r="M494" s="74"/>
      <c r="N494" s="71" t="str">
        <f t="shared" si="7"/>
        <v/>
      </c>
      <c r="O494" s="72"/>
      <c r="P494" s="72"/>
      <c r="Q494" s="72"/>
      <c r="R494" s="72"/>
      <c r="S494" s="72"/>
      <c r="T494" s="72"/>
      <c r="U494" s="72"/>
      <c r="V494" s="72"/>
    </row>
    <row r="495" spans="1:25" ht="27.75" customHeight="1">
      <c r="A495" s="87" t="str">
        <f>IF(ISBLANK(C495)," ",490-COUNTBLANK($C$6:C495))</f>
        <v xml:space="preserve"> </v>
      </c>
      <c r="B495" s="88"/>
      <c r="C495" s="88"/>
      <c r="D495" s="89"/>
      <c r="E495" s="89"/>
      <c r="F495" s="73"/>
      <c r="G495" s="73"/>
      <c r="H495" s="73"/>
      <c r="I495" s="73"/>
      <c r="J495" s="73"/>
      <c r="K495" s="73"/>
      <c r="L495" s="73"/>
      <c r="M495" s="74"/>
      <c r="N495" s="71" t="str">
        <f t="shared" si="7"/>
        <v/>
      </c>
      <c r="O495" s="72"/>
      <c r="P495" s="72"/>
      <c r="Q495" s="72"/>
      <c r="R495" s="72"/>
      <c r="S495" s="72"/>
      <c r="T495" s="72"/>
      <c r="U495" s="72"/>
      <c r="V495" s="72"/>
    </row>
    <row r="496" spans="1:25" ht="27.75" customHeight="1">
      <c r="A496" s="87" t="str">
        <f>IF(ISBLANK(C496)," ",491-COUNTBLANK($C$6:C496))</f>
        <v xml:space="preserve"> </v>
      </c>
      <c r="B496" s="88"/>
      <c r="C496" s="88"/>
      <c r="D496" s="89"/>
      <c r="E496" s="89"/>
      <c r="F496" s="73"/>
      <c r="G496" s="73"/>
      <c r="H496" s="73"/>
      <c r="I496" s="73"/>
      <c r="J496" s="73"/>
      <c r="K496" s="73"/>
      <c r="L496" s="73"/>
      <c r="M496" s="74"/>
      <c r="N496" s="71" t="str">
        <f t="shared" si="7"/>
        <v/>
      </c>
      <c r="O496" s="72"/>
      <c r="P496" s="72"/>
      <c r="Q496" s="72"/>
      <c r="R496" s="72"/>
      <c r="S496" s="72"/>
      <c r="T496" s="72"/>
      <c r="U496" s="72"/>
      <c r="V496" s="72"/>
    </row>
    <row r="497" spans="1:25" ht="27.75" customHeight="1">
      <c r="A497" s="87" t="str">
        <f>IF(ISBLANK(C497)," ",492-COUNTBLANK($C$6:C497))</f>
        <v xml:space="preserve"> </v>
      </c>
      <c r="B497" s="88"/>
      <c r="C497" s="88"/>
      <c r="D497" s="89"/>
      <c r="E497" s="89"/>
      <c r="F497" s="73"/>
      <c r="G497" s="73"/>
      <c r="H497" s="73"/>
      <c r="I497" s="73"/>
      <c r="J497" s="73"/>
      <c r="K497" s="73"/>
      <c r="L497" s="73"/>
      <c r="M497" s="74"/>
      <c r="N497" s="71" t="str">
        <f t="shared" si="7"/>
        <v/>
      </c>
      <c r="O497" s="72"/>
      <c r="P497" s="72"/>
      <c r="Q497" s="72"/>
      <c r="R497" s="72"/>
      <c r="S497" s="72"/>
      <c r="T497" s="72"/>
      <c r="U497" s="72"/>
      <c r="V497" s="72"/>
    </row>
    <row r="498" spans="1:25" ht="27.75" customHeight="1">
      <c r="A498" s="87" t="str">
        <f>IF(ISBLANK(C498)," ",493-COUNTBLANK($C$6:C498))</f>
        <v xml:space="preserve"> </v>
      </c>
      <c r="B498" s="88"/>
      <c r="C498" s="88"/>
      <c r="D498" s="89"/>
      <c r="E498" s="89"/>
      <c r="F498" s="73"/>
      <c r="G498" s="73"/>
      <c r="H498" s="73"/>
      <c r="I498" s="73"/>
      <c r="J498" s="73"/>
      <c r="K498" s="73"/>
      <c r="L498" s="73"/>
      <c r="M498" s="74"/>
      <c r="N498" s="71" t="str">
        <f t="shared" si="7"/>
        <v/>
      </c>
      <c r="O498" s="72"/>
      <c r="P498" s="72"/>
      <c r="Q498" s="72"/>
      <c r="R498" s="72"/>
      <c r="S498" s="72"/>
      <c r="T498" s="72"/>
      <c r="U498" s="72"/>
      <c r="V498" s="72"/>
    </row>
    <row r="499" spans="1:25" ht="27.75" customHeight="1">
      <c r="A499" s="87" t="str">
        <f>IF(ISBLANK(C499)," ",494-COUNTBLANK($C$6:C499))</f>
        <v xml:space="preserve"> </v>
      </c>
      <c r="B499" s="88"/>
      <c r="C499" s="88"/>
      <c r="D499" s="89"/>
      <c r="E499" s="89"/>
      <c r="F499" s="73"/>
      <c r="G499" s="73"/>
      <c r="H499" s="73"/>
      <c r="I499" s="73"/>
      <c r="J499" s="73"/>
      <c r="K499" s="73"/>
      <c r="L499" s="73"/>
      <c r="M499" s="74"/>
      <c r="N499" s="71" t="str">
        <f t="shared" si="7"/>
        <v/>
      </c>
      <c r="O499" s="72"/>
      <c r="P499" s="72"/>
      <c r="Q499" s="72"/>
      <c r="R499" s="72"/>
      <c r="S499" s="72"/>
      <c r="T499" s="72"/>
      <c r="U499" s="72"/>
      <c r="V499" s="72"/>
    </row>
    <row r="500" spans="1:25" ht="27.75" customHeight="1">
      <c r="A500" s="87" t="str">
        <f>IF(ISBLANK(C500)," ",495-COUNTBLANK($C$6:C500))</f>
        <v xml:space="preserve"> </v>
      </c>
      <c r="B500" s="88"/>
      <c r="C500" s="88"/>
      <c r="D500" s="89"/>
      <c r="E500" s="89"/>
      <c r="F500" s="73"/>
      <c r="G500" s="73"/>
      <c r="H500" s="73"/>
      <c r="I500" s="73"/>
      <c r="J500" s="73"/>
      <c r="K500" s="73"/>
      <c r="L500" s="73"/>
      <c r="M500" s="74"/>
      <c r="N500" s="71" t="str">
        <f t="shared" si="7"/>
        <v/>
      </c>
      <c r="O500" s="72"/>
      <c r="P500" s="72"/>
      <c r="Q500" s="72"/>
      <c r="R500" s="72"/>
      <c r="S500" s="72"/>
      <c r="T500" s="72"/>
      <c r="U500" s="72"/>
      <c r="V500" s="72"/>
    </row>
    <row r="501" spans="1:25" ht="27.75" customHeight="1">
      <c r="A501" s="87" t="str">
        <f>IF(ISBLANK(C501)," ",496-COUNTBLANK($C$6:C501))</f>
        <v xml:space="preserve"> </v>
      </c>
      <c r="B501" s="88"/>
      <c r="C501" s="88"/>
      <c r="D501" s="89"/>
      <c r="E501" s="89"/>
      <c r="F501" s="73"/>
      <c r="G501" s="73"/>
      <c r="H501" s="73"/>
      <c r="I501" s="73"/>
      <c r="J501" s="73"/>
      <c r="K501" s="73"/>
      <c r="L501" s="73"/>
      <c r="M501" s="74"/>
      <c r="N501" s="71" t="str">
        <f t="shared" si="7"/>
        <v/>
      </c>
      <c r="O501" s="72"/>
      <c r="P501" s="72"/>
      <c r="Q501" s="72"/>
      <c r="R501" s="72"/>
      <c r="S501" s="72"/>
      <c r="T501" s="72"/>
      <c r="U501" s="72"/>
      <c r="V501" s="72"/>
    </row>
    <row r="502" spans="1:25" ht="27.75" customHeight="1">
      <c r="A502" s="87" t="str">
        <f>IF(ISBLANK(C502)," ",497-COUNTBLANK($C$6:C502))</f>
        <v xml:space="preserve"> </v>
      </c>
      <c r="B502" s="88"/>
      <c r="C502" s="88"/>
      <c r="D502" s="89"/>
      <c r="E502" s="89"/>
      <c r="F502" s="73"/>
      <c r="G502" s="73"/>
      <c r="H502" s="73"/>
      <c r="I502" s="73"/>
      <c r="J502" s="73"/>
      <c r="K502" s="73"/>
      <c r="L502" s="73"/>
      <c r="M502" s="74"/>
      <c r="N502" s="71" t="str">
        <f t="shared" si="7"/>
        <v/>
      </c>
      <c r="O502" s="72"/>
      <c r="P502" s="72"/>
      <c r="Q502" s="72"/>
      <c r="R502" s="72"/>
      <c r="S502" s="72"/>
      <c r="T502" s="72"/>
      <c r="U502" s="72"/>
      <c r="V502" s="72"/>
    </row>
    <row r="503" spans="1:25" ht="27.75" customHeight="1">
      <c r="A503" s="87" t="str">
        <f>IF(ISBLANK(C503)," ",498-COUNTBLANK($C$6:C503))</f>
        <v xml:space="preserve"> </v>
      </c>
      <c r="B503" s="88"/>
      <c r="C503" s="88"/>
      <c r="D503" s="89"/>
      <c r="E503" s="89"/>
      <c r="F503" s="73"/>
      <c r="G503" s="73"/>
      <c r="H503" s="73"/>
      <c r="I503" s="73"/>
      <c r="J503" s="73"/>
      <c r="K503" s="73"/>
      <c r="L503" s="73"/>
      <c r="M503" s="74"/>
      <c r="N503" s="71" t="str">
        <f t="shared" si="7"/>
        <v/>
      </c>
      <c r="O503" s="72"/>
      <c r="P503" s="72"/>
      <c r="Q503" s="72"/>
      <c r="R503" s="72"/>
      <c r="S503" s="72"/>
      <c r="T503" s="72"/>
      <c r="U503" s="72"/>
      <c r="V503" s="72"/>
    </row>
    <row r="504" spans="1:25" ht="27.75" customHeight="1">
      <c r="A504" s="87" t="str">
        <f>IF(ISBLANK(C504)," ",499-COUNTBLANK($C$6:C504))</f>
        <v xml:space="preserve"> </v>
      </c>
      <c r="B504" s="88"/>
      <c r="C504" s="88"/>
      <c r="D504" s="89"/>
      <c r="E504" s="89"/>
      <c r="F504" s="73"/>
      <c r="G504" s="73"/>
      <c r="H504" s="73"/>
      <c r="I504" s="73"/>
      <c r="J504" s="73"/>
      <c r="K504" s="73"/>
      <c r="L504" s="73"/>
      <c r="M504" s="74"/>
      <c r="N504" s="71" t="str">
        <f t="shared" si="7"/>
        <v/>
      </c>
      <c r="O504" s="75"/>
      <c r="P504" s="72"/>
      <c r="Q504" s="72"/>
      <c r="R504" s="72"/>
      <c r="S504" s="72"/>
      <c r="T504" s="72"/>
      <c r="U504" s="72"/>
      <c r="V504" s="76"/>
    </row>
    <row r="505" spans="1:25" ht="27.75" customHeight="1">
      <c r="A505" s="87" t="str">
        <f>IF(ISBLANK(C505)," ",500-COUNTBLANK($C$6:C505))</f>
        <v xml:space="preserve"> </v>
      </c>
      <c r="B505" s="88"/>
      <c r="C505" s="88"/>
      <c r="D505" s="89"/>
      <c r="E505" s="89"/>
      <c r="F505" s="73"/>
      <c r="G505" s="73"/>
      <c r="H505" s="73"/>
      <c r="I505" s="73"/>
      <c r="J505" s="73"/>
      <c r="K505" s="73"/>
      <c r="L505" s="73"/>
      <c r="M505" s="74"/>
      <c r="N505" s="71" t="str">
        <f t="shared" si="7"/>
        <v/>
      </c>
      <c r="O505" s="75"/>
      <c r="P505" s="72"/>
      <c r="Q505" s="72"/>
      <c r="R505" s="72"/>
      <c r="S505" s="72"/>
      <c r="T505" s="72"/>
      <c r="U505" s="72"/>
      <c r="V505" s="76"/>
    </row>
    <row r="506" spans="1:25" ht="27.75" customHeight="1">
      <c r="A506" s="87" t="str">
        <f>IF(ISBLANK(C506)," ",501-COUNTBLANK($C$6:C506))</f>
        <v xml:space="preserve"> </v>
      </c>
      <c r="B506" s="88"/>
      <c r="C506" s="88"/>
      <c r="D506" s="89"/>
      <c r="E506" s="89"/>
      <c r="F506" s="73"/>
      <c r="G506" s="73"/>
      <c r="H506" s="73"/>
      <c r="I506" s="73"/>
      <c r="J506" s="73"/>
      <c r="K506" s="73"/>
      <c r="L506" s="73"/>
      <c r="M506" s="74"/>
      <c r="N506" s="71" t="str">
        <f t="shared" si="7"/>
        <v/>
      </c>
      <c r="O506" s="75"/>
      <c r="P506" s="72"/>
      <c r="Q506" s="72"/>
      <c r="R506" s="72"/>
      <c r="S506" s="72"/>
      <c r="T506" s="72"/>
      <c r="U506" s="72"/>
      <c r="V506" s="76"/>
    </row>
    <row r="507" spans="1:25" ht="27.75" customHeight="1">
      <c r="A507" s="87" t="str">
        <f>IF(ISBLANK(C507)," ",502-COUNTBLANK($C$6:C507))</f>
        <v xml:space="preserve"> </v>
      </c>
      <c r="B507" s="88"/>
      <c r="C507" s="88"/>
      <c r="D507" s="89"/>
      <c r="E507" s="89"/>
      <c r="F507" s="73"/>
      <c r="G507" s="73"/>
      <c r="H507" s="73"/>
      <c r="I507" s="73"/>
      <c r="J507" s="73"/>
      <c r="K507" s="73"/>
      <c r="L507" s="73"/>
      <c r="M507" s="74"/>
      <c r="N507" s="71" t="str">
        <f t="shared" si="7"/>
        <v/>
      </c>
      <c r="O507" s="75"/>
      <c r="P507" s="72"/>
      <c r="Q507" s="72"/>
      <c r="R507" s="72"/>
      <c r="S507" s="72"/>
      <c r="T507" s="72"/>
      <c r="U507" s="72"/>
      <c r="V507" s="76"/>
    </row>
    <row r="508" spans="1:25" ht="27.75" customHeight="1">
      <c r="A508" s="87" t="str">
        <f>IF(ISBLANK(C508)," ",503-COUNTBLANK($C$6:C508))</f>
        <v xml:space="preserve"> </v>
      </c>
      <c r="B508" s="88"/>
      <c r="C508" s="88"/>
      <c r="D508" s="89"/>
      <c r="E508" s="89"/>
      <c r="F508" s="73"/>
      <c r="G508" s="73"/>
      <c r="H508" s="73"/>
      <c r="I508" s="73"/>
      <c r="J508" s="73"/>
      <c r="K508" s="73"/>
      <c r="L508" s="73"/>
      <c r="M508" s="74"/>
      <c r="N508" s="71" t="str">
        <f t="shared" si="7"/>
        <v/>
      </c>
      <c r="O508" s="72"/>
      <c r="P508" s="72"/>
      <c r="Q508" s="72"/>
      <c r="R508" s="72"/>
      <c r="S508" s="72"/>
      <c r="T508" s="72"/>
      <c r="U508" s="72"/>
      <c r="V508" s="79"/>
      <c r="W508" s="72"/>
      <c r="X508" s="72"/>
      <c r="Y508" s="72"/>
    </row>
    <row r="509" spans="1:25" ht="27.75" customHeight="1">
      <c r="A509" s="80" t="s">
        <v>58</v>
      </c>
      <c r="B509" s="81"/>
      <c r="C509" s="96"/>
      <c r="D509" s="82"/>
      <c r="E509" s="82">
        <f>SUM(E489:E508)</f>
        <v>0</v>
      </c>
      <c r="F509" s="83"/>
      <c r="G509" s="83"/>
      <c r="H509" s="83"/>
      <c r="I509" s="83"/>
      <c r="J509" s="83"/>
      <c r="K509" s="83"/>
      <c r="L509" s="83"/>
      <c r="M509" s="84"/>
      <c r="N509" s="71" t="str">
        <f t="shared" si="7"/>
        <v/>
      </c>
      <c r="O509" s="75"/>
      <c r="P509" s="72"/>
      <c r="Q509" s="72"/>
      <c r="R509" s="72"/>
      <c r="S509" s="72"/>
      <c r="T509" s="72"/>
      <c r="U509" s="72"/>
      <c r="V509" s="79"/>
      <c r="W509" s="72"/>
      <c r="X509" s="72"/>
      <c r="Y509" s="72"/>
    </row>
    <row r="510" spans="1:25" ht="27.75" customHeight="1">
      <c r="A510" s="93" t="str">
        <f>IF(ISBLANK(C510)," ",505-COUNTBLANK($C$6:C510))</f>
        <v xml:space="preserve"> </v>
      </c>
      <c r="B510" s="94"/>
      <c r="C510" s="94"/>
      <c r="D510" s="95"/>
      <c r="E510" s="95"/>
      <c r="F510" s="85"/>
      <c r="G510" s="85"/>
      <c r="H510" s="85"/>
      <c r="I510" s="85"/>
      <c r="J510" s="85"/>
      <c r="K510" s="85"/>
      <c r="L510" s="85"/>
      <c r="M510" s="86"/>
      <c r="N510" s="71" t="str">
        <f t="shared" si="7"/>
        <v/>
      </c>
      <c r="O510" s="72"/>
      <c r="P510" s="72"/>
      <c r="Q510" s="72"/>
      <c r="R510" s="72"/>
      <c r="S510" s="72"/>
      <c r="T510" s="72"/>
      <c r="U510" s="72"/>
      <c r="V510" s="72"/>
    </row>
    <row r="511" spans="1:25" ht="27.75" customHeight="1">
      <c r="A511" s="87" t="str">
        <f>IF(ISBLANK(C511)," ",506-COUNTBLANK($C$6:C511))</f>
        <v xml:space="preserve"> </v>
      </c>
      <c r="B511" s="88"/>
      <c r="C511" s="88"/>
      <c r="D511" s="89"/>
      <c r="E511" s="89"/>
      <c r="F511" s="73"/>
      <c r="G511" s="73"/>
      <c r="H511" s="73"/>
      <c r="I511" s="73"/>
      <c r="J511" s="73"/>
      <c r="K511" s="73"/>
      <c r="L511" s="73"/>
      <c r="M511" s="74"/>
      <c r="N511" s="71" t="str">
        <f t="shared" si="7"/>
        <v/>
      </c>
      <c r="O511" s="72"/>
      <c r="P511" s="72"/>
      <c r="Q511" s="72"/>
      <c r="R511" s="72"/>
      <c r="S511" s="72"/>
      <c r="T511" s="72"/>
      <c r="U511" s="72"/>
      <c r="V511" s="72"/>
    </row>
    <row r="512" spans="1:25" ht="27.75" customHeight="1">
      <c r="A512" s="87" t="str">
        <f>IF(ISBLANK(C512)," ",507-COUNTBLANK($C$6:C512))</f>
        <v xml:space="preserve"> </v>
      </c>
      <c r="B512" s="88"/>
      <c r="C512" s="88"/>
      <c r="D512" s="89"/>
      <c r="E512" s="89"/>
      <c r="F512" s="73"/>
      <c r="G512" s="73"/>
      <c r="H512" s="73"/>
      <c r="I512" s="73"/>
      <c r="J512" s="73"/>
      <c r="K512" s="73"/>
      <c r="L512" s="73"/>
      <c r="M512" s="74"/>
      <c r="N512" s="71" t="str">
        <f t="shared" si="7"/>
        <v/>
      </c>
      <c r="O512" s="72"/>
      <c r="P512" s="72"/>
      <c r="Q512" s="72"/>
      <c r="R512" s="72"/>
      <c r="S512" s="72"/>
      <c r="T512" s="72"/>
      <c r="U512" s="72"/>
      <c r="V512" s="72"/>
    </row>
    <row r="513" spans="1:22" ht="27.75" customHeight="1">
      <c r="A513" s="87" t="str">
        <f>IF(ISBLANK(C513)," ",508-COUNTBLANK($C$6:C513))</f>
        <v xml:space="preserve"> </v>
      </c>
      <c r="B513" s="88"/>
      <c r="C513" s="88"/>
      <c r="D513" s="89"/>
      <c r="E513" s="89"/>
      <c r="F513" s="73"/>
      <c r="G513" s="73"/>
      <c r="H513" s="73"/>
      <c r="I513" s="73"/>
      <c r="J513" s="73"/>
      <c r="K513" s="73"/>
      <c r="L513" s="73"/>
      <c r="M513" s="74"/>
      <c r="N513" s="71" t="str">
        <f t="shared" si="7"/>
        <v/>
      </c>
      <c r="O513" s="72"/>
      <c r="P513" s="72"/>
      <c r="Q513" s="72"/>
      <c r="R513" s="72"/>
      <c r="S513" s="72"/>
      <c r="T513" s="72"/>
      <c r="U513" s="72"/>
      <c r="V513" s="72"/>
    </row>
    <row r="514" spans="1:22" ht="27.75" customHeight="1">
      <c r="A514" s="87" t="str">
        <f>IF(ISBLANK(C514)," ",509-COUNTBLANK($C$6:C514))</f>
        <v xml:space="preserve"> </v>
      </c>
      <c r="B514" s="88"/>
      <c r="C514" s="88"/>
      <c r="D514" s="89"/>
      <c r="E514" s="89"/>
      <c r="F514" s="73"/>
      <c r="G514" s="73"/>
      <c r="H514" s="73"/>
      <c r="I514" s="73"/>
      <c r="J514" s="73"/>
      <c r="K514" s="73"/>
      <c r="L514" s="73"/>
      <c r="M514" s="74"/>
      <c r="N514" s="71" t="str">
        <f t="shared" si="7"/>
        <v/>
      </c>
      <c r="O514" s="72"/>
      <c r="P514" s="72"/>
      <c r="Q514" s="72"/>
      <c r="R514" s="72"/>
      <c r="S514" s="72"/>
      <c r="T514" s="72"/>
      <c r="U514" s="72"/>
      <c r="V514" s="72"/>
    </row>
    <row r="515" spans="1:22" ht="27.75" customHeight="1">
      <c r="A515" s="87" t="str">
        <f>IF(ISBLANK(C515)," ",510-COUNTBLANK($C$6:C515))</f>
        <v xml:space="preserve"> </v>
      </c>
      <c r="B515" s="88"/>
      <c r="C515" s="88"/>
      <c r="D515" s="89"/>
      <c r="E515" s="89"/>
      <c r="F515" s="73"/>
      <c r="G515" s="73"/>
      <c r="H515" s="73"/>
      <c r="I515" s="73"/>
      <c r="J515" s="73"/>
      <c r="K515" s="73"/>
      <c r="L515" s="73"/>
      <c r="M515" s="74"/>
      <c r="N515" s="71" t="str">
        <f t="shared" si="7"/>
        <v/>
      </c>
      <c r="O515" s="72"/>
      <c r="P515" s="72"/>
      <c r="Q515" s="72"/>
      <c r="R515" s="72"/>
      <c r="S515" s="72"/>
      <c r="T515" s="72"/>
      <c r="U515" s="72"/>
      <c r="V515" s="72"/>
    </row>
    <row r="516" spans="1:22" ht="27.75" customHeight="1">
      <c r="A516" s="87" t="str">
        <f>IF(ISBLANK(C516)," ",511-COUNTBLANK($C$6:C516))</f>
        <v xml:space="preserve"> </v>
      </c>
      <c r="B516" s="88"/>
      <c r="C516" s="88"/>
      <c r="D516" s="89"/>
      <c r="E516" s="89"/>
      <c r="F516" s="73"/>
      <c r="G516" s="73"/>
      <c r="H516" s="73"/>
      <c r="I516" s="73"/>
      <c r="J516" s="73"/>
      <c r="K516" s="73"/>
      <c r="L516" s="73"/>
      <c r="M516" s="74"/>
      <c r="N516" s="71" t="str">
        <f t="shared" si="7"/>
        <v/>
      </c>
      <c r="O516" s="72"/>
      <c r="P516" s="72"/>
      <c r="Q516" s="72"/>
      <c r="R516" s="72"/>
      <c r="S516" s="72"/>
      <c r="T516" s="72"/>
      <c r="U516" s="72"/>
      <c r="V516" s="72"/>
    </row>
    <row r="517" spans="1:22" ht="27.75" customHeight="1">
      <c r="A517" s="87" t="str">
        <f>IF(ISBLANK(C517)," ",512-COUNTBLANK($C$6:C517))</f>
        <v xml:space="preserve"> </v>
      </c>
      <c r="B517" s="88"/>
      <c r="C517" s="88"/>
      <c r="D517" s="89"/>
      <c r="E517" s="89"/>
      <c r="F517" s="73"/>
      <c r="G517" s="73"/>
      <c r="H517" s="73"/>
      <c r="I517" s="73"/>
      <c r="J517" s="73"/>
      <c r="K517" s="73"/>
      <c r="L517" s="73"/>
      <c r="M517" s="74"/>
      <c r="N517" s="71" t="str">
        <f t="shared" si="7"/>
        <v/>
      </c>
      <c r="O517" s="72"/>
      <c r="P517" s="72"/>
      <c r="Q517" s="72"/>
      <c r="R517" s="72"/>
      <c r="S517" s="72"/>
      <c r="T517" s="72"/>
      <c r="U517" s="72"/>
      <c r="V517" s="72"/>
    </row>
    <row r="518" spans="1:22" ht="27.75" customHeight="1">
      <c r="A518" s="87" t="str">
        <f>IF(ISBLANK(C518)," ",513-COUNTBLANK($C$6:C518))</f>
        <v xml:space="preserve"> </v>
      </c>
      <c r="B518" s="88"/>
      <c r="C518" s="88"/>
      <c r="D518" s="89"/>
      <c r="E518" s="89"/>
      <c r="F518" s="73"/>
      <c r="G518" s="73"/>
      <c r="H518" s="73"/>
      <c r="I518" s="73"/>
      <c r="J518" s="73"/>
      <c r="K518" s="73"/>
      <c r="L518" s="73"/>
      <c r="M518" s="74"/>
      <c r="N518" s="71" t="str">
        <f t="shared" ref="N518:N530" si="8">CONCATENATE(C518,H518)</f>
        <v/>
      </c>
      <c r="O518" s="72"/>
      <c r="P518" s="72"/>
      <c r="Q518" s="72"/>
      <c r="R518" s="72"/>
      <c r="S518" s="72"/>
      <c r="T518" s="72"/>
      <c r="U518" s="72"/>
      <c r="V518" s="72"/>
    </row>
    <row r="519" spans="1:22" ht="27.75" customHeight="1">
      <c r="A519" s="87" t="str">
        <f>IF(ISBLANK(C519)," ",514-COUNTBLANK($C$6:C519))</f>
        <v xml:space="preserve"> </v>
      </c>
      <c r="B519" s="88"/>
      <c r="C519" s="88"/>
      <c r="D519" s="89"/>
      <c r="E519" s="89"/>
      <c r="F519" s="73"/>
      <c r="G519" s="73"/>
      <c r="H519" s="73"/>
      <c r="I519" s="73"/>
      <c r="J519" s="73"/>
      <c r="K519" s="73"/>
      <c r="L519" s="73"/>
      <c r="M519" s="74"/>
      <c r="N519" s="71" t="str">
        <f t="shared" si="8"/>
        <v/>
      </c>
      <c r="O519" s="72"/>
      <c r="P519" s="72"/>
      <c r="Q519" s="72"/>
      <c r="R519" s="72"/>
      <c r="S519" s="72"/>
      <c r="T519" s="72"/>
      <c r="U519" s="72"/>
      <c r="V519" s="72"/>
    </row>
    <row r="520" spans="1:22" ht="27.75" customHeight="1">
      <c r="A520" s="87" t="str">
        <f>IF(ISBLANK(C520)," ",515-COUNTBLANK($C$6:C520))</f>
        <v xml:space="preserve"> </v>
      </c>
      <c r="B520" s="88"/>
      <c r="C520" s="88"/>
      <c r="D520" s="89"/>
      <c r="E520" s="89"/>
      <c r="F520" s="73"/>
      <c r="G520" s="73"/>
      <c r="H520" s="73"/>
      <c r="I520" s="73"/>
      <c r="J520" s="73"/>
      <c r="K520" s="73"/>
      <c r="L520" s="73"/>
      <c r="M520" s="74"/>
      <c r="N520" s="71" t="str">
        <f t="shared" si="8"/>
        <v/>
      </c>
      <c r="O520" s="72"/>
      <c r="P520" s="72"/>
      <c r="Q520" s="72"/>
      <c r="R520" s="72"/>
      <c r="S520" s="72"/>
      <c r="T520" s="72"/>
      <c r="U520" s="72"/>
      <c r="V520" s="72"/>
    </row>
    <row r="521" spans="1:22" ht="27.75" customHeight="1">
      <c r="A521" s="87" t="str">
        <f>IF(ISBLANK(C521)," ",516-COUNTBLANK($C$6:C521))</f>
        <v xml:space="preserve"> </v>
      </c>
      <c r="B521" s="88"/>
      <c r="C521" s="88"/>
      <c r="D521" s="89"/>
      <c r="E521" s="89"/>
      <c r="F521" s="73"/>
      <c r="G521" s="73"/>
      <c r="H521" s="73"/>
      <c r="I521" s="73"/>
      <c r="J521" s="73"/>
      <c r="K521" s="73"/>
      <c r="L521" s="73"/>
      <c r="M521" s="74"/>
      <c r="N521" s="71" t="str">
        <f t="shared" si="8"/>
        <v/>
      </c>
      <c r="O521" s="72"/>
      <c r="P521" s="72"/>
      <c r="Q521" s="72"/>
      <c r="R521" s="72"/>
      <c r="S521" s="72"/>
      <c r="T521" s="72"/>
      <c r="U521" s="72"/>
      <c r="V521" s="72"/>
    </row>
    <row r="522" spans="1:22" ht="27.75" customHeight="1">
      <c r="A522" s="87" t="str">
        <f>IF(ISBLANK(C522)," ",517-COUNTBLANK($C$6:C522))</f>
        <v xml:space="preserve"> </v>
      </c>
      <c r="B522" s="88"/>
      <c r="C522" s="88"/>
      <c r="D522" s="89"/>
      <c r="E522" s="89"/>
      <c r="F522" s="73"/>
      <c r="G522" s="73"/>
      <c r="H522" s="73"/>
      <c r="I522" s="73"/>
      <c r="J522" s="73"/>
      <c r="K522" s="73"/>
      <c r="L522" s="73"/>
      <c r="M522" s="74"/>
      <c r="N522" s="71" t="str">
        <f t="shared" si="8"/>
        <v/>
      </c>
      <c r="O522" s="72"/>
      <c r="P522" s="72"/>
      <c r="Q522" s="72"/>
      <c r="R522" s="72"/>
      <c r="S522" s="72"/>
      <c r="T522" s="72"/>
      <c r="U522" s="72"/>
      <c r="V522" s="72"/>
    </row>
    <row r="523" spans="1:22" ht="27.75" customHeight="1">
      <c r="A523" s="87" t="str">
        <f>IF(ISBLANK(C523)," ",518-COUNTBLANK($C$6:C523))</f>
        <v xml:space="preserve"> </v>
      </c>
      <c r="B523" s="88"/>
      <c r="C523" s="88"/>
      <c r="D523" s="89"/>
      <c r="E523" s="89"/>
      <c r="F523" s="73"/>
      <c r="G523" s="73"/>
      <c r="H523" s="73"/>
      <c r="I523" s="73"/>
      <c r="J523" s="73"/>
      <c r="K523" s="73"/>
      <c r="L523" s="73"/>
      <c r="M523" s="74"/>
      <c r="N523" s="71" t="str">
        <f t="shared" si="8"/>
        <v/>
      </c>
      <c r="O523" s="72"/>
      <c r="P523" s="72"/>
      <c r="Q523" s="72"/>
      <c r="R523" s="72"/>
      <c r="S523" s="72"/>
      <c r="T523" s="72"/>
      <c r="U523" s="72"/>
      <c r="V523" s="72"/>
    </row>
    <row r="524" spans="1:22" ht="27.75" customHeight="1">
      <c r="A524" s="87" t="str">
        <f>IF(ISBLANK(C524)," ",519-COUNTBLANK($C$6:C524))</f>
        <v xml:space="preserve"> </v>
      </c>
      <c r="B524" s="88"/>
      <c r="C524" s="88"/>
      <c r="D524" s="89"/>
      <c r="E524" s="89"/>
      <c r="F524" s="73"/>
      <c r="G524" s="73"/>
      <c r="H524" s="73"/>
      <c r="I524" s="73"/>
      <c r="J524" s="73"/>
      <c r="K524" s="73"/>
      <c r="L524" s="73"/>
      <c r="M524" s="74"/>
      <c r="N524" s="71" t="str">
        <f t="shared" si="8"/>
        <v/>
      </c>
      <c r="O524" s="72"/>
      <c r="P524" s="72"/>
      <c r="Q524" s="72"/>
      <c r="R524" s="72"/>
      <c r="S524" s="72"/>
      <c r="T524" s="72"/>
      <c r="U524" s="72"/>
      <c r="V524" s="72"/>
    </row>
    <row r="525" spans="1:22" ht="27.75" customHeight="1">
      <c r="A525" s="87" t="str">
        <f>IF(ISBLANK(C525)," ",520-COUNTBLANK($C$6:C525))</f>
        <v xml:space="preserve"> </v>
      </c>
      <c r="B525" s="88"/>
      <c r="C525" s="88"/>
      <c r="D525" s="89"/>
      <c r="E525" s="89"/>
      <c r="F525" s="73"/>
      <c r="G525" s="73"/>
      <c r="H525" s="73"/>
      <c r="I525" s="73"/>
      <c r="J525" s="73"/>
      <c r="K525" s="73"/>
      <c r="L525" s="73"/>
      <c r="M525" s="74"/>
      <c r="N525" s="71" t="str">
        <f t="shared" si="8"/>
        <v/>
      </c>
      <c r="O525" s="75"/>
      <c r="P525" s="72"/>
      <c r="Q525" s="72"/>
      <c r="R525" s="72"/>
      <c r="S525" s="72"/>
      <c r="T525" s="72"/>
      <c r="U525" s="72"/>
      <c r="V525" s="76"/>
    </row>
    <row r="526" spans="1:22" ht="27.75" customHeight="1">
      <c r="A526" s="87" t="str">
        <f>IF(ISBLANK(C526)," ",521-COUNTBLANK($C$6:C526))</f>
        <v xml:space="preserve"> </v>
      </c>
      <c r="B526" s="88"/>
      <c r="C526" s="88"/>
      <c r="D526" s="89"/>
      <c r="E526" s="89"/>
      <c r="F526" s="73"/>
      <c r="G526" s="73"/>
      <c r="H526" s="73"/>
      <c r="I526" s="73"/>
      <c r="J526" s="73"/>
      <c r="K526" s="73"/>
      <c r="L526" s="73"/>
      <c r="M526" s="74"/>
      <c r="N526" s="71" t="str">
        <f t="shared" si="8"/>
        <v/>
      </c>
      <c r="O526" s="75"/>
      <c r="P526" s="72"/>
      <c r="Q526" s="72"/>
      <c r="R526" s="72"/>
      <c r="S526" s="72"/>
      <c r="T526" s="72"/>
      <c r="U526" s="72"/>
      <c r="V526" s="76"/>
    </row>
    <row r="527" spans="1:22" ht="27.75" customHeight="1">
      <c r="A527" s="87" t="str">
        <f>IF(ISBLANK(C527)," ",522-COUNTBLANK($C$6:C527))</f>
        <v xml:space="preserve"> </v>
      </c>
      <c r="B527" s="88"/>
      <c r="C527" s="88"/>
      <c r="D527" s="89"/>
      <c r="E527" s="89"/>
      <c r="F527" s="73"/>
      <c r="G527" s="73"/>
      <c r="H527" s="73"/>
      <c r="I527" s="73"/>
      <c r="J527" s="73"/>
      <c r="K527" s="73"/>
      <c r="L527" s="73"/>
      <c r="M527" s="74"/>
      <c r="N527" s="71" t="str">
        <f t="shared" si="8"/>
        <v/>
      </c>
      <c r="O527" s="75"/>
      <c r="P527" s="72"/>
      <c r="Q527" s="72"/>
      <c r="R527" s="72"/>
      <c r="S527" s="72"/>
      <c r="T527" s="72"/>
      <c r="U527" s="72"/>
      <c r="V527" s="76"/>
    </row>
    <row r="528" spans="1:22" ht="27.75" customHeight="1">
      <c r="A528" s="87" t="str">
        <f>IF(ISBLANK(C528)," ",523-COUNTBLANK($C$6:C528))</f>
        <v xml:space="preserve"> </v>
      </c>
      <c r="B528" s="88"/>
      <c r="C528" s="88"/>
      <c r="D528" s="89"/>
      <c r="E528" s="89"/>
      <c r="F528" s="73"/>
      <c r="G528" s="73"/>
      <c r="H528" s="73"/>
      <c r="I528" s="73"/>
      <c r="J528" s="73"/>
      <c r="K528" s="73"/>
      <c r="L528" s="73"/>
      <c r="M528" s="74"/>
      <c r="N528" s="71" t="str">
        <f t="shared" si="8"/>
        <v/>
      </c>
      <c r="O528" s="75"/>
      <c r="P528" s="72"/>
      <c r="Q528" s="72"/>
      <c r="R528" s="72"/>
      <c r="S528" s="72"/>
      <c r="T528" s="72"/>
      <c r="U528" s="72"/>
      <c r="V528" s="76"/>
    </row>
    <row r="529" spans="1:25" ht="27.75" customHeight="1">
      <c r="A529" s="87" t="str">
        <f>IF(ISBLANK(C529)," ",524-COUNTBLANK($C$6:C529))</f>
        <v xml:space="preserve"> </v>
      </c>
      <c r="B529" s="88"/>
      <c r="C529" s="88"/>
      <c r="D529" s="89"/>
      <c r="E529" s="89"/>
      <c r="F529" s="73"/>
      <c r="G529" s="73"/>
      <c r="H529" s="73"/>
      <c r="I529" s="73"/>
      <c r="J529" s="73"/>
      <c r="K529" s="73"/>
      <c r="L529" s="73"/>
      <c r="M529" s="74"/>
      <c r="N529" s="71" t="str">
        <f t="shared" si="8"/>
        <v/>
      </c>
      <c r="O529" s="72"/>
      <c r="P529" s="72"/>
      <c r="Q529" s="72"/>
      <c r="R529" s="72"/>
      <c r="S529" s="72"/>
      <c r="T529" s="72"/>
      <c r="U529" s="72"/>
      <c r="V529" s="79"/>
      <c r="W529" s="72"/>
      <c r="X529" s="72"/>
      <c r="Y529" s="72"/>
    </row>
    <row r="530" spans="1:25" ht="27.75" customHeight="1">
      <c r="A530" s="80" t="s">
        <v>58</v>
      </c>
      <c r="B530" s="81"/>
      <c r="C530" s="96"/>
      <c r="D530" s="82"/>
      <c r="E530" s="82">
        <f>SUM(E510:E529)</f>
        <v>0</v>
      </c>
      <c r="F530" s="83"/>
      <c r="G530" s="83"/>
      <c r="H530" s="83"/>
      <c r="I530" s="83"/>
      <c r="J530" s="83"/>
      <c r="K530" s="83"/>
      <c r="L530" s="83"/>
      <c r="M530" s="84"/>
      <c r="N530" s="71" t="str">
        <f t="shared" si="8"/>
        <v/>
      </c>
      <c r="O530" s="75"/>
      <c r="P530" s="72"/>
      <c r="Q530" s="72"/>
      <c r="R530" s="72"/>
      <c r="S530" s="72"/>
      <c r="T530" s="72"/>
      <c r="U530" s="72"/>
      <c r="V530" s="79"/>
      <c r="W530" s="72"/>
      <c r="X530" s="72"/>
      <c r="Y530" s="72"/>
    </row>
    <row r="531" spans="1:25">
      <c r="O531" s="99"/>
      <c r="P531" s="99"/>
      <c r="Q531" s="99"/>
      <c r="R531" s="99"/>
      <c r="S531" s="99"/>
      <c r="T531" s="99"/>
      <c r="U531" s="99"/>
      <c r="V531" s="99"/>
    </row>
    <row r="532" spans="1:25">
      <c r="O532" s="99"/>
      <c r="P532" s="99"/>
      <c r="Q532" s="99"/>
      <c r="R532" s="99"/>
      <c r="S532" s="99"/>
      <c r="T532" s="99"/>
      <c r="U532" s="99"/>
      <c r="V532" s="99"/>
    </row>
  </sheetData>
  <mergeCells count="4">
    <mergeCell ref="B4:B5"/>
    <mergeCell ref="C4:C5"/>
    <mergeCell ref="H4:I4"/>
    <mergeCell ref="M4:M5"/>
  </mergeCells>
  <phoneticPr fontId="12" type="noConversion"/>
  <printOptions horizontalCentered="1" verticalCentered="1"/>
  <pageMargins left="0.19685039370078741" right="0.19685039370078741" top="1.1811023622047245" bottom="0.59055118110236227" header="0.59055118110236227" footer="0.19685039370078741"/>
  <pageSetup paperSize="9" orientation="portrait" horizont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Y532"/>
  <sheetViews>
    <sheetView showGridLines="0" showZeros="0" view="pageBreakPreview" zoomScaleNormal="55" workbookViewId="0">
      <selection activeCell="A26" sqref="A26:IV26"/>
    </sheetView>
  </sheetViews>
  <sheetFormatPr defaultRowHeight="11.25"/>
  <cols>
    <col min="1" max="1" width="4.33203125" style="51" customWidth="1"/>
    <col min="2" max="2" width="6.33203125" style="97" customWidth="1"/>
    <col min="3" max="3" width="3.77734375" style="51" customWidth="1"/>
    <col min="4" max="4" width="6.77734375" style="51" customWidth="1"/>
    <col min="5" max="5" width="6.77734375" style="98" customWidth="1"/>
    <col min="6" max="6" width="4.109375" style="51" customWidth="1"/>
    <col min="7" max="7" width="4.77734375" style="51" customWidth="1"/>
    <col min="8" max="8" width="7.33203125" style="51" customWidth="1"/>
    <col min="9" max="9" width="11.77734375" style="51" customWidth="1"/>
    <col min="10" max="10" width="6.77734375" style="51" customWidth="1"/>
    <col min="11" max="11" width="11.77734375" style="51" customWidth="1"/>
    <col min="12" max="12" width="6.77734375" style="51" customWidth="1"/>
    <col min="13" max="13" width="3.77734375" style="51" customWidth="1"/>
    <col min="14" max="14" width="20.77734375" style="99" hidden="1" customWidth="1"/>
    <col min="15" max="21" width="9.77734375" style="51" customWidth="1"/>
    <col min="22" max="22" width="10.77734375" style="51" customWidth="1"/>
    <col min="23" max="16384" width="8.88671875" style="51"/>
  </cols>
  <sheetData>
    <row r="1" spans="1:22" ht="30" customHeight="1">
      <c r="A1" s="45" t="s">
        <v>64</v>
      </c>
      <c r="B1" s="46"/>
      <c r="C1" s="47"/>
      <c r="D1" s="47"/>
      <c r="E1" s="48"/>
      <c r="F1" s="47"/>
      <c r="G1" s="47"/>
      <c r="H1" s="47"/>
      <c r="I1" s="47"/>
      <c r="J1" s="47"/>
      <c r="K1" s="47"/>
      <c r="L1" s="47"/>
      <c r="M1" s="47"/>
      <c r="N1" s="49"/>
      <c r="O1" s="50"/>
      <c r="P1" s="50"/>
      <c r="Q1" s="50"/>
      <c r="R1" s="50"/>
      <c r="S1" s="50"/>
      <c r="T1" s="50"/>
      <c r="U1" s="50"/>
      <c r="V1" s="50"/>
    </row>
    <row r="2" spans="1:22" ht="19.899999999999999" customHeight="1">
      <c r="A2" s="50"/>
      <c r="B2" s="52"/>
      <c r="C2" s="50"/>
      <c r="D2" s="50"/>
      <c r="E2" s="53"/>
      <c r="F2" s="50"/>
      <c r="G2" s="50"/>
      <c r="H2" s="50"/>
      <c r="I2" s="50"/>
      <c r="J2" s="54"/>
      <c r="K2" s="55">
        <v>3</v>
      </c>
      <c r="L2" s="47"/>
      <c r="M2" s="47"/>
      <c r="N2" s="56"/>
      <c r="O2" s="50"/>
      <c r="P2" s="50"/>
      <c r="Q2" s="50"/>
      <c r="R2" s="50"/>
      <c r="S2" s="50"/>
      <c r="T2" s="50"/>
      <c r="U2" s="50"/>
      <c r="V2" s="50"/>
    </row>
    <row r="3" spans="1:22" ht="10.15" customHeight="1">
      <c r="A3" s="50"/>
      <c r="B3" s="52"/>
      <c r="C3" s="50"/>
      <c r="D3" s="50"/>
      <c r="E3" s="53"/>
      <c r="F3" s="50"/>
      <c r="G3" s="50"/>
      <c r="H3" s="50"/>
      <c r="I3" s="50"/>
      <c r="J3" s="50"/>
      <c r="K3" s="50"/>
      <c r="L3" s="50"/>
      <c r="M3" s="50"/>
      <c r="N3" s="57"/>
      <c r="O3" s="50"/>
      <c r="P3" s="50"/>
      <c r="Q3" s="50"/>
      <c r="R3" s="50"/>
      <c r="S3" s="50"/>
      <c r="T3" s="50"/>
      <c r="U3" s="50"/>
      <c r="V3" s="50"/>
    </row>
    <row r="4" spans="1:22" ht="30" customHeight="1">
      <c r="A4" s="107" t="s">
        <v>45</v>
      </c>
      <c r="B4" s="381" t="s">
        <v>46</v>
      </c>
      <c r="C4" s="369" t="s">
        <v>47</v>
      </c>
      <c r="D4" s="108" t="s">
        <v>48</v>
      </c>
      <c r="E4" s="109" t="s">
        <v>49</v>
      </c>
      <c r="F4" s="110" t="s">
        <v>50</v>
      </c>
      <c r="G4" s="58"/>
      <c r="H4" s="367" t="s">
        <v>51</v>
      </c>
      <c r="I4" s="368"/>
      <c r="J4" s="59" t="s">
        <v>52</v>
      </c>
      <c r="K4" s="58"/>
      <c r="L4" s="60"/>
      <c r="M4" s="371" t="s">
        <v>37</v>
      </c>
      <c r="N4" s="56"/>
      <c r="O4" s="50"/>
      <c r="P4" s="61"/>
      <c r="Q4" s="61"/>
      <c r="R4" s="61"/>
      <c r="S4" s="61"/>
      <c r="T4" s="61"/>
      <c r="U4" s="61"/>
      <c r="V4" s="61"/>
    </row>
    <row r="5" spans="1:22" ht="30" customHeight="1">
      <c r="A5" s="62" t="s">
        <v>53</v>
      </c>
      <c r="B5" s="382"/>
      <c r="C5" s="370"/>
      <c r="D5" s="63" t="s">
        <v>65</v>
      </c>
      <c r="E5" s="63" t="s">
        <v>65</v>
      </c>
      <c r="F5" s="64" t="s">
        <v>47</v>
      </c>
      <c r="G5" s="65" t="s">
        <v>54</v>
      </c>
      <c r="H5" s="65" t="s">
        <v>55</v>
      </c>
      <c r="I5" s="64" t="s">
        <v>56</v>
      </c>
      <c r="J5" s="65" t="s">
        <v>55</v>
      </c>
      <c r="K5" s="65" t="s">
        <v>56</v>
      </c>
      <c r="L5" s="66" t="s">
        <v>57</v>
      </c>
      <c r="M5" s="372"/>
      <c r="N5" s="67"/>
      <c r="O5" s="61"/>
      <c r="P5" s="68"/>
      <c r="Q5" s="68"/>
      <c r="R5" s="68"/>
      <c r="S5" s="68"/>
      <c r="T5" s="68"/>
      <c r="U5" s="68"/>
      <c r="V5" s="50"/>
    </row>
    <row r="6" spans="1:22" ht="27.75" customHeight="1">
      <c r="A6" s="147"/>
      <c r="B6" s="148"/>
      <c r="C6" s="149"/>
      <c r="D6" s="150"/>
      <c r="E6" s="150"/>
      <c r="F6" s="151"/>
      <c r="G6" s="151"/>
      <c r="H6" s="152"/>
      <c r="I6" s="153"/>
      <c r="J6" s="69"/>
      <c r="K6" s="69"/>
      <c r="L6" s="69"/>
      <c r="M6" s="70"/>
      <c r="N6" s="71" t="str">
        <f t="shared" ref="N6:N69" si="0">CONCATENATE(C6,H6)</f>
        <v/>
      </c>
      <c r="O6" s="72"/>
      <c r="P6" s="72"/>
      <c r="Q6" s="72"/>
      <c r="R6" s="72"/>
      <c r="S6" s="72"/>
      <c r="T6" s="72"/>
      <c r="U6" s="72"/>
      <c r="V6" s="72"/>
    </row>
    <row r="7" spans="1:22" ht="27.75" customHeight="1">
      <c r="A7" s="154"/>
      <c r="B7" s="155"/>
      <c r="C7" s="156"/>
      <c r="D7" s="157"/>
      <c r="E7" s="157"/>
      <c r="F7" s="158"/>
      <c r="G7" s="158"/>
      <c r="H7" s="159"/>
      <c r="I7" s="160"/>
      <c r="J7" s="73"/>
      <c r="K7" s="73"/>
      <c r="L7" s="73"/>
      <c r="M7" s="74"/>
      <c r="N7" s="71" t="str">
        <f t="shared" si="0"/>
        <v/>
      </c>
      <c r="O7" s="72"/>
      <c r="P7" s="72"/>
      <c r="Q7" s="72"/>
      <c r="R7" s="72"/>
      <c r="S7" s="72"/>
      <c r="T7" s="72"/>
      <c r="U7" s="72"/>
      <c r="V7" s="72"/>
    </row>
    <row r="8" spans="1:22" ht="27.75" customHeight="1">
      <c r="A8" s="154"/>
      <c r="B8" s="155"/>
      <c r="C8" s="156"/>
      <c r="D8" s="157"/>
      <c r="E8" s="157"/>
      <c r="F8" s="158"/>
      <c r="G8" s="158"/>
      <c r="H8" s="159"/>
      <c r="I8" s="160"/>
      <c r="J8" s="73"/>
      <c r="K8" s="73"/>
      <c r="L8" s="73"/>
      <c r="M8" s="74"/>
      <c r="N8" s="71" t="str">
        <f t="shared" si="0"/>
        <v/>
      </c>
      <c r="O8" s="72"/>
      <c r="P8" s="72"/>
      <c r="Q8" s="72"/>
      <c r="R8" s="72"/>
      <c r="S8" s="72"/>
      <c r="T8" s="72"/>
      <c r="U8" s="72"/>
      <c r="V8" s="72"/>
    </row>
    <row r="9" spans="1:22" ht="27.75" customHeight="1">
      <c r="A9" s="154"/>
      <c r="B9" s="155"/>
      <c r="C9" s="156"/>
      <c r="D9" s="157"/>
      <c r="E9" s="157"/>
      <c r="F9" s="158"/>
      <c r="G9" s="158"/>
      <c r="H9" s="159"/>
      <c r="I9" s="160"/>
      <c r="J9" s="73"/>
      <c r="K9" s="73"/>
      <c r="L9" s="73"/>
      <c r="M9" s="74"/>
      <c r="N9" s="71" t="str">
        <f t="shared" si="0"/>
        <v/>
      </c>
      <c r="O9" s="72"/>
      <c r="P9" s="72"/>
      <c r="Q9" s="72"/>
      <c r="R9" s="72"/>
      <c r="S9" s="72"/>
      <c r="T9" s="72"/>
      <c r="U9" s="72"/>
      <c r="V9" s="72"/>
    </row>
    <row r="10" spans="1:22" ht="27.75" customHeight="1">
      <c r="A10" s="154"/>
      <c r="B10" s="155"/>
      <c r="C10" s="156"/>
      <c r="D10" s="157"/>
      <c r="E10" s="157"/>
      <c r="F10" s="158"/>
      <c r="G10" s="158"/>
      <c r="H10" s="159"/>
      <c r="I10" s="160"/>
      <c r="J10" s="73"/>
      <c r="K10" s="73"/>
      <c r="L10" s="73"/>
      <c r="M10" s="74"/>
      <c r="N10" s="71" t="str">
        <f t="shared" si="0"/>
        <v/>
      </c>
      <c r="O10" s="72"/>
      <c r="P10" s="72"/>
      <c r="Q10" s="72"/>
      <c r="R10" s="72"/>
      <c r="S10" s="72"/>
      <c r="T10" s="72"/>
      <c r="U10" s="72"/>
      <c r="V10" s="72"/>
    </row>
    <row r="11" spans="1:22" ht="27.75" customHeight="1">
      <c r="A11" s="154"/>
      <c r="B11" s="155"/>
      <c r="C11" s="156"/>
      <c r="D11" s="157"/>
      <c r="E11" s="157"/>
      <c r="F11" s="158"/>
      <c r="G11" s="158"/>
      <c r="H11" s="159"/>
      <c r="I11" s="160"/>
      <c r="J11" s="73"/>
      <c r="K11" s="73"/>
      <c r="L11" s="73"/>
      <c r="M11" s="74"/>
      <c r="N11" s="71" t="str">
        <f t="shared" si="0"/>
        <v/>
      </c>
      <c r="O11" s="72"/>
      <c r="P11" s="72"/>
      <c r="Q11" s="72"/>
      <c r="R11" s="72"/>
      <c r="S11" s="72"/>
      <c r="T11" s="72"/>
      <c r="U11" s="72"/>
      <c r="V11" s="72"/>
    </row>
    <row r="12" spans="1:22" ht="27.75" customHeight="1">
      <c r="A12" s="154"/>
      <c r="B12" s="155"/>
      <c r="C12" s="156"/>
      <c r="D12" s="157"/>
      <c r="E12" s="157"/>
      <c r="F12" s="158"/>
      <c r="G12" s="161"/>
      <c r="H12" s="159"/>
      <c r="I12" s="160"/>
      <c r="J12" s="73"/>
      <c r="K12" s="73"/>
      <c r="L12" s="73"/>
      <c r="M12" s="74"/>
      <c r="N12" s="71" t="str">
        <f t="shared" si="0"/>
        <v/>
      </c>
      <c r="O12" s="72"/>
      <c r="P12" s="72"/>
      <c r="Q12" s="72"/>
      <c r="R12" s="72"/>
      <c r="S12" s="72"/>
      <c r="T12" s="72"/>
      <c r="U12" s="72"/>
      <c r="V12" s="72"/>
    </row>
    <row r="13" spans="1:22" ht="27.75" customHeight="1">
      <c r="A13" s="154"/>
      <c r="B13" s="155"/>
      <c r="C13" s="156"/>
      <c r="D13" s="157"/>
      <c r="E13" s="157"/>
      <c r="F13" s="158"/>
      <c r="G13" s="158"/>
      <c r="H13" s="159"/>
      <c r="I13" s="160"/>
      <c r="J13" s="73"/>
      <c r="K13" s="73"/>
      <c r="L13" s="73"/>
      <c r="M13" s="74"/>
      <c r="N13" s="71" t="str">
        <f t="shared" si="0"/>
        <v/>
      </c>
      <c r="O13" s="72"/>
      <c r="P13" s="72"/>
      <c r="Q13" s="72"/>
      <c r="R13" s="72"/>
      <c r="S13" s="72"/>
      <c r="T13" s="72"/>
      <c r="U13" s="72"/>
      <c r="V13" s="72"/>
    </row>
    <row r="14" spans="1:22" ht="27.75" customHeight="1">
      <c r="A14" s="154"/>
      <c r="B14" s="155"/>
      <c r="C14" s="156"/>
      <c r="D14" s="157"/>
      <c r="E14" s="157"/>
      <c r="F14" s="158"/>
      <c r="G14" s="158"/>
      <c r="H14" s="159"/>
      <c r="I14" s="160"/>
      <c r="J14" s="73"/>
      <c r="K14" s="73"/>
      <c r="L14" s="73"/>
      <c r="M14" s="74"/>
      <c r="N14" s="71" t="str">
        <f t="shared" si="0"/>
        <v/>
      </c>
      <c r="O14" s="72"/>
      <c r="P14" s="72"/>
      <c r="Q14" s="72"/>
      <c r="R14" s="72"/>
      <c r="S14" s="72"/>
      <c r="T14" s="72"/>
      <c r="U14" s="72"/>
      <c r="V14" s="72"/>
    </row>
    <row r="15" spans="1:22" ht="27.75" customHeight="1">
      <c r="A15" s="154"/>
      <c r="B15" s="155"/>
      <c r="C15" s="156"/>
      <c r="D15" s="157"/>
      <c r="E15" s="157"/>
      <c r="F15" s="158"/>
      <c r="G15" s="158"/>
      <c r="H15" s="159"/>
      <c r="I15" s="160"/>
      <c r="J15" s="73"/>
      <c r="K15" s="73"/>
      <c r="L15" s="73"/>
      <c r="M15" s="74"/>
      <c r="N15" s="71" t="str">
        <f t="shared" si="0"/>
        <v/>
      </c>
      <c r="O15" s="72"/>
      <c r="P15" s="72"/>
      <c r="Q15" s="72"/>
      <c r="R15" s="72"/>
      <c r="S15" s="72"/>
      <c r="T15" s="72"/>
      <c r="U15" s="72"/>
      <c r="V15" s="72"/>
    </row>
    <row r="16" spans="1:22" ht="27.75" customHeight="1">
      <c r="A16" s="154"/>
      <c r="B16" s="155"/>
      <c r="C16" s="156"/>
      <c r="D16" s="157"/>
      <c r="E16" s="157"/>
      <c r="F16" s="158"/>
      <c r="G16" s="158"/>
      <c r="H16" s="159"/>
      <c r="I16" s="160"/>
      <c r="J16" s="73"/>
      <c r="K16" s="73"/>
      <c r="L16" s="73"/>
      <c r="M16" s="74"/>
      <c r="N16" s="71" t="str">
        <f t="shared" si="0"/>
        <v/>
      </c>
      <c r="O16" s="72"/>
      <c r="P16" s="72"/>
      <c r="Q16" s="72"/>
      <c r="R16" s="72"/>
      <c r="S16" s="72"/>
      <c r="T16" s="72"/>
      <c r="U16" s="72"/>
      <c r="V16" s="72"/>
    </row>
    <row r="17" spans="1:25" ht="27.75" customHeight="1">
      <c r="A17" s="154"/>
      <c r="B17" s="155"/>
      <c r="C17" s="156"/>
      <c r="D17" s="157"/>
      <c r="E17" s="157"/>
      <c r="F17" s="158"/>
      <c r="G17" s="158"/>
      <c r="H17" s="159"/>
      <c r="I17" s="160"/>
      <c r="J17" s="73"/>
      <c r="K17" s="73"/>
      <c r="L17" s="73"/>
      <c r="M17" s="74"/>
      <c r="N17" s="71" t="str">
        <f t="shared" si="0"/>
        <v/>
      </c>
      <c r="O17" s="72"/>
      <c r="P17" s="72"/>
      <c r="Q17" s="72"/>
      <c r="R17" s="72"/>
      <c r="S17" s="72"/>
      <c r="T17" s="72"/>
      <c r="U17" s="72"/>
      <c r="V17" s="72"/>
    </row>
    <row r="18" spans="1:25" ht="27.75" customHeight="1">
      <c r="A18" s="154"/>
      <c r="B18" s="155"/>
      <c r="C18" s="156"/>
      <c r="D18" s="157"/>
      <c r="E18" s="157"/>
      <c r="F18" s="158"/>
      <c r="G18" s="158"/>
      <c r="H18" s="159"/>
      <c r="I18" s="160"/>
      <c r="J18" s="73"/>
      <c r="K18" s="73"/>
      <c r="L18" s="73"/>
      <c r="M18" s="74"/>
      <c r="N18" s="71" t="str">
        <f t="shared" si="0"/>
        <v/>
      </c>
      <c r="O18" s="72"/>
      <c r="P18" s="72"/>
      <c r="Q18" s="72"/>
      <c r="R18" s="72"/>
      <c r="S18" s="72"/>
      <c r="T18" s="72"/>
      <c r="U18" s="72"/>
      <c r="V18" s="72"/>
    </row>
    <row r="19" spans="1:25" ht="27.75" customHeight="1">
      <c r="A19" s="154"/>
      <c r="B19" s="155"/>
      <c r="C19" s="156"/>
      <c r="D19" s="157"/>
      <c r="E19" s="157"/>
      <c r="F19" s="158"/>
      <c r="G19" s="158"/>
      <c r="H19" s="159"/>
      <c r="I19" s="160"/>
      <c r="J19" s="73"/>
      <c r="K19" s="73"/>
      <c r="L19" s="73"/>
      <c r="M19" s="74"/>
      <c r="N19" s="71" t="str">
        <f t="shared" si="0"/>
        <v/>
      </c>
      <c r="O19" s="72"/>
      <c r="P19" s="72"/>
      <c r="Q19" s="72"/>
      <c r="R19" s="72"/>
      <c r="S19" s="72"/>
      <c r="T19" s="72"/>
      <c r="U19" s="72"/>
      <c r="V19" s="72"/>
    </row>
    <row r="20" spans="1:25" ht="27.75" customHeight="1">
      <c r="A20" s="154"/>
      <c r="B20" s="155"/>
      <c r="C20" s="156"/>
      <c r="D20" s="157"/>
      <c r="E20" s="157"/>
      <c r="F20" s="158"/>
      <c r="G20" s="158"/>
      <c r="H20" s="159"/>
      <c r="I20" s="160"/>
      <c r="J20" s="73"/>
      <c r="K20" s="73"/>
      <c r="L20" s="73"/>
      <c r="M20" s="74"/>
      <c r="N20" s="71" t="str">
        <f t="shared" si="0"/>
        <v/>
      </c>
      <c r="O20" s="72"/>
      <c r="P20" s="72"/>
      <c r="Q20" s="72"/>
      <c r="R20" s="72"/>
      <c r="S20" s="72"/>
      <c r="T20" s="72"/>
      <c r="U20" s="72"/>
      <c r="V20" s="72"/>
    </row>
    <row r="21" spans="1:25" ht="27.75" customHeight="1">
      <c r="A21" s="154"/>
      <c r="B21" s="155"/>
      <c r="C21" s="156"/>
      <c r="D21" s="157"/>
      <c r="E21" s="157"/>
      <c r="F21" s="158"/>
      <c r="G21" s="158"/>
      <c r="H21" s="159"/>
      <c r="I21" s="160"/>
      <c r="J21" s="73"/>
      <c r="K21" s="73"/>
      <c r="L21" s="73"/>
      <c r="M21" s="74"/>
      <c r="N21" s="71" t="str">
        <f t="shared" si="0"/>
        <v/>
      </c>
      <c r="O21" s="75"/>
      <c r="P21" s="72"/>
      <c r="Q21" s="72"/>
      <c r="R21" s="72"/>
      <c r="S21" s="72"/>
      <c r="T21" s="72"/>
      <c r="U21" s="72"/>
      <c r="V21" s="76"/>
    </row>
    <row r="22" spans="1:25" ht="27.75" customHeight="1">
      <c r="A22" s="154"/>
      <c r="B22" s="155"/>
      <c r="C22" s="156"/>
      <c r="D22" s="157"/>
      <c r="E22" s="157"/>
      <c r="F22" s="158"/>
      <c r="G22" s="161"/>
      <c r="H22" s="159"/>
      <c r="I22" s="160"/>
      <c r="J22" s="73"/>
      <c r="K22" s="73"/>
      <c r="L22" s="73"/>
      <c r="M22" s="74"/>
      <c r="N22" s="71" t="str">
        <f t="shared" si="0"/>
        <v/>
      </c>
      <c r="O22" s="75"/>
      <c r="P22" s="72"/>
      <c r="Q22" s="72"/>
      <c r="R22" s="72"/>
      <c r="S22" s="72"/>
      <c r="T22" s="72"/>
      <c r="U22" s="72"/>
      <c r="V22" s="76"/>
    </row>
    <row r="23" spans="1:25" ht="27.75" customHeight="1">
      <c r="A23" s="154"/>
      <c r="B23" s="155"/>
      <c r="C23" s="156"/>
      <c r="D23" s="157"/>
      <c r="E23" s="157"/>
      <c r="F23" s="158"/>
      <c r="G23" s="158"/>
      <c r="H23" s="159"/>
      <c r="I23" s="160"/>
      <c r="J23" s="73"/>
      <c r="K23" s="73"/>
      <c r="L23" s="73"/>
      <c r="M23" s="74"/>
      <c r="N23" s="71" t="str">
        <f t="shared" si="0"/>
        <v/>
      </c>
      <c r="O23" s="75"/>
      <c r="P23" s="72"/>
      <c r="Q23" s="72"/>
      <c r="R23" s="72"/>
      <c r="S23" s="72"/>
      <c r="T23" s="72"/>
      <c r="U23" s="72"/>
      <c r="V23" s="76"/>
    </row>
    <row r="24" spans="1:25" ht="27.75" customHeight="1">
      <c r="A24" s="154"/>
      <c r="B24" s="155"/>
      <c r="C24" s="156"/>
      <c r="D24" s="157"/>
      <c r="E24" s="157"/>
      <c r="F24" s="158"/>
      <c r="G24" s="158"/>
      <c r="H24" s="159"/>
      <c r="I24" s="159"/>
      <c r="J24" s="73"/>
      <c r="K24" s="73"/>
      <c r="L24" s="73"/>
      <c r="M24" s="74"/>
      <c r="N24" s="71" t="str">
        <f t="shared" si="0"/>
        <v/>
      </c>
      <c r="O24" s="75"/>
      <c r="P24" s="72"/>
      <c r="Q24" s="72"/>
      <c r="R24" s="72"/>
      <c r="S24" s="72"/>
      <c r="T24" s="72"/>
      <c r="U24" s="72"/>
      <c r="V24" s="76"/>
    </row>
    <row r="25" spans="1:25" ht="27.75" customHeight="1">
      <c r="A25" s="162"/>
      <c r="B25" s="163"/>
      <c r="C25" s="164"/>
      <c r="D25" s="165"/>
      <c r="E25" s="165"/>
      <c r="F25" s="166"/>
      <c r="G25" s="166"/>
      <c r="H25" s="167"/>
      <c r="I25" s="168"/>
      <c r="J25" s="77"/>
      <c r="K25" s="77"/>
      <c r="L25" s="77"/>
      <c r="M25" s="78"/>
      <c r="N25" s="71" t="str">
        <f t="shared" si="0"/>
        <v/>
      </c>
      <c r="O25" s="72"/>
      <c r="P25" s="72"/>
      <c r="Q25" s="72"/>
      <c r="R25" s="72"/>
      <c r="S25" s="72"/>
      <c r="T25" s="72"/>
      <c r="U25" s="72"/>
      <c r="V25" s="79"/>
      <c r="W25" s="72"/>
      <c r="X25" s="72"/>
      <c r="Y25" s="72"/>
    </row>
    <row r="26" spans="1:25" ht="27.75" customHeight="1">
      <c r="A26" s="80" t="s">
        <v>58</v>
      </c>
      <c r="B26" s="81"/>
      <c r="C26" s="96"/>
      <c r="D26" s="82"/>
      <c r="E26" s="82">
        <f>SUM(E6:E25)</f>
        <v>0</v>
      </c>
      <c r="F26" s="83"/>
      <c r="G26" s="83"/>
      <c r="H26" s="83"/>
      <c r="I26" s="83"/>
      <c r="J26" s="83"/>
      <c r="K26" s="83"/>
      <c r="L26" s="83"/>
      <c r="M26" s="84"/>
      <c r="N26" s="71" t="str">
        <f t="shared" si="0"/>
        <v/>
      </c>
      <c r="O26" s="75"/>
      <c r="P26" s="72"/>
      <c r="Q26" s="72"/>
      <c r="R26" s="72"/>
      <c r="S26" s="72"/>
      <c r="T26" s="72"/>
      <c r="U26" s="72"/>
      <c r="V26" s="79"/>
      <c r="W26" s="72"/>
      <c r="X26" s="72"/>
      <c r="Y26" s="72"/>
    </row>
    <row r="27" spans="1:25" ht="27.75" customHeight="1">
      <c r="A27" s="169"/>
      <c r="B27" s="170"/>
      <c r="C27" s="171"/>
      <c r="D27" s="172"/>
      <c r="E27" s="172"/>
      <c r="F27" s="173"/>
      <c r="G27" s="173"/>
      <c r="H27" s="174"/>
      <c r="I27" s="175"/>
      <c r="J27" s="85"/>
      <c r="K27" s="85"/>
      <c r="L27" s="85"/>
      <c r="M27" s="86"/>
      <c r="N27" s="71" t="str">
        <f t="shared" si="0"/>
        <v/>
      </c>
      <c r="O27" s="72"/>
      <c r="P27" s="72"/>
      <c r="Q27" s="72"/>
      <c r="R27" s="72"/>
      <c r="S27" s="72"/>
      <c r="T27" s="72"/>
      <c r="U27" s="72"/>
      <c r="V27" s="72"/>
    </row>
    <row r="28" spans="1:25" ht="27.75" customHeight="1">
      <c r="A28" s="154"/>
      <c r="B28" s="155"/>
      <c r="C28" s="156"/>
      <c r="D28" s="157"/>
      <c r="E28" s="157"/>
      <c r="F28" s="158"/>
      <c r="G28" s="158"/>
      <c r="H28" s="159"/>
      <c r="I28" s="160"/>
      <c r="J28" s="73"/>
      <c r="K28" s="73"/>
      <c r="L28" s="73"/>
      <c r="M28" s="74"/>
      <c r="N28" s="71" t="str">
        <f t="shared" si="0"/>
        <v/>
      </c>
      <c r="O28" s="72"/>
      <c r="P28" s="72"/>
      <c r="Q28" s="72"/>
      <c r="R28" s="72"/>
      <c r="S28" s="72"/>
      <c r="T28" s="72"/>
      <c r="U28" s="72"/>
      <c r="V28" s="72"/>
    </row>
    <row r="29" spans="1:25" ht="27.75" customHeight="1">
      <c r="A29" s="154"/>
      <c r="B29" s="155"/>
      <c r="C29" s="156"/>
      <c r="D29" s="157"/>
      <c r="E29" s="157"/>
      <c r="F29" s="158"/>
      <c r="G29" s="158"/>
      <c r="H29" s="159"/>
      <c r="I29" s="160"/>
      <c r="J29" s="73"/>
      <c r="K29" s="73"/>
      <c r="L29" s="73"/>
      <c r="M29" s="74"/>
      <c r="N29" s="71" t="str">
        <f t="shared" si="0"/>
        <v/>
      </c>
      <c r="O29" s="72"/>
      <c r="P29" s="72"/>
      <c r="Q29" s="72"/>
      <c r="R29" s="72"/>
      <c r="S29" s="72"/>
      <c r="T29" s="72"/>
      <c r="U29" s="72"/>
      <c r="V29" s="72"/>
    </row>
    <row r="30" spans="1:25" ht="27.75" customHeight="1">
      <c r="A30" s="154"/>
      <c r="B30" s="155"/>
      <c r="C30" s="156"/>
      <c r="D30" s="157"/>
      <c r="E30" s="157"/>
      <c r="F30" s="158"/>
      <c r="G30" s="158"/>
      <c r="H30" s="159"/>
      <c r="I30" s="160"/>
      <c r="J30" s="73"/>
      <c r="K30" s="73"/>
      <c r="L30" s="73"/>
      <c r="M30" s="74"/>
      <c r="N30" s="71" t="str">
        <f t="shared" si="0"/>
        <v/>
      </c>
      <c r="O30" s="72"/>
      <c r="P30" s="72"/>
      <c r="Q30" s="72"/>
      <c r="R30" s="72"/>
      <c r="S30" s="72"/>
      <c r="T30" s="72"/>
      <c r="U30" s="72"/>
      <c r="V30" s="72"/>
    </row>
    <row r="31" spans="1:25" ht="27.75" customHeight="1">
      <c r="A31" s="154"/>
      <c r="B31" s="155"/>
      <c r="C31" s="156"/>
      <c r="D31" s="157"/>
      <c r="E31" s="157"/>
      <c r="F31" s="158"/>
      <c r="G31" s="158"/>
      <c r="H31" s="159"/>
      <c r="I31" s="160"/>
      <c r="J31" s="73"/>
      <c r="K31" s="73"/>
      <c r="L31" s="73"/>
      <c r="M31" s="74"/>
      <c r="N31" s="71" t="str">
        <f t="shared" si="0"/>
        <v/>
      </c>
      <c r="O31" s="72"/>
      <c r="P31" s="72"/>
      <c r="Q31" s="72"/>
      <c r="R31" s="72"/>
      <c r="S31" s="72"/>
      <c r="T31" s="72"/>
      <c r="U31" s="72"/>
      <c r="V31" s="72"/>
    </row>
    <row r="32" spans="1:25" ht="27.75" customHeight="1">
      <c r="A32" s="87" t="str">
        <f>IF(ISBLANK(C32)," ",27-COUNTBLANK($C$6:C32))</f>
        <v xml:space="preserve"> </v>
      </c>
      <c r="B32" s="88"/>
      <c r="C32" s="88"/>
      <c r="D32" s="89"/>
      <c r="E32" s="89"/>
      <c r="F32" s="73"/>
      <c r="G32" s="73"/>
      <c r="H32" s="73"/>
      <c r="I32" s="73"/>
      <c r="J32" s="73"/>
      <c r="K32" s="73"/>
      <c r="L32" s="73"/>
      <c r="M32" s="74"/>
      <c r="N32" s="71" t="str">
        <f t="shared" si="0"/>
        <v/>
      </c>
      <c r="O32" s="72"/>
      <c r="P32" s="72"/>
      <c r="Q32" s="72"/>
      <c r="R32" s="72"/>
      <c r="S32" s="72"/>
      <c r="T32" s="72"/>
      <c r="U32" s="72"/>
      <c r="V32" s="72"/>
    </row>
    <row r="33" spans="1:25" ht="27.75" customHeight="1">
      <c r="A33" s="87" t="str">
        <f>IF(ISBLANK(C33)," ",28-COUNTBLANK($C$6:C33))</f>
        <v xml:space="preserve"> </v>
      </c>
      <c r="B33" s="88"/>
      <c r="C33" s="88"/>
      <c r="D33" s="89"/>
      <c r="E33" s="89"/>
      <c r="F33" s="73"/>
      <c r="G33" s="73"/>
      <c r="H33" s="73"/>
      <c r="I33" s="73"/>
      <c r="J33" s="73"/>
      <c r="K33" s="73"/>
      <c r="L33" s="73"/>
      <c r="M33" s="74"/>
      <c r="N33" s="71" t="str">
        <f t="shared" si="0"/>
        <v/>
      </c>
      <c r="O33" s="72"/>
      <c r="P33" s="72"/>
      <c r="Q33" s="72"/>
      <c r="R33" s="72"/>
      <c r="S33" s="72"/>
      <c r="T33" s="72"/>
      <c r="U33" s="72"/>
      <c r="V33" s="72"/>
    </row>
    <row r="34" spans="1:25" ht="27.75" customHeight="1">
      <c r="A34" s="87" t="str">
        <f>IF(ISBLANK(C34)," ",29-COUNTBLANK($C$6:C34))</f>
        <v xml:space="preserve"> </v>
      </c>
      <c r="B34" s="88"/>
      <c r="C34" s="88"/>
      <c r="D34" s="89"/>
      <c r="E34" s="89"/>
      <c r="F34" s="73"/>
      <c r="G34" s="73"/>
      <c r="H34" s="73"/>
      <c r="I34" s="73"/>
      <c r="J34" s="73"/>
      <c r="K34" s="73"/>
      <c r="L34" s="73"/>
      <c r="M34" s="74"/>
      <c r="N34" s="71" t="str">
        <f t="shared" si="0"/>
        <v/>
      </c>
      <c r="O34" s="72"/>
      <c r="P34" s="72"/>
      <c r="Q34" s="72"/>
      <c r="R34" s="72"/>
      <c r="S34" s="72"/>
      <c r="T34" s="72"/>
      <c r="U34" s="72"/>
      <c r="V34" s="72"/>
    </row>
    <row r="35" spans="1:25" ht="27.75" customHeight="1">
      <c r="A35" s="87" t="str">
        <f>IF(ISBLANK(C35)," ",30-COUNTBLANK($C$6:C35))</f>
        <v xml:space="preserve"> </v>
      </c>
      <c r="B35" s="88"/>
      <c r="C35" s="88"/>
      <c r="D35" s="89"/>
      <c r="E35" s="89"/>
      <c r="F35" s="73"/>
      <c r="G35" s="73"/>
      <c r="H35" s="73"/>
      <c r="I35" s="73"/>
      <c r="J35" s="73"/>
      <c r="K35" s="73"/>
      <c r="L35" s="73"/>
      <c r="M35" s="74"/>
      <c r="N35" s="71" t="str">
        <f t="shared" si="0"/>
        <v/>
      </c>
      <c r="O35" s="72"/>
      <c r="P35" s="72"/>
      <c r="Q35" s="72"/>
      <c r="R35" s="72"/>
      <c r="S35" s="72"/>
      <c r="T35" s="72"/>
      <c r="U35" s="72"/>
      <c r="V35" s="72"/>
    </row>
    <row r="36" spans="1:25" ht="27.75" customHeight="1">
      <c r="A36" s="87" t="str">
        <f>IF(ISBLANK(C36)," ",31-COUNTBLANK($C$6:C36))</f>
        <v xml:space="preserve"> </v>
      </c>
      <c r="B36" s="88"/>
      <c r="C36" s="88"/>
      <c r="D36" s="89"/>
      <c r="E36" s="89"/>
      <c r="F36" s="73"/>
      <c r="G36" s="73"/>
      <c r="H36" s="73"/>
      <c r="I36" s="73"/>
      <c r="J36" s="73"/>
      <c r="K36" s="73"/>
      <c r="L36" s="73"/>
      <c r="M36" s="74"/>
      <c r="N36" s="71" t="str">
        <f t="shared" si="0"/>
        <v/>
      </c>
      <c r="O36" s="72"/>
      <c r="P36" s="72"/>
      <c r="Q36" s="72"/>
      <c r="R36" s="72"/>
      <c r="S36" s="72"/>
      <c r="T36" s="72"/>
      <c r="U36" s="72"/>
      <c r="V36" s="72"/>
    </row>
    <row r="37" spans="1:25" ht="27.75" customHeight="1">
      <c r="A37" s="87" t="str">
        <f>IF(ISBLANK(C37)," ",32-COUNTBLANK($C$6:C37))</f>
        <v xml:space="preserve"> </v>
      </c>
      <c r="B37" s="88"/>
      <c r="C37" s="88"/>
      <c r="D37" s="89"/>
      <c r="E37" s="89"/>
      <c r="F37" s="73"/>
      <c r="G37" s="73"/>
      <c r="H37" s="73"/>
      <c r="I37" s="73"/>
      <c r="J37" s="73"/>
      <c r="K37" s="73"/>
      <c r="L37" s="73"/>
      <c r="M37" s="74"/>
      <c r="N37" s="71" t="str">
        <f t="shared" si="0"/>
        <v/>
      </c>
      <c r="O37" s="72"/>
      <c r="P37" s="72"/>
      <c r="Q37" s="72"/>
      <c r="R37" s="72"/>
      <c r="S37" s="72"/>
      <c r="T37" s="72"/>
      <c r="U37" s="72"/>
      <c r="V37" s="72"/>
    </row>
    <row r="38" spans="1:25" ht="27.75" customHeight="1">
      <c r="A38" s="87" t="str">
        <f>IF(ISBLANK(C38)," ",33-COUNTBLANK($C$6:C38))</f>
        <v xml:space="preserve"> </v>
      </c>
      <c r="B38" s="88"/>
      <c r="C38" s="88"/>
      <c r="D38" s="89"/>
      <c r="E38" s="89"/>
      <c r="F38" s="73"/>
      <c r="G38" s="73"/>
      <c r="H38" s="73"/>
      <c r="I38" s="73"/>
      <c r="J38" s="73"/>
      <c r="K38" s="73"/>
      <c r="L38" s="73"/>
      <c r="M38" s="74"/>
      <c r="N38" s="71" t="str">
        <f t="shared" si="0"/>
        <v/>
      </c>
      <c r="O38" s="72"/>
      <c r="P38" s="72"/>
      <c r="Q38" s="72"/>
      <c r="R38" s="72"/>
      <c r="S38" s="72"/>
      <c r="T38" s="72"/>
      <c r="U38" s="72"/>
      <c r="V38" s="72"/>
    </row>
    <row r="39" spans="1:25" ht="27.75" customHeight="1">
      <c r="A39" s="87" t="str">
        <f>IF(ISBLANK(C39)," ",34-COUNTBLANK($C$6:C39))</f>
        <v xml:space="preserve"> </v>
      </c>
      <c r="B39" s="88"/>
      <c r="C39" s="88"/>
      <c r="D39" s="89"/>
      <c r="E39" s="89"/>
      <c r="F39" s="73"/>
      <c r="G39" s="73"/>
      <c r="H39" s="73"/>
      <c r="I39" s="73"/>
      <c r="J39" s="73"/>
      <c r="K39" s="73"/>
      <c r="L39" s="73"/>
      <c r="M39" s="74"/>
      <c r="N39" s="71" t="str">
        <f t="shared" si="0"/>
        <v/>
      </c>
      <c r="O39" s="72"/>
      <c r="P39" s="72"/>
      <c r="Q39" s="72"/>
      <c r="R39" s="72"/>
      <c r="S39" s="72"/>
      <c r="T39" s="72"/>
      <c r="U39" s="72"/>
      <c r="V39" s="72"/>
    </row>
    <row r="40" spans="1:25" ht="27.75" customHeight="1">
      <c r="A40" s="87" t="str">
        <f>IF(ISBLANK(C40)," ",35-COUNTBLANK($C$6:C40))</f>
        <v xml:space="preserve"> </v>
      </c>
      <c r="B40" s="88"/>
      <c r="C40" s="88"/>
      <c r="D40" s="89"/>
      <c r="E40" s="89"/>
      <c r="F40" s="73"/>
      <c r="G40" s="73"/>
      <c r="H40" s="73"/>
      <c r="I40" s="73"/>
      <c r="J40" s="73"/>
      <c r="K40" s="73"/>
      <c r="L40" s="73"/>
      <c r="M40" s="74"/>
      <c r="N40" s="71" t="str">
        <f t="shared" si="0"/>
        <v/>
      </c>
      <c r="O40" s="72"/>
      <c r="P40" s="72"/>
      <c r="Q40" s="72"/>
      <c r="R40" s="72"/>
      <c r="S40" s="72"/>
      <c r="T40" s="72"/>
      <c r="U40" s="72"/>
      <c r="V40" s="72"/>
    </row>
    <row r="41" spans="1:25" ht="27.75" customHeight="1">
      <c r="A41" s="87" t="str">
        <f>IF(ISBLANK(C41)," ",36-COUNTBLANK($C$6:C41))</f>
        <v xml:space="preserve"> </v>
      </c>
      <c r="B41" s="88"/>
      <c r="C41" s="88"/>
      <c r="D41" s="89"/>
      <c r="E41" s="89"/>
      <c r="F41" s="73"/>
      <c r="G41" s="73"/>
      <c r="H41" s="73"/>
      <c r="I41" s="73"/>
      <c r="J41" s="73"/>
      <c r="K41" s="73"/>
      <c r="L41" s="73"/>
      <c r="M41" s="74"/>
      <c r="N41" s="71" t="str">
        <f t="shared" si="0"/>
        <v/>
      </c>
      <c r="O41" s="72"/>
      <c r="P41" s="72"/>
      <c r="Q41" s="72"/>
      <c r="R41" s="72"/>
      <c r="S41" s="72"/>
      <c r="T41" s="72"/>
      <c r="U41" s="72"/>
      <c r="V41" s="72"/>
    </row>
    <row r="42" spans="1:25" ht="27.75" customHeight="1">
      <c r="A42" s="87" t="str">
        <f>IF(ISBLANK(C42)," ",37-COUNTBLANK($C$6:C42))</f>
        <v xml:space="preserve"> </v>
      </c>
      <c r="B42" s="88"/>
      <c r="C42" s="88"/>
      <c r="D42" s="89"/>
      <c r="E42" s="89"/>
      <c r="F42" s="73"/>
      <c r="G42" s="73"/>
      <c r="H42" s="73"/>
      <c r="I42" s="73"/>
      <c r="J42" s="73"/>
      <c r="K42" s="73"/>
      <c r="L42" s="73"/>
      <c r="M42" s="74"/>
      <c r="N42" s="71" t="str">
        <f t="shared" si="0"/>
        <v/>
      </c>
      <c r="O42" s="75"/>
      <c r="P42" s="72"/>
      <c r="Q42" s="72"/>
      <c r="R42" s="72"/>
      <c r="S42" s="72"/>
      <c r="T42" s="72"/>
      <c r="U42" s="72"/>
      <c r="V42" s="76"/>
    </row>
    <row r="43" spans="1:25" ht="27.75" customHeight="1">
      <c r="A43" s="87" t="str">
        <f>IF(ISBLANK(C43)," ",38-COUNTBLANK($C$6:C43))</f>
        <v xml:space="preserve"> </v>
      </c>
      <c r="B43" s="88"/>
      <c r="C43" s="88"/>
      <c r="D43" s="89"/>
      <c r="E43" s="89"/>
      <c r="F43" s="73"/>
      <c r="G43" s="73"/>
      <c r="H43" s="73"/>
      <c r="I43" s="73"/>
      <c r="J43" s="73"/>
      <c r="K43" s="73"/>
      <c r="L43" s="73"/>
      <c r="M43" s="74"/>
      <c r="N43" s="71" t="str">
        <f t="shared" si="0"/>
        <v/>
      </c>
      <c r="O43" s="75"/>
      <c r="P43" s="72"/>
      <c r="Q43" s="72"/>
      <c r="R43" s="72"/>
      <c r="S43" s="72"/>
      <c r="T43" s="72"/>
      <c r="U43" s="72"/>
      <c r="V43" s="76"/>
    </row>
    <row r="44" spans="1:25" ht="27.75" customHeight="1">
      <c r="A44" s="87" t="str">
        <f>IF(ISBLANK(C44)," ",39-COUNTBLANK($C$6:C44))</f>
        <v xml:space="preserve"> </v>
      </c>
      <c r="B44" s="88"/>
      <c r="C44" s="88"/>
      <c r="D44" s="89"/>
      <c r="E44" s="89"/>
      <c r="F44" s="73"/>
      <c r="G44" s="73"/>
      <c r="H44" s="73"/>
      <c r="I44" s="73"/>
      <c r="J44" s="73"/>
      <c r="K44" s="73"/>
      <c r="L44" s="73"/>
      <c r="M44" s="74"/>
      <c r="N44" s="71" t="str">
        <f t="shared" si="0"/>
        <v/>
      </c>
      <c r="O44" s="75"/>
      <c r="P44" s="72"/>
      <c r="Q44" s="72"/>
      <c r="R44" s="72"/>
      <c r="S44" s="72"/>
      <c r="T44" s="72"/>
      <c r="U44" s="72"/>
      <c r="V44" s="76"/>
    </row>
    <row r="45" spans="1:25" ht="27.75" customHeight="1">
      <c r="A45" s="87" t="str">
        <f>IF(ISBLANK(C45)," ",40-COUNTBLANK($C$6:C45))</f>
        <v xml:space="preserve"> </v>
      </c>
      <c r="B45" s="88"/>
      <c r="C45" s="88"/>
      <c r="D45" s="89"/>
      <c r="E45" s="89"/>
      <c r="F45" s="73"/>
      <c r="G45" s="73"/>
      <c r="H45" s="73"/>
      <c r="I45" s="73"/>
      <c r="J45" s="73"/>
      <c r="K45" s="73"/>
      <c r="L45" s="73"/>
      <c r="M45" s="74"/>
      <c r="N45" s="71" t="str">
        <f t="shared" si="0"/>
        <v/>
      </c>
      <c r="O45" s="75"/>
      <c r="P45" s="72"/>
      <c r="Q45" s="72"/>
      <c r="R45" s="72"/>
      <c r="S45" s="72"/>
      <c r="T45" s="72"/>
      <c r="U45" s="72"/>
      <c r="V45" s="76"/>
    </row>
    <row r="46" spans="1:25" ht="27.75" customHeight="1">
      <c r="A46" s="90" t="str">
        <f>IF(ISBLANK(C46)," ",41-COUNTBLANK($C$6:C46))</f>
        <v xml:space="preserve"> </v>
      </c>
      <c r="B46" s="91"/>
      <c r="C46" s="91"/>
      <c r="D46" s="92"/>
      <c r="E46" s="92"/>
      <c r="F46" s="77"/>
      <c r="G46" s="77"/>
      <c r="H46" s="77"/>
      <c r="I46" s="77"/>
      <c r="J46" s="77"/>
      <c r="K46" s="77"/>
      <c r="L46" s="77"/>
      <c r="M46" s="78"/>
      <c r="N46" s="71" t="str">
        <f t="shared" si="0"/>
        <v/>
      </c>
      <c r="O46" s="72"/>
      <c r="P46" s="72"/>
      <c r="Q46" s="72"/>
      <c r="R46" s="72"/>
      <c r="S46" s="72"/>
      <c r="T46" s="72"/>
      <c r="U46" s="72"/>
      <c r="V46" s="79"/>
      <c r="W46" s="72"/>
      <c r="X46" s="72"/>
      <c r="Y46" s="72"/>
    </row>
    <row r="47" spans="1:25" ht="27.75" customHeight="1">
      <c r="A47" s="80" t="s">
        <v>58</v>
      </c>
      <c r="B47" s="81"/>
      <c r="C47" s="96"/>
      <c r="D47" s="82"/>
      <c r="E47" s="82">
        <f>SUM(E27:E46)</f>
        <v>0</v>
      </c>
      <c r="F47" s="83"/>
      <c r="G47" s="83"/>
      <c r="H47" s="83"/>
      <c r="I47" s="83"/>
      <c r="J47" s="83"/>
      <c r="K47" s="83"/>
      <c r="L47" s="83"/>
      <c r="M47" s="84"/>
      <c r="N47" s="71" t="str">
        <f t="shared" si="0"/>
        <v/>
      </c>
      <c r="O47" s="75"/>
      <c r="P47" s="72"/>
      <c r="Q47" s="72"/>
      <c r="R47" s="72"/>
      <c r="S47" s="72"/>
      <c r="T47" s="72"/>
      <c r="U47" s="72"/>
      <c r="V47" s="79"/>
      <c r="W47" s="72"/>
      <c r="X47" s="72"/>
      <c r="Y47" s="72"/>
    </row>
    <row r="48" spans="1:25" ht="27.75" customHeight="1">
      <c r="A48" s="93" t="str">
        <f>IF(ISBLANK(C48)," ",43-COUNTBLANK($C$6:C48))</f>
        <v xml:space="preserve"> </v>
      </c>
      <c r="B48" s="94"/>
      <c r="C48" s="94"/>
      <c r="D48" s="95"/>
      <c r="E48" s="95"/>
      <c r="F48" s="85"/>
      <c r="G48" s="85"/>
      <c r="H48" s="85"/>
      <c r="I48" s="85"/>
      <c r="J48" s="85"/>
      <c r="K48" s="85"/>
      <c r="L48" s="85"/>
      <c r="M48" s="86"/>
      <c r="N48" s="71" t="str">
        <f t="shared" si="0"/>
        <v/>
      </c>
      <c r="O48" s="72"/>
      <c r="P48" s="72"/>
      <c r="Q48" s="72"/>
      <c r="R48" s="72"/>
      <c r="S48" s="72"/>
      <c r="T48" s="72"/>
      <c r="U48" s="72"/>
      <c r="V48" s="72"/>
    </row>
    <row r="49" spans="1:22" ht="27.75" customHeight="1">
      <c r="A49" s="87" t="str">
        <f>IF(ISBLANK(C49)," ",44-COUNTBLANK($C$6:C49))</f>
        <v xml:space="preserve"> </v>
      </c>
      <c r="B49" s="88"/>
      <c r="C49" s="88"/>
      <c r="D49" s="89"/>
      <c r="E49" s="89"/>
      <c r="F49" s="73"/>
      <c r="G49" s="73"/>
      <c r="H49" s="73"/>
      <c r="I49" s="73"/>
      <c r="J49" s="73"/>
      <c r="K49" s="73"/>
      <c r="L49" s="73"/>
      <c r="M49" s="74"/>
      <c r="N49" s="71" t="str">
        <f t="shared" si="0"/>
        <v/>
      </c>
      <c r="O49" s="72"/>
      <c r="P49" s="72"/>
      <c r="Q49" s="72"/>
      <c r="R49" s="72"/>
      <c r="S49" s="72"/>
      <c r="T49" s="72"/>
      <c r="U49" s="72"/>
      <c r="V49" s="72"/>
    </row>
    <row r="50" spans="1:22" ht="27.75" customHeight="1">
      <c r="A50" s="87" t="str">
        <f>IF(ISBLANK(C50)," ",45-COUNTBLANK($C$6:C50))</f>
        <v xml:space="preserve"> </v>
      </c>
      <c r="B50" s="88"/>
      <c r="C50" s="88"/>
      <c r="D50" s="89"/>
      <c r="E50" s="89"/>
      <c r="F50" s="73"/>
      <c r="G50" s="73"/>
      <c r="H50" s="73"/>
      <c r="I50" s="73"/>
      <c r="J50" s="73"/>
      <c r="K50" s="73"/>
      <c r="L50" s="73"/>
      <c r="M50" s="74"/>
      <c r="N50" s="71" t="str">
        <f t="shared" si="0"/>
        <v/>
      </c>
      <c r="O50" s="72"/>
      <c r="P50" s="72"/>
      <c r="Q50" s="72"/>
      <c r="R50" s="72"/>
      <c r="S50" s="72"/>
      <c r="T50" s="72"/>
      <c r="U50" s="72"/>
      <c r="V50" s="72"/>
    </row>
    <row r="51" spans="1:22" ht="27.75" customHeight="1">
      <c r="A51" s="87" t="str">
        <f>IF(ISBLANK(C51)," ",46-COUNTBLANK($C$6:C51))</f>
        <v xml:space="preserve"> </v>
      </c>
      <c r="B51" s="88"/>
      <c r="C51" s="88"/>
      <c r="D51" s="89"/>
      <c r="E51" s="89"/>
      <c r="F51" s="73"/>
      <c r="G51" s="73"/>
      <c r="H51" s="73"/>
      <c r="I51" s="73"/>
      <c r="J51" s="73"/>
      <c r="K51" s="73"/>
      <c r="L51" s="73"/>
      <c r="M51" s="74"/>
      <c r="N51" s="71" t="str">
        <f t="shared" si="0"/>
        <v/>
      </c>
      <c r="O51" s="72"/>
      <c r="P51" s="72"/>
      <c r="Q51" s="72"/>
      <c r="R51" s="72"/>
      <c r="S51" s="72"/>
      <c r="T51" s="72"/>
      <c r="U51" s="72"/>
      <c r="V51" s="72"/>
    </row>
    <row r="52" spans="1:22" ht="27.75" customHeight="1">
      <c r="A52" s="87" t="str">
        <f>IF(ISBLANK(C52)," ",47-COUNTBLANK($C$6:C52))</f>
        <v xml:space="preserve"> </v>
      </c>
      <c r="B52" s="88"/>
      <c r="C52" s="88"/>
      <c r="D52" s="89"/>
      <c r="E52" s="89"/>
      <c r="F52" s="73"/>
      <c r="G52" s="73"/>
      <c r="H52" s="73"/>
      <c r="I52" s="73"/>
      <c r="J52" s="73"/>
      <c r="K52" s="73"/>
      <c r="L52" s="73"/>
      <c r="M52" s="74"/>
      <c r="N52" s="71" t="str">
        <f t="shared" si="0"/>
        <v/>
      </c>
      <c r="O52" s="72"/>
      <c r="P52" s="72"/>
      <c r="Q52" s="72"/>
      <c r="R52" s="72"/>
      <c r="S52" s="72"/>
      <c r="T52" s="72"/>
      <c r="U52" s="72"/>
      <c r="V52" s="72"/>
    </row>
    <row r="53" spans="1:22" ht="27.75" customHeight="1">
      <c r="A53" s="87" t="str">
        <f>IF(ISBLANK(C53)," ",48-COUNTBLANK($C$6:C53))</f>
        <v xml:space="preserve"> </v>
      </c>
      <c r="B53" s="88"/>
      <c r="C53" s="88"/>
      <c r="D53" s="89"/>
      <c r="E53" s="89"/>
      <c r="F53" s="73"/>
      <c r="G53" s="73"/>
      <c r="H53" s="73"/>
      <c r="I53" s="73"/>
      <c r="J53" s="73"/>
      <c r="K53" s="73"/>
      <c r="L53" s="73"/>
      <c r="M53" s="74"/>
      <c r="N53" s="71" t="str">
        <f t="shared" si="0"/>
        <v/>
      </c>
      <c r="O53" s="72"/>
      <c r="P53" s="72"/>
      <c r="Q53" s="72"/>
      <c r="R53" s="72"/>
      <c r="S53" s="72"/>
      <c r="T53" s="72"/>
      <c r="U53" s="72"/>
      <c r="V53" s="72"/>
    </row>
    <row r="54" spans="1:22" ht="27.75" customHeight="1">
      <c r="A54" s="87" t="str">
        <f>IF(ISBLANK(C54)," ",49-COUNTBLANK($C$6:C54))</f>
        <v xml:space="preserve"> </v>
      </c>
      <c r="B54" s="88"/>
      <c r="C54" s="88"/>
      <c r="D54" s="89"/>
      <c r="E54" s="89"/>
      <c r="F54" s="73"/>
      <c r="G54" s="73"/>
      <c r="H54" s="73"/>
      <c r="I54" s="73"/>
      <c r="J54" s="73"/>
      <c r="K54" s="73"/>
      <c r="L54" s="73"/>
      <c r="M54" s="74"/>
      <c r="N54" s="71" t="str">
        <f t="shared" si="0"/>
        <v/>
      </c>
      <c r="O54" s="72"/>
      <c r="P54" s="72"/>
      <c r="Q54" s="72"/>
      <c r="R54" s="72"/>
      <c r="S54" s="72"/>
      <c r="T54" s="72"/>
      <c r="U54" s="72"/>
      <c r="V54" s="72"/>
    </row>
    <row r="55" spans="1:22" ht="27.75" customHeight="1">
      <c r="A55" s="87" t="str">
        <f>IF(ISBLANK(C55)," ",50-COUNTBLANK($C$6:C55))</f>
        <v xml:space="preserve"> </v>
      </c>
      <c r="B55" s="88"/>
      <c r="C55" s="88"/>
      <c r="D55" s="89"/>
      <c r="E55" s="89"/>
      <c r="F55" s="73"/>
      <c r="G55" s="73"/>
      <c r="H55" s="73"/>
      <c r="I55" s="73"/>
      <c r="J55" s="73"/>
      <c r="K55" s="73"/>
      <c r="L55" s="73"/>
      <c r="M55" s="74"/>
      <c r="N55" s="71" t="str">
        <f t="shared" si="0"/>
        <v/>
      </c>
      <c r="O55" s="72"/>
      <c r="P55" s="72"/>
      <c r="Q55" s="72"/>
      <c r="R55" s="72"/>
      <c r="S55" s="72"/>
      <c r="T55" s="72"/>
      <c r="U55" s="72"/>
      <c r="V55" s="72"/>
    </row>
    <row r="56" spans="1:22" ht="27.75" customHeight="1">
      <c r="A56" s="87" t="str">
        <f>IF(ISBLANK(C56)," ",51-COUNTBLANK($C$6:C56))</f>
        <v xml:space="preserve"> </v>
      </c>
      <c r="B56" s="88"/>
      <c r="C56" s="88"/>
      <c r="D56" s="89"/>
      <c r="E56" s="89"/>
      <c r="F56" s="73"/>
      <c r="G56" s="73"/>
      <c r="H56" s="73"/>
      <c r="I56" s="73"/>
      <c r="J56" s="73"/>
      <c r="K56" s="73"/>
      <c r="L56" s="73"/>
      <c r="M56" s="74"/>
      <c r="N56" s="71" t="str">
        <f t="shared" si="0"/>
        <v/>
      </c>
      <c r="O56" s="72"/>
      <c r="P56" s="72"/>
      <c r="Q56" s="72"/>
      <c r="R56" s="72"/>
      <c r="S56" s="72"/>
      <c r="T56" s="72"/>
      <c r="U56" s="72"/>
      <c r="V56" s="72"/>
    </row>
    <row r="57" spans="1:22" ht="27.75" customHeight="1">
      <c r="A57" s="87" t="str">
        <f>IF(ISBLANK(C57)," ",52-COUNTBLANK($C$6:C57))</f>
        <v xml:space="preserve"> </v>
      </c>
      <c r="B57" s="88"/>
      <c r="C57" s="88"/>
      <c r="D57" s="89"/>
      <c r="E57" s="89"/>
      <c r="F57" s="73"/>
      <c r="G57" s="73"/>
      <c r="H57" s="73"/>
      <c r="I57" s="73"/>
      <c r="J57" s="73"/>
      <c r="K57" s="73"/>
      <c r="L57" s="73"/>
      <c r="M57" s="74"/>
      <c r="N57" s="71" t="str">
        <f t="shared" si="0"/>
        <v/>
      </c>
      <c r="O57" s="72"/>
      <c r="P57" s="72"/>
      <c r="Q57" s="72"/>
      <c r="R57" s="72"/>
      <c r="S57" s="72"/>
      <c r="T57" s="72"/>
      <c r="U57" s="72"/>
      <c r="V57" s="72"/>
    </row>
    <row r="58" spans="1:22" ht="27.75" customHeight="1">
      <c r="A58" s="87" t="str">
        <f>IF(ISBLANK(C58)," ",53-COUNTBLANK($C$6:C58))</f>
        <v xml:space="preserve"> </v>
      </c>
      <c r="B58" s="88"/>
      <c r="C58" s="88"/>
      <c r="D58" s="89"/>
      <c r="E58" s="89"/>
      <c r="F58" s="73"/>
      <c r="G58" s="73"/>
      <c r="H58" s="73"/>
      <c r="I58" s="73"/>
      <c r="J58" s="73"/>
      <c r="K58" s="73"/>
      <c r="L58" s="73"/>
      <c r="M58" s="74"/>
      <c r="N58" s="71" t="str">
        <f t="shared" si="0"/>
        <v/>
      </c>
      <c r="O58" s="72"/>
      <c r="P58" s="72"/>
      <c r="Q58" s="72"/>
      <c r="R58" s="72"/>
      <c r="S58" s="72"/>
      <c r="T58" s="72"/>
      <c r="U58" s="72"/>
      <c r="V58" s="72"/>
    </row>
    <row r="59" spans="1:22" ht="27.75" customHeight="1">
      <c r="A59" s="87" t="str">
        <f>IF(ISBLANK(C59)," ",54-COUNTBLANK($C$6:C59))</f>
        <v xml:space="preserve"> </v>
      </c>
      <c r="B59" s="88"/>
      <c r="C59" s="88"/>
      <c r="D59" s="89"/>
      <c r="E59" s="89"/>
      <c r="F59" s="73"/>
      <c r="G59" s="73"/>
      <c r="H59" s="73"/>
      <c r="I59" s="73"/>
      <c r="J59" s="73"/>
      <c r="K59" s="73"/>
      <c r="L59" s="73"/>
      <c r="M59" s="74"/>
      <c r="N59" s="71" t="str">
        <f t="shared" si="0"/>
        <v/>
      </c>
      <c r="O59" s="72"/>
      <c r="P59" s="72"/>
      <c r="Q59" s="72"/>
      <c r="R59" s="72"/>
      <c r="S59" s="72"/>
      <c r="T59" s="72"/>
      <c r="U59" s="72"/>
      <c r="V59" s="72"/>
    </row>
    <row r="60" spans="1:22" ht="27.75" customHeight="1">
      <c r="A60" s="87" t="str">
        <f>IF(ISBLANK(C60)," ",55-COUNTBLANK($C$6:C60))</f>
        <v xml:space="preserve"> </v>
      </c>
      <c r="B60" s="88"/>
      <c r="C60" s="88"/>
      <c r="D60" s="89"/>
      <c r="E60" s="89"/>
      <c r="F60" s="73"/>
      <c r="G60" s="73"/>
      <c r="H60" s="73"/>
      <c r="I60" s="73"/>
      <c r="J60" s="73"/>
      <c r="K60" s="73"/>
      <c r="L60" s="73"/>
      <c r="M60" s="74"/>
      <c r="N60" s="71" t="str">
        <f t="shared" si="0"/>
        <v/>
      </c>
      <c r="O60" s="72"/>
      <c r="P60" s="72"/>
      <c r="Q60" s="72"/>
      <c r="R60" s="72"/>
      <c r="S60" s="72"/>
      <c r="T60" s="72"/>
      <c r="U60" s="72"/>
      <c r="V60" s="72"/>
    </row>
    <row r="61" spans="1:22" ht="27.75" customHeight="1">
      <c r="A61" s="87" t="str">
        <f>IF(ISBLANK(C61)," ",56-COUNTBLANK($C$6:C61))</f>
        <v xml:space="preserve"> </v>
      </c>
      <c r="B61" s="88"/>
      <c r="C61" s="88"/>
      <c r="D61" s="89"/>
      <c r="E61" s="89"/>
      <c r="F61" s="73"/>
      <c r="G61" s="73"/>
      <c r="H61" s="73"/>
      <c r="I61" s="73"/>
      <c r="J61" s="73"/>
      <c r="K61" s="73"/>
      <c r="L61" s="73"/>
      <c r="M61" s="74"/>
      <c r="N61" s="71" t="str">
        <f t="shared" si="0"/>
        <v/>
      </c>
      <c r="O61" s="72"/>
      <c r="P61" s="72"/>
      <c r="Q61" s="72"/>
      <c r="R61" s="72"/>
      <c r="S61" s="72"/>
      <c r="T61" s="72"/>
      <c r="U61" s="72"/>
      <c r="V61" s="72"/>
    </row>
    <row r="62" spans="1:22" ht="27.75" customHeight="1">
      <c r="A62" s="87" t="str">
        <f>IF(ISBLANK(C62)," ",57-COUNTBLANK($C$6:C62))</f>
        <v xml:space="preserve"> </v>
      </c>
      <c r="B62" s="88"/>
      <c r="C62" s="88"/>
      <c r="D62" s="89"/>
      <c r="E62" s="89"/>
      <c r="F62" s="73"/>
      <c r="G62" s="73"/>
      <c r="H62" s="73"/>
      <c r="I62" s="73"/>
      <c r="J62" s="73"/>
      <c r="K62" s="73"/>
      <c r="L62" s="73"/>
      <c r="M62" s="74"/>
      <c r="N62" s="71" t="str">
        <f t="shared" si="0"/>
        <v/>
      </c>
      <c r="O62" s="72"/>
      <c r="P62" s="72"/>
      <c r="Q62" s="72"/>
      <c r="R62" s="72"/>
      <c r="S62" s="72"/>
      <c r="T62" s="72"/>
      <c r="U62" s="72"/>
      <c r="V62" s="72"/>
    </row>
    <row r="63" spans="1:22" ht="27.75" customHeight="1">
      <c r="A63" s="87" t="str">
        <f>IF(ISBLANK(C63)," ",58-COUNTBLANK($C$6:C63))</f>
        <v xml:space="preserve"> </v>
      </c>
      <c r="B63" s="88"/>
      <c r="C63" s="88"/>
      <c r="D63" s="89"/>
      <c r="E63" s="89"/>
      <c r="F63" s="73"/>
      <c r="G63" s="73"/>
      <c r="H63" s="73"/>
      <c r="I63" s="73"/>
      <c r="J63" s="73"/>
      <c r="K63" s="73"/>
      <c r="L63" s="73"/>
      <c r="M63" s="74"/>
      <c r="N63" s="71" t="str">
        <f t="shared" si="0"/>
        <v/>
      </c>
      <c r="O63" s="75"/>
      <c r="P63" s="72"/>
      <c r="Q63" s="72"/>
      <c r="R63" s="72"/>
      <c r="S63" s="72"/>
      <c r="T63" s="72"/>
      <c r="U63" s="72"/>
      <c r="V63" s="76"/>
    </row>
    <row r="64" spans="1:22" ht="27.75" customHeight="1">
      <c r="A64" s="87" t="str">
        <f>IF(ISBLANK(C64)," ",59-COUNTBLANK($C$6:C64))</f>
        <v xml:space="preserve"> </v>
      </c>
      <c r="B64" s="88"/>
      <c r="C64" s="88"/>
      <c r="D64" s="89"/>
      <c r="E64" s="89"/>
      <c r="F64" s="73"/>
      <c r="G64" s="73"/>
      <c r="H64" s="73"/>
      <c r="I64" s="73"/>
      <c r="J64" s="73"/>
      <c r="K64" s="73"/>
      <c r="L64" s="73"/>
      <c r="M64" s="74"/>
      <c r="N64" s="71" t="str">
        <f t="shared" si="0"/>
        <v/>
      </c>
      <c r="O64" s="75"/>
      <c r="P64" s="72"/>
      <c r="Q64" s="72"/>
      <c r="R64" s="72"/>
      <c r="S64" s="72"/>
      <c r="T64" s="72"/>
      <c r="U64" s="72"/>
      <c r="V64" s="76"/>
    </row>
    <row r="65" spans="1:25" ht="27.75" customHeight="1">
      <c r="A65" s="87" t="str">
        <f>IF(ISBLANK(C65)," ",60-COUNTBLANK($C$6:C65))</f>
        <v xml:space="preserve"> </v>
      </c>
      <c r="B65" s="88"/>
      <c r="C65" s="88"/>
      <c r="D65" s="89"/>
      <c r="E65" s="89"/>
      <c r="F65" s="73"/>
      <c r="G65" s="73"/>
      <c r="H65" s="73"/>
      <c r="I65" s="73"/>
      <c r="J65" s="73"/>
      <c r="K65" s="73"/>
      <c r="L65" s="73"/>
      <c r="M65" s="74"/>
      <c r="N65" s="71" t="str">
        <f t="shared" si="0"/>
        <v/>
      </c>
      <c r="O65" s="75"/>
      <c r="P65" s="72"/>
      <c r="Q65" s="72"/>
      <c r="R65" s="72"/>
      <c r="S65" s="72"/>
      <c r="T65" s="72"/>
      <c r="U65" s="72"/>
      <c r="V65" s="76"/>
    </row>
    <row r="66" spans="1:25" ht="27.75" customHeight="1">
      <c r="A66" s="87" t="str">
        <f>IF(ISBLANK(C66)," ",61-COUNTBLANK($C$6:C66))</f>
        <v xml:space="preserve"> </v>
      </c>
      <c r="B66" s="88"/>
      <c r="C66" s="88"/>
      <c r="D66" s="89"/>
      <c r="E66" s="89"/>
      <c r="F66" s="73"/>
      <c r="G66" s="73"/>
      <c r="H66" s="73"/>
      <c r="I66" s="73"/>
      <c r="J66" s="73"/>
      <c r="K66" s="73"/>
      <c r="L66" s="73"/>
      <c r="M66" s="74"/>
      <c r="N66" s="71" t="str">
        <f t="shared" si="0"/>
        <v/>
      </c>
      <c r="O66" s="75"/>
      <c r="P66" s="72"/>
      <c r="Q66" s="72"/>
      <c r="R66" s="72"/>
      <c r="S66" s="72"/>
      <c r="T66" s="72"/>
      <c r="U66" s="72"/>
      <c r="V66" s="76"/>
    </row>
    <row r="67" spans="1:25" ht="27.75" customHeight="1">
      <c r="A67" s="87" t="str">
        <f>IF(ISBLANK(C67)," ",62-COUNTBLANK($C$6:C67))</f>
        <v xml:space="preserve"> </v>
      </c>
      <c r="B67" s="88"/>
      <c r="C67" s="88"/>
      <c r="D67" s="89"/>
      <c r="E67" s="89"/>
      <c r="F67" s="73"/>
      <c r="G67" s="73"/>
      <c r="H67" s="73"/>
      <c r="I67" s="73"/>
      <c r="J67" s="73"/>
      <c r="K67" s="73"/>
      <c r="L67" s="73"/>
      <c r="M67" s="74"/>
      <c r="N67" s="71" t="str">
        <f t="shared" si="0"/>
        <v/>
      </c>
      <c r="O67" s="72"/>
      <c r="P67" s="72"/>
      <c r="Q67" s="72"/>
      <c r="R67" s="72"/>
      <c r="S67" s="72"/>
      <c r="T67" s="72"/>
      <c r="U67" s="72"/>
      <c r="V67" s="79"/>
      <c r="W67" s="72"/>
      <c r="X67" s="72"/>
      <c r="Y67" s="72"/>
    </row>
    <row r="68" spans="1:25" ht="27.75" customHeight="1">
      <c r="A68" s="80" t="s">
        <v>58</v>
      </c>
      <c r="B68" s="81"/>
      <c r="C68" s="96"/>
      <c r="D68" s="82"/>
      <c r="E68" s="82">
        <f>SUM(E48:E67)</f>
        <v>0</v>
      </c>
      <c r="F68" s="83"/>
      <c r="G68" s="83"/>
      <c r="H68" s="83"/>
      <c r="I68" s="83"/>
      <c r="J68" s="83"/>
      <c r="K68" s="83"/>
      <c r="L68" s="83"/>
      <c r="M68" s="84"/>
      <c r="N68" s="71" t="str">
        <f t="shared" si="0"/>
        <v/>
      </c>
      <c r="O68" s="75"/>
      <c r="P68" s="72"/>
      <c r="Q68" s="72"/>
      <c r="R68" s="72"/>
      <c r="S68" s="72"/>
      <c r="T68" s="72"/>
      <c r="U68" s="72"/>
      <c r="V68" s="79"/>
      <c r="W68" s="72"/>
      <c r="X68" s="72"/>
      <c r="Y68" s="72"/>
    </row>
    <row r="69" spans="1:25" ht="27.75" customHeight="1">
      <c r="A69" s="93" t="str">
        <f>IF(ISBLANK(C69)," ",64-COUNTBLANK($C$6:C69))</f>
        <v xml:space="preserve"> </v>
      </c>
      <c r="B69" s="94"/>
      <c r="C69" s="94"/>
      <c r="D69" s="95"/>
      <c r="E69" s="95"/>
      <c r="F69" s="85"/>
      <c r="G69" s="85"/>
      <c r="H69" s="85"/>
      <c r="I69" s="85"/>
      <c r="J69" s="85"/>
      <c r="K69" s="85"/>
      <c r="L69" s="85"/>
      <c r="M69" s="86"/>
      <c r="N69" s="71" t="str">
        <f t="shared" si="0"/>
        <v/>
      </c>
      <c r="O69" s="72"/>
      <c r="P69" s="72"/>
      <c r="Q69" s="72"/>
      <c r="R69" s="72"/>
      <c r="S69" s="72"/>
      <c r="T69" s="72"/>
      <c r="U69" s="72"/>
      <c r="V69" s="72"/>
    </row>
    <row r="70" spans="1:25" ht="27.75" customHeight="1">
      <c r="A70" s="87" t="str">
        <f>IF(ISBLANK(C70)," ",65-COUNTBLANK($C$6:C70))</f>
        <v xml:space="preserve"> </v>
      </c>
      <c r="B70" s="88"/>
      <c r="C70" s="88"/>
      <c r="D70" s="89"/>
      <c r="E70" s="89"/>
      <c r="F70" s="73"/>
      <c r="G70" s="73"/>
      <c r="H70" s="73"/>
      <c r="I70" s="73"/>
      <c r="J70" s="73"/>
      <c r="K70" s="73"/>
      <c r="L70" s="73"/>
      <c r="M70" s="74"/>
      <c r="N70" s="71" t="str">
        <f t="shared" ref="N70:N133" si="1">CONCATENATE(C70,H70)</f>
        <v/>
      </c>
      <c r="O70" s="72"/>
      <c r="P70" s="72"/>
      <c r="Q70" s="72"/>
      <c r="R70" s="72"/>
      <c r="S70" s="72"/>
      <c r="T70" s="72"/>
      <c r="U70" s="72"/>
      <c r="V70" s="72"/>
    </row>
    <row r="71" spans="1:25" ht="27.75" customHeight="1">
      <c r="A71" s="87" t="str">
        <f>IF(ISBLANK(C71)," ",66-COUNTBLANK($C$6:C71))</f>
        <v xml:space="preserve"> </v>
      </c>
      <c r="B71" s="88"/>
      <c r="C71" s="88"/>
      <c r="D71" s="89"/>
      <c r="E71" s="89"/>
      <c r="F71" s="73"/>
      <c r="G71" s="73"/>
      <c r="H71" s="73"/>
      <c r="I71" s="73"/>
      <c r="J71" s="73"/>
      <c r="K71" s="73"/>
      <c r="L71" s="73"/>
      <c r="M71" s="74"/>
      <c r="N71" s="71" t="str">
        <f t="shared" si="1"/>
        <v/>
      </c>
      <c r="O71" s="72"/>
      <c r="P71" s="72"/>
      <c r="Q71" s="72"/>
      <c r="R71" s="72"/>
      <c r="S71" s="72"/>
      <c r="T71" s="72"/>
      <c r="U71" s="72"/>
      <c r="V71" s="72"/>
    </row>
    <row r="72" spans="1:25" ht="27.75" customHeight="1">
      <c r="A72" s="87" t="str">
        <f>IF(ISBLANK(C72)," ",67-COUNTBLANK($C$6:C72))</f>
        <v xml:space="preserve"> </v>
      </c>
      <c r="B72" s="88"/>
      <c r="C72" s="88"/>
      <c r="D72" s="89"/>
      <c r="E72" s="89"/>
      <c r="F72" s="73"/>
      <c r="G72" s="73"/>
      <c r="H72" s="73"/>
      <c r="I72" s="73"/>
      <c r="J72" s="73"/>
      <c r="K72" s="73"/>
      <c r="L72" s="73"/>
      <c r="M72" s="74"/>
      <c r="N72" s="71" t="str">
        <f t="shared" si="1"/>
        <v/>
      </c>
      <c r="O72" s="72"/>
      <c r="P72" s="72"/>
      <c r="Q72" s="72"/>
      <c r="R72" s="72"/>
      <c r="S72" s="72"/>
      <c r="T72" s="72"/>
      <c r="U72" s="72"/>
      <c r="V72" s="72"/>
    </row>
    <row r="73" spans="1:25" ht="27.75" customHeight="1">
      <c r="A73" s="87" t="str">
        <f>IF(ISBLANK(C73)," ",68-COUNTBLANK($C$6:C73))</f>
        <v xml:space="preserve"> </v>
      </c>
      <c r="B73" s="88"/>
      <c r="C73" s="88"/>
      <c r="D73" s="89"/>
      <c r="E73" s="89"/>
      <c r="F73" s="73"/>
      <c r="G73" s="73"/>
      <c r="H73" s="73"/>
      <c r="I73" s="73"/>
      <c r="J73" s="73"/>
      <c r="K73" s="73"/>
      <c r="L73" s="73"/>
      <c r="M73" s="74"/>
      <c r="N73" s="71" t="str">
        <f t="shared" si="1"/>
        <v/>
      </c>
      <c r="O73" s="72"/>
      <c r="P73" s="72"/>
      <c r="Q73" s="72"/>
      <c r="R73" s="72"/>
      <c r="S73" s="72"/>
      <c r="T73" s="72"/>
      <c r="U73" s="72"/>
      <c r="V73" s="72"/>
    </row>
    <row r="74" spans="1:25" ht="27.75" customHeight="1">
      <c r="A74" s="87" t="str">
        <f>IF(ISBLANK(C74)," ",69-COUNTBLANK($C$6:C74))</f>
        <v xml:space="preserve"> </v>
      </c>
      <c r="B74" s="88"/>
      <c r="C74" s="88"/>
      <c r="D74" s="89"/>
      <c r="E74" s="89"/>
      <c r="F74" s="73"/>
      <c r="G74" s="73"/>
      <c r="H74" s="73"/>
      <c r="I74" s="73"/>
      <c r="J74" s="73"/>
      <c r="K74" s="73"/>
      <c r="L74" s="73"/>
      <c r="M74" s="74"/>
      <c r="N74" s="71" t="str">
        <f t="shared" si="1"/>
        <v/>
      </c>
      <c r="O74" s="72"/>
      <c r="P74" s="72"/>
      <c r="Q74" s="72"/>
      <c r="R74" s="72"/>
      <c r="S74" s="72"/>
      <c r="T74" s="72"/>
      <c r="U74" s="72"/>
      <c r="V74" s="72"/>
    </row>
    <row r="75" spans="1:25" ht="27.75" customHeight="1">
      <c r="A75" s="87" t="str">
        <f>IF(ISBLANK(C75)," ",70-COUNTBLANK($C$6:C75))</f>
        <v xml:space="preserve"> </v>
      </c>
      <c r="B75" s="88"/>
      <c r="C75" s="88"/>
      <c r="D75" s="89"/>
      <c r="E75" s="89"/>
      <c r="F75" s="73"/>
      <c r="G75" s="73"/>
      <c r="H75" s="73"/>
      <c r="I75" s="73"/>
      <c r="J75" s="73"/>
      <c r="K75" s="73"/>
      <c r="L75" s="73"/>
      <c r="M75" s="74"/>
      <c r="N75" s="71" t="str">
        <f t="shared" si="1"/>
        <v/>
      </c>
      <c r="O75" s="72"/>
      <c r="P75" s="72"/>
      <c r="Q75" s="72"/>
      <c r="R75" s="72"/>
      <c r="S75" s="72"/>
      <c r="T75" s="72"/>
      <c r="U75" s="72"/>
      <c r="V75" s="72"/>
    </row>
    <row r="76" spans="1:25" ht="27.75" customHeight="1">
      <c r="A76" s="87" t="str">
        <f>IF(ISBLANK(C76)," ",71-COUNTBLANK($C$6:C76))</f>
        <v xml:space="preserve"> </v>
      </c>
      <c r="B76" s="88"/>
      <c r="C76" s="88"/>
      <c r="D76" s="89"/>
      <c r="E76" s="89"/>
      <c r="F76" s="73"/>
      <c r="G76" s="73"/>
      <c r="H76" s="73"/>
      <c r="I76" s="73"/>
      <c r="J76" s="73"/>
      <c r="K76" s="73"/>
      <c r="L76" s="73"/>
      <c r="M76" s="74"/>
      <c r="N76" s="71" t="str">
        <f t="shared" si="1"/>
        <v/>
      </c>
      <c r="O76" s="72"/>
      <c r="P76" s="72"/>
      <c r="Q76" s="72"/>
      <c r="R76" s="72"/>
      <c r="S76" s="72"/>
      <c r="T76" s="72"/>
      <c r="U76" s="72"/>
      <c r="V76" s="72"/>
    </row>
    <row r="77" spans="1:25" ht="27.75" customHeight="1">
      <c r="A77" s="87" t="str">
        <f>IF(ISBLANK(C77)," ",72-COUNTBLANK($C$6:C77))</f>
        <v xml:space="preserve"> </v>
      </c>
      <c r="B77" s="88"/>
      <c r="C77" s="88"/>
      <c r="D77" s="89"/>
      <c r="E77" s="89"/>
      <c r="F77" s="73"/>
      <c r="G77" s="73"/>
      <c r="H77" s="73"/>
      <c r="I77" s="73"/>
      <c r="J77" s="73"/>
      <c r="K77" s="73"/>
      <c r="L77" s="73"/>
      <c r="M77" s="74"/>
      <c r="N77" s="71" t="str">
        <f t="shared" si="1"/>
        <v/>
      </c>
      <c r="O77" s="72"/>
      <c r="P77" s="72"/>
      <c r="Q77" s="72"/>
      <c r="R77" s="72"/>
      <c r="S77" s="72"/>
      <c r="T77" s="72"/>
      <c r="U77" s="72"/>
      <c r="V77" s="72"/>
    </row>
    <row r="78" spans="1:25" ht="27.75" customHeight="1">
      <c r="A78" s="87" t="str">
        <f>IF(ISBLANK(C78)," ",73-COUNTBLANK($C$6:C78))</f>
        <v xml:space="preserve"> </v>
      </c>
      <c r="B78" s="88"/>
      <c r="C78" s="88"/>
      <c r="D78" s="89"/>
      <c r="E78" s="89"/>
      <c r="F78" s="73"/>
      <c r="G78" s="73"/>
      <c r="H78" s="73"/>
      <c r="I78" s="73"/>
      <c r="J78" s="73"/>
      <c r="K78" s="73"/>
      <c r="L78" s="73"/>
      <c r="M78" s="74"/>
      <c r="N78" s="71" t="str">
        <f t="shared" si="1"/>
        <v/>
      </c>
      <c r="O78" s="72"/>
      <c r="P78" s="72"/>
      <c r="Q78" s="72"/>
      <c r="R78" s="72"/>
      <c r="S78" s="72"/>
      <c r="T78" s="72"/>
      <c r="U78" s="72"/>
      <c r="V78" s="72"/>
    </row>
    <row r="79" spans="1:25" ht="27.75" customHeight="1">
      <c r="A79" s="87" t="str">
        <f>IF(ISBLANK(C79)," ",74-COUNTBLANK($C$6:C79))</f>
        <v xml:space="preserve"> </v>
      </c>
      <c r="B79" s="88"/>
      <c r="C79" s="88"/>
      <c r="D79" s="89"/>
      <c r="E79" s="89"/>
      <c r="F79" s="73"/>
      <c r="G79" s="73"/>
      <c r="H79" s="73"/>
      <c r="I79" s="73"/>
      <c r="J79" s="73"/>
      <c r="K79" s="73"/>
      <c r="L79" s="73"/>
      <c r="M79" s="74"/>
      <c r="N79" s="71" t="str">
        <f t="shared" si="1"/>
        <v/>
      </c>
      <c r="O79" s="72"/>
      <c r="P79" s="72"/>
      <c r="Q79" s="72"/>
      <c r="R79" s="72"/>
      <c r="S79" s="72"/>
      <c r="T79" s="72"/>
      <c r="U79" s="72"/>
      <c r="V79" s="72"/>
    </row>
    <row r="80" spans="1:25" ht="27.75" customHeight="1">
      <c r="A80" s="87" t="str">
        <f>IF(ISBLANK(C80)," ",75-COUNTBLANK($C$6:C80))</f>
        <v xml:space="preserve"> </v>
      </c>
      <c r="B80" s="88"/>
      <c r="C80" s="88"/>
      <c r="D80" s="89"/>
      <c r="E80" s="89"/>
      <c r="F80" s="73"/>
      <c r="G80" s="73"/>
      <c r="H80" s="73"/>
      <c r="I80" s="73"/>
      <c r="J80" s="73"/>
      <c r="K80" s="73"/>
      <c r="L80" s="73"/>
      <c r="M80" s="74"/>
      <c r="N80" s="71" t="str">
        <f t="shared" si="1"/>
        <v/>
      </c>
      <c r="O80" s="72"/>
      <c r="P80" s="72"/>
      <c r="Q80" s="72"/>
      <c r="R80" s="72"/>
      <c r="S80" s="72"/>
      <c r="T80" s="72"/>
      <c r="U80" s="72"/>
      <c r="V80" s="72"/>
    </row>
    <row r="81" spans="1:25" ht="27.75" customHeight="1">
      <c r="A81" s="87" t="str">
        <f>IF(ISBLANK(C81)," ",76-COUNTBLANK($C$6:C81))</f>
        <v xml:space="preserve"> </v>
      </c>
      <c r="B81" s="88"/>
      <c r="C81" s="88"/>
      <c r="D81" s="89"/>
      <c r="E81" s="89"/>
      <c r="F81" s="73"/>
      <c r="G81" s="73"/>
      <c r="H81" s="73"/>
      <c r="I81" s="73"/>
      <c r="J81" s="73"/>
      <c r="K81" s="73"/>
      <c r="L81" s="73"/>
      <c r="M81" s="74"/>
      <c r="N81" s="71" t="str">
        <f t="shared" si="1"/>
        <v/>
      </c>
      <c r="O81" s="72"/>
      <c r="P81" s="72"/>
      <c r="Q81" s="72"/>
      <c r="R81" s="72"/>
      <c r="S81" s="72"/>
      <c r="T81" s="72"/>
      <c r="U81" s="72"/>
      <c r="V81" s="72"/>
    </row>
    <row r="82" spans="1:25" ht="27.75" customHeight="1">
      <c r="A82" s="87" t="str">
        <f>IF(ISBLANK(C82)," ",77-COUNTBLANK($C$6:C82))</f>
        <v xml:space="preserve"> </v>
      </c>
      <c r="B82" s="88"/>
      <c r="C82" s="88"/>
      <c r="D82" s="89"/>
      <c r="E82" s="89"/>
      <c r="F82" s="73"/>
      <c r="G82" s="73"/>
      <c r="H82" s="73"/>
      <c r="I82" s="73"/>
      <c r="J82" s="73"/>
      <c r="K82" s="73"/>
      <c r="L82" s="73"/>
      <c r="M82" s="74"/>
      <c r="N82" s="71" t="str">
        <f t="shared" si="1"/>
        <v/>
      </c>
      <c r="O82" s="72"/>
      <c r="P82" s="72"/>
      <c r="Q82" s="72"/>
      <c r="R82" s="72"/>
      <c r="S82" s="72"/>
      <c r="T82" s="72"/>
      <c r="U82" s="72"/>
      <c r="V82" s="72"/>
    </row>
    <row r="83" spans="1:25" ht="27.75" customHeight="1">
      <c r="A83" s="87" t="str">
        <f>IF(ISBLANK(C83)," ",78-COUNTBLANK($C$6:C83))</f>
        <v xml:space="preserve"> </v>
      </c>
      <c r="B83" s="88"/>
      <c r="C83" s="88"/>
      <c r="D83" s="89"/>
      <c r="E83" s="89"/>
      <c r="F83" s="73"/>
      <c r="G83" s="73"/>
      <c r="H83" s="73"/>
      <c r="I83" s="73"/>
      <c r="J83" s="73"/>
      <c r="K83" s="73"/>
      <c r="L83" s="73"/>
      <c r="M83" s="74"/>
      <c r="N83" s="71" t="str">
        <f t="shared" si="1"/>
        <v/>
      </c>
      <c r="O83" s="72"/>
      <c r="P83" s="72"/>
      <c r="Q83" s="72"/>
      <c r="R83" s="72"/>
      <c r="S83" s="72"/>
      <c r="T83" s="72"/>
      <c r="U83" s="72"/>
      <c r="V83" s="72"/>
    </row>
    <row r="84" spans="1:25" ht="27.75" customHeight="1">
      <c r="A84" s="87" t="str">
        <f>IF(ISBLANK(C84)," ",79-COUNTBLANK($C$6:C84))</f>
        <v xml:space="preserve"> </v>
      </c>
      <c r="B84" s="88"/>
      <c r="C84" s="88"/>
      <c r="D84" s="89"/>
      <c r="E84" s="89"/>
      <c r="F84" s="73"/>
      <c r="G84" s="73"/>
      <c r="H84" s="73"/>
      <c r="I84" s="73"/>
      <c r="J84" s="73"/>
      <c r="K84" s="73"/>
      <c r="L84" s="73"/>
      <c r="M84" s="74"/>
      <c r="N84" s="71" t="str">
        <f t="shared" si="1"/>
        <v/>
      </c>
      <c r="O84" s="75"/>
      <c r="P84" s="72"/>
      <c r="Q84" s="72"/>
      <c r="R84" s="72"/>
      <c r="S84" s="72"/>
      <c r="T84" s="72"/>
      <c r="U84" s="72"/>
      <c r="V84" s="76"/>
    </row>
    <row r="85" spans="1:25" ht="27.75" customHeight="1">
      <c r="A85" s="87" t="str">
        <f>IF(ISBLANK(C85)," ",80-COUNTBLANK($C$6:C85))</f>
        <v xml:space="preserve"> </v>
      </c>
      <c r="B85" s="88"/>
      <c r="C85" s="88"/>
      <c r="D85" s="89"/>
      <c r="E85" s="89"/>
      <c r="F85" s="73"/>
      <c r="G85" s="73"/>
      <c r="H85" s="73"/>
      <c r="I85" s="73"/>
      <c r="J85" s="73"/>
      <c r="K85" s="73"/>
      <c r="L85" s="73"/>
      <c r="M85" s="74"/>
      <c r="N85" s="71" t="str">
        <f t="shared" si="1"/>
        <v/>
      </c>
      <c r="O85" s="75"/>
      <c r="P85" s="72"/>
      <c r="Q85" s="72"/>
      <c r="R85" s="72"/>
      <c r="S85" s="72"/>
      <c r="T85" s="72"/>
      <c r="U85" s="72"/>
      <c r="V85" s="76"/>
    </row>
    <row r="86" spans="1:25" ht="27.75" customHeight="1">
      <c r="A86" s="87" t="str">
        <f>IF(ISBLANK(C86)," ",81-COUNTBLANK($C$6:C86))</f>
        <v xml:space="preserve"> </v>
      </c>
      <c r="B86" s="88"/>
      <c r="C86" s="88"/>
      <c r="D86" s="89"/>
      <c r="E86" s="89"/>
      <c r="F86" s="73"/>
      <c r="G86" s="73"/>
      <c r="H86" s="73"/>
      <c r="I86" s="73"/>
      <c r="J86" s="73"/>
      <c r="K86" s="73"/>
      <c r="L86" s="73"/>
      <c r="M86" s="74"/>
      <c r="N86" s="71" t="str">
        <f t="shared" si="1"/>
        <v/>
      </c>
      <c r="O86" s="75"/>
      <c r="P86" s="72"/>
      <c r="Q86" s="72"/>
      <c r="R86" s="72"/>
      <c r="S86" s="72"/>
      <c r="T86" s="72"/>
      <c r="U86" s="72"/>
      <c r="V86" s="76"/>
    </row>
    <row r="87" spans="1:25" ht="27.75" customHeight="1">
      <c r="A87" s="87" t="str">
        <f>IF(ISBLANK(C87)," ",82-COUNTBLANK($C$6:C87))</f>
        <v xml:space="preserve"> </v>
      </c>
      <c r="B87" s="88"/>
      <c r="C87" s="88"/>
      <c r="D87" s="89"/>
      <c r="E87" s="89"/>
      <c r="F87" s="73"/>
      <c r="G87" s="73"/>
      <c r="H87" s="73"/>
      <c r="I87" s="73"/>
      <c r="J87" s="73"/>
      <c r="K87" s="73"/>
      <c r="L87" s="73"/>
      <c r="M87" s="74"/>
      <c r="N87" s="71" t="str">
        <f t="shared" si="1"/>
        <v/>
      </c>
      <c r="O87" s="75"/>
      <c r="P87" s="72"/>
      <c r="Q87" s="72"/>
      <c r="R87" s="72"/>
      <c r="S87" s="72"/>
      <c r="T87" s="72"/>
      <c r="U87" s="72"/>
      <c r="V87" s="76"/>
    </row>
    <row r="88" spans="1:25" ht="27.75" customHeight="1">
      <c r="A88" s="87" t="str">
        <f>IF(ISBLANK(C88)," ",83-COUNTBLANK($C$6:C88))</f>
        <v xml:space="preserve"> </v>
      </c>
      <c r="B88" s="88"/>
      <c r="C88" s="88"/>
      <c r="D88" s="89"/>
      <c r="E88" s="89"/>
      <c r="F88" s="73"/>
      <c r="G88" s="73"/>
      <c r="H88" s="73"/>
      <c r="I88" s="73"/>
      <c r="J88" s="73"/>
      <c r="K88" s="73"/>
      <c r="L88" s="73"/>
      <c r="M88" s="74"/>
      <c r="N88" s="71" t="str">
        <f t="shared" si="1"/>
        <v/>
      </c>
      <c r="O88" s="72"/>
      <c r="P88" s="72"/>
      <c r="Q88" s="72"/>
      <c r="R88" s="72"/>
      <c r="S88" s="72"/>
      <c r="T88" s="72"/>
      <c r="U88" s="72"/>
      <c r="V88" s="79"/>
      <c r="W88" s="72"/>
      <c r="X88" s="72"/>
      <c r="Y88" s="72"/>
    </row>
    <row r="89" spans="1:25" ht="27.75" customHeight="1">
      <c r="A89" s="80" t="s">
        <v>58</v>
      </c>
      <c r="B89" s="81"/>
      <c r="C89" s="96"/>
      <c r="D89" s="82"/>
      <c r="E89" s="82">
        <f>SUM(E69:E88)</f>
        <v>0</v>
      </c>
      <c r="F89" s="83"/>
      <c r="G89" s="83"/>
      <c r="H89" s="83"/>
      <c r="I89" s="83"/>
      <c r="J89" s="83"/>
      <c r="K89" s="83"/>
      <c r="L89" s="83"/>
      <c r="M89" s="84"/>
      <c r="N89" s="71" t="str">
        <f t="shared" si="1"/>
        <v/>
      </c>
      <c r="O89" s="75"/>
      <c r="P89" s="72"/>
      <c r="Q89" s="72"/>
      <c r="R89" s="72"/>
      <c r="S89" s="72"/>
      <c r="T89" s="72"/>
      <c r="U89" s="72"/>
      <c r="V89" s="79"/>
      <c r="W89" s="72"/>
      <c r="X89" s="72"/>
      <c r="Y89" s="72"/>
    </row>
    <row r="90" spans="1:25" ht="27.75" customHeight="1">
      <c r="A90" s="93" t="str">
        <f>IF(ISBLANK(C90)," ",85-COUNTBLANK($C$6:C90))</f>
        <v xml:space="preserve"> </v>
      </c>
      <c r="B90" s="94"/>
      <c r="C90" s="94"/>
      <c r="D90" s="95"/>
      <c r="E90" s="95"/>
      <c r="F90" s="85"/>
      <c r="G90" s="85"/>
      <c r="H90" s="85"/>
      <c r="I90" s="85"/>
      <c r="J90" s="85"/>
      <c r="K90" s="85"/>
      <c r="L90" s="85"/>
      <c r="M90" s="86"/>
      <c r="N90" s="71" t="str">
        <f t="shared" si="1"/>
        <v/>
      </c>
      <c r="O90" s="72"/>
      <c r="P90" s="72"/>
      <c r="Q90" s="72"/>
      <c r="R90" s="72"/>
      <c r="S90" s="72"/>
      <c r="T90" s="72"/>
      <c r="U90" s="72"/>
      <c r="V90" s="72"/>
    </row>
    <row r="91" spans="1:25" ht="27.75" customHeight="1">
      <c r="A91" s="87" t="str">
        <f>IF(ISBLANK(C91)," ",86-COUNTBLANK($C$6:C91))</f>
        <v xml:space="preserve"> </v>
      </c>
      <c r="B91" s="88"/>
      <c r="C91" s="88"/>
      <c r="D91" s="89"/>
      <c r="E91" s="89"/>
      <c r="F91" s="73"/>
      <c r="G91" s="73"/>
      <c r="H91" s="73"/>
      <c r="I91" s="73"/>
      <c r="J91" s="73"/>
      <c r="K91" s="73"/>
      <c r="L91" s="73"/>
      <c r="M91" s="74"/>
      <c r="N91" s="71" t="str">
        <f t="shared" si="1"/>
        <v/>
      </c>
      <c r="O91" s="72"/>
      <c r="P91" s="72"/>
      <c r="Q91" s="72"/>
      <c r="R91" s="72"/>
      <c r="S91" s="72"/>
      <c r="T91" s="72"/>
      <c r="U91" s="72"/>
      <c r="V91" s="72"/>
    </row>
    <row r="92" spans="1:25" ht="27.75" customHeight="1">
      <c r="A92" s="87" t="str">
        <f>IF(ISBLANK(C92)," ",87-COUNTBLANK($C$6:C92))</f>
        <v xml:space="preserve"> </v>
      </c>
      <c r="B92" s="88"/>
      <c r="C92" s="88"/>
      <c r="D92" s="89"/>
      <c r="E92" s="89"/>
      <c r="F92" s="73"/>
      <c r="G92" s="73"/>
      <c r="H92" s="73"/>
      <c r="I92" s="73"/>
      <c r="J92" s="73"/>
      <c r="K92" s="73"/>
      <c r="L92" s="73"/>
      <c r="M92" s="74"/>
      <c r="N92" s="71" t="str">
        <f t="shared" si="1"/>
        <v/>
      </c>
      <c r="O92" s="72"/>
      <c r="P92" s="72"/>
      <c r="Q92" s="72"/>
      <c r="R92" s="72"/>
      <c r="S92" s="72"/>
      <c r="T92" s="72"/>
      <c r="U92" s="72"/>
      <c r="V92" s="72"/>
    </row>
    <row r="93" spans="1:25" ht="27.75" customHeight="1">
      <c r="A93" s="87" t="str">
        <f>IF(ISBLANK(C93)," ",88-COUNTBLANK($C$6:C93))</f>
        <v xml:space="preserve"> </v>
      </c>
      <c r="B93" s="88"/>
      <c r="C93" s="88"/>
      <c r="D93" s="89"/>
      <c r="E93" s="89"/>
      <c r="F93" s="73"/>
      <c r="G93" s="73"/>
      <c r="H93" s="73"/>
      <c r="I93" s="73"/>
      <c r="J93" s="73"/>
      <c r="K93" s="73"/>
      <c r="L93" s="73"/>
      <c r="M93" s="74"/>
      <c r="N93" s="71" t="str">
        <f t="shared" si="1"/>
        <v/>
      </c>
      <c r="O93" s="72"/>
      <c r="P93" s="72"/>
      <c r="Q93" s="72"/>
      <c r="R93" s="72"/>
      <c r="S93" s="72"/>
      <c r="T93" s="72"/>
      <c r="U93" s="72"/>
      <c r="V93" s="72"/>
    </row>
    <row r="94" spans="1:25" ht="27.75" customHeight="1">
      <c r="A94" s="87" t="str">
        <f>IF(ISBLANK(C94)," ",89-COUNTBLANK($C$6:C94))</f>
        <v xml:space="preserve"> </v>
      </c>
      <c r="B94" s="88"/>
      <c r="C94" s="88"/>
      <c r="D94" s="89"/>
      <c r="E94" s="89"/>
      <c r="F94" s="73"/>
      <c r="G94" s="73"/>
      <c r="H94" s="73"/>
      <c r="I94" s="73"/>
      <c r="J94" s="73"/>
      <c r="K94" s="73"/>
      <c r="L94" s="73"/>
      <c r="M94" s="74"/>
      <c r="N94" s="71" t="str">
        <f t="shared" si="1"/>
        <v/>
      </c>
      <c r="O94" s="72"/>
      <c r="P94" s="72"/>
      <c r="Q94" s="72"/>
      <c r="R94" s="72"/>
      <c r="S94" s="72"/>
      <c r="T94" s="72"/>
      <c r="U94" s="72"/>
      <c r="V94" s="72"/>
    </row>
    <row r="95" spans="1:25" ht="27.75" customHeight="1">
      <c r="A95" s="87" t="str">
        <f>IF(ISBLANK(C95)," ",90-COUNTBLANK($C$6:C95))</f>
        <v xml:space="preserve"> </v>
      </c>
      <c r="B95" s="88"/>
      <c r="C95" s="88"/>
      <c r="D95" s="89"/>
      <c r="E95" s="89"/>
      <c r="F95" s="73"/>
      <c r="G95" s="73"/>
      <c r="H95" s="73"/>
      <c r="I95" s="73"/>
      <c r="J95" s="73"/>
      <c r="K95" s="73"/>
      <c r="L95" s="73"/>
      <c r="M95" s="74"/>
      <c r="N95" s="71" t="str">
        <f t="shared" si="1"/>
        <v/>
      </c>
      <c r="O95" s="72"/>
      <c r="P95" s="72"/>
      <c r="Q95" s="72"/>
      <c r="R95" s="72"/>
      <c r="S95" s="72"/>
      <c r="T95" s="72"/>
      <c r="U95" s="72"/>
      <c r="V95" s="72"/>
    </row>
    <row r="96" spans="1:25" ht="27.75" customHeight="1">
      <c r="A96" s="87" t="str">
        <f>IF(ISBLANK(C96)," ",91-COUNTBLANK($C$6:C96))</f>
        <v xml:space="preserve"> </v>
      </c>
      <c r="B96" s="88"/>
      <c r="C96" s="88"/>
      <c r="D96" s="89"/>
      <c r="E96" s="89"/>
      <c r="F96" s="73"/>
      <c r="G96" s="73"/>
      <c r="H96" s="73"/>
      <c r="I96" s="73"/>
      <c r="J96" s="73"/>
      <c r="K96" s="73"/>
      <c r="L96" s="73"/>
      <c r="M96" s="74"/>
      <c r="N96" s="71" t="str">
        <f t="shared" si="1"/>
        <v/>
      </c>
      <c r="O96" s="72"/>
      <c r="P96" s="72"/>
      <c r="Q96" s="72"/>
      <c r="R96" s="72"/>
      <c r="S96" s="72"/>
      <c r="T96" s="72"/>
      <c r="U96" s="72"/>
      <c r="V96" s="72"/>
    </row>
    <row r="97" spans="1:25" ht="27.75" customHeight="1">
      <c r="A97" s="87" t="str">
        <f>IF(ISBLANK(C97)," ",92-COUNTBLANK($C$6:C97))</f>
        <v xml:space="preserve"> </v>
      </c>
      <c r="B97" s="88"/>
      <c r="C97" s="88"/>
      <c r="D97" s="89"/>
      <c r="E97" s="89"/>
      <c r="F97" s="73"/>
      <c r="G97" s="73"/>
      <c r="H97" s="73"/>
      <c r="I97" s="73"/>
      <c r="J97" s="73"/>
      <c r="K97" s="73"/>
      <c r="L97" s="73"/>
      <c r="M97" s="74"/>
      <c r="N97" s="71" t="str">
        <f t="shared" si="1"/>
        <v/>
      </c>
      <c r="O97" s="72"/>
      <c r="P97" s="72"/>
      <c r="Q97" s="72"/>
      <c r="R97" s="72"/>
      <c r="S97" s="72"/>
      <c r="T97" s="72"/>
      <c r="U97" s="72"/>
      <c r="V97" s="72"/>
    </row>
    <row r="98" spans="1:25" ht="27.75" customHeight="1">
      <c r="A98" s="87" t="str">
        <f>IF(ISBLANK(C98)," ",93-COUNTBLANK($C$6:C98))</f>
        <v xml:space="preserve"> </v>
      </c>
      <c r="B98" s="88"/>
      <c r="C98" s="88"/>
      <c r="D98" s="89"/>
      <c r="E98" s="89"/>
      <c r="F98" s="73"/>
      <c r="G98" s="73"/>
      <c r="H98" s="73"/>
      <c r="I98" s="73"/>
      <c r="J98" s="73"/>
      <c r="K98" s="73"/>
      <c r="L98" s="73"/>
      <c r="M98" s="74"/>
      <c r="N98" s="71" t="str">
        <f t="shared" si="1"/>
        <v/>
      </c>
      <c r="O98" s="72"/>
      <c r="P98" s="72"/>
      <c r="Q98" s="72"/>
      <c r="R98" s="72"/>
      <c r="S98" s="72"/>
      <c r="T98" s="72"/>
      <c r="U98" s="72"/>
      <c r="V98" s="72"/>
    </row>
    <row r="99" spans="1:25" ht="27.75" customHeight="1">
      <c r="A99" s="87" t="str">
        <f>IF(ISBLANK(C99)," ",94-COUNTBLANK($C$6:C99))</f>
        <v xml:space="preserve"> </v>
      </c>
      <c r="B99" s="88"/>
      <c r="C99" s="88"/>
      <c r="D99" s="89"/>
      <c r="E99" s="89"/>
      <c r="F99" s="73"/>
      <c r="G99" s="73"/>
      <c r="H99" s="73"/>
      <c r="I99" s="73"/>
      <c r="J99" s="73"/>
      <c r="K99" s="73"/>
      <c r="L99" s="73"/>
      <c r="M99" s="74"/>
      <c r="N99" s="71" t="str">
        <f t="shared" si="1"/>
        <v/>
      </c>
      <c r="O99" s="72"/>
      <c r="P99" s="72"/>
      <c r="Q99" s="72"/>
      <c r="R99" s="72"/>
      <c r="S99" s="72"/>
      <c r="T99" s="72"/>
      <c r="U99" s="72"/>
      <c r="V99" s="72"/>
    </row>
    <row r="100" spans="1:25" ht="27.75" customHeight="1">
      <c r="A100" s="87" t="str">
        <f>IF(ISBLANK(C100)," ",95-COUNTBLANK($C$6:C100))</f>
        <v xml:space="preserve"> </v>
      </c>
      <c r="B100" s="88"/>
      <c r="C100" s="88"/>
      <c r="D100" s="89"/>
      <c r="E100" s="89"/>
      <c r="F100" s="73"/>
      <c r="G100" s="73"/>
      <c r="H100" s="73"/>
      <c r="I100" s="73"/>
      <c r="J100" s="73"/>
      <c r="K100" s="73"/>
      <c r="L100" s="73"/>
      <c r="M100" s="74"/>
      <c r="N100" s="71" t="str">
        <f t="shared" si="1"/>
        <v/>
      </c>
      <c r="O100" s="72"/>
      <c r="P100" s="72"/>
      <c r="Q100" s="72"/>
      <c r="R100" s="72"/>
      <c r="S100" s="72"/>
      <c r="T100" s="72"/>
      <c r="U100" s="72"/>
      <c r="V100" s="72"/>
    </row>
    <row r="101" spans="1:25" ht="27.75" customHeight="1">
      <c r="A101" s="87" t="str">
        <f>IF(ISBLANK(C101)," ",96-COUNTBLANK($C$6:C101))</f>
        <v xml:space="preserve"> </v>
      </c>
      <c r="B101" s="88"/>
      <c r="C101" s="88"/>
      <c r="D101" s="89"/>
      <c r="E101" s="89"/>
      <c r="F101" s="73"/>
      <c r="G101" s="73"/>
      <c r="H101" s="73"/>
      <c r="I101" s="73"/>
      <c r="J101" s="73"/>
      <c r="K101" s="73"/>
      <c r="L101" s="73"/>
      <c r="M101" s="74"/>
      <c r="N101" s="71" t="str">
        <f t="shared" si="1"/>
        <v/>
      </c>
      <c r="O101" s="72"/>
      <c r="P101" s="72"/>
      <c r="Q101" s="72"/>
      <c r="R101" s="72"/>
      <c r="S101" s="72"/>
      <c r="T101" s="72"/>
      <c r="U101" s="72"/>
      <c r="V101" s="72"/>
    </row>
    <row r="102" spans="1:25" ht="27.75" customHeight="1">
      <c r="A102" s="87" t="str">
        <f>IF(ISBLANK(C102)," ",97-COUNTBLANK($C$6:C102))</f>
        <v xml:space="preserve"> </v>
      </c>
      <c r="B102" s="88"/>
      <c r="C102" s="88"/>
      <c r="D102" s="89"/>
      <c r="E102" s="89"/>
      <c r="F102" s="73"/>
      <c r="G102" s="73"/>
      <c r="H102" s="73"/>
      <c r="I102" s="73"/>
      <c r="J102" s="73"/>
      <c r="K102" s="73"/>
      <c r="L102" s="73"/>
      <c r="M102" s="74"/>
      <c r="N102" s="71" t="str">
        <f t="shared" si="1"/>
        <v/>
      </c>
      <c r="O102" s="72"/>
      <c r="P102" s="72"/>
      <c r="Q102" s="72"/>
      <c r="R102" s="72"/>
      <c r="S102" s="72"/>
      <c r="T102" s="72"/>
      <c r="U102" s="72"/>
      <c r="V102" s="72"/>
    </row>
    <row r="103" spans="1:25" ht="27.75" customHeight="1">
      <c r="A103" s="87" t="str">
        <f>IF(ISBLANK(C103)," ",98-COUNTBLANK($C$6:C103))</f>
        <v xml:space="preserve"> </v>
      </c>
      <c r="B103" s="88"/>
      <c r="C103" s="88"/>
      <c r="D103" s="89"/>
      <c r="E103" s="89"/>
      <c r="F103" s="73"/>
      <c r="G103" s="73"/>
      <c r="H103" s="73"/>
      <c r="I103" s="73"/>
      <c r="J103" s="73"/>
      <c r="K103" s="73"/>
      <c r="L103" s="73"/>
      <c r="M103" s="74"/>
      <c r="N103" s="71" t="str">
        <f t="shared" si="1"/>
        <v/>
      </c>
      <c r="O103" s="72"/>
      <c r="P103" s="72"/>
      <c r="Q103" s="72"/>
      <c r="R103" s="72"/>
      <c r="S103" s="72"/>
      <c r="T103" s="72"/>
      <c r="U103" s="72"/>
      <c r="V103" s="72"/>
    </row>
    <row r="104" spans="1:25" ht="27.75" customHeight="1">
      <c r="A104" s="87" t="str">
        <f>IF(ISBLANK(C104)," ",99-COUNTBLANK($C$6:C104))</f>
        <v xml:space="preserve"> </v>
      </c>
      <c r="B104" s="88"/>
      <c r="C104" s="88"/>
      <c r="D104" s="89"/>
      <c r="E104" s="89"/>
      <c r="F104" s="73"/>
      <c r="G104" s="73"/>
      <c r="H104" s="73"/>
      <c r="I104" s="73"/>
      <c r="J104" s="73"/>
      <c r="K104" s="73"/>
      <c r="L104" s="73"/>
      <c r="M104" s="74"/>
      <c r="N104" s="71" t="str">
        <f t="shared" si="1"/>
        <v/>
      </c>
      <c r="O104" s="72"/>
      <c r="P104" s="72"/>
      <c r="Q104" s="72"/>
      <c r="R104" s="72"/>
      <c r="S104" s="72"/>
      <c r="T104" s="72"/>
      <c r="U104" s="72"/>
      <c r="V104" s="72"/>
    </row>
    <row r="105" spans="1:25" ht="27.75" customHeight="1">
      <c r="A105" s="87" t="str">
        <f>IF(ISBLANK(C105)," ",100-COUNTBLANK($C$6:C105))</f>
        <v xml:space="preserve"> </v>
      </c>
      <c r="B105" s="88"/>
      <c r="C105" s="88"/>
      <c r="D105" s="89"/>
      <c r="E105" s="89"/>
      <c r="F105" s="73"/>
      <c r="G105" s="73"/>
      <c r="H105" s="73"/>
      <c r="I105" s="73"/>
      <c r="J105" s="73"/>
      <c r="K105" s="73"/>
      <c r="L105" s="73"/>
      <c r="M105" s="74"/>
      <c r="N105" s="71" t="str">
        <f t="shared" si="1"/>
        <v/>
      </c>
      <c r="O105" s="75"/>
      <c r="P105" s="72"/>
      <c r="Q105" s="72"/>
      <c r="R105" s="72"/>
      <c r="S105" s="72"/>
      <c r="T105" s="72"/>
      <c r="U105" s="72"/>
      <c r="V105" s="76"/>
    </row>
    <row r="106" spans="1:25" ht="27.75" customHeight="1">
      <c r="A106" s="87" t="str">
        <f>IF(ISBLANK(C106)," ",101-COUNTBLANK($C$6:C106))</f>
        <v xml:space="preserve"> </v>
      </c>
      <c r="B106" s="88"/>
      <c r="C106" s="88"/>
      <c r="D106" s="89"/>
      <c r="E106" s="89"/>
      <c r="F106" s="73"/>
      <c r="G106" s="73"/>
      <c r="H106" s="73"/>
      <c r="I106" s="73"/>
      <c r="J106" s="73"/>
      <c r="K106" s="73"/>
      <c r="L106" s="73"/>
      <c r="M106" s="74"/>
      <c r="N106" s="71" t="str">
        <f t="shared" si="1"/>
        <v/>
      </c>
      <c r="O106" s="75"/>
      <c r="P106" s="72"/>
      <c r="Q106" s="72"/>
      <c r="R106" s="72"/>
      <c r="S106" s="72"/>
      <c r="T106" s="72"/>
      <c r="U106" s="72"/>
      <c r="V106" s="76"/>
    </row>
    <row r="107" spans="1:25" ht="27.75" customHeight="1">
      <c r="A107" s="87" t="str">
        <f>IF(ISBLANK(C107)," ",102-COUNTBLANK($C$6:C107))</f>
        <v xml:space="preserve"> </v>
      </c>
      <c r="B107" s="88"/>
      <c r="C107" s="88"/>
      <c r="D107" s="89"/>
      <c r="E107" s="89"/>
      <c r="F107" s="73"/>
      <c r="G107" s="73"/>
      <c r="H107" s="73"/>
      <c r="I107" s="73"/>
      <c r="J107" s="73"/>
      <c r="K107" s="73"/>
      <c r="L107" s="73"/>
      <c r="M107" s="74"/>
      <c r="N107" s="71" t="str">
        <f t="shared" si="1"/>
        <v/>
      </c>
      <c r="O107" s="75"/>
      <c r="P107" s="72"/>
      <c r="Q107" s="72"/>
      <c r="R107" s="72"/>
      <c r="S107" s="72"/>
      <c r="T107" s="72"/>
      <c r="U107" s="72"/>
      <c r="V107" s="76"/>
    </row>
    <row r="108" spans="1:25" ht="27.75" customHeight="1">
      <c r="A108" s="87" t="str">
        <f>IF(ISBLANK(C108)," ",103-COUNTBLANK($C$6:C108))</f>
        <v xml:space="preserve"> </v>
      </c>
      <c r="B108" s="88"/>
      <c r="C108" s="88"/>
      <c r="D108" s="89"/>
      <c r="E108" s="89"/>
      <c r="F108" s="73"/>
      <c r="G108" s="73"/>
      <c r="H108" s="73"/>
      <c r="I108" s="73"/>
      <c r="J108" s="73"/>
      <c r="K108" s="73"/>
      <c r="L108" s="73"/>
      <c r="M108" s="74"/>
      <c r="N108" s="71" t="str">
        <f t="shared" si="1"/>
        <v/>
      </c>
      <c r="O108" s="75"/>
      <c r="P108" s="72"/>
      <c r="Q108" s="72"/>
      <c r="R108" s="72"/>
      <c r="S108" s="72"/>
      <c r="T108" s="72"/>
      <c r="U108" s="72"/>
      <c r="V108" s="76"/>
    </row>
    <row r="109" spans="1:25" ht="27.75" customHeight="1">
      <c r="A109" s="87" t="str">
        <f>IF(ISBLANK(C109)," ",104-COUNTBLANK($C$6:C109))</f>
        <v xml:space="preserve"> </v>
      </c>
      <c r="B109" s="88"/>
      <c r="C109" s="88"/>
      <c r="D109" s="89"/>
      <c r="E109" s="89"/>
      <c r="F109" s="73"/>
      <c r="G109" s="73"/>
      <c r="H109" s="73"/>
      <c r="I109" s="73"/>
      <c r="J109" s="73"/>
      <c r="K109" s="73"/>
      <c r="L109" s="73"/>
      <c r="M109" s="74"/>
      <c r="N109" s="71" t="str">
        <f t="shared" si="1"/>
        <v/>
      </c>
      <c r="O109" s="72"/>
      <c r="P109" s="72"/>
      <c r="Q109" s="72"/>
      <c r="R109" s="72"/>
      <c r="S109" s="72"/>
      <c r="T109" s="72"/>
      <c r="U109" s="72"/>
      <c r="V109" s="79"/>
      <c r="W109" s="72"/>
      <c r="X109" s="72"/>
      <c r="Y109" s="72"/>
    </row>
    <row r="110" spans="1:25" ht="27.75" customHeight="1">
      <c r="A110" s="80" t="s">
        <v>58</v>
      </c>
      <c r="B110" s="81"/>
      <c r="C110" s="96"/>
      <c r="D110" s="82"/>
      <c r="E110" s="82">
        <f>SUM(E90:E109)</f>
        <v>0</v>
      </c>
      <c r="F110" s="83"/>
      <c r="G110" s="83"/>
      <c r="H110" s="83"/>
      <c r="I110" s="83"/>
      <c r="J110" s="83"/>
      <c r="K110" s="83"/>
      <c r="L110" s="83"/>
      <c r="M110" s="84"/>
      <c r="N110" s="71" t="str">
        <f t="shared" si="1"/>
        <v/>
      </c>
      <c r="O110" s="75"/>
      <c r="P110" s="72"/>
      <c r="Q110" s="72"/>
      <c r="R110" s="72"/>
      <c r="S110" s="72"/>
      <c r="T110" s="72"/>
      <c r="U110" s="72"/>
      <c r="V110" s="79"/>
      <c r="W110" s="72"/>
      <c r="X110" s="72"/>
      <c r="Y110" s="72"/>
    </row>
    <row r="111" spans="1:25" ht="27.75" customHeight="1">
      <c r="A111" s="93" t="str">
        <f>IF(ISBLANK(C111)," ",106-COUNTBLANK($C$6:C111))</f>
        <v xml:space="preserve"> </v>
      </c>
      <c r="B111" s="94"/>
      <c r="C111" s="94"/>
      <c r="D111" s="95"/>
      <c r="E111" s="95"/>
      <c r="F111" s="85"/>
      <c r="G111" s="85"/>
      <c r="H111" s="85"/>
      <c r="I111" s="85"/>
      <c r="J111" s="85"/>
      <c r="K111" s="85"/>
      <c r="L111" s="85"/>
      <c r="M111" s="86"/>
      <c r="N111" s="71" t="str">
        <f t="shared" si="1"/>
        <v/>
      </c>
      <c r="O111" s="72"/>
      <c r="P111" s="72"/>
      <c r="Q111" s="72"/>
      <c r="R111" s="72"/>
      <c r="S111" s="72"/>
      <c r="T111" s="72"/>
      <c r="U111" s="72"/>
      <c r="V111" s="72"/>
    </row>
    <row r="112" spans="1:25" ht="27.75" customHeight="1">
      <c r="A112" s="87" t="str">
        <f>IF(ISBLANK(C112)," ",107-COUNTBLANK($C$6:C112))</f>
        <v xml:space="preserve"> </v>
      </c>
      <c r="B112" s="88"/>
      <c r="C112" s="88"/>
      <c r="D112" s="89"/>
      <c r="E112" s="89"/>
      <c r="F112" s="73"/>
      <c r="G112" s="73"/>
      <c r="H112" s="73"/>
      <c r="I112" s="73"/>
      <c r="J112" s="73"/>
      <c r="K112" s="73"/>
      <c r="L112" s="73"/>
      <c r="M112" s="74"/>
      <c r="N112" s="71" t="str">
        <f t="shared" si="1"/>
        <v/>
      </c>
      <c r="O112" s="72"/>
      <c r="P112" s="72"/>
      <c r="Q112" s="72"/>
      <c r="R112" s="72"/>
      <c r="S112" s="72"/>
      <c r="T112" s="72"/>
      <c r="U112" s="72"/>
      <c r="V112" s="72"/>
    </row>
    <row r="113" spans="1:22" ht="27.75" customHeight="1">
      <c r="A113" s="87" t="str">
        <f>IF(ISBLANK(C113)," ",108-COUNTBLANK($C$6:C113))</f>
        <v xml:space="preserve"> </v>
      </c>
      <c r="B113" s="88"/>
      <c r="C113" s="88"/>
      <c r="D113" s="89"/>
      <c r="E113" s="89"/>
      <c r="F113" s="73"/>
      <c r="G113" s="73"/>
      <c r="H113" s="73"/>
      <c r="I113" s="73"/>
      <c r="J113" s="73"/>
      <c r="K113" s="73"/>
      <c r="L113" s="73"/>
      <c r="M113" s="74"/>
      <c r="N113" s="71" t="str">
        <f t="shared" si="1"/>
        <v/>
      </c>
      <c r="O113" s="72"/>
      <c r="P113" s="72"/>
      <c r="Q113" s="72"/>
      <c r="R113" s="72"/>
      <c r="S113" s="72"/>
      <c r="T113" s="72"/>
      <c r="U113" s="72"/>
      <c r="V113" s="72"/>
    </row>
    <row r="114" spans="1:22" ht="27.75" customHeight="1">
      <c r="A114" s="87" t="str">
        <f>IF(ISBLANK(C114)," ",109-COUNTBLANK($C$6:C114))</f>
        <v xml:space="preserve"> </v>
      </c>
      <c r="B114" s="88"/>
      <c r="C114" s="88"/>
      <c r="D114" s="89"/>
      <c r="E114" s="89"/>
      <c r="F114" s="73"/>
      <c r="G114" s="73"/>
      <c r="H114" s="73"/>
      <c r="I114" s="73"/>
      <c r="J114" s="73"/>
      <c r="K114" s="73"/>
      <c r="L114" s="73"/>
      <c r="M114" s="74"/>
      <c r="N114" s="71" t="str">
        <f t="shared" si="1"/>
        <v/>
      </c>
      <c r="O114" s="72"/>
      <c r="P114" s="72"/>
      <c r="Q114" s="72"/>
      <c r="R114" s="72"/>
      <c r="S114" s="72"/>
      <c r="T114" s="72"/>
      <c r="U114" s="72"/>
      <c r="V114" s="72"/>
    </row>
    <row r="115" spans="1:22" ht="27.75" customHeight="1">
      <c r="A115" s="87" t="str">
        <f>IF(ISBLANK(C115)," ",110-COUNTBLANK($C$6:C115))</f>
        <v xml:space="preserve"> </v>
      </c>
      <c r="B115" s="88"/>
      <c r="C115" s="88"/>
      <c r="D115" s="89"/>
      <c r="E115" s="89"/>
      <c r="F115" s="73"/>
      <c r="G115" s="73"/>
      <c r="H115" s="73"/>
      <c r="I115" s="73"/>
      <c r="J115" s="73"/>
      <c r="K115" s="73"/>
      <c r="L115" s="73"/>
      <c r="M115" s="74"/>
      <c r="N115" s="71" t="str">
        <f t="shared" si="1"/>
        <v/>
      </c>
      <c r="O115" s="72"/>
      <c r="P115" s="72"/>
      <c r="Q115" s="72"/>
      <c r="R115" s="72"/>
      <c r="S115" s="72"/>
      <c r="T115" s="72"/>
      <c r="U115" s="72"/>
      <c r="V115" s="72"/>
    </row>
    <row r="116" spans="1:22" ht="27.75" customHeight="1">
      <c r="A116" s="87" t="str">
        <f>IF(ISBLANK(C116)," ",111-COUNTBLANK($C$6:C116))</f>
        <v xml:space="preserve"> </v>
      </c>
      <c r="B116" s="88"/>
      <c r="C116" s="88"/>
      <c r="D116" s="89"/>
      <c r="E116" s="89"/>
      <c r="F116" s="73"/>
      <c r="G116" s="73"/>
      <c r="H116" s="73"/>
      <c r="I116" s="73"/>
      <c r="J116" s="73"/>
      <c r="K116" s="73"/>
      <c r="L116" s="73"/>
      <c r="M116" s="74"/>
      <c r="N116" s="71" t="str">
        <f t="shared" si="1"/>
        <v/>
      </c>
      <c r="O116" s="72"/>
      <c r="P116" s="72"/>
      <c r="Q116" s="72"/>
      <c r="R116" s="72"/>
      <c r="S116" s="72"/>
      <c r="T116" s="72"/>
      <c r="U116" s="72"/>
      <c r="V116" s="72"/>
    </row>
    <row r="117" spans="1:22" ht="27.75" customHeight="1">
      <c r="A117" s="87" t="str">
        <f>IF(ISBLANK(C117)," ",112-COUNTBLANK($C$6:C117))</f>
        <v xml:space="preserve"> </v>
      </c>
      <c r="B117" s="88"/>
      <c r="C117" s="88"/>
      <c r="D117" s="89"/>
      <c r="E117" s="89"/>
      <c r="F117" s="73"/>
      <c r="G117" s="73"/>
      <c r="H117" s="73"/>
      <c r="I117" s="73"/>
      <c r="J117" s="73"/>
      <c r="K117" s="73"/>
      <c r="L117" s="73"/>
      <c r="M117" s="74"/>
      <c r="N117" s="71" t="str">
        <f t="shared" si="1"/>
        <v/>
      </c>
      <c r="O117" s="72"/>
      <c r="P117" s="72"/>
      <c r="Q117" s="72"/>
      <c r="R117" s="72"/>
      <c r="S117" s="72"/>
      <c r="T117" s="72"/>
      <c r="U117" s="72"/>
      <c r="V117" s="72"/>
    </row>
    <row r="118" spans="1:22" ht="27.75" customHeight="1">
      <c r="A118" s="87" t="str">
        <f>IF(ISBLANK(C118)," ",113-COUNTBLANK($C$6:C118))</f>
        <v xml:space="preserve"> </v>
      </c>
      <c r="B118" s="88"/>
      <c r="C118" s="88"/>
      <c r="D118" s="89"/>
      <c r="E118" s="89"/>
      <c r="F118" s="73"/>
      <c r="G118" s="73"/>
      <c r="H118" s="73"/>
      <c r="I118" s="73"/>
      <c r="J118" s="73"/>
      <c r="K118" s="73"/>
      <c r="L118" s="73"/>
      <c r="M118" s="74"/>
      <c r="N118" s="71" t="str">
        <f t="shared" si="1"/>
        <v/>
      </c>
      <c r="O118" s="72"/>
      <c r="P118" s="72"/>
      <c r="Q118" s="72"/>
      <c r="R118" s="72"/>
      <c r="S118" s="72"/>
      <c r="T118" s="72"/>
      <c r="U118" s="72"/>
      <c r="V118" s="72"/>
    </row>
    <row r="119" spans="1:22" ht="27.75" customHeight="1">
      <c r="A119" s="87" t="str">
        <f>IF(ISBLANK(C119)," ",114-COUNTBLANK($C$6:C119))</f>
        <v xml:space="preserve"> </v>
      </c>
      <c r="B119" s="88"/>
      <c r="C119" s="88"/>
      <c r="D119" s="89"/>
      <c r="E119" s="89"/>
      <c r="F119" s="73"/>
      <c r="G119" s="73"/>
      <c r="H119" s="73"/>
      <c r="I119" s="73"/>
      <c r="J119" s="73"/>
      <c r="K119" s="73"/>
      <c r="L119" s="73"/>
      <c r="M119" s="74"/>
      <c r="N119" s="71" t="str">
        <f t="shared" si="1"/>
        <v/>
      </c>
      <c r="O119" s="72"/>
      <c r="P119" s="72"/>
      <c r="Q119" s="72"/>
      <c r="R119" s="72"/>
      <c r="S119" s="72"/>
      <c r="T119" s="72"/>
      <c r="U119" s="72"/>
      <c r="V119" s="72"/>
    </row>
    <row r="120" spans="1:22" ht="27.75" customHeight="1">
      <c r="A120" s="87" t="str">
        <f>IF(ISBLANK(C120)," ",115-COUNTBLANK($C$6:C120))</f>
        <v xml:space="preserve"> </v>
      </c>
      <c r="B120" s="88"/>
      <c r="C120" s="88"/>
      <c r="D120" s="89"/>
      <c r="E120" s="89"/>
      <c r="F120" s="73"/>
      <c r="G120" s="73"/>
      <c r="H120" s="73"/>
      <c r="I120" s="73"/>
      <c r="J120" s="73"/>
      <c r="K120" s="73"/>
      <c r="L120" s="73"/>
      <c r="M120" s="74"/>
      <c r="N120" s="71" t="str">
        <f t="shared" si="1"/>
        <v/>
      </c>
      <c r="O120" s="72"/>
      <c r="P120" s="72"/>
      <c r="Q120" s="72"/>
      <c r="R120" s="72"/>
      <c r="S120" s="72"/>
      <c r="T120" s="72"/>
      <c r="U120" s="72"/>
      <c r="V120" s="72"/>
    </row>
    <row r="121" spans="1:22" ht="27.75" customHeight="1">
      <c r="A121" s="87" t="str">
        <f>IF(ISBLANK(C121)," ",116-COUNTBLANK($C$6:C121))</f>
        <v xml:space="preserve"> </v>
      </c>
      <c r="B121" s="88"/>
      <c r="C121" s="88"/>
      <c r="D121" s="89"/>
      <c r="E121" s="89"/>
      <c r="F121" s="73"/>
      <c r="G121" s="73"/>
      <c r="H121" s="73"/>
      <c r="I121" s="73"/>
      <c r="J121" s="73"/>
      <c r="K121" s="73"/>
      <c r="L121" s="73"/>
      <c r="M121" s="74"/>
      <c r="N121" s="71" t="str">
        <f t="shared" si="1"/>
        <v/>
      </c>
      <c r="O121" s="72"/>
      <c r="P121" s="72"/>
      <c r="Q121" s="72"/>
      <c r="R121" s="72"/>
      <c r="S121" s="72"/>
      <c r="T121" s="72"/>
      <c r="U121" s="72"/>
      <c r="V121" s="72"/>
    </row>
    <row r="122" spans="1:22" ht="27.75" customHeight="1">
      <c r="A122" s="87" t="str">
        <f>IF(ISBLANK(C122)," ",117-COUNTBLANK($C$6:C122))</f>
        <v xml:space="preserve"> </v>
      </c>
      <c r="B122" s="88"/>
      <c r="C122" s="88"/>
      <c r="D122" s="89"/>
      <c r="E122" s="89"/>
      <c r="F122" s="73"/>
      <c r="G122" s="73"/>
      <c r="H122" s="73"/>
      <c r="I122" s="73"/>
      <c r="J122" s="73"/>
      <c r="K122" s="73"/>
      <c r="L122" s="73"/>
      <c r="M122" s="74"/>
      <c r="N122" s="71" t="str">
        <f t="shared" si="1"/>
        <v/>
      </c>
      <c r="O122" s="72"/>
      <c r="P122" s="72"/>
      <c r="Q122" s="72"/>
      <c r="R122" s="72"/>
      <c r="S122" s="72"/>
      <c r="T122" s="72"/>
      <c r="U122" s="72"/>
      <c r="V122" s="72"/>
    </row>
    <row r="123" spans="1:22" ht="27.75" customHeight="1">
      <c r="A123" s="87" t="str">
        <f>IF(ISBLANK(C123)," ",118-COUNTBLANK($C$6:C123))</f>
        <v xml:space="preserve"> </v>
      </c>
      <c r="B123" s="88"/>
      <c r="C123" s="88"/>
      <c r="D123" s="89"/>
      <c r="E123" s="89"/>
      <c r="F123" s="73"/>
      <c r="G123" s="73"/>
      <c r="H123" s="73"/>
      <c r="I123" s="73"/>
      <c r="J123" s="73"/>
      <c r="K123" s="73"/>
      <c r="L123" s="73"/>
      <c r="M123" s="74"/>
      <c r="N123" s="71" t="str">
        <f t="shared" si="1"/>
        <v/>
      </c>
      <c r="O123" s="72"/>
      <c r="P123" s="72"/>
      <c r="Q123" s="72"/>
      <c r="R123" s="72"/>
      <c r="S123" s="72"/>
      <c r="T123" s="72"/>
      <c r="U123" s="72"/>
      <c r="V123" s="72"/>
    </row>
    <row r="124" spans="1:22" ht="27.75" customHeight="1">
      <c r="A124" s="87" t="str">
        <f>IF(ISBLANK(C124)," ",119-COUNTBLANK($C$6:C124))</f>
        <v xml:space="preserve"> </v>
      </c>
      <c r="B124" s="88"/>
      <c r="C124" s="88"/>
      <c r="D124" s="89"/>
      <c r="E124" s="89"/>
      <c r="F124" s="73"/>
      <c r="G124" s="73"/>
      <c r="H124" s="73"/>
      <c r="I124" s="73"/>
      <c r="J124" s="73"/>
      <c r="K124" s="73"/>
      <c r="L124" s="73"/>
      <c r="M124" s="74"/>
      <c r="N124" s="71" t="str">
        <f t="shared" si="1"/>
        <v/>
      </c>
      <c r="O124" s="72"/>
      <c r="P124" s="72"/>
      <c r="Q124" s="72"/>
      <c r="R124" s="72"/>
      <c r="S124" s="72"/>
      <c r="T124" s="72"/>
      <c r="U124" s="72"/>
      <c r="V124" s="72"/>
    </row>
    <row r="125" spans="1:22" ht="27.75" customHeight="1">
      <c r="A125" s="87" t="str">
        <f>IF(ISBLANK(C125)," ",120-COUNTBLANK($C$6:C125))</f>
        <v xml:space="preserve"> </v>
      </c>
      <c r="B125" s="88"/>
      <c r="C125" s="88"/>
      <c r="D125" s="89"/>
      <c r="E125" s="89"/>
      <c r="F125" s="73"/>
      <c r="G125" s="73"/>
      <c r="H125" s="73"/>
      <c r="I125" s="73"/>
      <c r="J125" s="73"/>
      <c r="K125" s="73"/>
      <c r="L125" s="73"/>
      <c r="M125" s="74"/>
      <c r="N125" s="71" t="str">
        <f t="shared" si="1"/>
        <v/>
      </c>
      <c r="O125" s="72"/>
      <c r="P125" s="72"/>
      <c r="Q125" s="72"/>
      <c r="R125" s="72"/>
      <c r="S125" s="72"/>
      <c r="T125" s="72"/>
      <c r="U125" s="72"/>
      <c r="V125" s="72"/>
    </row>
    <row r="126" spans="1:22" ht="27.75" customHeight="1">
      <c r="A126" s="87" t="str">
        <f>IF(ISBLANK(C126)," ",121-COUNTBLANK($C$6:C126))</f>
        <v xml:space="preserve"> </v>
      </c>
      <c r="B126" s="88"/>
      <c r="C126" s="88"/>
      <c r="D126" s="89"/>
      <c r="E126" s="89"/>
      <c r="F126" s="73"/>
      <c r="G126" s="73"/>
      <c r="H126" s="73"/>
      <c r="I126" s="73"/>
      <c r="J126" s="73"/>
      <c r="K126" s="73"/>
      <c r="L126" s="73"/>
      <c r="M126" s="74"/>
      <c r="N126" s="71" t="str">
        <f t="shared" si="1"/>
        <v/>
      </c>
      <c r="O126" s="75"/>
      <c r="P126" s="72"/>
      <c r="Q126" s="72"/>
      <c r="R126" s="72"/>
      <c r="S126" s="72"/>
      <c r="T126" s="72"/>
      <c r="U126" s="72"/>
      <c r="V126" s="76"/>
    </row>
    <row r="127" spans="1:22" ht="27.75" customHeight="1">
      <c r="A127" s="87" t="str">
        <f>IF(ISBLANK(C127)," ",122-COUNTBLANK($C$6:C127))</f>
        <v xml:space="preserve"> </v>
      </c>
      <c r="B127" s="88"/>
      <c r="C127" s="88"/>
      <c r="D127" s="89"/>
      <c r="E127" s="89"/>
      <c r="F127" s="73"/>
      <c r="G127" s="73"/>
      <c r="H127" s="73"/>
      <c r="I127" s="73"/>
      <c r="J127" s="73"/>
      <c r="K127" s="73"/>
      <c r="L127" s="73"/>
      <c r="M127" s="74"/>
      <c r="N127" s="71" t="str">
        <f t="shared" si="1"/>
        <v/>
      </c>
      <c r="O127" s="75"/>
      <c r="P127" s="72"/>
      <c r="Q127" s="72"/>
      <c r="R127" s="72"/>
      <c r="S127" s="72"/>
      <c r="T127" s="72"/>
      <c r="U127" s="72"/>
      <c r="V127" s="76"/>
    </row>
    <row r="128" spans="1:22" ht="27.75" customHeight="1">
      <c r="A128" s="87" t="str">
        <f>IF(ISBLANK(C128)," ",123-COUNTBLANK($C$6:C128))</f>
        <v xml:space="preserve"> </v>
      </c>
      <c r="B128" s="88"/>
      <c r="C128" s="88"/>
      <c r="D128" s="89"/>
      <c r="E128" s="89"/>
      <c r="F128" s="73"/>
      <c r="G128" s="73"/>
      <c r="H128" s="73"/>
      <c r="I128" s="73"/>
      <c r="J128" s="73"/>
      <c r="K128" s="73"/>
      <c r="L128" s="73"/>
      <c r="M128" s="74"/>
      <c r="N128" s="71" t="str">
        <f t="shared" si="1"/>
        <v/>
      </c>
      <c r="O128" s="75"/>
      <c r="P128" s="72"/>
      <c r="Q128" s="72"/>
      <c r="R128" s="72"/>
      <c r="S128" s="72"/>
      <c r="T128" s="72"/>
      <c r="U128" s="72"/>
      <c r="V128" s="76"/>
    </row>
    <row r="129" spans="1:25" ht="27.75" customHeight="1">
      <c r="A129" s="87" t="str">
        <f>IF(ISBLANK(C129)," ",124-COUNTBLANK($C$6:C129))</f>
        <v xml:space="preserve"> </v>
      </c>
      <c r="B129" s="88"/>
      <c r="C129" s="88"/>
      <c r="D129" s="89"/>
      <c r="E129" s="89"/>
      <c r="F129" s="73"/>
      <c r="G129" s="73"/>
      <c r="H129" s="73"/>
      <c r="I129" s="73"/>
      <c r="J129" s="73"/>
      <c r="K129" s="73"/>
      <c r="L129" s="73"/>
      <c r="M129" s="74"/>
      <c r="N129" s="71" t="str">
        <f t="shared" si="1"/>
        <v/>
      </c>
      <c r="O129" s="75"/>
      <c r="P129" s="72"/>
      <c r="Q129" s="72"/>
      <c r="R129" s="72"/>
      <c r="S129" s="72"/>
      <c r="T129" s="72"/>
      <c r="U129" s="72"/>
      <c r="V129" s="76"/>
    </row>
    <row r="130" spans="1:25" ht="27.75" customHeight="1">
      <c r="A130" s="87" t="str">
        <f>IF(ISBLANK(C130)," ",125-COUNTBLANK($C$6:C130))</f>
        <v xml:space="preserve"> </v>
      </c>
      <c r="B130" s="88"/>
      <c r="C130" s="88"/>
      <c r="D130" s="89"/>
      <c r="E130" s="89"/>
      <c r="F130" s="73"/>
      <c r="G130" s="73"/>
      <c r="H130" s="73"/>
      <c r="I130" s="73"/>
      <c r="J130" s="73"/>
      <c r="K130" s="73"/>
      <c r="L130" s="73"/>
      <c r="M130" s="74"/>
      <c r="N130" s="71" t="str">
        <f t="shared" si="1"/>
        <v/>
      </c>
      <c r="O130" s="72"/>
      <c r="P130" s="72"/>
      <c r="Q130" s="72"/>
      <c r="R130" s="72"/>
      <c r="S130" s="72"/>
      <c r="T130" s="72"/>
      <c r="U130" s="72"/>
      <c r="V130" s="79"/>
      <c r="W130" s="72"/>
      <c r="X130" s="72"/>
      <c r="Y130" s="72"/>
    </row>
    <row r="131" spans="1:25" ht="27.75" customHeight="1">
      <c r="A131" s="80" t="s">
        <v>58</v>
      </c>
      <c r="B131" s="81"/>
      <c r="C131" s="96"/>
      <c r="D131" s="82"/>
      <c r="E131" s="82">
        <f>SUM(E111:E130)</f>
        <v>0</v>
      </c>
      <c r="F131" s="83"/>
      <c r="G131" s="83"/>
      <c r="H131" s="83"/>
      <c r="I131" s="83"/>
      <c r="J131" s="83"/>
      <c r="K131" s="83"/>
      <c r="L131" s="83"/>
      <c r="M131" s="84"/>
      <c r="N131" s="71" t="str">
        <f t="shared" si="1"/>
        <v/>
      </c>
      <c r="O131" s="75"/>
      <c r="P131" s="72"/>
      <c r="Q131" s="72"/>
      <c r="R131" s="72"/>
      <c r="S131" s="72"/>
      <c r="T131" s="72"/>
      <c r="U131" s="72"/>
      <c r="V131" s="79"/>
      <c r="W131" s="72"/>
      <c r="X131" s="72"/>
      <c r="Y131" s="72"/>
    </row>
    <row r="132" spans="1:25" ht="27.75" customHeight="1">
      <c r="A132" s="93" t="str">
        <f>IF(ISBLANK(C132)," ",127-COUNTBLANK($C$6:C132))</f>
        <v xml:space="preserve"> </v>
      </c>
      <c r="B132" s="94"/>
      <c r="C132" s="94"/>
      <c r="D132" s="95"/>
      <c r="E132" s="95"/>
      <c r="F132" s="85"/>
      <c r="G132" s="85"/>
      <c r="H132" s="85"/>
      <c r="I132" s="85"/>
      <c r="J132" s="85"/>
      <c r="K132" s="85"/>
      <c r="L132" s="85"/>
      <c r="M132" s="86"/>
      <c r="N132" s="71" t="str">
        <f t="shared" si="1"/>
        <v/>
      </c>
      <c r="O132" s="72"/>
      <c r="P132" s="72"/>
      <c r="Q132" s="72"/>
      <c r="R132" s="72"/>
      <c r="S132" s="72"/>
      <c r="T132" s="72"/>
      <c r="U132" s="72"/>
      <c r="V132" s="72"/>
    </row>
    <row r="133" spans="1:25" ht="27.75" customHeight="1">
      <c r="A133" s="87" t="str">
        <f>IF(ISBLANK(C133)," ",128-COUNTBLANK($C$6:C133))</f>
        <v xml:space="preserve"> </v>
      </c>
      <c r="B133" s="88"/>
      <c r="C133" s="88"/>
      <c r="D133" s="89"/>
      <c r="E133" s="89"/>
      <c r="F133" s="73"/>
      <c r="G133" s="73"/>
      <c r="H133" s="73"/>
      <c r="I133" s="73"/>
      <c r="J133" s="73"/>
      <c r="K133" s="73"/>
      <c r="L133" s="73"/>
      <c r="M133" s="74"/>
      <c r="N133" s="71" t="str">
        <f t="shared" si="1"/>
        <v/>
      </c>
      <c r="O133" s="72"/>
      <c r="P133" s="72"/>
      <c r="Q133" s="72"/>
      <c r="R133" s="72"/>
      <c r="S133" s="72"/>
      <c r="T133" s="72"/>
      <c r="U133" s="72"/>
      <c r="V133" s="72"/>
    </row>
    <row r="134" spans="1:25" ht="27.75" customHeight="1">
      <c r="A134" s="87" t="str">
        <f>IF(ISBLANK(C134)," ",129-COUNTBLANK($C$6:C134))</f>
        <v xml:space="preserve"> </v>
      </c>
      <c r="B134" s="88"/>
      <c r="C134" s="88"/>
      <c r="D134" s="89"/>
      <c r="E134" s="89"/>
      <c r="F134" s="73"/>
      <c r="G134" s="73"/>
      <c r="H134" s="73"/>
      <c r="I134" s="73"/>
      <c r="J134" s="73"/>
      <c r="K134" s="73"/>
      <c r="L134" s="73"/>
      <c r="M134" s="74"/>
      <c r="N134" s="71" t="str">
        <f t="shared" ref="N134:N197" si="2">CONCATENATE(C134,H134)</f>
        <v/>
      </c>
      <c r="O134" s="72"/>
      <c r="P134" s="72"/>
      <c r="Q134" s="72"/>
      <c r="R134" s="72"/>
      <c r="S134" s="72"/>
      <c r="T134" s="72"/>
      <c r="U134" s="72"/>
      <c r="V134" s="72"/>
    </row>
    <row r="135" spans="1:25" ht="27.75" customHeight="1">
      <c r="A135" s="87" t="str">
        <f>IF(ISBLANK(C135)," ",130-COUNTBLANK($C$6:C135))</f>
        <v xml:space="preserve"> </v>
      </c>
      <c r="B135" s="88"/>
      <c r="C135" s="88"/>
      <c r="D135" s="89"/>
      <c r="E135" s="89"/>
      <c r="F135" s="73"/>
      <c r="G135" s="73"/>
      <c r="H135" s="73"/>
      <c r="I135" s="73"/>
      <c r="J135" s="73"/>
      <c r="K135" s="73"/>
      <c r="L135" s="73"/>
      <c r="M135" s="74"/>
      <c r="N135" s="71" t="str">
        <f t="shared" si="2"/>
        <v/>
      </c>
      <c r="O135" s="72"/>
      <c r="P135" s="72"/>
      <c r="Q135" s="72"/>
      <c r="R135" s="72"/>
      <c r="S135" s="72"/>
      <c r="T135" s="72"/>
      <c r="U135" s="72"/>
      <c r="V135" s="72"/>
    </row>
    <row r="136" spans="1:25" ht="27.75" customHeight="1">
      <c r="A136" s="87" t="str">
        <f>IF(ISBLANK(C136)," ",131-COUNTBLANK($C$6:C136))</f>
        <v xml:space="preserve"> </v>
      </c>
      <c r="B136" s="88"/>
      <c r="C136" s="88"/>
      <c r="D136" s="89"/>
      <c r="E136" s="89"/>
      <c r="F136" s="73"/>
      <c r="G136" s="73"/>
      <c r="H136" s="73"/>
      <c r="I136" s="73"/>
      <c r="J136" s="73"/>
      <c r="K136" s="73"/>
      <c r="L136" s="73"/>
      <c r="M136" s="74"/>
      <c r="N136" s="71" t="str">
        <f t="shared" si="2"/>
        <v/>
      </c>
      <c r="O136" s="72"/>
      <c r="P136" s="72"/>
      <c r="Q136" s="72"/>
      <c r="R136" s="72"/>
      <c r="S136" s="72"/>
      <c r="T136" s="72"/>
      <c r="U136" s="72"/>
      <c r="V136" s="72"/>
    </row>
    <row r="137" spans="1:25" ht="27.75" customHeight="1">
      <c r="A137" s="87" t="str">
        <f>IF(ISBLANK(C137)," ",132-COUNTBLANK($C$6:C137))</f>
        <v xml:space="preserve"> </v>
      </c>
      <c r="B137" s="88"/>
      <c r="C137" s="88"/>
      <c r="D137" s="89"/>
      <c r="E137" s="89"/>
      <c r="F137" s="73"/>
      <c r="G137" s="73"/>
      <c r="H137" s="73"/>
      <c r="I137" s="73"/>
      <c r="J137" s="73"/>
      <c r="K137" s="73"/>
      <c r="L137" s="73"/>
      <c r="M137" s="74"/>
      <c r="N137" s="71" t="str">
        <f t="shared" si="2"/>
        <v/>
      </c>
      <c r="O137" s="72"/>
      <c r="P137" s="72"/>
      <c r="Q137" s="72"/>
      <c r="R137" s="72"/>
      <c r="S137" s="72"/>
      <c r="T137" s="72"/>
      <c r="U137" s="72"/>
      <c r="V137" s="72"/>
    </row>
    <row r="138" spans="1:25" ht="27.75" customHeight="1">
      <c r="A138" s="87" t="str">
        <f>IF(ISBLANK(C138)," ",133-COUNTBLANK($C$6:C138))</f>
        <v xml:space="preserve"> </v>
      </c>
      <c r="B138" s="88"/>
      <c r="C138" s="88"/>
      <c r="D138" s="89"/>
      <c r="E138" s="89"/>
      <c r="F138" s="73"/>
      <c r="G138" s="73"/>
      <c r="H138" s="73"/>
      <c r="I138" s="73"/>
      <c r="J138" s="73"/>
      <c r="K138" s="73"/>
      <c r="L138" s="73"/>
      <c r="M138" s="74"/>
      <c r="N138" s="71" t="str">
        <f t="shared" si="2"/>
        <v/>
      </c>
      <c r="O138" s="72"/>
      <c r="P138" s="72"/>
      <c r="Q138" s="72"/>
      <c r="R138" s="72"/>
      <c r="S138" s="72"/>
      <c r="T138" s="72"/>
      <c r="U138" s="72"/>
      <c r="V138" s="72"/>
    </row>
    <row r="139" spans="1:25" ht="27.75" customHeight="1">
      <c r="A139" s="87" t="str">
        <f>IF(ISBLANK(C139)," ",134-COUNTBLANK($C$6:C139))</f>
        <v xml:space="preserve"> </v>
      </c>
      <c r="B139" s="88"/>
      <c r="C139" s="88"/>
      <c r="D139" s="89"/>
      <c r="E139" s="89"/>
      <c r="F139" s="73"/>
      <c r="G139" s="73"/>
      <c r="H139" s="73"/>
      <c r="I139" s="73"/>
      <c r="J139" s="73"/>
      <c r="K139" s="73"/>
      <c r="L139" s="73"/>
      <c r="M139" s="74"/>
      <c r="N139" s="71" t="str">
        <f t="shared" si="2"/>
        <v/>
      </c>
      <c r="O139" s="72"/>
      <c r="P139" s="72"/>
      <c r="Q139" s="72"/>
      <c r="R139" s="72"/>
      <c r="S139" s="72"/>
      <c r="T139" s="72"/>
      <c r="U139" s="72"/>
      <c r="V139" s="72"/>
    </row>
    <row r="140" spans="1:25" ht="27.75" customHeight="1">
      <c r="A140" s="87" t="str">
        <f>IF(ISBLANK(C140)," ",135-COUNTBLANK($C$6:C140))</f>
        <v xml:space="preserve"> </v>
      </c>
      <c r="B140" s="88"/>
      <c r="C140" s="88"/>
      <c r="D140" s="89"/>
      <c r="E140" s="89"/>
      <c r="F140" s="73"/>
      <c r="G140" s="73"/>
      <c r="H140" s="73"/>
      <c r="I140" s="73"/>
      <c r="J140" s="73"/>
      <c r="K140" s="73"/>
      <c r="L140" s="73"/>
      <c r="M140" s="74"/>
      <c r="N140" s="71" t="str">
        <f t="shared" si="2"/>
        <v/>
      </c>
      <c r="O140" s="72"/>
      <c r="P140" s="72"/>
      <c r="Q140" s="72"/>
      <c r="R140" s="72"/>
      <c r="S140" s="72"/>
      <c r="T140" s="72"/>
      <c r="U140" s="72"/>
      <c r="V140" s="72"/>
    </row>
    <row r="141" spans="1:25" ht="27.75" customHeight="1">
      <c r="A141" s="87" t="str">
        <f>IF(ISBLANK(C141)," ",136-COUNTBLANK($C$6:C141))</f>
        <v xml:space="preserve"> </v>
      </c>
      <c r="B141" s="88"/>
      <c r="C141" s="88"/>
      <c r="D141" s="89"/>
      <c r="E141" s="89"/>
      <c r="F141" s="73"/>
      <c r="G141" s="73"/>
      <c r="H141" s="73"/>
      <c r="I141" s="73"/>
      <c r="J141" s="73"/>
      <c r="K141" s="73"/>
      <c r="L141" s="73"/>
      <c r="M141" s="74"/>
      <c r="N141" s="71" t="str">
        <f t="shared" si="2"/>
        <v/>
      </c>
      <c r="O141" s="72"/>
      <c r="P141" s="72"/>
      <c r="Q141" s="72"/>
      <c r="R141" s="72"/>
      <c r="S141" s="72"/>
      <c r="T141" s="72"/>
      <c r="U141" s="72"/>
      <c r="V141" s="72"/>
    </row>
    <row r="142" spans="1:25" ht="27.75" customHeight="1">
      <c r="A142" s="87" t="str">
        <f>IF(ISBLANK(C142)," ",137-COUNTBLANK($C$6:C142))</f>
        <v xml:space="preserve"> </v>
      </c>
      <c r="B142" s="88"/>
      <c r="C142" s="88"/>
      <c r="D142" s="89"/>
      <c r="E142" s="89"/>
      <c r="F142" s="73"/>
      <c r="G142" s="73"/>
      <c r="H142" s="73"/>
      <c r="I142" s="73"/>
      <c r="J142" s="73"/>
      <c r="K142" s="73"/>
      <c r="L142" s="73"/>
      <c r="M142" s="74"/>
      <c r="N142" s="71" t="str">
        <f t="shared" si="2"/>
        <v/>
      </c>
      <c r="O142" s="72"/>
      <c r="P142" s="72"/>
      <c r="Q142" s="72"/>
      <c r="R142" s="72"/>
      <c r="S142" s="72"/>
      <c r="T142" s="72"/>
      <c r="U142" s="72"/>
      <c r="V142" s="72"/>
    </row>
    <row r="143" spans="1:25" ht="27.75" customHeight="1">
      <c r="A143" s="87" t="str">
        <f>IF(ISBLANK(C143)," ",138-COUNTBLANK($C$6:C143))</f>
        <v xml:space="preserve"> </v>
      </c>
      <c r="B143" s="88"/>
      <c r="C143" s="88"/>
      <c r="D143" s="89"/>
      <c r="E143" s="89"/>
      <c r="F143" s="73"/>
      <c r="G143" s="73"/>
      <c r="H143" s="73"/>
      <c r="I143" s="73"/>
      <c r="J143" s="73"/>
      <c r="K143" s="73"/>
      <c r="L143" s="73"/>
      <c r="M143" s="74"/>
      <c r="N143" s="71" t="str">
        <f t="shared" si="2"/>
        <v/>
      </c>
      <c r="O143" s="72"/>
      <c r="P143" s="72"/>
      <c r="Q143" s="72"/>
      <c r="R143" s="72"/>
      <c r="S143" s="72"/>
      <c r="T143" s="72"/>
      <c r="U143" s="72"/>
      <c r="V143" s="72"/>
    </row>
    <row r="144" spans="1:25" ht="27.75" customHeight="1">
      <c r="A144" s="87" t="str">
        <f>IF(ISBLANK(C144)," ",139-COUNTBLANK($C$6:C144))</f>
        <v xml:space="preserve"> </v>
      </c>
      <c r="B144" s="88"/>
      <c r="C144" s="88"/>
      <c r="D144" s="89"/>
      <c r="E144" s="89"/>
      <c r="F144" s="73"/>
      <c r="G144" s="73"/>
      <c r="H144" s="73"/>
      <c r="I144" s="73"/>
      <c r="J144" s="73"/>
      <c r="K144" s="73"/>
      <c r="L144" s="73"/>
      <c r="M144" s="74"/>
      <c r="N144" s="71" t="str">
        <f t="shared" si="2"/>
        <v/>
      </c>
      <c r="O144" s="72"/>
      <c r="P144" s="72"/>
      <c r="Q144" s="72"/>
      <c r="R144" s="72"/>
      <c r="S144" s="72"/>
      <c r="T144" s="72"/>
      <c r="U144" s="72"/>
      <c r="V144" s="72"/>
    </row>
    <row r="145" spans="1:25" ht="27.75" customHeight="1">
      <c r="A145" s="87" t="str">
        <f>IF(ISBLANK(C145)," ",140-COUNTBLANK($C$6:C145))</f>
        <v xml:space="preserve"> </v>
      </c>
      <c r="B145" s="88"/>
      <c r="C145" s="88"/>
      <c r="D145" s="89"/>
      <c r="E145" s="89"/>
      <c r="F145" s="73"/>
      <c r="G145" s="73"/>
      <c r="H145" s="73"/>
      <c r="I145" s="73"/>
      <c r="J145" s="73"/>
      <c r="K145" s="73"/>
      <c r="L145" s="73"/>
      <c r="M145" s="74"/>
      <c r="N145" s="71" t="str">
        <f t="shared" si="2"/>
        <v/>
      </c>
      <c r="O145" s="72"/>
      <c r="P145" s="72"/>
      <c r="Q145" s="72"/>
      <c r="R145" s="72"/>
      <c r="S145" s="72"/>
      <c r="T145" s="72"/>
      <c r="U145" s="72"/>
      <c r="V145" s="72"/>
    </row>
    <row r="146" spans="1:25" ht="27.75" customHeight="1">
      <c r="A146" s="87" t="str">
        <f>IF(ISBLANK(C146)," ",141-COUNTBLANK($C$6:C146))</f>
        <v xml:space="preserve"> </v>
      </c>
      <c r="B146" s="88"/>
      <c r="C146" s="88"/>
      <c r="D146" s="89"/>
      <c r="E146" s="89"/>
      <c r="F146" s="73"/>
      <c r="G146" s="73"/>
      <c r="H146" s="73"/>
      <c r="I146" s="73"/>
      <c r="J146" s="73"/>
      <c r="K146" s="73"/>
      <c r="L146" s="73"/>
      <c r="M146" s="74"/>
      <c r="N146" s="71" t="str">
        <f t="shared" si="2"/>
        <v/>
      </c>
      <c r="O146" s="72"/>
      <c r="P146" s="72"/>
      <c r="Q146" s="72"/>
      <c r="R146" s="72"/>
      <c r="S146" s="72"/>
      <c r="T146" s="72"/>
      <c r="U146" s="72"/>
      <c r="V146" s="72"/>
    </row>
    <row r="147" spans="1:25" ht="27.75" customHeight="1">
      <c r="A147" s="87" t="str">
        <f>IF(ISBLANK(C147)," ",142-COUNTBLANK($C$6:C147))</f>
        <v xml:space="preserve"> </v>
      </c>
      <c r="B147" s="88"/>
      <c r="C147" s="88"/>
      <c r="D147" s="89"/>
      <c r="E147" s="89"/>
      <c r="F147" s="73"/>
      <c r="G147" s="73"/>
      <c r="H147" s="73"/>
      <c r="I147" s="73"/>
      <c r="J147" s="73"/>
      <c r="K147" s="73"/>
      <c r="L147" s="73"/>
      <c r="M147" s="74"/>
      <c r="N147" s="71" t="str">
        <f t="shared" si="2"/>
        <v/>
      </c>
      <c r="O147" s="75"/>
      <c r="P147" s="72"/>
      <c r="Q147" s="72"/>
      <c r="R147" s="72"/>
      <c r="S147" s="72"/>
      <c r="T147" s="72"/>
      <c r="U147" s="72"/>
      <c r="V147" s="76"/>
    </row>
    <row r="148" spans="1:25" ht="27.75" customHeight="1">
      <c r="A148" s="87" t="str">
        <f>IF(ISBLANK(C148)," ",143-COUNTBLANK($C$6:C148))</f>
        <v xml:space="preserve"> </v>
      </c>
      <c r="B148" s="88"/>
      <c r="C148" s="88"/>
      <c r="D148" s="89"/>
      <c r="E148" s="89"/>
      <c r="F148" s="73"/>
      <c r="G148" s="73"/>
      <c r="H148" s="73"/>
      <c r="I148" s="73"/>
      <c r="J148" s="73"/>
      <c r="K148" s="73"/>
      <c r="L148" s="73"/>
      <c r="M148" s="74"/>
      <c r="N148" s="71" t="str">
        <f t="shared" si="2"/>
        <v/>
      </c>
      <c r="O148" s="75"/>
      <c r="P148" s="72"/>
      <c r="Q148" s="72"/>
      <c r="R148" s="72"/>
      <c r="S148" s="72"/>
      <c r="T148" s="72"/>
      <c r="U148" s="72"/>
      <c r="V148" s="76"/>
    </row>
    <row r="149" spans="1:25" ht="27.75" customHeight="1">
      <c r="A149" s="87" t="str">
        <f>IF(ISBLANK(C149)," ",144-COUNTBLANK($C$6:C149))</f>
        <v xml:space="preserve"> </v>
      </c>
      <c r="B149" s="88"/>
      <c r="C149" s="88"/>
      <c r="D149" s="89"/>
      <c r="E149" s="89"/>
      <c r="F149" s="73"/>
      <c r="G149" s="73"/>
      <c r="H149" s="73"/>
      <c r="I149" s="73"/>
      <c r="J149" s="73"/>
      <c r="K149" s="73"/>
      <c r="L149" s="73"/>
      <c r="M149" s="74"/>
      <c r="N149" s="71" t="str">
        <f t="shared" si="2"/>
        <v/>
      </c>
      <c r="O149" s="75"/>
      <c r="P149" s="72"/>
      <c r="Q149" s="72"/>
      <c r="R149" s="72"/>
      <c r="S149" s="72"/>
      <c r="T149" s="72"/>
      <c r="U149" s="72"/>
      <c r="V149" s="76"/>
    </row>
    <row r="150" spans="1:25" ht="27.75" customHeight="1">
      <c r="A150" s="87" t="str">
        <f>IF(ISBLANK(C150)," ",145-COUNTBLANK($C$6:C150))</f>
        <v xml:space="preserve"> </v>
      </c>
      <c r="B150" s="88"/>
      <c r="C150" s="88"/>
      <c r="D150" s="89"/>
      <c r="E150" s="89"/>
      <c r="F150" s="73"/>
      <c r="G150" s="73"/>
      <c r="H150" s="73"/>
      <c r="I150" s="73"/>
      <c r="J150" s="73"/>
      <c r="K150" s="73"/>
      <c r="L150" s="73"/>
      <c r="M150" s="74"/>
      <c r="N150" s="71" t="str">
        <f t="shared" si="2"/>
        <v/>
      </c>
      <c r="O150" s="75"/>
      <c r="P150" s="72"/>
      <c r="Q150" s="72"/>
      <c r="R150" s="72"/>
      <c r="S150" s="72"/>
      <c r="T150" s="72"/>
      <c r="U150" s="72"/>
      <c r="V150" s="76"/>
    </row>
    <row r="151" spans="1:25" ht="27.75" customHeight="1">
      <c r="A151" s="87" t="str">
        <f>IF(ISBLANK(C151)," ",146-COUNTBLANK($C$6:C151))</f>
        <v xml:space="preserve"> </v>
      </c>
      <c r="B151" s="88"/>
      <c r="C151" s="88"/>
      <c r="D151" s="89"/>
      <c r="E151" s="89"/>
      <c r="F151" s="73"/>
      <c r="G151" s="73"/>
      <c r="H151" s="73"/>
      <c r="I151" s="73"/>
      <c r="J151" s="73"/>
      <c r="K151" s="73"/>
      <c r="L151" s="73"/>
      <c r="M151" s="74"/>
      <c r="N151" s="71" t="str">
        <f t="shared" si="2"/>
        <v/>
      </c>
      <c r="O151" s="72"/>
      <c r="P151" s="72"/>
      <c r="Q151" s="72"/>
      <c r="R151" s="72"/>
      <c r="S151" s="72"/>
      <c r="T151" s="72"/>
      <c r="U151" s="72"/>
      <c r="V151" s="79"/>
      <c r="W151" s="72"/>
      <c r="X151" s="72"/>
      <c r="Y151" s="72"/>
    </row>
    <row r="152" spans="1:25" ht="27.75" customHeight="1">
      <c r="A152" s="80" t="s">
        <v>58</v>
      </c>
      <c r="B152" s="81"/>
      <c r="C152" s="96"/>
      <c r="D152" s="82"/>
      <c r="E152" s="82">
        <f>SUM(E132:E151)</f>
        <v>0</v>
      </c>
      <c r="F152" s="83"/>
      <c r="G152" s="83"/>
      <c r="H152" s="83"/>
      <c r="I152" s="83"/>
      <c r="J152" s="83"/>
      <c r="K152" s="83"/>
      <c r="L152" s="83"/>
      <c r="M152" s="84"/>
      <c r="N152" s="71" t="str">
        <f t="shared" si="2"/>
        <v/>
      </c>
      <c r="O152" s="75"/>
      <c r="P152" s="72"/>
      <c r="Q152" s="72"/>
      <c r="R152" s="72"/>
      <c r="S152" s="72"/>
      <c r="T152" s="72"/>
      <c r="U152" s="72"/>
      <c r="V152" s="79"/>
      <c r="W152" s="72"/>
      <c r="X152" s="72"/>
      <c r="Y152" s="72"/>
    </row>
    <row r="153" spans="1:25" ht="27.75" customHeight="1">
      <c r="A153" s="93" t="str">
        <f>IF(ISBLANK(C153)," ",148-COUNTBLANK($C$6:C153))</f>
        <v xml:space="preserve"> </v>
      </c>
      <c r="B153" s="94"/>
      <c r="C153" s="94"/>
      <c r="D153" s="95"/>
      <c r="E153" s="95"/>
      <c r="F153" s="85"/>
      <c r="G153" s="85"/>
      <c r="H153" s="85"/>
      <c r="I153" s="85"/>
      <c r="J153" s="85"/>
      <c r="K153" s="85"/>
      <c r="L153" s="85"/>
      <c r="M153" s="86"/>
      <c r="N153" s="71" t="str">
        <f t="shared" si="2"/>
        <v/>
      </c>
      <c r="O153" s="72"/>
      <c r="P153" s="72"/>
      <c r="Q153" s="72"/>
      <c r="R153" s="72"/>
      <c r="S153" s="72"/>
      <c r="T153" s="72"/>
      <c r="U153" s="72"/>
      <c r="V153" s="72"/>
    </row>
    <row r="154" spans="1:25" ht="27.75" customHeight="1">
      <c r="A154" s="87" t="str">
        <f>IF(ISBLANK(C154)," ",149-COUNTBLANK($C$6:C154))</f>
        <v xml:space="preserve"> </v>
      </c>
      <c r="B154" s="88"/>
      <c r="C154" s="88"/>
      <c r="D154" s="89"/>
      <c r="E154" s="89"/>
      <c r="F154" s="73"/>
      <c r="G154" s="73"/>
      <c r="H154" s="73"/>
      <c r="I154" s="73"/>
      <c r="J154" s="73"/>
      <c r="K154" s="73"/>
      <c r="L154" s="73"/>
      <c r="M154" s="74"/>
      <c r="N154" s="71" t="str">
        <f t="shared" si="2"/>
        <v/>
      </c>
      <c r="O154" s="72"/>
      <c r="P154" s="72"/>
      <c r="Q154" s="72"/>
      <c r="R154" s="72"/>
      <c r="S154" s="72"/>
      <c r="T154" s="72"/>
      <c r="U154" s="72"/>
      <c r="V154" s="72"/>
    </row>
    <row r="155" spans="1:25" ht="27.75" customHeight="1">
      <c r="A155" s="87" t="str">
        <f>IF(ISBLANK(C155)," ",150-COUNTBLANK($C$6:C155))</f>
        <v xml:space="preserve"> </v>
      </c>
      <c r="B155" s="88"/>
      <c r="C155" s="88"/>
      <c r="D155" s="89"/>
      <c r="E155" s="89"/>
      <c r="F155" s="73"/>
      <c r="G155" s="73"/>
      <c r="H155" s="73"/>
      <c r="I155" s="73"/>
      <c r="J155" s="73"/>
      <c r="K155" s="73"/>
      <c r="L155" s="73"/>
      <c r="M155" s="74"/>
      <c r="N155" s="71" t="str">
        <f t="shared" si="2"/>
        <v/>
      </c>
      <c r="O155" s="72"/>
      <c r="P155" s="72"/>
      <c r="Q155" s="72"/>
      <c r="R155" s="72"/>
      <c r="S155" s="72"/>
      <c r="T155" s="72"/>
      <c r="U155" s="72"/>
      <c r="V155" s="72"/>
    </row>
    <row r="156" spans="1:25" ht="27.75" customHeight="1">
      <c r="A156" s="87" t="str">
        <f>IF(ISBLANK(C156)," ",151-COUNTBLANK($C$6:C156))</f>
        <v xml:space="preserve"> </v>
      </c>
      <c r="B156" s="88"/>
      <c r="C156" s="88"/>
      <c r="D156" s="89"/>
      <c r="E156" s="89"/>
      <c r="F156" s="73"/>
      <c r="G156" s="73"/>
      <c r="H156" s="73"/>
      <c r="I156" s="73"/>
      <c r="J156" s="73"/>
      <c r="K156" s="73"/>
      <c r="L156" s="73"/>
      <c r="M156" s="74"/>
      <c r="N156" s="71" t="str">
        <f t="shared" si="2"/>
        <v/>
      </c>
      <c r="O156" s="72"/>
      <c r="P156" s="72"/>
      <c r="Q156" s="72"/>
      <c r="R156" s="72"/>
      <c r="S156" s="72"/>
      <c r="T156" s="72"/>
      <c r="U156" s="72"/>
      <c r="V156" s="72"/>
    </row>
    <row r="157" spans="1:25" ht="27.75" customHeight="1">
      <c r="A157" s="87" t="str">
        <f>IF(ISBLANK(C157)," ",152-COUNTBLANK($C$6:C157))</f>
        <v xml:space="preserve"> </v>
      </c>
      <c r="B157" s="88"/>
      <c r="C157" s="88"/>
      <c r="D157" s="89"/>
      <c r="E157" s="89"/>
      <c r="F157" s="73"/>
      <c r="G157" s="73"/>
      <c r="H157" s="73"/>
      <c r="I157" s="73"/>
      <c r="J157" s="73"/>
      <c r="K157" s="73"/>
      <c r="L157" s="73"/>
      <c r="M157" s="74"/>
      <c r="N157" s="71" t="str">
        <f t="shared" si="2"/>
        <v/>
      </c>
      <c r="O157" s="72"/>
      <c r="P157" s="72"/>
      <c r="Q157" s="72"/>
      <c r="R157" s="72"/>
      <c r="S157" s="72"/>
      <c r="T157" s="72"/>
      <c r="U157" s="72"/>
      <c r="V157" s="72"/>
    </row>
    <row r="158" spans="1:25" ht="27.75" customHeight="1">
      <c r="A158" s="87" t="str">
        <f>IF(ISBLANK(C158)," ",153-COUNTBLANK($C$6:C158))</f>
        <v xml:space="preserve"> </v>
      </c>
      <c r="B158" s="88"/>
      <c r="C158" s="88"/>
      <c r="D158" s="89"/>
      <c r="E158" s="89"/>
      <c r="F158" s="73"/>
      <c r="G158" s="73"/>
      <c r="H158" s="73"/>
      <c r="I158" s="73"/>
      <c r="J158" s="73"/>
      <c r="K158" s="73"/>
      <c r="L158" s="73"/>
      <c r="M158" s="74"/>
      <c r="N158" s="71" t="str">
        <f t="shared" si="2"/>
        <v/>
      </c>
      <c r="O158" s="72"/>
      <c r="P158" s="72"/>
      <c r="Q158" s="72"/>
      <c r="R158" s="72"/>
      <c r="S158" s="72"/>
      <c r="T158" s="72"/>
      <c r="U158" s="72"/>
      <c r="V158" s="72"/>
    </row>
    <row r="159" spans="1:25" ht="27.75" customHeight="1">
      <c r="A159" s="87" t="str">
        <f>IF(ISBLANK(C159)," ",154-COUNTBLANK($C$6:C159))</f>
        <v xml:space="preserve"> </v>
      </c>
      <c r="B159" s="88"/>
      <c r="C159" s="88"/>
      <c r="D159" s="89"/>
      <c r="E159" s="89"/>
      <c r="F159" s="73"/>
      <c r="G159" s="73"/>
      <c r="H159" s="73"/>
      <c r="I159" s="73"/>
      <c r="J159" s="73"/>
      <c r="K159" s="73"/>
      <c r="L159" s="73"/>
      <c r="M159" s="74"/>
      <c r="N159" s="71" t="str">
        <f t="shared" si="2"/>
        <v/>
      </c>
      <c r="O159" s="72"/>
      <c r="P159" s="72"/>
      <c r="Q159" s="72"/>
      <c r="R159" s="72"/>
      <c r="S159" s="72"/>
      <c r="T159" s="72"/>
      <c r="U159" s="72"/>
      <c r="V159" s="72"/>
    </row>
    <row r="160" spans="1:25" ht="27.75" customHeight="1">
      <c r="A160" s="87" t="str">
        <f>IF(ISBLANK(C160)," ",155-COUNTBLANK($C$6:C160))</f>
        <v xml:space="preserve"> </v>
      </c>
      <c r="B160" s="88"/>
      <c r="C160" s="88"/>
      <c r="D160" s="89"/>
      <c r="E160" s="89"/>
      <c r="F160" s="73"/>
      <c r="G160" s="73"/>
      <c r="H160" s="73"/>
      <c r="I160" s="73"/>
      <c r="J160" s="73"/>
      <c r="K160" s="73"/>
      <c r="L160" s="73"/>
      <c r="M160" s="74"/>
      <c r="N160" s="71" t="str">
        <f t="shared" si="2"/>
        <v/>
      </c>
      <c r="O160" s="72"/>
      <c r="P160" s="72"/>
      <c r="Q160" s="72"/>
      <c r="R160" s="72"/>
      <c r="S160" s="72"/>
      <c r="T160" s="72"/>
      <c r="U160" s="72"/>
      <c r="V160" s="72"/>
    </row>
    <row r="161" spans="1:25" ht="27.75" customHeight="1">
      <c r="A161" s="87" t="str">
        <f>IF(ISBLANK(C161)," ",156-COUNTBLANK($C$6:C161))</f>
        <v xml:space="preserve"> </v>
      </c>
      <c r="B161" s="88"/>
      <c r="C161" s="88"/>
      <c r="D161" s="89"/>
      <c r="E161" s="89"/>
      <c r="F161" s="73"/>
      <c r="G161" s="73"/>
      <c r="H161" s="73"/>
      <c r="I161" s="73"/>
      <c r="J161" s="73"/>
      <c r="K161" s="73"/>
      <c r="L161" s="73"/>
      <c r="M161" s="74"/>
      <c r="N161" s="71" t="str">
        <f t="shared" si="2"/>
        <v/>
      </c>
      <c r="O161" s="72"/>
      <c r="P161" s="72"/>
      <c r="Q161" s="72"/>
      <c r="R161" s="72"/>
      <c r="S161" s="72"/>
      <c r="T161" s="72"/>
      <c r="U161" s="72"/>
      <c r="V161" s="72"/>
    </row>
    <row r="162" spans="1:25" ht="27.75" customHeight="1">
      <c r="A162" s="87" t="str">
        <f>IF(ISBLANK(C162)," ",157-COUNTBLANK($C$6:C162))</f>
        <v xml:space="preserve"> </v>
      </c>
      <c r="B162" s="88"/>
      <c r="C162" s="88"/>
      <c r="D162" s="89"/>
      <c r="E162" s="89"/>
      <c r="F162" s="73"/>
      <c r="G162" s="73"/>
      <c r="H162" s="73"/>
      <c r="I162" s="73"/>
      <c r="J162" s="73"/>
      <c r="K162" s="73"/>
      <c r="L162" s="73"/>
      <c r="M162" s="74"/>
      <c r="N162" s="71" t="str">
        <f t="shared" si="2"/>
        <v/>
      </c>
      <c r="O162" s="72"/>
      <c r="P162" s="72"/>
      <c r="Q162" s="72"/>
      <c r="R162" s="72"/>
      <c r="S162" s="72"/>
      <c r="T162" s="72"/>
      <c r="U162" s="72"/>
      <c r="V162" s="72"/>
    </row>
    <row r="163" spans="1:25" ht="27.75" customHeight="1">
      <c r="A163" s="87" t="str">
        <f>IF(ISBLANK(C163)," ",158-COUNTBLANK($C$6:C163))</f>
        <v xml:space="preserve"> </v>
      </c>
      <c r="B163" s="88"/>
      <c r="C163" s="88"/>
      <c r="D163" s="89"/>
      <c r="E163" s="89"/>
      <c r="F163" s="73"/>
      <c r="G163" s="73"/>
      <c r="H163" s="73"/>
      <c r="I163" s="73"/>
      <c r="J163" s="73"/>
      <c r="K163" s="73"/>
      <c r="L163" s="73"/>
      <c r="M163" s="74"/>
      <c r="N163" s="71" t="str">
        <f t="shared" si="2"/>
        <v/>
      </c>
      <c r="O163" s="72"/>
      <c r="P163" s="72"/>
      <c r="Q163" s="72"/>
      <c r="R163" s="72"/>
      <c r="S163" s="72"/>
      <c r="T163" s="72"/>
      <c r="U163" s="72"/>
      <c r="V163" s="72"/>
    </row>
    <row r="164" spans="1:25" ht="27.75" customHeight="1">
      <c r="A164" s="87" t="str">
        <f>IF(ISBLANK(C164)," ",159-COUNTBLANK($C$6:C164))</f>
        <v xml:space="preserve"> </v>
      </c>
      <c r="B164" s="88"/>
      <c r="C164" s="88"/>
      <c r="D164" s="89"/>
      <c r="E164" s="89"/>
      <c r="F164" s="73"/>
      <c r="G164" s="73"/>
      <c r="H164" s="73"/>
      <c r="I164" s="73"/>
      <c r="J164" s="73"/>
      <c r="K164" s="73"/>
      <c r="L164" s="73"/>
      <c r="M164" s="74"/>
      <c r="N164" s="71" t="str">
        <f t="shared" si="2"/>
        <v/>
      </c>
      <c r="O164" s="72"/>
      <c r="P164" s="72"/>
      <c r="Q164" s="72"/>
      <c r="R164" s="72"/>
      <c r="S164" s="72"/>
      <c r="T164" s="72"/>
      <c r="U164" s="72"/>
      <c r="V164" s="72"/>
    </row>
    <row r="165" spans="1:25" ht="27.75" customHeight="1">
      <c r="A165" s="87" t="str">
        <f>IF(ISBLANK(C165)," ",160-COUNTBLANK($C$6:C165))</f>
        <v xml:space="preserve"> </v>
      </c>
      <c r="B165" s="88"/>
      <c r="C165" s="88"/>
      <c r="D165" s="89"/>
      <c r="E165" s="89"/>
      <c r="F165" s="73"/>
      <c r="G165" s="73"/>
      <c r="H165" s="73"/>
      <c r="I165" s="73"/>
      <c r="J165" s="73"/>
      <c r="K165" s="73"/>
      <c r="L165" s="73"/>
      <c r="M165" s="74"/>
      <c r="N165" s="71" t="str">
        <f t="shared" si="2"/>
        <v/>
      </c>
      <c r="O165" s="72"/>
      <c r="P165" s="72"/>
      <c r="Q165" s="72"/>
      <c r="R165" s="72"/>
      <c r="S165" s="72"/>
      <c r="T165" s="72"/>
      <c r="U165" s="72"/>
      <c r="V165" s="72"/>
    </row>
    <row r="166" spans="1:25" ht="27.75" customHeight="1">
      <c r="A166" s="87" t="str">
        <f>IF(ISBLANK(C166)," ",161-COUNTBLANK($C$6:C166))</f>
        <v xml:space="preserve"> </v>
      </c>
      <c r="B166" s="88"/>
      <c r="C166" s="88"/>
      <c r="D166" s="89"/>
      <c r="E166" s="89"/>
      <c r="F166" s="73"/>
      <c r="G166" s="73"/>
      <c r="H166" s="73"/>
      <c r="I166" s="73"/>
      <c r="J166" s="73"/>
      <c r="K166" s="73"/>
      <c r="L166" s="73"/>
      <c r="M166" s="74"/>
      <c r="N166" s="71" t="str">
        <f t="shared" si="2"/>
        <v/>
      </c>
      <c r="O166" s="72"/>
      <c r="P166" s="72"/>
      <c r="Q166" s="72"/>
      <c r="R166" s="72"/>
      <c r="S166" s="72"/>
      <c r="T166" s="72"/>
      <c r="U166" s="72"/>
      <c r="V166" s="72"/>
    </row>
    <row r="167" spans="1:25" ht="27.75" customHeight="1">
      <c r="A167" s="87" t="str">
        <f>IF(ISBLANK(C167)," ",162-COUNTBLANK($C$6:C167))</f>
        <v xml:space="preserve"> </v>
      </c>
      <c r="B167" s="88"/>
      <c r="C167" s="88"/>
      <c r="D167" s="89"/>
      <c r="E167" s="89"/>
      <c r="F167" s="73"/>
      <c r="G167" s="73"/>
      <c r="H167" s="73"/>
      <c r="I167" s="73"/>
      <c r="J167" s="73"/>
      <c r="K167" s="73"/>
      <c r="L167" s="73"/>
      <c r="M167" s="74"/>
      <c r="N167" s="71" t="str">
        <f t="shared" si="2"/>
        <v/>
      </c>
      <c r="O167" s="72"/>
      <c r="P167" s="72"/>
      <c r="Q167" s="72"/>
      <c r="R167" s="72"/>
      <c r="S167" s="72"/>
      <c r="T167" s="72"/>
      <c r="U167" s="72"/>
      <c r="V167" s="72"/>
    </row>
    <row r="168" spans="1:25" ht="27.75" customHeight="1">
      <c r="A168" s="87" t="str">
        <f>IF(ISBLANK(C168)," ",163-COUNTBLANK($C$6:C168))</f>
        <v xml:space="preserve"> </v>
      </c>
      <c r="B168" s="88"/>
      <c r="C168" s="88"/>
      <c r="D168" s="89"/>
      <c r="E168" s="89"/>
      <c r="F168" s="73"/>
      <c r="G168" s="73"/>
      <c r="H168" s="73"/>
      <c r="I168" s="73"/>
      <c r="J168" s="73"/>
      <c r="K168" s="73"/>
      <c r="L168" s="73"/>
      <c r="M168" s="74"/>
      <c r="N168" s="71" t="str">
        <f t="shared" si="2"/>
        <v/>
      </c>
      <c r="O168" s="75"/>
      <c r="P168" s="72"/>
      <c r="Q168" s="72"/>
      <c r="R168" s="72"/>
      <c r="S168" s="72"/>
      <c r="T168" s="72"/>
      <c r="U168" s="72"/>
      <c r="V168" s="76"/>
    </row>
    <row r="169" spans="1:25" ht="27.75" customHeight="1">
      <c r="A169" s="87" t="str">
        <f>IF(ISBLANK(C169)," ",164-COUNTBLANK($C$6:C169))</f>
        <v xml:space="preserve"> </v>
      </c>
      <c r="B169" s="88"/>
      <c r="C169" s="88"/>
      <c r="D169" s="89"/>
      <c r="E169" s="89"/>
      <c r="F169" s="73"/>
      <c r="G169" s="73"/>
      <c r="H169" s="73"/>
      <c r="I169" s="73"/>
      <c r="J169" s="73"/>
      <c r="K169" s="73"/>
      <c r="L169" s="73"/>
      <c r="M169" s="74"/>
      <c r="N169" s="71" t="str">
        <f t="shared" si="2"/>
        <v/>
      </c>
      <c r="O169" s="75"/>
      <c r="P169" s="72"/>
      <c r="Q169" s="72"/>
      <c r="R169" s="72"/>
      <c r="S169" s="72"/>
      <c r="T169" s="72"/>
      <c r="U169" s="72"/>
      <c r="V169" s="76"/>
    </row>
    <row r="170" spans="1:25" ht="27.75" customHeight="1">
      <c r="A170" s="87" t="str">
        <f>IF(ISBLANK(C170)," ",165-COUNTBLANK($C$6:C170))</f>
        <v xml:space="preserve"> </v>
      </c>
      <c r="B170" s="88"/>
      <c r="C170" s="88"/>
      <c r="D170" s="89"/>
      <c r="E170" s="89"/>
      <c r="F170" s="73"/>
      <c r="G170" s="73"/>
      <c r="H170" s="73"/>
      <c r="I170" s="73"/>
      <c r="J170" s="73"/>
      <c r="K170" s="73"/>
      <c r="L170" s="73"/>
      <c r="M170" s="74"/>
      <c r="N170" s="71" t="str">
        <f t="shared" si="2"/>
        <v/>
      </c>
      <c r="O170" s="75"/>
      <c r="P170" s="72"/>
      <c r="Q170" s="72"/>
      <c r="R170" s="72"/>
      <c r="S170" s="72"/>
      <c r="T170" s="72"/>
      <c r="U170" s="72"/>
      <c r="V170" s="76"/>
    </row>
    <row r="171" spans="1:25" ht="27.75" customHeight="1">
      <c r="A171" s="87" t="str">
        <f>IF(ISBLANK(C171)," ",166-COUNTBLANK($C$6:C171))</f>
        <v xml:space="preserve"> </v>
      </c>
      <c r="B171" s="88"/>
      <c r="C171" s="88"/>
      <c r="D171" s="89"/>
      <c r="E171" s="89"/>
      <c r="F171" s="73"/>
      <c r="G171" s="73"/>
      <c r="H171" s="73"/>
      <c r="I171" s="73"/>
      <c r="J171" s="73"/>
      <c r="K171" s="73"/>
      <c r="L171" s="73"/>
      <c r="M171" s="74"/>
      <c r="N171" s="71" t="str">
        <f t="shared" si="2"/>
        <v/>
      </c>
      <c r="O171" s="75"/>
      <c r="P171" s="72"/>
      <c r="Q171" s="72"/>
      <c r="R171" s="72"/>
      <c r="S171" s="72"/>
      <c r="T171" s="72"/>
      <c r="U171" s="72"/>
      <c r="V171" s="76"/>
    </row>
    <row r="172" spans="1:25" ht="27.75" customHeight="1">
      <c r="A172" s="87" t="str">
        <f>IF(ISBLANK(C172)," ",167-COUNTBLANK($C$6:C172))</f>
        <v xml:space="preserve"> </v>
      </c>
      <c r="B172" s="88"/>
      <c r="C172" s="88"/>
      <c r="D172" s="89"/>
      <c r="E172" s="89"/>
      <c r="F172" s="73"/>
      <c r="G172" s="73"/>
      <c r="H172" s="73"/>
      <c r="I172" s="73"/>
      <c r="J172" s="73"/>
      <c r="K172" s="73"/>
      <c r="L172" s="73"/>
      <c r="M172" s="74"/>
      <c r="N172" s="71" t="str">
        <f t="shared" si="2"/>
        <v/>
      </c>
      <c r="O172" s="72"/>
      <c r="P172" s="72"/>
      <c r="Q172" s="72"/>
      <c r="R172" s="72"/>
      <c r="S172" s="72"/>
      <c r="T172" s="72"/>
      <c r="U172" s="72"/>
      <c r="V172" s="79"/>
      <c r="W172" s="72"/>
      <c r="X172" s="72"/>
      <c r="Y172" s="72"/>
    </row>
    <row r="173" spans="1:25" ht="27.75" customHeight="1">
      <c r="A173" s="80" t="s">
        <v>58</v>
      </c>
      <c r="B173" s="81"/>
      <c r="C173" s="96"/>
      <c r="D173" s="82"/>
      <c r="E173" s="82">
        <f>SUM(E153:E172)</f>
        <v>0</v>
      </c>
      <c r="F173" s="83"/>
      <c r="G173" s="83"/>
      <c r="H173" s="83"/>
      <c r="I173" s="83"/>
      <c r="J173" s="83"/>
      <c r="K173" s="83"/>
      <c r="L173" s="83"/>
      <c r="M173" s="84"/>
      <c r="N173" s="71" t="str">
        <f t="shared" si="2"/>
        <v/>
      </c>
      <c r="O173" s="75"/>
      <c r="P173" s="72"/>
      <c r="Q173" s="72"/>
      <c r="R173" s="72"/>
      <c r="S173" s="72"/>
      <c r="T173" s="72"/>
      <c r="U173" s="72"/>
      <c r="V173" s="79"/>
      <c r="W173" s="72"/>
      <c r="X173" s="72"/>
      <c r="Y173" s="72"/>
    </row>
    <row r="174" spans="1:25" ht="27.75" customHeight="1">
      <c r="A174" s="93" t="str">
        <f>IF(ISBLANK(C174)," ",169-COUNTBLANK($C$6:C174))</f>
        <v xml:space="preserve"> </v>
      </c>
      <c r="B174" s="94"/>
      <c r="C174" s="94"/>
      <c r="D174" s="95"/>
      <c r="E174" s="95"/>
      <c r="F174" s="85"/>
      <c r="G174" s="85"/>
      <c r="H174" s="85"/>
      <c r="I174" s="85"/>
      <c r="J174" s="85"/>
      <c r="K174" s="85"/>
      <c r="L174" s="85"/>
      <c r="M174" s="86"/>
      <c r="N174" s="71" t="str">
        <f t="shared" si="2"/>
        <v/>
      </c>
      <c r="O174" s="72"/>
      <c r="P174" s="72"/>
      <c r="Q174" s="72"/>
      <c r="R174" s="72"/>
      <c r="S174" s="72"/>
      <c r="T174" s="72"/>
      <c r="U174" s="72"/>
      <c r="V174" s="72"/>
    </row>
    <row r="175" spans="1:25" ht="27.75" customHeight="1">
      <c r="A175" s="87" t="str">
        <f>IF(ISBLANK(C175)," ",170-COUNTBLANK($C$6:C175))</f>
        <v xml:space="preserve"> </v>
      </c>
      <c r="B175" s="88"/>
      <c r="C175" s="88"/>
      <c r="D175" s="89"/>
      <c r="E175" s="89"/>
      <c r="F175" s="73"/>
      <c r="G175" s="73"/>
      <c r="H175" s="73"/>
      <c r="I175" s="73"/>
      <c r="J175" s="73"/>
      <c r="K175" s="73"/>
      <c r="L175" s="73"/>
      <c r="M175" s="74"/>
      <c r="N175" s="71" t="str">
        <f t="shared" si="2"/>
        <v/>
      </c>
      <c r="O175" s="72"/>
      <c r="P175" s="72"/>
      <c r="Q175" s="72"/>
      <c r="R175" s="72"/>
      <c r="S175" s="72"/>
      <c r="T175" s="72"/>
      <c r="U175" s="72"/>
      <c r="V175" s="72"/>
    </row>
    <row r="176" spans="1:25" ht="27.75" customHeight="1">
      <c r="A176" s="87" t="str">
        <f>IF(ISBLANK(C176)," ",171-COUNTBLANK($C$6:C176))</f>
        <v xml:space="preserve"> </v>
      </c>
      <c r="B176" s="88"/>
      <c r="C176" s="88"/>
      <c r="D176" s="89"/>
      <c r="E176" s="89"/>
      <c r="F176" s="73"/>
      <c r="G176" s="73"/>
      <c r="H176" s="73"/>
      <c r="I176" s="73"/>
      <c r="J176" s="73"/>
      <c r="K176" s="73"/>
      <c r="L176" s="73"/>
      <c r="M176" s="74"/>
      <c r="N176" s="71" t="str">
        <f t="shared" si="2"/>
        <v/>
      </c>
      <c r="O176" s="72"/>
      <c r="P176" s="72"/>
      <c r="Q176" s="72"/>
      <c r="R176" s="72"/>
      <c r="S176" s="72"/>
      <c r="T176" s="72"/>
      <c r="U176" s="72"/>
      <c r="V176" s="72"/>
    </row>
    <row r="177" spans="1:22" ht="27.75" customHeight="1">
      <c r="A177" s="87" t="str">
        <f>IF(ISBLANK(C177)," ",172-COUNTBLANK($C$6:C177))</f>
        <v xml:space="preserve"> </v>
      </c>
      <c r="B177" s="88"/>
      <c r="C177" s="88"/>
      <c r="D177" s="89"/>
      <c r="E177" s="89"/>
      <c r="F177" s="73"/>
      <c r="G177" s="73"/>
      <c r="H177" s="73"/>
      <c r="I177" s="73"/>
      <c r="J177" s="73"/>
      <c r="K177" s="73"/>
      <c r="L177" s="73"/>
      <c r="M177" s="74"/>
      <c r="N177" s="71" t="str">
        <f t="shared" si="2"/>
        <v/>
      </c>
      <c r="O177" s="72"/>
      <c r="P177" s="72"/>
      <c r="Q177" s="72"/>
      <c r="R177" s="72"/>
      <c r="S177" s="72"/>
      <c r="T177" s="72"/>
      <c r="U177" s="72"/>
      <c r="V177" s="72"/>
    </row>
    <row r="178" spans="1:22" ht="27.75" customHeight="1">
      <c r="A178" s="87" t="str">
        <f>IF(ISBLANK(C178)," ",173-COUNTBLANK($C$6:C178))</f>
        <v xml:space="preserve"> </v>
      </c>
      <c r="B178" s="88"/>
      <c r="C178" s="88"/>
      <c r="D178" s="89"/>
      <c r="E178" s="89"/>
      <c r="F178" s="73"/>
      <c r="G178" s="73"/>
      <c r="H178" s="73"/>
      <c r="I178" s="73"/>
      <c r="J178" s="73"/>
      <c r="K178" s="73"/>
      <c r="L178" s="73"/>
      <c r="M178" s="74"/>
      <c r="N178" s="71" t="str">
        <f t="shared" si="2"/>
        <v/>
      </c>
      <c r="O178" s="72"/>
      <c r="P178" s="72"/>
      <c r="Q178" s="72"/>
      <c r="R178" s="72"/>
      <c r="S178" s="72"/>
      <c r="T178" s="72"/>
      <c r="U178" s="72"/>
      <c r="V178" s="72"/>
    </row>
    <row r="179" spans="1:22" ht="27.75" customHeight="1">
      <c r="A179" s="87" t="str">
        <f>IF(ISBLANK(C179)," ",174-COUNTBLANK($C$6:C179))</f>
        <v xml:space="preserve"> </v>
      </c>
      <c r="B179" s="88"/>
      <c r="C179" s="88"/>
      <c r="D179" s="89"/>
      <c r="E179" s="89"/>
      <c r="F179" s="73"/>
      <c r="G179" s="73"/>
      <c r="H179" s="73"/>
      <c r="I179" s="73"/>
      <c r="J179" s="73"/>
      <c r="K179" s="73"/>
      <c r="L179" s="73"/>
      <c r="M179" s="74"/>
      <c r="N179" s="71" t="str">
        <f t="shared" si="2"/>
        <v/>
      </c>
      <c r="O179" s="72"/>
      <c r="P179" s="72"/>
      <c r="Q179" s="72"/>
      <c r="R179" s="72"/>
      <c r="S179" s="72"/>
      <c r="T179" s="72"/>
      <c r="U179" s="72"/>
      <c r="V179" s="72"/>
    </row>
    <row r="180" spans="1:22" ht="27.75" customHeight="1">
      <c r="A180" s="87" t="str">
        <f>IF(ISBLANK(C180)," ",175-COUNTBLANK($C$6:C180))</f>
        <v xml:space="preserve"> </v>
      </c>
      <c r="B180" s="88"/>
      <c r="C180" s="88"/>
      <c r="D180" s="89"/>
      <c r="E180" s="89"/>
      <c r="F180" s="73"/>
      <c r="G180" s="73"/>
      <c r="H180" s="73"/>
      <c r="I180" s="73"/>
      <c r="J180" s="73"/>
      <c r="K180" s="73"/>
      <c r="L180" s="73"/>
      <c r="M180" s="74"/>
      <c r="N180" s="71" t="str">
        <f t="shared" si="2"/>
        <v/>
      </c>
      <c r="O180" s="72"/>
      <c r="P180" s="72"/>
      <c r="Q180" s="72"/>
      <c r="R180" s="72"/>
      <c r="S180" s="72"/>
      <c r="T180" s="72"/>
      <c r="U180" s="72"/>
      <c r="V180" s="72"/>
    </row>
    <row r="181" spans="1:22" ht="27.75" customHeight="1">
      <c r="A181" s="87" t="str">
        <f>IF(ISBLANK(C181)," ",176-COUNTBLANK($C$6:C181))</f>
        <v xml:space="preserve"> </v>
      </c>
      <c r="B181" s="88"/>
      <c r="C181" s="88"/>
      <c r="D181" s="89"/>
      <c r="E181" s="89"/>
      <c r="F181" s="73"/>
      <c r="G181" s="73"/>
      <c r="H181" s="73"/>
      <c r="I181" s="73"/>
      <c r="J181" s="73"/>
      <c r="K181" s="73"/>
      <c r="L181" s="73"/>
      <c r="M181" s="74"/>
      <c r="N181" s="71" t="str">
        <f t="shared" si="2"/>
        <v/>
      </c>
      <c r="O181" s="72"/>
      <c r="P181" s="72"/>
      <c r="Q181" s="72"/>
      <c r="R181" s="72"/>
      <c r="S181" s="72"/>
      <c r="T181" s="72"/>
      <c r="U181" s="72"/>
      <c r="V181" s="72"/>
    </row>
    <row r="182" spans="1:22" ht="27.75" customHeight="1">
      <c r="A182" s="87" t="str">
        <f>IF(ISBLANK(C182)," ",177-COUNTBLANK($C$6:C182))</f>
        <v xml:space="preserve"> </v>
      </c>
      <c r="B182" s="88"/>
      <c r="C182" s="88"/>
      <c r="D182" s="89"/>
      <c r="E182" s="89"/>
      <c r="F182" s="73"/>
      <c r="G182" s="73"/>
      <c r="H182" s="73"/>
      <c r="I182" s="73"/>
      <c r="J182" s="73"/>
      <c r="K182" s="73"/>
      <c r="L182" s="73"/>
      <c r="M182" s="74"/>
      <c r="N182" s="71" t="str">
        <f t="shared" si="2"/>
        <v/>
      </c>
      <c r="O182" s="72"/>
      <c r="P182" s="72"/>
      <c r="Q182" s="72"/>
      <c r="R182" s="72"/>
      <c r="S182" s="72"/>
      <c r="T182" s="72"/>
      <c r="U182" s="72"/>
      <c r="V182" s="72"/>
    </row>
    <row r="183" spans="1:22" ht="27.75" customHeight="1">
      <c r="A183" s="87" t="str">
        <f>IF(ISBLANK(C183)," ",178-COUNTBLANK($C$6:C183))</f>
        <v xml:space="preserve"> </v>
      </c>
      <c r="B183" s="88"/>
      <c r="C183" s="88"/>
      <c r="D183" s="89"/>
      <c r="E183" s="89"/>
      <c r="F183" s="73"/>
      <c r="G183" s="73"/>
      <c r="H183" s="73"/>
      <c r="I183" s="73"/>
      <c r="J183" s="73"/>
      <c r="K183" s="73"/>
      <c r="L183" s="73"/>
      <c r="M183" s="74"/>
      <c r="N183" s="71" t="str">
        <f t="shared" si="2"/>
        <v/>
      </c>
      <c r="O183" s="72"/>
      <c r="P183" s="72"/>
      <c r="Q183" s="72"/>
      <c r="R183" s="72"/>
      <c r="S183" s="72"/>
      <c r="T183" s="72"/>
      <c r="U183" s="72"/>
      <c r="V183" s="72"/>
    </row>
    <row r="184" spans="1:22" ht="27.75" customHeight="1">
      <c r="A184" s="87" t="str">
        <f>IF(ISBLANK(C184)," ",179-COUNTBLANK($C$6:C184))</f>
        <v xml:space="preserve"> </v>
      </c>
      <c r="B184" s="88"/>
      <c r="C184" s="88"/>
      <c r="D184" s="89"/>
      <c r="E184" s="89"/>
      <c r="F184" s="73"/>
      <c r="G184" s="73"/>
      <c r="H184" s="73"/>
      <c r="I184" s="73"/>
      <c r="J184" s="73"/>
      <c r="K184" s="73"/>
      <c r="L184" s="73"/>
      <c r="M184" s="74"/>
      <c r="N184" s="71" t="str">
        <f t="shared" si="2"/>
        <v/>
      </c>
      <c r="O184" s="72"/>
      <c r="P184" s="72"/>
      <c r="Q184" s="72"/>
      <c r="R184" s="72"/>
      <c r="S184" s="72"/>
      <c r="T184" s="72"/>
      <c r="U184" s="72"/>
      <c r="V184" s="72"/>
    </row>
    <row r="185" spans="1:22" ht="27.75" customHeight="1">
      <c r="A185" s="87" t="str">
        <f>IF(ISBLANK(C185)," ",180-COUNTBLANK($C$6:C185))</f>
        <v xml:space="preserve"> </v>
      </c>
      <c r="B185" s="88"/>
      <c r="C185" s="88"/>
      <c r="D185" s="89"/>
      <c r="E185" s="89"/>
      <c r="F185" s="73"/>
      <c r="G185" s="73"/>
      <c r="H185" s="73"/>
      <c r="I185" s="73"/>
      <c r="J185" s="73"/>
      <c r="K185" s="73"/>
      <c r="L185" s="73"/>
      <c r="M185" s="74"/>
      <c r="N185" s="71" t="str">
        <f t="shared" si="2"/>
        <v/>
      </c>
      <c r="O185" s="72"/>
      <c r="P185" s="72"/>
      <c r="Q185" s="72"/>
      <c r="R185" s="72"/>
      <c r="S185" s="72"/>
      <c r="T185" s="72"/>
      <c r="U185" s="72"/>
      <c r="V185" s="72"/>
    </row>
    <row r="186" spans="1:22" ht="27.75" customHeight="1">
      <c r="A186" s="87" t="str">
        <f>IF(ISBLANK(C186)," ",181-COUNTBLANK($C$6:C186))</f>
        <v xml:space="preserve"> </v>
      </c>
      <c r="B186" s="88"/>
      <c r="C186" s="88"/>
      <c r="D186" s="89"/>
      <c r="E186" s="89"/>
      <c r="F186" s="73"/>
      <c r="G186" s="73"/>
      <c r="H186" s="73"/>
      <c r="I186" s="73"/>
      <c r="J186" s="73"/>
      <c r="K186" s="73"/>
      <c r="L186" s="73"/>
      <c r="M186" s="74"/>
      <c r="N186" s="71" t="str">
        <f t="shared" si="2"/>
        <v/>
      </c>
      <c r="O186" s="72"/>
      <c r="P186" s="72"/>
      <c r="Q186" s="72"/>
      <c r="R186" s="72"/>
      <c r="S186" s="72"/>
      <c r="T186" s="72"/>
      <c r="U186" s="72"/>
      <c r="V186" s="72"/>
    </row>
    <row r="187" spans="1:22" ht="27.75" customHeight="1">
      <c r="A187" s="87" t="str">
        <f>IF(ISBLANK(C187)," ",182-COUNTBLANK($C$6:C187))</f>
        <v xml:space="preserve"> </v>
      </c>
      <c r="B187" s="88"/>
      <c r="C187" s="88"/>
      <c r="D187" s="89"/>
      <c r="E187" s="89"/>
      <c r="F187" s="73"/>
      <c r="G187" s="73"/>
      <c r="H187" s="73"/>
      <c r="I187" s="73"/>
      <c r="J187" s="73"/>
      <c r="K187" s="73"/>
      <c r="L187" s="73"/>
      <c r="M187" s="74"/>
      <c r="N187" s="71" t="str">
        <f t="shared" si="2"/>
        <v/>
      </c>
      <c r="O187" s="72"/>
      <c r="P187" s="72"/>
      <c r="Q187" s="72"/>
      <c r="R187" s="72"/>
      <c r="S187" s="72"/>
      <c r="T187" s="72"/>
      <c r="U187" s="72"/>
      <c r="V187" s="72"/>
    </row>
    <row r="188" spans="1:22" ht="27.75" customHeight="1">
      <c r="A188" s="87" t="str">
        <f>IF(ISBLANK(C188)," ",183-COUNTBLANK($C$6:C188))</f>
        <v xml:space="preserve"> </v>
      </c>
      <c r="B188" s="88"/>
      <c r="C188" s="88"/>
      <c r="D188" s="89"/>
      <c r="E188" s="89"/>
      <c r="F188" s="73"/>
      <c r="G188" s="73"/>
      <c r="H188" s="73"/>
      <c r="I188" s="73"/>
      <c r="J188" s="73"/>
      <c r="K188" s="73"/>
      <c r="L188" s="73"/>
      <c r="M188" s="74"/>
      <c r="N188" s="71" t="str">
        <f t="shared" si="2"/>
        <v/>
      </c>
      <c r="O188" s="72"/>
      <c r="P188" s="72"/>
      <c r="Q188" s="72"/>
      <c r="R188" s="72"/>
      <c r="S188" s="72"/>
      <c r="T188" s="72"/>
      <c r="U188" s="72"/>
      <c r="V188" s="72"/>
    </row>
    <row r="189" spans="1:22" ht="27.75" customHeight="1">
      <c r="A189" s="87" t="str">
        <f>IF(ISBLANK(C189)," ",184-COUNTBLANK($C$6:C189))</f>
        <v xml:space="preserve"> </v>
      </c>
      <c r="B189" s="88"/>
      <c r="C189" s="88"/>
      <c r="D189" s="89"/>
      <c r="E189" s="89"/>
      <c r="F189" s="73"/>
      <c r="G189" s="73"/>
      <c r="H189" s="73"/>
      <c r="I189" s="73"/>
      <c r="J189" s="73"/>
      <c r="K189" s="73"/>
      <c r="L189" s="73"/>
      <c r="M189" s="74"/>
      <c r="N189" s="71" t="str">
        <f t="shared" si="2"/>
        <v/>
      </c>
      <c r="O189" s="75"/>
      <c r="P189" s="72"/>
      <c r="Q189" s="72"/>
      <c r="R189" s="72"/>
      <c r="S189" s="72"/>
      <c r="T189" s="72"/>
      <c r="U189" s="72"/>
      <c r="V189" s="76"/>
    </row>
    <row r="190" spans="1:22" ht="27.75" customHeight="1">
      <c r="A190" s="87" t="str">
        <f>IF(ISBLANK(C190)," ",185-COUNTBLANK($C$6:C190))</f>
        <v xml:space="preserve"> </v>
      </c>
      <c r="B190" s="88"/>
      <c r="C190" s="88"/>
      <c r="D190" s="89"/>
      <c r="E190" s="89"/>
      <c r="F190" s="73"/>
      <c r="G190" s="73"/>
      <c r="H190" s="73"/>
      <c r="I190" s="73"/>
      <c r="J190" s="73"/>
      <c r="K190" s="73"/>
      <c r="L190" s="73"/>
      <c r="M190" s="74"/>
      <c r="N190" s="71" t="str">
        <f t="shared" si="2"/>
        <v/>
      </c>
      <c r="O190" s="75"/>
      <c r="P190" s="72"/>
      <c r="Q190" s="72"/>
      <c r="R190" s="72"/>
      <c r="S190" s="72"/>
      <c r="T190" s="72"/>
      <c r="U190" s="72"/>
      <c r="V190" s="76"/>
    </row>
    <row r="191" spans="1:22" ht="27.75" customHeight="1">
      <c r="A191" s="87" t="str">
        <f>IF(ISBLANK(C191)," ",186-COUNTBLANK($C$6:C191))</f>
        <v xml:space="preserve"> </v>
      </c>
      <c r="B191" s="88"/>
      <c r="C191" s="88"/>
      <c r="D191" s="89"/>
      <c r="E191" s="89"/>
      <c r="F191" s="73"/>
      <c r="G191" s="73"/>
      <c r="H191" s="73"/>
      <c r="I191" s="73"/>
      <c r="J191" s="73"/>
      <c r="K191" s="73"/>
      <c r="L191" s="73"/>
      <c r="M191" s="74"/>
      <c r="N191" s="71" t="str">
        <f t="shared" si="2"/>
        <v/>
      </c>
      <c r="O191" s="75"/>
      <c r="P191" s="72"/>
      <c r="Q191" s="72"/>
      <c r="R191" s="72"/>
      <c r="S191" s="72"/>
      <c r="T191" s="72"/>
      <c r="U191" s="72"/>
      <c r="V191" s="76"/>
    </row>
    <row r="192" spans="1:22" ht="27.75" customHeight="1">
      <c r="A192" s="87" t="str">
        <f>IF(ISBLANK(C192)," ",187-COUNTBLANK($C$6:C192))</f>
        <v xml:space="preserve"> </v>
      </c>
      <c r="B192" s="88"/>
      <c r="C192" s="88"/>
      <c r="D192" s="89"/>
      <c r="E192" s="89"/>
      <c r="F192" s="73"/>
      <c r="G192" s="73"/>
      <c r="H192" s="73"/>
      <c r="I192" s="73"/>
      <c r="J192" s="73"/>
      <c r="K192" s="73"/>
      <c r="L192" s="73"/>
      <c r="M192" s="74"/>
      <c r="N192" s="71" t="str">
        <f t="shared" si="2"/>
        <v/>
      </c>
      <c r="O192" s="75"/>
      <c r="P192" s="72"/>
      <c r="Q192" s="72"/>
      <c r="R192" s="72"/>
      <c r="S192" s="72"/>
      <c r="T192" s="72"/>
      <c r="U192" s="72"/>
      <c r="V192" s="76"/>
    </row>
    <row r="193" spans="1:25" ht="27.75" customHeight="1">
      <c r="A193" s="87" t="str">
        <f>IF(ISBLANK(C193)," ",188-COUNTBLANK($C$6:C193))</f>
        <v xml:space="preserve"> </v>
      </c>
      <c r="B193" s="88"/>
      <c r="C193" s="88"/>
      <c r="D193" s="89"/>
      <c r="E193" s="89"/>
      <c r="F193" s="73"/>
      <c r="G193" s="73"/>
      <c r="H193" s="73"/>
      <c r="I193" s="73"/>
      <c r="J193" s="73"/>
      <c r="K193" s="73"/>
      <c r="L193" s="73"/>
      <c r="M193" s="74"/>
      <c r="N193" s="71" t="str">
        <f t="shared" si="2"/>
        <v/>
      </c>
      <c r="O193" s="72"/>
      <c r="P193" s="72"/>
      <c r="Q193" s="72"/>
      <c r="R193" s="72"/>
      <c r="S193" s="72"/>
      <c r="T193" s="72"/>
      <c r="U193" s="72"/>
      <c r="V193" s="79"/>
      <c r="W193" s="72"/>
      <c r="X193" s="72"/>
      <c r="Y193" s="72"/>
    </row>
    <row r="194" spans="1:25" ht="27.75" customHeight="1">
      <c r="A194" s="80" t="s">
        <v>58</v>
      </c>
      <c r="B194" s="81"/>
      <c r="C194" s="96"/>
      <c r="D194" s="82"/>
      <c r="E194" s="82">
        <f>SUM(E174:E193)</f>
        <v>0</v>
      </c>
      <c r="F194" s="83"/>
      <c r="G194" s="83"/>
      <c r="H194" s="83"/>
      <c r="I194" s="83"/>
      <c r="J194" s="83"/>
      <c r="K194" s="83"/>
      <c r="L194" s="83"/>
      <c r="M194" s="84"/>
      <c r="N194" s="71" t="str">
        <f t="shared" si="2"/>
        <v/>
      </c>
      <c r="O194" s="75"/>
      <c r="P194" s="72"/>
      <c r="Q194" s="72"/>
      <c r="R194" s="72"/>
      <c r="S194" s="72"/>
      <c r="T194" s="72"/>
      <c r="U194" s="72"/>
      <c r="V194" s="79"/>
      <c r="W194" s="72"/>
      <c r="X194" s="72"/>
      <c r="Y194" s="72"/>
    </row>
    <row r="195" spans="1:25" ht="27.75" customHeight="1">
      <c r="A195" s="93" t="str">
        <f>IF(ISBLANK(C195)," ",190-COUNTBLANK($C$6:C195))</f>
        <v xml:space="preserve"> </v>
      </c>
      <c r="B195" s="94"/>
      <c r="C195" s="94"/>
      <c r="D195" s="95"/>
      <c r="E195" s="95"/>
      <c r="F195" s="85"/>
      <c r="G195" s="85"/>
      <c r="H195" s="85"/>
      <c r="I195" s="85"/>
      <c r="J195" s="85"/>
      <c r="K195" s="85"/>
      <c r="L195" s="85"/>
      <c r="M195" s="86"/>
      <c r="N195" s="71" t="str">
        <f t="shared" si="2"/>
        <v/>
      </c>
      <c r="O195" s="72"/>
      <c r="P195" s="72"/>
      <c r="Q195" s="72"/>
      <c r="R195" s="72"/>
      <c r="S195" s="72"/>
      <c r="T195" s="72"/>
      <c r="U195" s="72"/>
      <c r="V195" s="72"/>
    </row>
    <row r="196" spans="1:25" ht="27.75" customHeight="1">
      <c r="A196" s="87" t="str">
        <f>IF(ISBLANK(C196)," ",191-COUNTBLANK($C$6:C196))</f>
        <v xml:space="preserve"> </v>
      </c>
      <c r="B196" s="88"/>
      <c r="C196" s="88"/>
      <c r="D196" s="89"/>
      <c r="E196" s="89"/>
      <c r="F196" s="73"/>
      <c r="G196" s="73"/>
      <c r="H196" s="73"/>
      <c r="I196" s="73"/>
      <c r="J196" s="73"/>
      <c r="K196" s="73"/>
      <c r="L196" s="73"/>
      <c r="M196" s="74"/>
      <c r="N196" s="71" t="str">
        <f t="shared" si="2"/>
        <v/>
      </c>
      <c r="O196" s="72"/>
      <c r="P196" s="72"/>
      <c r="Q196" s="72"/>
      <c r="R196" s="72"/>
      <c r="S196" s="72"/>
      <c r="T196" s="72"/>
      <c r="U196" s="72"/>
      <c r="V196" s="72"/>
    </row>
    <row r="197" spans="1:25" ht="27.75" customHeight="1">
      <c r="A197" s="87" t="str">
        <f>IF(ISBLANK(C197)," ",192-COUNTBLANK($C$6:C197))</f>
        <v xml:space="preserve"> </v>
      </c>
      <c r="B197" s="88"/>
      <c r="C197" s="88"/>
      <c r="D197" s="89"/>
      <c r="E197" s="89"/>
      <c r="F197" s="73"/>
      <c r="G197" s="73"/>
      <c r="H197" s="73"/>
      <c r="I197" s="73"/>
      <c r="J197" s="73"/>
      <c r="K197" s="73"/>
      <c r="L197" s="73"/>
      <c r="M197" s="74"/>
      <c r="N197" s="71" t="str">
        <f t="shared" si="2"/>
        <v/>
      </c>
      <c r="O197" s="72"/>
      <c r="P197" s="72"/>
      <c r="Q197" s="72"/>
      <c r="R197" s="72"/>
      <c r="S197" s="72"/>
      <c r="T197" s="72"/>
      <c r="U197" s="72"/>
      <c r="V197" s="72"/>
    </row>
    <row r="198" spans="1:25" ht="27.75" customHeight="1">
      <c r="A198" s="87" t="str">
        <f>IF(ISBLANK(C198)," ",193-COUNTBLANK($C$6:C198))</f>
        <v xml:space="preserve"> </v>
      </c>
      <c r="B198" s="88"/>
      <c r="C198" s="88"/>
      <c r="D198" s="89"/>
      <c r="E198" s="89"/>
      <c r="F198" s="73"/>
      <c r="G198" s="73"/>
      <c r="H198" s="73"/>
      <c r="I198" s="73"/>
      <c r="J198" s="73"/>
      <c r="K198" s="73"/>
      <c r="L198" s="73"/>
      <c r="M198" s="74"/>
      <c r="N198" s="71" t="str">
        <f t="shared" ref="N198:N261" si="3">CONCATENATE(C198,H198)</f>
        <v/>
      </c>
      <c r="O198" s="72"/>
      <c r="P198" s="72"/>
      <c r="Q198" s="72"/>
      <c r="R198" s="72"/>
      <c r="S198" s="72"/>
      <c r="T198" s="72"/>
      <c r="U198" s="72"/>
      <c r="V198" s="72"/>
    </row>
    <row r="199" spans="1:25" ht="27.75" customHeight="1">
      <c r="A199" s="87" t="str">
        <f>IF(ISBLANK(C199)," ",194-COUNTBLANK($C$6:C199))</f>
        <v xml:space="preserve"> </v>
      </c>
      <c r="B199" s="88"/>
      <c r="C199" s="88"/>
      <c r="D199" s="89"/>
      <c r="E199" s="89"/>
      <c r="F199" s="73"/>
      <c r="G199" s="73"/>
      <c r="H199" s="73"/>
      <c r="I199" s="73"/>
      <c r="J199" s="73"/>
      <c r="K199" s="73"/>
      <c r="L199" s="73"/>
      <c r="M199" s="74"/>
      <c r="N199" s="71" t="str">
        <f t="shared" si="3"/>
        <v/>
      </c>
      <c r="O199" s="72"/>
      <c r="P199" s="72"/>
      <c r="Q199" s="72"/>
      <c r="R199" s="72"/>
      <c r="S199" s="72"/>
      <c r="T199" s="72"/>
      <c r="U199" s="72"/>
      <c r="V199" s="72"/>
    </row>
    <row r="200" spans="1:25" ht="27.75" customHeight="1">
      <c r="A200" s="87" t="str">
        <f>IF(ISBLANK(C200)," ",195-COUNTBLANK($C$6:C200))</f>
        <v xml:space="preserve"> </v>
      </c>
      <c r="B200" s="88"/>
      <c r="C200" s="88"/>
      <c r="D200" s="89"/>
      <c r="E200" s="89"/>
      <c r="F200" s="73"/>
      <c r="G200" s="73"/>
      <c r="H200" s="73"/>
      <c r="I200" s="73"/>
      <c r="J200" s="73"/>
      <c r="K200" s="73"/>
      <c r="L200" s="73"/>
      <c r="M200" s="74"/>
      <c r="N200" s="71" t="str">
        <f t="shared" si="3"/>
        <v/>
      </c>
      <c r="O200" s="72"/>
      <c r="P200" s="72"/>
      <c r="Q200" s="72"/>
      <c r="R200" s="72"/>
      <c r="S200" s="72"/>
      <c r="T200" s="72"/>
      <c r="U200" s="72"/>
      <c r="V200" s="72"/>
    </row>
    <row r="201" spans="1:25" ht="27.75" customHeight="1">
      <c r="A201" s="87" t="str">
        <f>IF(ISBLANK(C201)," ",196-COUNTBLANK($C$6:C201))</f>
        <v xml:space="preserve"> </v>
      </c>
      <c r="B201" s="88"/>
      <c r="C201" s="88"/>
      <c r="D201" s="89"/>
      <c r="E201" s="89"/>
      <c r="F201" s="73"/>
      <c r="G201" s="73"/>
      <c r="H201" s="73"/>
      <c r="I201" s="73"/>
      <c r="J201" s="73"/>
      <c r="K201" s="73"/>
      <c r="L201" s="73"/>
      <c r="M201" s="74"/>
      <c r="N201" s="71" t="str">
        <f t="shared" si="3"/>
        <v/>
      </c>
      <c r="O201" s="72"/>
      <c r="P201" s="72"/>
      <c r="Q201" s="72"/>
      <c r="R201" s="72"/>
      <c r="S201" s="72"/>
      <c r="T201" s="72"/>
      <c r="U201" s="72"/>
      <c r="V201" s="72"/>
    </row>
    <row r="202" spans="1:25" ht="27.75" customHeight="1">
      <c r="A202" s="87" t="str">
        <f>IF(ISBLANK(C202)," ",197-COUNTBLANK($C$6:C202))</f>
        <v xml:space="preserve"> </v>
      </c>
      <c r="B202" s="88"/>
      <c r="C202" s="88"/>
      <c r="D202" s="89"/>
      <c r="E202" s="89"/>
      <c r="F202" s="73"/>
      <c r="G202" s="73"/>
      <c r="H202" s="73"/>
      <c r="I202" s="73"/>
      <c r="J202" s="73"/>
      <c r="K202" s="73"/>
      <c r="L202" s="73"/>
      <c r="M202" s="74"/>
      <c r="N202" s="71" t="str">
        <f t="shared" si="3"/>
        <v/>
      </c>
      <c r="O202" s="72"/>
      <c r="P202" s="72"/>
      <c r="Q202" s="72"/>
      <c r="R202" s="72"/>
      <c r="S202" s="72"/>
      <c r="T202" s="72"/>
      <c r="U202" s="72"/>
      <c r="V202" s="72"/>
    </row>
    <row r="203" spans="1:25" ht="27.75" customHeight="1">
      <c r="A203" s="87" t="str">
        <f>IF(ISBLANK(C203)," ",198-COUNTBLANK($C$6:C203))</f>
        <v xml:space="preserve"> </v>
      </c>
      <c r="B203" s="88"/>
      <c r="C203" s="88"/>
      <c r="D203" s="89"/>
      <c r="E203" s="89"/>
      <c r="F203" s="73"/>
      <c r="G203" s="73"/>
      <c r="H203" s="73"/>
      <c r="I203" s="73"/>
      <c r="J203" s="73"/>
      <c r="K203" s="73"/>
      <c r="L203" s="73"/>
      <c r="M203" s="74"/>
      <c r="N203" s="71" t="str">
        <f t="shared" si="3"/>
        <v/>
      </c>
      <c r="O203" s="72"/>
      <c r="P203" s="72"/>
      <c r="Q203" s="72"/>
      <c r="R203" s="72"/>
      <c r="S203" s="72"/>
      <c r="T203" s="72"/>
      <c r="U203" s="72"/>
      <c r="V203" s="72"/>
    </row>
    <row r="204" spans="1:25" ht="27.75" customHeight="1">
      <c r="A204" s="87" t="str">
        <f>IF(ISBLANK(C204)," ",199-COUNTBLANK($C$6:C204))</f>
        <v xml:space="preserve"> </v>
      </c>
      <c r="B204" s="88"/>
      <c r="C204" s="88"/>
      <c r="D204" s="89"/>
      <c r="E204" s="89"/>
      <c r="F204" s="73"/>
      <c r="G204" s="73"/>
      <c r="H204" s="73"/>
      <c r="I204" s="73"/>
      <c r="J204" s="73"/>
      <c r="K204" s="73"/>
      <c r="L204" s="73"/>
      <c r="M204" s="74"/>
      <c r="N204" s="71" t="str">
        <f t="shared" si="3"/>
        <v/>
      </c>
      <c r="O204" s="72"/>
      <c r="P204" s="72"/>
      <c r="Q204" s="72"/>
      <c r="R204" s="72"/>
      <c r="S204" s="72"/>
      <c r="T204" s="72"/>
      <c r="U204" s="72"/>
      <c r="V204" s="72"/>
    </row>
    <row r="205" spans="1:25" ht="27.75" customHeight="1">
      <c r="A205" s="87" t="str">
        <f>IF(ISBLANK(C205)," ",200-COUNTBLANK($C$6:C205))</f>
        <v xml:space="preserve"> </v>
      </c>
      <c r="B205" s="88"/>
      <c r="C205" s="88"/>
      <c r="D205" s="89"/>
      <c r="E205" s="89"/>
      <c r="F205" s="73"/>
      <c r="G205" s="73"/>
      <c r="H205" s="73"/>
      <c r="I205" s="73"/>
      <c r="J205" s="73"/>
      <c r="K205" s="73"/>
      <c r="L205" s="73"/>
      <c r="M205" s="74"/>
      <c r="N205" s="71" t="str">
        <f t="shared" si="3"/>
        <v/>
      </c>
      <c r="O205" s="72"/>
      <c r="P205" s="72"/>
      <c r="Q205" s="72"/>
      <c r="R205" s="72"/>
      <c r="S205" s="72"/>
      <c r="T205" s="72"/>
      <c r="U205" s="72"/>
      <c r="V205" s="72"/>
    </row>
    <row r="206" spans="1:25" ht="27.75" customHeight="1">
      <c r="A206" s="87" t="str">
        <f>IF(ISBLANK(C206)," ",201-COUNTBLANK($C$6:C206))</f>
        <v xml:space="preserve"> </v>
      </c>
      <c r="B206" s="88"/>
      <c r="C206" s="88"/>
      <c r="D206" s="89"/>
      <c r="E206" s="89"/>
      <c r="F206" s="73"/>
      <c r="G206" s="73"/>
      <c r="H206" s="73"/>
      <c r="I206" s="73"/>
      <c r="J206" s="73"/>
      <c r="K206" s="73"/>
      <c r="L206" s="73"/>
      <c r="M206" s="74"/>
      <c r="N206" s="71" t="str">
        <f t="shared" si="3"/>
        <v/>
      </c>
      <c r="O206" s="72"/>
      <c r="P206" s="72"/>
      <c r="Q206" s="72"/>
      <c r="R206" s="72"/>
      <c r="S206" s="72"/>
      <c r="T206" s="72"/>
      <c r="U206" s="72"/>
      <c r="V206" s="72"/>
    </row>
    <row r="207" spans="1:25" ht="27.75" customHeight="1">
      <c r="A207" s="87" t="str">
        <f>IF(ISBLANK(C207)," ",202-COUNTBLANK($C$6:C207))</f>
        <v xml:space="preserve"> </v>
      </c>
      <c r="B207" s="88"/>
      <c r="C207" s="88"/>
      <c r="D207" s="89"/>
      <c r="E207" s="89"/>
      <c r="F207" s="73"/>
      <c r="G207" s="73"/>
      <c r="H207" s="73"/>
      <c r="I207" s="73"/>
      <c r="J207" s="73"/>
      <c r="K207" s="73"/>
      <c r="L207" s="73"/>
      <c r="M207" s="74"/>
      <c r="N207" s="71" t="str">
        <f t="shared" si="3"/>
        <v/>
      </c>
      <c r="O207" s="72"/>
      <c r="P207" s="72"/>
      <c r="Q207" s="72"/>
      <c r="R207" s="72"/>
      <c r="S207" s="72"/>
      <c r="T207" s="72"/>
      <c r="U207" s="72"/>
      <c r="V207" s="72"/>
    </row>
    <row r="208" spans="1:25" ht="27.75" customHeight="1">
      <c r="A208" s="87" t="str">
        <f>IF(ISBLANK(C208)," ",203-COUNTBLANK($C$6:C208))</f>
        <v xml:space="preserve"> </v>
      </c>
      <c r="B208" s="88"/>
      <c r="C208" s="88"/>
      <c r="D208" s="89"/>
      <c r="E208" s="89"/>
      <c r="F208" s="73"/>
      <c r="G208" s="73"/>
      <c r="H208" s="73"/>
      <c r="I208" s="73"/>
      <c r="J208" s="73"/>
      <c r="K208" s="73"/>
      <c r="L208" s="73"/>
      <c r="M208" s="74"/>
      <c r="N208" s="71" t="str">
        <f t="shared" si="3"/>
        <v/>
      </c>
      <c r="O208" s="72"/>
      <c r="P208" s="72"/>
      <c r="Q208" s="72"/>
      <c r="R208" s="72"/>
      <c r="S208" s="72"/>
      <c r="T208" s="72"/>
      <c r="U208" s="72"/>
      <c r="V208" s="72"/>
    </row>
    <row r="209" spans="1:25" ht="27.75" customHeight="1">
      <c r="A209" s="87" t="str">
        <f>IF(ISBLANK(C209)," ",204-COUNTBLANK($C$6:C209))</f>
        <v xml:space="preserve"> </v>
      </c>
      <c r="B209" s="88"/>
      <c r="C209" s="88"/>
      <c r="D209" s="89"/>
      <c r="E209" s="89"/>
      <c r="F209" s="73"/>
      <c r="G209" s="73"/>
      <c r="H209" s="73"/>
      <c r="I209" s="73"/>
      <c r="J209" s="73"/>
      <c r="K209" s="73"/>
      <c r="L209" s="73"/>
      <c r="M209" s="74"/>
      <c r="N209" s="71" t="str">
        <f t="shared" si="3"/>
        <v/>
      </c>
      <c r="O209" s="72"/>
      <c r="P209" s="72"/>
      <c r="Q209" s="72"/>
      <c r="R209" s="72"/>
      <c r="S209" s="72"/>
      <c r="T209" s="72"/>
      <c r="U209" s="72"/>
      <c r="V209" s="72"/>
    </row>
    <row r="210" spans="1:25" ht="27.75" customHeight="1">
      <c r="A210" s="87" t="str">
        <f>IF(ISBLANK(C210)," ",205-COUNTBLANK($C$6:C210))</f>
        <v xml:space="preserve"> </v>
      </c>
      <c r="B210" s="88"/>
      <c r="C210" s="88"/>
      <c r="D210" s="89"/>
      <c r="E210" s="89"/>
      <c r="F210" s="73"/>
      <c r="G210" s="73"/>
      <c r="H210" s="73"/>
      <c r="I210" s="73"/>
      <c r="J210" s="73"/>
      <c r="K210" s="73"/>
      <c r="L210" s="73"/>
      <c r="M210" s="74"/>
      <c r="N210" s="71" t="str">
        <f t="shared" si="3"/>
        <v/>
      </c>
      <c r="O210" s="75"/>
      <c r="P210" s="72"/>
      <c r="Q210" s="72"/>
      <c r="R210" s="72"/>
      <c r="S210" s="72"/>
      <c r="T210" s="72"/>
      <c r="U210" s="72"/>
      <c r="V210" s="76"/>
    </row>
    <row r="211" spans="1:25" ht="27.75" customHeight="1">
      <c r="A211" s="87" t="str">
        <f>IF(ISBLANK(C211)," ",206-COUNTBLANK($C$6:C211))</f>
        <v xml:space="preserve"> </v>
      </c>
      <c r="B211" s="88"/>
      <c r="C211" s="88"/>
      <c r="D211" s="89"/>
      <c r="E211" s="89"/>
      <c r="F211" s="73"/>
      <c r="G211" s="73"/>
      <c r="H211" s="73"/>
      <c r="I211" s="73"/>
      <c r="J211" s="73"/>
      <c r="K211" s="73"/>
      <c r="L211" s="73"/>
      <c r="M211" s="74"/>
      <c r="N211" s="71" t="str">
        <f t="shared" si="3"/>
        <v/>
      </c>
      <c r="O211" s="75"/>
      <c r="P211" s="72"/>
      <c r="Q211" s="72"/>
      <c r="R211" s="72"/>
      <c r="S211" s="72"/>
      <c r="T211" s="72"/>
      <c r="U211" s="72"/>
      <c r="V211" s="76"/>
    </row>
    <row r="212" spans="1:25" ht="27.75" customHeight="1">
      <c r="A212" s="87" t="str">
        <f>IF(ISBLANK(C212)," ",207-COUNTBLANK($C$6:C212))</f>
        <v xml:space="preserve"> </v>
      </c>
      <c r="B212" s="88"/>
      <c r="C212" s="88"/>
      <c r="D212" s="89"/>
      <c r="E212" s="89"/>
      <c r="F212" s="73"/>
      <c r="G212" s="73"/>
      <c r="H212" s="73"/>
      <c r="I212" s="73"/>
      <c r="J212" s="73"/>
      <c r="K212" s="73"/>
      <c r="L212" s="73"/>
      <c r="M212" s="74"/>
      <c r="N212" s="71" t="str">
        <f t="shared" si="3"/>
        <v/>
      </c>
      <c r="O212" s="75"/>
      <c r="P212" s="72"/>
      <c r="Q212" s="72"/>
      <c r="R212" s="72"/>
      <c r="S212" s="72"/>
      <c r="T212" s="72"/>
      <c r="U212" s="72"/>
      <c r="V212" s="76"/>
    </row>
    <row r="213" spans="1:25" ht="27.75" customHeight="1">
      <c r="A213" s="87" t="str">
        <f>IF(ISBLANK(C213)," ",208-COUNTBLANK($C$6:C213))</f>
        <v xml:space="preserve"> </v>
      </c>
      <c r="B213" s="88"/>
      <c r="C213" s="88"/>
      <c r="D213" s="89"/>
      <c r="E213" s="89"/>
      <c r="F213" s="73"/>
      <c r="G213" s="73"/>
      <c r="H213" s="73"/>
      <c r="I213" s="73"/>
      <c r="J213" s="73"/>
      <c r="K213" s="73"/>
      <c r="L213" s="73"/>
      <c r="M213" s="74"/>
      <c r="N213" s="71" t="str">
        <f t="shared" si="3"/>
        <v/>
      </c>
      <c r="O213" s="75"/>
      <c r="P213" s="72"/>
      <c r="Q213" s="72"/>
      <c r="R213" s="72"/>
      <c r="S213" s="72"/>
      <c r="T213" s="72"/>
      <c r="U213" s="72"/>
      <c r="V213" s="76"/>
    </row>
    <row r="214" spans="1:25" ht="27.75" customHeight="1">
      <c r="A214" s="87" t="str">
        <f>IF(ISBLANK(C214)," ",209-COUNTBLANK($C$6:C214))</f>
        <v xml:space="preserve"> </v>
      </c>
      <c r="B214" s="88"/>
      <c r="C214" s="88"/>
      <c r="D214" s="89"/>
      <c r="E214" s="89"/>
      <c r="F214" s="73"/>
      <c r="G214" s="73"/>
      <c r="H214" s="73"/>
      <c r="I214" s="73"/>
      <c r="J214" s="73"/>
      <c r="K214" s="73"/>
      <c r="L214" s="73"/>
      <c r="M214" s="74"/>
      <c r="N214" s="71" t="str">
        <f t="shared" si="3"/>
        <v/>
      </c>
      <c r="O214" s="72"/>
      <c r="P214" s="72"/>
      <c r="Q214" s="72"/>
      <c r="R214" s="72"/>
      <c r="S214" s="72"/>
      <c r="T214" s="72"/>
      <c r="U214" s="72"/>
      <c r="V214" s="79"/>
      <c r="W214" s="72"/>
      <c r="X214" s="72"/>
      <c r="Y214" s="72"/>
    </row>
    <row r="215" spans="1:25" ht="27.75" customHeight="1">
      <c r="A215" s="80" t="s">
        <v>58</v>
      </c>
      <c r="B215" s="81"/>
      <c r="C215" s="96"/>
      <c r="D215" s="82"/>
      <c r="E215" s="82">
        <f>SUM(E195:E214)</f>
        <v>0</v>
      </c>
      <c r="F215" s="83"/>
      <c r="G215" s="83"/>
      <c r="H215" s="83"/>
      <c r="I215" s="83"/>
      <c r="J215" s="83"/>
      <c r="K215" s="83"/>
      <c r="L215" s="83"/>
      <c r="M215" s="84"/>
      <c r="N215" s="71" t="str">
        <f t="shared" si="3"/>
        <v/>
      </c>
      <c r="O215" s="75"/>
      <c r="P215" s="72"/>
      <c r="Q215" s="72"/>
      <c r="R215" s="72"/>
      <c r="S215" s="72"/>
      <c r="T215" s="72"/>
      <c r="U215" s="72"/>
      <c r="V215" s="79"/>
      <c r="W215" s="72"/>
      <c r="X215" s="72"/>
      <c r="Y215" s="72"/>
    </row>
    <row r="216" spans="1:25" ht="27.75" customHeight="1">
      <c r="A216" s="93" t="str">
        <f>IF(ISBLANK(C216)," ",211-COUNTBLANK($C$6:C216))</f>
        <v xml:space="preserve"> </v>
      </c>
      <c r="B216" s="94"/>
      <c r="C216" s="94"/>
      <c r="D216" s="95"/>
      <c r="E216" s="95"/>
      <c r="F216" s="85"/>
      <c r="G216" s="85"/>
      <c r="H216" s="85"/>
      <c r="I216" s="85"/>
      <c r="J216" s="85"/>
      <c r="K216" s="85"/>
      <c r="L216" s="85"/>
      <c r="M216" s="86"/>
      <c r="N216" s="71" t="str">
        <f t="shared" si="3"/>
        <v/>
      </c>
      <c r="O216" s="72"/>
      <c r="P216" s="72"/>
      <c r="Q216" s="72"/>
      <c r="R216" s="72"/>
      <c r="S216" s="72"/>
      <c r="T216" s="72"/>
      <c r="U216" s="72"/>
      <c r="V216" s="72"/>
    </row>
    <row r="217" spans="1:25" ht="27.75" customHeight="1">
      <c r="A217" s="87" t="str">
        <f>IF(ISBLANK(C217)," ",212-COUNTBLANK($C$6:C217))</f>
        <v xml:space="preserve"> </v>
      </c>
      <c r="B217" s="88"/>
      <c r="C217" s="88"/>
      <c r="D217" s="89"/>
      <c r="E217" s="89"/>
      <c r="F217" s="73"/>
      <c r="G217" s="73"/>
      <c r="H217" s="73"/>
      <c r="I217" s="73"/>
      <c r="J217" s="73"/>
      <c r="K217" s="73"/>
      <c r="L217" s="73"/>
      <c r="M217" s="74"/>
      <c r="N217" s="71" t="str">
        <f t="shared" si="3"/>
        <v/>
      </c>
      <c r="O217" s="72"/>
      <c r="P217" s="72"/>
      <c r="Q217" s="72"/>
      <c r="R217" s="72"/>
      <c r="S217" s="72"/>
      <c r="T217" s="72"/>
      <c r="U217" s="72"/>
      <c r="V217" s="72"/>
    </row>
    <row r="218" spans="1:25" ht="27.75" customHeight="1">
      <c r="A218" s="87" t="str">
        <f>IF(ISBLANK(C218)," ",213-COUNTBLANK($C$6:C218))</f>
        <v xml:space="preserve"> </v>
      </c>
      <c r="B218" s="88"/>
      <c r="C218" s="88"/>
      <c r="D218" s="89"/>
      <c r="E218" s="89"/>
      <c r="F218" s="73"/>
      <c r="G218" s="73"/>
      <c r="H218" s="73"/>
      <c r="I218" s="73"/>
      <c r="J218" s="73"/>
      <c r="K218" s="73"/>
      <c r="L218" s="73"/>
      <c r="M218" s="74"/>
      <c r="N218" s="71" t="str">
        <f t="shared" si="3"/>
        <v/>
      </c>
      <c r="O218" s="72"/>
      <c r="P218" s="72"/>
      <c r="Q218" s="72"/>
      <c r="R218" s="72"/>
      <c r="S218" s="72"/>
      <c r="T218" s="72"/>
      <c r="U218" s="72"/>
      <c r="V218" s="72"/>
    </row>
    <row r="219" spans="1:25" ht="27.75" customHeight="1">
      <c r="A219" s="87" t="str">
        <f>IF(ISBLANK(C219)," ",214-COUNTBLANK($C$6:C219))</f>
        <v xml:space="preserve"> </v>
      </c>
      <c r="B219" s="88"/>
      <c r="C219" s="88"/>
      <c r="D219" s="89"/>
      <c r="E219" s="89"/>
      <c r="F219" s="73"/>
      <c r="G219" s="73"/>
      <c r="H219" s="73"/>
      <c r="I219" s="73"/>
      <c r="J219" s="73"/>
      <c r="K219" s="73"/>
      <c r="L219" s="73"/>
      <c r="M219" s="74"/>
      <c r="N219" s="71" t="str">
        <f t="shared" si="3"/>
        <v/>
      </c>
      <c r="O219" s="72"/>
      <c r="P219" s="72"/>
      <c r="Q219" s="72"/>
      <c r="R219" s="72"/>
      <c r="S219" s="72"/>
      <c r="T219" s="72"/>
      <c r="U219" s="72"/>
      <c r="V219" s="72"/>
    </row>
    <row r="220" spans="1:25" ht="27.75" customHeight="1">
      <c r="A220" s="87" t="str">
        <f>IF(ISBLANK(C220)," ",215-COUNTBLANK($C$6:C220))</f>
        <v xml:space="preserve"> </v>
      </c>
      <c r="B220" s="88"/>
      <c r="C220" s="88"/>
      <c r="D220" s="89"/>
      <c r="E220" s="89"/>
      <c r="F220" s="73"/>
      <c r="G220" s="73"/>
      <c r="H220" s="73"/>
      <c r="I220" s="73"/>
      <c r="J220" s="73"/>
      <c r="K220" s="73"/>
      <c r="L220" s="73"/>
      <c r="M220" s="74"/>
      <c r="N220" s="71" t="str">
        <f t="shared" si="3"/>
        <v/>
      </c>
      <c r="O220" s="72"/>
      <c r="P220" s="72"/>
      <c r="Q220" s="72"/>
      <c r="R220" s="72"/>
      <c r="S220" s="72"/>
      <c r="T220" s="72"/>
      <c r="U220" s="72"/>
      <c r="V220" s="72"/>
    </row>
    <row r="221" spans="1:25" ht="27.75" customHeight="1">
      <c r="A221" s="87" t="str">
        <f>IF(ISBLANK(C221)," ",216-COUNTBLANK($C$6:C221))</f>
        <v xml:space="preserve"> </v>
      </c>
      <c r="B221" s="88"/>
      <c r="C221" s="88"/>
      <c r="D221" s="89"/>
      <c r="E221" s="89"/>
      <c r="F221" s="73"/>
      <c r="G221" s="73"/>
      <c r="H221" s="73"/>
      <c r="I221" s="73"/>
      <c r="J221" s="73"/>
      <c r="K221" s="73"/>
      <c r="L221" s="73"/>
      <c r="M221" s="74"/>
      <c r="N221" s="71" t="str">
        <f t="shared" si="3"/>
        <v/>
      </c>
      <c r="O221" s="72"/>
      <c r="P221" s="72"/>
      <c r="Q221" s="72"/>
      <c r="R221" s="72"/>
      <c r="S221" s="72"/>
      <c r="T221" s="72"/>
      <c r="U221" s="72"/>
      <c r="V221" s="72"/>
    </row>
    <row r="222" spans="1:25" ht="27.75" customHeight="1">
      <c r="A222" s="87" t="str">
        <f>IF(ISBLANK(C222)," ",217-COUNTBLANK($C$6:C222))</f>
        <v xml:space="preserve"> </v>
      </c>
      <c r="B222" s="88"/>
      <c r="C222" s="88"/>
      <c r="D222" s="89"/>
      <c r="E222" s="89"/>
      <c r="F222" s="73"/>
      <c r="G222" s="73"/>
      <c r="H222" s="73"/>
      <c r="I222" s="73"/>
      <c r="J222" s="73"/>
      <c r="K222" s="73"/>
      <c r="L222" s="73"/>
      <c r="M222" s="74"/>
      <c r="N222" s="71" t="str">
        <f t="shared" si="3"/>
        <v/>
      </c>
      <c r="O222" s="72"/>
      <c r="P222" s="72"/>
      <c r="Q222" s="72"/>
      <c r="R222" s="72"/>
      <c r="S222" s="72"/>
      <c r="T222" s="72"/>
      <c r="U222" s="72"/>
      <c r="V222" s="72"/>
    </row>
    <row r="223" spans="1:25" ht="27.75" customHeight="1">
      <c r="A223" s="87" t="str">
        <f>IF(ISBLANK(C223)," ",218-COUNTBLANK($C$6:C223))</f>
        <v xml:space="preserve"> </v>
      </c>
      <c r="B223" s="88"/>
      <c r="C223" s="88"/>
      <c r="D223" s="89"/>
      <c r="E223" s="89"/>
      <c r="F223" s="73"/>
      <c r="G223" s="73"/>
      <c r="H223" s="73"/>
      <c r="I223" s="73"/>
      <c r="J223" s="73"/>
      <c r="K223" s="73"/>
      <c r="L223" s="73"/>
      <c r="M223" s="74"/>
      <c r="N223" s="71" t="str">
        <f t="shared" si="3"/>
        <v/>
      </c>
      <c r="O223" s="72"/>
      <c r="P223" s="72"/>
      <c r="Q223" s="72"/>
      <c r="R223" s="72"/>
      <c r="S223" s="72"/>
      <c r="T223" s="72"/>
      <c r="U223" s="72"/>
      <c r="V223" s="72"/>
    </row>
    <row r="224" spans="1:25" ht="27.75" customHeight="1">
      <c r="A224" s="87" t="str">
        <f>IF(ISBLANK(C224)," ",219-COUNTBLANK($C$6:C224))</f>
        <v xml:space="preserve"> </v>
      </c>
      <c r="B224" s="88"/>
      <c r="C224" s="88"/>
      <c r="D224" s="89"/>
      <c r="E224" s="89"/>
      <c r="F224" s="73"/>
      <c r="G224" s="73"/>
      <c r="H224" s="73"/>
      <c r="I224" s="73"/>
      <c r="J224" s="73"/>
      <c r="K224" s="73"/>
      <c r="L224" s="73"/>
      <c r="M224" s="74"/>
      <c r="N224" s="71" t="str">
        <f t="shared" si="3"/>
        <v/>
      </c>
      <c r="O224" s="72"/>
      <c r="P224" s="72"/>
      <c r="Q224" s="72"/>
      <c r="R224" s="72"/>
      <c r="S224" s="72"/>
      <c r="T224" s="72"/>
      <c r="U224" s="72"/>
      <c r="V224" s="72"/>
    </row>
    <row r="225" spans="1:25" ht="27.75" customHeight="1">
      <c r="A225" s="87" t="str">
        <f>IF(ISBLANK(C225)," ",220-COUNTBLANK($C$6:C225))</f>
        <v xml:space="preserve"> </v>
      </c>
      <c r="B225" s="88"/>
      <c r="C225" s="88"/>
      <c r="D225" s="89"/>
      <c r="E225" s="89"/>
      <c r="F225" s="73"/>
      <c r="G225" s="73"/>
      <c r="H225" s="73"/>
      <c r="I225" s="73"/>
      <c r="J225" s="73"/>
      <c r="K225" s="73"/>
      <c r="L225" s="73"/>
      <c r="M225" s="74"/>
      <c r="N225" s="71" t="str">
        <f t="shared" si="3"/>
        <v/>
      </c>
      <c r="O225" s="72"/>
      <c r="P225" s="72"/>
      <c r="Q225" s="72"/>
      <c r="R225" s="72"/>
      <c r="S225" s="72"/>
      <c r="T225" s="72"/>
      <c r="U225" s="72"/>
      <c r="V225" s="72"/>
    </row>
    <row r="226" spans="1:25" ht="27.75" customHeight="1">
      <c r="A226" s="87" t="str">
        <f>IF(ISBLANK(C226)," ",221-COUNTBLANK($C$6:C226))</f>
        <v xml:space="preserve"> </v>
      </c>
      <c r="B226" s="88"/>
      <c r="C226" s="88"/>
      <c r="D226" s="89"/>
      <c r="E226" s="89"/>
      <c r="F226" s="73"/>
      <c r="G226" s="73"/>
      <c r="H226" s="73"/>
      <c r="I226" s="73"/>
      <c r="J226" s="73"/>
      <c r="K226" s="73"/>
      <c r="L226" s="73"/>
      <c r="M226" s="74"/>
      <c r="N226" s="71" t="str">
        <f t="shared" si="3"/>
        <v/>
      </c>
      <c r="O226" s="72"/>
      <c r="P226" s="72"/>
      <c r="Q226" s="72"/>
      <c r="R226" s="72"/>
      <c r="S226" s="72"/>
      <c r="T226" s="72"/>
      <c r="U226" s="72"/>
      <c r="V226" s="72"/>
    </row>
    <row r="227" spans="1:25" ht="27.75" customHeight="1">
      <c r="A227" s="87" t="str">
        <f>IF(ISBLANK(C227)," ",222-COUNTBLANK($C$6:C227))</f>
        <v xml:space="preserve"> </v>
      </c>
      <c r="B227" s="88"/>
      <c r="C227" s="88"/>
      <c r="D227" s="89"/>
      <c r="E227" s="89"/>
      <c r="F227" s="73"/>
      <c r="G227" s="73"/>
      <c r="H227" s="73"/>
      <c r="I227" s="73"/>
      <c r="J227" s="73"/>
      <c r="K227" s="73"/>
      <c r="L227" s="73"/>
      <c r="M227" s="74"/>
      <c r="N227" s="71" t="str">
        <f t="shared" si="3"/>
        <v/>
      </c>
      <c r="O227" s="72"/>
      <c r="P227" s="72"/>
      <c r="Q227" s="72"/>
      <c r="R227" s="72"/>
      <c r="S227" s="72"/>
      <c r="T227" s="72"/>
      <c r="U227" s="72"/>
      <c r="V227" s="72"/>
    </row>
    <row r="228" spans="1:25" ht="27.75" customHeight="1">
      <c r="A228" s="87" t="str">
        <f>IF(ISBLANK(C228)," ",223-COUNTBLANK($C$6:C228))</f>
        <v xml:space="preserve"> </v>
      </c>
      <c r="B228" s="88"/>
      <c r="C228" s="88"/>
      <c r="D228" s="89"/>
      <c r="E228" s="89"/>
      <c r="F228" s="73"/>
      <c r="G228" s="73"/>
      <c r="H228" s="73"/>
      <c r="I228" s="73"/>
      <c r="J228" s="73"/>
      <c r="K228" s="73"/>
      <c r="L228" s="73"/>
      <c r="M228" s="74"/>
      <c r="N228" s="71" t="str">
        <f t="shared" si="3"/>
        <v/>
      </c>
      <c r="O228" s="72"/>
      <c r="P228" s="72"/>
      <c r="Q228" s="72"/>
      <c r="R228" s="72"/>
      <c r="S228" s="72"/>
      <c r="T228" s="72"/>
      <c r="U228" s="72"/>
      <c r="V228" s="72"/>
    </row>
    <row r="229" spans="1:25" ht="27.75" customHeight="1">
      <c r="A229" s="87" t="str">
        <f>IF(ISBLANK(C229)," ",224-COUNTBLANK($C$6:C229))</f>
        <v xml:space="preserve"> </v>
      </c>
      <c r="B229" s="88"/>
      <c r="C229" s="88"/>
      <c r="D229" s="89"/>
      <c r="E229" s="89"/>
      <c r="F229" s="73"/>
      <c r="G229" s="73"/>
      <c r="H229" s="73"/>
      <c r="I229" s="73"/>
      <c r="J229" s="73"/>
      <c r="K229" s="73"/>
      <c r="L229" s="73"/>
      <c r="M229" s="74"/>
      <c r="N229" s="71" t="str">
        <f t="shared" si="3"/>
        <v/>
      </c>
      <c r="O229" s="72"/>
      <c r="P229" s="72"/>
      <c r="Q229" s="72"/>
      <c r="R229" s="72"/>
      <c r="S229" s="72"/>
      <c r="T229" s="72"/>
      <c r="U229" s="72"/>
      <c r="V229" s="72"/>
    </row>
    <row r="230" spans="1:25" ht="27.75" customHeight="1">
      <c r="A230" s="87" t="str">
        <f>IF(ISBLANK(C230)," ",225-COUNTBLANK($C$6:C230))</f>
        <v xml:space="preserve"> </v>
      </c>
      <c r="B230" s="88"/>
      <c r="C230" s="88"/>
      <c r="D230" s="89"/>
      <c r="E230" s="89"/>
      <c r="F230" s="73"/>
      <c r="G230" s="73"/>
      <c r="H230" s="73"/>
      <c r="I230" s="73"/>
      <c r="J230" s="73"/>
      <c r="K230" s="73"/>
      <c r="L230" s="73"/>
      <c r="M230" s="74"/>
      <c r="N230" s="71" t="str">
        <f t="shared" si="3"/>
        <v/>
      </c>
      <c r="O230" s="72"/>
      <c r="P230" s="72"/>
      <c r="Q230" s="72"/>
      <c r="R230" s="72"/>
      <c r="S230" s="72"/>
      <c r="T230" s="72"/>
      <c r="U230" s="72"/>
      <c r="V230" s="72"/>
    </row>
    <row r="231" spans="1:25" ht="27.75" customHeight="1">
      <c r="A231" s="87" t="str">
        <f>IF(ISBLANK(C231)," ",226-COUNTBLANK($C$6:C231))</f>
        <v xml:space="preserve"> </v>
      </c>
      <c r="B231" s="88"/>
      <c r="C231" s="88"/>
      <c r="D231" s="89"/>
      <c r="E231" s="89"/>
      <c r="F231" s="73"/>
      <c r="G231" s="73"/>
      <c r="H231" s="73"/>
      <c r="I231" s="73"/>
      <c r="J231" s="73"/>
      <c r="K231" s="73"/>
      <c r="L231" s="73"/>
      <c r="M231" s="74"/>
      <c r="N231" s="71" t="str">
        <f t="shared" si="3"/>
        <v/>
      </c>
      <c r="O231" s="75"/>
      <c r="P231" s="72"/>
      <c r="Q231" s="72"/>
      <c r="R231" s="72"/>
      <c r="S231" s="72"/>
      <c r="T231" s="72"/>
      <c r="U231" s="72"/>
      <c r="V231" s="76"/>
    </row>
    <row r="232" spans="1:25" ht="27.75" customHeight="1">
      <c r="A232" s="87" t="str">
        <f>IF(ISBLANK(C232)," ",227-COUNTBLANK($C$6:C232))</f>
        <v xml:space="preserve"> </v>
      </c>
      <c r="B232" s="88"/>
      <c r="C232" s="88"/>
      <c r="D232" s="89"/>
      <c r="E232" s="89"/>
      <c r="F232" s="73"/>
      <c r="G232" s="73"/>
      <c r="H232" s="73"/>
      <c r="I232" s="73"/>
      <c r="J232" s="73"/>
      <c r="K232" s="73"/>
      <c r="L232" s="73"/>
      <c r="M232" s="74"/>
      <c r="N232" s="71" t="str">
        <f t="shared" si="3"/>
        <v/>
      </c>
      <c r="O232" s="75"/>
      <c r="P232" s="72"/>
      <c r="Q232" s="72"/>
      <c r="R232" s="72"/>
      <c r="S232" s="72"/>
      <c r="T232" s="72"/>
      <c r="U232" s="72"/>
      <c r="V232" s="76"/>
    </row>
    <row r="233" spans="1:25" ht="27.75" customHeight="1">
      <c r="A233" s="87" t="str">
        <f>IF(ISBLANK(C233)," ",228-COUNTBLANK($C$6:C233))</f>
        <v xml:space="preserve"> </v>
      </c>
      <c r="B233" s="88"/>
      <c r="C233" s="88"/>
      <c r="D233" s="89"/>
      <c r="E233" s="89"/>
      <c r="F233" s="73"/>
      <c r="G233" s="73"/>
      <c r="H233" s="73"/>
      <c r="I233" s="73"/>
      <c r="J233" s="73"/>
      <c r="K233" s="73"/>
      <c r="L233" s="73"/>
      <c r="M233" s="74"/>
      <c r="N233" s="71" t="str">
        <f t="shared" si="3"/>
        <v/>
      </c>
      <c r="O233" s="75"/>
      <c r="P233" s="72"/>
      <c r="Q233" s="72"/>
      <c r="R233" s="72"/>
      <c r="S233" s="72"/>
      <c r="T233" s="72"/>
      <c r="U233" s="72"/>
      <c r="V233" s="76"/>
    </row>
    <row r="234" spans="1:25" ht="27.75" customHeight="1">
      <c r="A234" s="87" t="str">
        <f>IF(ISBLANK(C234)," ",229-COUNTBLANK($C$6:C234))</f>
        <v xml:space="preserve"> </v>
      </c>
      <c r="B234" s="88"/>
      <c r="C234" s="88"/>
      <c r="D234" s="89"/>
      <c r="E234" s="89"/>
      <c r="F234" s="73"/>
      <c r="G234" s="73"/>
      <c r="H234" s="73"/>
      <c r="I234" s="73"/>
      <c r="J234" s="73"/>
      <c r="K234" s="73"/>
      <c r="L234" s="73"/>
      <c r="M234" s="74"/>
      <c r="N234" s="71" t="str">
        <f t="shared" si="3"/>
        <v/>
      </c>
      <c r="O234" s="75"/>
      <c r="P234" s="72"/>
      <c r="Q234" s="72"/>
      <c r="R234" s="72"/>
      <c r="S234" s="72"/>
      <c r="T234" s="72"/>
      <c r="U234" s="72"/>
      <c r="V234" s="76"/>
    </row>
    <row r="235" spans="1:25" ht="27.75" customHeight="1">
      <c r="A235" s="87" t="str">
        <f>IF(ISBLANK(C235)," ",230-COUNTBLANK($C$6:C235))</f>
        <v xml:space="preserve"> </v>
      </c>
      <c r="B235" s="88"/>
      <c r="C235" s="88"/>
      <c r="D235" s="89"/>
      <c r="E235" s="89"/>
      <c r="F235" s="73"/>
      <c r="G235" s="73"/>
      <c r="H235" s="73"/>
      <c r="I235" s="73"/>
      <c r="J235" s="73"/>
      <c r="K235" s="73"/>
      <c r="L235" s="73"/>
      <c r="M235" s="74"/>
      <c r="N235" s="71" t="str">
        <f t="shared" si="3"/>
        <v/>
      </c>
      <c r="O235" s="72"/>
      <c r="P235" s="72"/>
      <c r="Q235" s="72"/>
      <c r="R235" s="72"/>
      <c r="S235" s="72"/>
      <c r="T235" s="72"/>
      <c r="U235" s="72"/>
      <c r="V235" s="79"/>
      <c r="W235" s="72"/>
      <c r="X235" s="72"/>
      <c r="Y235" s="72"/>
    </row>
    <row r="236" spans="1:25" ht="27.75" customHeight="1">
      <c r="A236" s="80" t="s">
        <v>58</v>
      </c>
      <c r="B236" s="81"/>
      <c r="C236" s="96"/>
      <c r="D236" s="82"/>
      <c r="E236" s="82">
        <f>SUM(E216:E235)</f>
        <v>0</v>
      </c>
      <c r="F236" s="83"/>
      <c r="G236" s="83"/>
      <c r="H236" s="83"/>
      <c r="I236" s="83"/>
      <c r="J236" s="83"/>
      <c r="K236" s="83"/>
      <c r="L236" s="83"/>
      <c r="M236" s="84"/>
      <c r="N236" s="71" t="str">
        <f t="shared" si="3"/>
        <v/>
      </c>
      <c r="O236" s="75"/>
      <c r="P236" s="72"/>
      <c r="Q236" s="72"/>
      <c r="R236" s="72"/>
      <c r="S236" s="72"/>
      <c r="T236" s="72"/>
      <c r="U236" s="72"/>
      <c r="V236" s="79"/>
      <c r="W236" s="72"/>
      <c r="X236" s="72"/>
      <c r="Y236" s="72"/>
    </row>
    <row r="237" spans="1:25" ht="27.75" customHeight="1">
      <c r="A237" s="93" t="str">
        <f>IF(ISBLANK(C237)," ",232-COUNTBLANK($C$6:C237))</f>
        <v xml:space="preserve"> </v>
      </c>
      <c r="B237" s="94"/>
      <c r="C237" s="94"/>
      <c r="D237" s="95"/>
      <c r="E237" s="95"/>
      <c r="F237" s="85"/>
      <c r="G237" s="85"/>
      <c r="H237" s="85"/>
      <c r="I237" s="85"/>
      <c r="J237" s="85"/>
      <c r="K237" s="85"/>
      <c r="L237" s="85"/>
      <c r="M237" s="86"/>
      <c r="N237" s="71" t="str">
        <f t="shared" si="3"/>
        <v/>
      </c>
      <c r="O237" s="72"/>
      <c r="P237" s="72"/>
      <c r="Q237" s="72"/>
      <c r="R237" s="72"/>
      <c r="S237" s="72"/>
      <c r="T237" s="72"/>
      <c r="U237" s="72"/>
      <c r="V237" s="72"/>
    </row>
    <row r="238" spans="1:25" ht="27.75" customHeight="1">
      <c r="A238" s="87" t="str">
        <f>IF(ISBLANK(C238)," ",233-COUNTBLANK($C$6:C238))</f>
        <v xml:space="preserve"> </v>
      </c>
      <c r="B238" s="88"/>
      <c r="C238" s="88"/>
      <c r="D238" s="89"/>
      <c r="E238" s="89"/>
      <c r="F238" s="73"/>
      <c r="G238" s="73"/>
      <c r="H238" s="73"/>
      <c r="I238" s="73"/>
      <c r="J238" s="73"/>
      <c r="K238" s="73"/>
      <c r="L238" s="73"/>
      <c r="M238" s="74"/>
      <c r="N238" s="71" t="str">
        <f t="shared" si="3"/>
        <v/>
      </c>
      <c r="O238" s="72"/>
      <c r="P238" s="72"/>
      <c r="Q238" s="72"/>
      <c r="R238" s="72"/>
      <c r="S238" s="72"/>
      <c r="T238" s="72"/>
      <c r="U238" s="72"/>
      <c r="V238" s="72"/>
    </row>
    <row r="239" spans="1:25" ht="27.75" customHeight="1">
      <c r="A239" s="87" t="str">
        <f>IF(ISBLANK(C239)," ",234-COUNTBLANK($C$6:C239))</f>
        <v xml:space="preserve"> </v>
      </c>
      <c r="B239" s="88"/>
      <c r="C239" s="88"/>
      <c r="D239" s="89"/>
      <c r="E239" s="89"/>
      <c r="F239" s="73"/>
      <c r="G239" s="73"/>
      <c r="H239" s="73"/>
      <c r="I239" s="73"/>
      <c r="J239" s="73"/>
      <c r="K239" s="73"/>
      <c r="L239" s="73"/>
      <c r="M239" s="74"/>
      <c r="N239" s="71" t="str">
        <f t="shared" si="3"/>
        <v/>
      </c>
      <c r="O239" s="72"/>
      <c r="P239" s="72"/>
      <c r="Q239" s="72"/>
      <c r="R239" s="72"/>
      <c r="S239" s="72"/>
      <c r="T239" s="72"/>
      <c r="U239" s="72"/>
      <c r="V239" s="72"/>
    </row>
    <row r="240" spans="1:25" ht="27.75" customHeight="1">
      <c r="A240" s="87" t="str">
        <f>IF(ISBLANK(C240)," ",235-COUNTBLANK($C$6:C240))</f>
        <v xml:space="preserve"> </v>
      </c>
      <c r="B240" s="88"/>
      <c r="C240" s="88"/>
      <c r="D240" s="89"/>
      <c r="E240" s="89"/>
      <c r="F240" s="73"/>
      <c r="G240" s="73"/>
      <c r="H240" s="73"/>
      <c r="I240" s="73"/>
      <c r="J240" s="73"/>
      <c r="K240" s="73"/>
      <c r="L240" s="73"/>
      <c r="M240" s="74"/>
      <c r="N240" s="71" t="str">
        <f t="shared" si="3"/>
        <v/>
      </c>
      <c r="O240" s="72"/>
      <c r="P240" s="72"/>
      <c r="Q240" s="72"/>
      <c r="R240" s="72"/>
      <c r="S240" s="72"/>
      <c r="T240" s="72"/>
      <c r="U240" s="72"/>
      <c r="V240" s="72"/>
    </row>
    <row r="241" spans="1:25" ht="27.75" customHeight="1">
      <c r="A241" s="87" t="str">
        <f>IF(ISBLANK(C241)," ",236-COUNTBLANK($C$6:C241))</f>
        <v xml:space="preserve"> </v>
      </c>
      <c r="B241" s="88"/>
      <c r="C241" s="88"/>
      <c r="D241" s="89"/>
      <c r="E241" s="89"/>
      <c r="F241" s="73"/>
      <c r="G241" s="73"/>
      <c r="H241" s="73"/>
      <c r="I241" s="73"/>
      <c r="J241" s="73"/>
      <c r="K241" s="73"/>
      <c r="L241" s="73"/>
      <c r="M241" s="74"/>
      <c r="N241" s="71" t="str">
        <f t="shared" si="3"/>
        <v/>
      </c>
      <c r="O241" s="72"/>
      <c r="P241" s="72"/>
      <c r="Q241" s="72"/>
      <c r="R241" s="72"/>
      <c r="S241" s="72"/>
      <c r="T241" s="72"/>
      <c r="U241" s="72"/>
      <c r="V241" s="72"/>
    </row>
    <row r="242" spans="1:25" ht="27.75" customHeight="1">
      <c r="A242" s="87" t="str">
        <f>IF(ISBLANK(C242)," ",237-COUNTBLANK($C$6:C242))</f>
        <v xml:space="preserve"> </v>
      </c>
      <c r="B242" s="88"/>
      <c r="C242" s="88"/>
      <c r="D242" s="89"/>
      <c r="E242" s="89"/>
      <c r="F242" s="73"/>
      <c r="G242" s="73"/>
      <c r="H242" s="73"/>
      <c r="I242" s="73"/>
      <c r="J242" s="73"/>
      <c r="K242" s="73"/>
      <c r="L242" s="73"/>
      <c r="M242" s="74"/>
      <c r="N242" s="71" t="str">
        <f t="shared" si="3"/>
        <v/>
      </c>
      <c r="O242" s="72"/>
      <c r="P242" s="72"/>
      <c r="Q242" s="72"/>
      <c r="R242" s="72"/>
      <c r="S242" s="72"/>
      <c r="T242" s="72"/>
      <c r="U242" s="72"/>
      <c r="V242" s="72"/>
    </row>
    <row r="243" spans="1:25" ht="27.75" customHeight="1">
      <c r="A243" s="87" t="str">
        <f>IF(ISBLANK(C243)," ",238-COUNTBLANK($C$6:C243))</f>
        <v xml:space="preserve"> </v>
      </c>
      <c r="B243" s="88"/>
      <c r="C243" s="88"/>
      <c r="D243" s="89"/>
      <c r="E243" s="89"/>
      <c r="F243" s="73"/>
      <c r="G243" s="73"/>
      <c r="H243" s="73"/>
      <c r="I243" s="73"/>
      <c r="J243" s="73"/>
      <c r="K243" s="73"/>
      <c r="L243" s="73"/>
      <c r="M243" s="74"/>
      <c r="N243" s="71" t="str">
        <f t="shared" si="3"/>
        <v/>
      </c>
      <c r="O243" s="72"/>
      <c r="P243" s="72"/>
      <c r="Q243" s="72"/>
      <c r="R243" s="72"/>
      <c r="S243" s="72"/>
      <c r="T243" s="72"/>
      <c r="U243" s="72"/>
      <c r="V243" s="72"/>
    </row>
    <row r="244" spans="1:25" ht="27.75" customHeight="1">
      <c r="A244" s="87" t="str">
        <f>IF(ISBLANK(C244)," ",239-COUNTBLANK($C$6:C244))</f>
        <v xml:space="preserve"> </v>
      </c>
      <c r="B244" s="88"/>
      <c r="C244" s="88"/>
      <c r="D244" s="89"/>
      <c r="E244" s="89"/>
      <c r="F244" s="73"/>
      <c r="G244" s="73"/>
      <c r="H244" s="73"/>
      <c r="I244" s="73"/>
      <c r="J244" s="73"/>
      <c r="K244" s="73"/>
      <c r="L244" s="73"/>
      <c r="M244" s="74"/>
      <c r="N244" s="71" t="str">
        <f t="shared" si="3"/>
        <v/>
      </c>
      <c r="O244" s="72"/>
      <c r="P244" s="72"/>
      <c r="Q244" s="72"/>
      <c r="R244" s="72"/>
      <c r="S244" s="72"/>
      <c r="T244" s="72"/>
      <c r="U244" s="72"/>
      <c r="V244" s="72"/>
    </row>
    <row r="245" spans="1:25" ht="27.75" customHeight="1">
      <c r="A245" s="87" t="str">
        <f>IF(ISBLANK(C245)," ",240-COUNTBLANK($C$6:C245))</f>
        <v xml:space="preserve"> </v>
      </c>
      <c r="B245" s="88"/>
      <c r="C245" s="88"/>
      <c r="D245" s="89"/>
      <c r="E245" s="89"/>
      <c r="F245" s="73"/>
      <c r="G245" s="73"/>
      <c r="H245" s="73"/>
      <c r="I245" s="73"/>
      <c r="J245" s="73"/>
      <c r="K245" s="73"/>
      <c r="L245" s="73"/>
      <c r="M245" s="74"/>
      <c r="N245" s="71" t="str">
        <f t="shared" si="3"/>
        <v/>
      </c>
      <c r="O245" s="72"/>
      <c r="P245" s="72"/>
      <c r="Q245" s="72"/>
      <c r="R245" s="72"/>
      <c r="S245" s="72"/>
      <c r="T245" s="72"/>
      <c r="U245" s="72"/>
      <c r="V245" s="72"/>
    </row>
    <row r="246" spans="1:25" ht="27.75" customHeight="1">
      <c r="A246" s="87" t="str">
        <f>IF(ISBLANK(C246)," ",241-COUNTBLANK($C$6:C246))</f>
        <v xml:space="preserve"> </v>
      </c>
      <c r="B246" s="88"/>
      <c r="C246" s="88"/>
      <c r="D246" s="89"/>
      <c r="E246" s="89"/>
      <c r="F246" s="73"/>
      <c r="G246" s="73"/>
      <c r="H246" s="73"/>
      <c r="I246" s="73"/>
      <c r="J246" s="73"/>
      <c r="K246" s="73"/>
      <c r="L246" s="73"/>
      <c r="M246" s="74"/>
      <c r="N246" s="71" t="str">
        <f t="shared" si="3"/>
        <v/>
      </c>
      <c r="O246" s="72"/>
      <c r="P246" s="72"/>
      <c r="Q246" s="72"/>
      <c r="R246" s="72"/>
      <c r="S246" s="72"/>
      <c r="T246" s="72"/>
      <c r="U246" s="72"/>
      <c r="V246" s="72"/>
    </row>
    <row r="247" spans="1:25" ht="27.75" customHeight="1">
      <c r="A247" s="87" t="str">
        <f>IF(ISBLANK(C247)," ",242-COUNTBLANK($C$6:C247))</f>
        <v xml:space="preserve"> </v>
      </c>
      <c r="B247" s="88"/>
      <c r="C247" s="88"/>
      <c r="D247" s="89"/>
      <c r="E247" s="89"/>
      <c r="F247" s="73"/>
      <c r="G247" s="73"/>
      <c r="H247" s="73"/>
      <c r="I247" s="73"/>
      <c r="J247" s="73"/>
      <c r="K247" s="73"/>
      <c r="L247" s="73"/>
      <c r="M247" s="74"/>
      <c r="N247" s="71" t="str">
        <f t="shared" si="3"/>
        <v/>
      </c>
      <c r="O247" s="72"/>
      <c r="P247" s="72"/>
      <c r="Q247" s="72"/>
      <c r="R247" s="72"/>
      <c r="S247" s="72"/>
      <c r="T247" s="72"/>
      <c r="U247" s="72"/>
      <c r="V247" s="72"/>
    </row>
    <row r="248" spans="1:25" ht="27.75" customHeight="1">
      <c r="A248" s="87" t="str">
        <f>IF(ISBLANK(C248)," ",243-COUNTBLANK($C$6:C248))</f>
        <v xml:space="preserve"> </v>
      </c>
      <c r="B248" s="88"/>
      <c r="C248" s="88"/>
      <c r="D248" s="89"/>
      <c r="E248" s="89"/>
      <c r="F248" s="73"/>
      <c r="G248" s="73"/>
      <c r="H248" s="73"/>
      <c r="I248" s="73"/>
      <c r="J248" s="73"/>
      <c r="K248" s="73"/>
      <c r="L248" s="73"/>
      <c r="M248" s="74"/>
      <c r="N248" s="71" t="str">
        <f t="shared" si="3"/>
        <v/>
      </c>
      <c r="O248" s="72"/>
      <c r="P248" s="72"/>
      <c r="Q248" s="72"/>
      <c r="R248" s="72"/>
      <c r="S248" s="72"/>
      <c r="T248" s="72"/>
      <c r="U248" s="72"/>
      <c r="V248" s="72"/>
    </row>
    <row r="249" spans="1:25" ht="27.75" customHeight="1">
      <c r="A249" s="87" t="str">
        <f>IF(ISBLANK(C249)," ",244-COUNTBLANK($C$6:C249))</f>
        <v xml:space="preserve"> </v>
      </c>
      <c r="B249" s="88"/>
      <c r="C249" s="88"/>
      <c r="D249" s="89"/>
      <c r="E249" s="89"/>
      <c r="F249" s="73"/>
      <c r="G249" s="73"/>
      <c r="H249" s="73"/>
      <c r="I249" s="73"/>
      <c r="J249" s="73"/>
      <c r="K249" s="73"/>
      <c r="L249" s="73"/>
      <c r="M249" s="74"/>
      <c r="N249" s="71" t="str">
        <f t="shared" si="3"/>
        <v/>
      </c>
      <c r="O249" s="72"/>
      <c r="P249" s="72"/>
      <c r="Q249" s="72"/>
      <c r="R249" s="72"/>
      <c r="S249" s="72"/>
      <c r="T249" s="72"/>
      <c r="U249" s="72"/>
      <c r="V249" s="72"/>
    </row>
    <row r="250" spans="1:25" ht="27.75" customHeight="1">
      <c r="A250" s="87" t="str">
        <f>IF(ISBLANK(C250)," ",245-COUNTBLANK($C$6:C250))</f>
        <v xml:space="preserve"> </v>
      </c>
      <c r="B250" s="88"/>
      <c r="C250" s="88"/>
      <c r="D250" s="89"/>
      <c r="E250" s="89"/>
      <c r="F250" s="73"/>
      <c r="G250" s="73"/>
      <c r="H250" s="73"/>
      <c r="I250" s="73"/>
      <c r="J250" s="73"/>
      <c r="K250" s="73"/>
      <c r="L250" s="73"/>
      <c r="M250" s="74"/>
      <c r="N250" s="71" t="str">
        <f t="shared" si="3"/>
        <v/>
      </c>
      <c r="O250" s="72"/>
      <c r="P250" s="72"/>
      <c r="Q250" s="72"/>
      <c r="R250" s="72"/>
      <c r="S250" s="72"/>
      <c r="T250" s="72"/>
      <c r="U250" s="72"/>
      <c r="V250" s="72"/>
    </row>
    <row r="251" spans="1:25" ht="27.75" customHeight="1">
      <c r="A251" s="87" t="str">
        <f>IF(ISBLANK(C251)," ",246-COUNTBLANK($C$6:C251))</f>
        <v xml:space="preserve"> </v>
      </c>
      <c r="B251" s="88"/>
      <c r="C251" s="88"/>
      <c r="D251" s="89"/>
      <c r="E251" s="89"/>
      <c r="F251" s="73"/>
      <c r="G251" s="73"/>
      <c r="H251" s="73"/>
      <c r="I251" s="73"/>
      <c r="J251" s="73"/>
      <c r="K251" s="73"/>
      <c r="L251" s="73"/>
      <c r="M251" s="74"/>
      <c r="N251" s="71" t="str">
        <f t="shared" si="3"/>
        <v/>
      </c>
      <c r="O251" s="72"/>
      <c r="P251" s="72"/>
      <c r="Q251" s="72"/>
      <c r="R251" s="72"/>
      <c r="S251" s="72"/>
      <c r="T251" s="72"/>
      <c r="U251" s="72"/>
      <c r="V251" s="72"/>
    </row>
    <row r="252" spans="1:25" ht="27.75" customHeight="1">
      <c r="A252" s="87" t="str">
        <f>IF(ISBLANK(C252)," ",247-COUNTBLANK($C$6:C252))</f>
        <v xml:space="preserve"> </v>
      </c>
      <c r="B252" s="88"/>
      <c r="C252" s="88"/>
      <c r="D252" s="89"/>
      <c r="E252" s="89"/>
      <c r="F252" s="73"/>
      <c r="G252" s="73"/>
      <c r="H252" s="73"/>
      <c r="I252" s="73"/>
      <c r="J252" s="73"/>
      <c r="K252" s="73"/>
      <c r="L252" s="73"/>
      <c r="M252" s="74"/>
      <c r="N252" s="71" t="str">
        <f t="shared" si="3"/>
        <v/>
      </c>
      <c r="O252" s="75"/>
      <c r="P252" s="72"/>
      <c r="Q252" s="72"/>
      <c r="R252" s="72"/>
      <c r="S252" s="72"/>
      <c r="T252" s="72"/>
      <c r="U252" s="72"/>
      <c r="V252" s="76"/>
    </row>
    <row r="253" spans="1:25" ht="27.75" customHeight="1">
      <c r="A253" s="87" t="str">
        <f>IF(ISBLANK(C253)," ",248-COUNTBLANK($C$6:C253))</f>
        <v xml:space="preserve"> </v>
      </c>
      <c r="B253" s="88"/>
      <c r="C253" s="88"/>
      <c r="D253" s="89"/>
      <c r="E253" s="89"/>
      <c r="F253" s="73"/>
      <c r="G253" s="73"/>
      <c r="H253" s="73"/>
      <c r="I253" s="73"/>
      <c r="J253" s="73"/>
      <c r="K253" s="73"/>
      <c r="L253" s="73"/>
      <c r="M253" s="74"/>
      <c r="N253" s="71" t="str">
        <f t="shared" si="3"/>
        <v/>
      </c>
      <c r="O253" s="75"/>
      <c r="P253" s="72"/>
      <c r="Q253" s="72"/>
      <c r="R253" s="72"/>
      <c r="S253" s="72"/>
      <c r="T253" s="72"/>
      <c r="U253" s="72"/>
      <c r="V253" s="76"/>
    </row>
    <row r="254" spans="1:25" ht="27.75" customHeight="1">
      <c r="A254" s="87" t="str">
        <f>IF(ISBLANK(C254)," ",249-COUNTBLANK($C$6:C254))</f>
        <v xml:space="preserve"> </v>
      </c>
      <c r="B254" s="88"/>
      <c r="C254" s="88"/>
      <c r="D254" s="89"/>
      <c r="E254" s="89"/>
      <c r="F254" s="73"/>
      <c r="G254" s="73"/>
      <c r="H254" s="73"/>
      <c r="I254" s="73"/>
      <c r="J254" s="73"/>
      <c r="K254" s="73"/>
      <c r="L254" s="73"/>
      <c r="M254" s="74"/>
      <c r="N254" s="71" t="str">
        <f t="shared" si="3"/>
        <v/>
      </c>
      <c r="O254" s="75"/>
      <c r="P254" s="72"/>
      <c r="Q254" s="72"/>
      <c r="R254" s="72"/>
      <c r="S254" s="72"/>
      <c r="T254" s="72"/>
      <c r="U254" s="72"/>
      <c r="V254" s="76"/>
    </row>
    <row r="255" spans="1:25" ht="27.75" customHeight="1">
      <c r="A255" s="87" t="str">
        <f>IF(ISBLANK(C255)," ",250-COUNTBLANK($C$6:C255))</f>
        <v xml:space="preserve"> </v>
      </c>
      <c r="B255" s="88"/>
      <c r="C255" s="88"/>
      <c r="D255" s="89"/>
      <c r="E255" s="89"/>
      <c r="F255" s="73"/>
      <c r="G255" s="73"/>
      <c r="H255" s="73"/>
      <c r="I255" s="73"/>
      <c r="J255" s="73"/>
      <c r="K255" s="73"/>
      <c r="L255" s="73"/>
      <c r="M255" s="74"/>
      <c r="N255" s="71" t="str">
        <f t="shared" si="3"/>
        <v/>
      </c>
      <c r="O255" s="75"/>
      <c r="P255" s="72"/>
      <c r="Q255" s="72"/>
      <c r="R255" s="72"/>
      <c r="S255" s="72"/>
      <c r="T255" s="72"/>
      <c r="U255" s="72"/>
      <c r="V255" s="76"/>
    </row>
    <row r="256" spans="1:25" ht="27.75" customHeight="1">
      <c r="A256" s="87" t="str">
        <f>IF(ISBLANK(C256)," ",251-COUNTBLANK($C$6:C256))</f>
        <v xml:space="preserve"> </v>
      </c>
      <c r="B256" s="88"/>
      <c r="C256" s="88"/>
      <c r="D256" s="89"/>
      <c r="E256" s="89"/>
      <c r="F256" s="73"/>
      <c r="G256" s="73"/>
      <c r="H256" s="73"/>
      <c r="I256" s="73"/>
      <c r="J256" s="73"/>
      <c r="K256" s="73"/>
      <c r="L256" s="73"/>
      <c r="M256" s="74"/>
      <c r="N256" s="71" t="str">
        <f t="shared" si="3"/>
        <v/>
      </c>
      <c r="O256" s="72"/>
      <c r="P256" s="72"/>
      <c r="Q256" s="72"/>
      <c r="R256" s="72"/>
      <c r="S256" s="72"/>
      <c r="T256" s="72"/>
      <c r="U256" s="72"/>
      <c r="V256" s="79"/>
      <c r="W256" s="72"/>
      <c r="X256" s="72"/>
      <c r="Y256" s="72"/>
    </row>
    <row r="257" spans="1:25" ht="27.75" customHeight="1">
      <c r="A257" s="80" t="s">
        <v>58</v>
      </c>
      <c r="B257" s="81"/>
      <c r="C257" s="96"/>
      <c r="D257" s="82"/>
      <c r="E257" s="82">
        <f>SUM(E237:E256)</f>
        <v>0</v>
      </c>
      <c r="F257" s="83"/>
      <c r="G257" s="83"/>
      <c r="H257" s="83"/>
      <c r="I257" s="83"/>
      <c r="J257" s="83"/>
      <c r="K257" s="83"/>
      <c r="L257" s="83"/>
      <c r="M257" s="84"/>
      <c r="N257" s="71" t="str">
        <f t="shared" si="3"/>
        <v/>
      </c>
      <c r="O257" s="75"/>
      <c r="P257" s="72"/>
      <c r="Q257" s="72"/>
      <c r="R257" s="72"/>
      <c r="S257" s="72"/>
      <c r="T257" s="72"/>
      <c r="U257" s="72"/>
      <c r="V257" s="79"/>
      <c r="W257" s="72"/>
      <c r="X257" s="72"/>
      <c r="Y257" s="72"/>
    </row>
    <row r="258" spans="1:25" ht="27.75" customHeight="1">
      <c r="A258" s="93" t="str">
        <f>IF(ISBLANK(C258)," ",253-COUNTBLANK($C$6:C258))</f>
        <v xml:space="preserve"> </v>
      </c>
      <c r="B258" s="94"/>
      <c r="C258" s="94"/>
      <c r="D258" s="95"/>
      <c r="E258" s="95"/>
      <c r="F258" s="85"/>
      <c r="G258" s="85"/>
      <c r="H258" s="85"/>
      <c r="I258" s="85"/>
      <c r="J258" s="85"/>
      <c r="K258" s="85"/>
      <c r="L258" s="85"/>
      <c r="M258" s="86"/>
      <c r="N258" s="71" t="str">
        <f t="shared" si="3"/>
        <v/>
      </c>
      <c r="O258" s="72"/>
      <c r="P258" s="72"/>
      <c r="Q258" s="72"/>
      <c r="R258" s="72"/>
      <c r="S258" s="72"/>
      <c r="T258" s="72"/>
      <c r="U258" s="72"/>
      <c r="V258" s="72"/>
    </row>
    <row r="259" spans="1:25" ht="27.75" customHeight="1">
      <c r="A259" s="87" t="str">
        <f>IF(ISBLANK(C259)," ",254-COUNTBLANK($C$6:C259))</f>
        <v xml:space="preserve"> </v>
      </c>
      <c r="B259" s="88"/>
      <c r="C259" s="88"/>
      <c r="D259" s="89"/>
      <c r="E259" s="89"/>
      <c r="F259" s="73"/>
      <c r="G259" s="73"/>
      <c r="H259" s="73"/>
      <c r="I259" s="73"/>
      <c r="J259" s="73"/>
      <c r="K259" s="73"/>
      <c r="L259" s="73"/>
      <c r="M259" s="74"/>
      <c r="N259" s="71" t="str">
        <f t="shared" si="3"/>
        <v/>
      </c>
      <c r="O259" s="72"/>
      <c r="P259" s="72"/>
      <c r="Q259" s="72"/>
      <c r="R259" s="72"/>
      <c r="S259" s="72"/>
      <c r="T259" s="72"/>
      <c r="U259" s="72"/>
      <c r="V259" s="72"/>
    </row>
    <row r="260" spans="1:25" ht="27.75" customHeight="1">
      <c r="A260" s="87" t="str">
        <f>IF(ISBLANK(C260)," ",255-COUNTBLANK($C$6:C260))</f>
        <v xml:space="preserve"> </v>
      </c>
      <c r="B260" s="88"/>
      <c r="C260" s="88"/>
      <c r="D260" s="89"/>
      <c r="E260" s="89"/>
      <c r="F260" s="73"/>
      <c r="G260" s="73"/>
      <c r="H260" s="73"/>
      <c r="I260" s="73"/>
      <c r="J260" s="73"/>
      <c r="K260" s="73"/>
      <c r="L260" s="73"/>
      <c r="M260" s="74"/>
      <c r="N260" s="71" t="str">
        <f t="shared" si="3"/>
        <v/>
      </c>
      <c r="O260" s="72"/>
      <c r="P260" s="72"/>
      <c r="Q260" s="72"/>
      <c r="R260" s="72"/>
      <c r="S260" s="72"/>
      <c r="T260" s="72"/>
      <c r="U260" s="72"/>
      <c r="V260" s="72"/>
    </row>
    <row r="261" spans="1:25" ht="27.75" customHeight="1">
      <c r="A261" s="87" t="str">
        <f>IF(ISBLANK(C261)," ",256-COUNTBLANK($C$6:C261))</f>
        <v xml:space="preserve"> </v>
      </c>
      <c r="B261" s="88"/>
      <c r="C261" s="88"/>
      <c r="D261" s="89"/>
      <c r="E261" s="89"/>
      <c r="F261" s="73"/>
      <c r="G261" s="73"/>
      <c r="H261" s="73"/>
      <c r="I261" s="73"/>
      <c r="J261" s="73"/>
      <c r="K261" s="73"/>
      <c r="L261" s="73"/>
      <c r="M261" s="74"/>
      <c r="N261" s="71" t="str">
        <f t="shared" si="3"/>
        <v/>
      </c>
      <c r="O261" s="72"/>
      <c r="P261" s="72"/>
      <c r="Q261" s="72"/>
      <c r="R261" s="72"/>
      <c r="S261" s="72"/>
      <c r="T261" s="72"/>
      <c r="U261" s="72"/>
      <c r="V261" s="72"/>
    </row>
    <row r="262" spans="1:25" ht="27.75" customHeight="1">
      <c r="A262" s="87" t="str">
        <f>IF(ISBLANK(C262)," ",257-COUNTBLANK($C$6:C262))</f>
        <v xml:space="preserve"> </v>
      </c>
      <c r="B262" s="88"/>
      <c r="C262" s="88"/>
      <c r="D262" s="89"/>
      <c r="E262" s="89"/>
      <c r="F262" s="73"/>
      <c r="G262" s="73"/>
      <c r="H262" s="73"/>
      <c r="I262" s="73"/>
      <c r="J262" s="73"/>
      <c r="K262" s="73"/>
      <c r="L262" s="73"/>
      <c r="M262" s="74"/>
      <c r="N262" s="71" t="str">
        <f t="shared" ref="N262:N325" si="4">CONCATENATE(C262,H262)</f>
        <v/>
      </c>
      <c r="O262" s="72"/>
      <c r="P262" s="72"/>
      <c r="Q262" s="72"/>
      <c r="R262" s="72"/>
      <c r="S262" s="72"/>
      <c r="T262" s="72"/>
      <c r="U262" s="72"/>
      <c r="V262" s="72"/>
    </row>
    <row r="263" spans="1:25" ht="27.75" customHeight="1">
      <c r="A263" s="87" t="str">
        <f>IF(ISBLANK(C263)," ",258-COUNTBLANK($C$6:C263))</f>
        <v xml:space="preserve"> </v>
      </c>
      <c r="B263" s="88"/>
      <c r="C263" s="88"/>
      <c r="D263" s="89"/>
      <c r="E263" s="89"/>
      <c r="F263" s="73"/>
      <c r="G263" s="73"/>
      <c r="H263" s="73"/>
      <c r="I263" s="73"/>
      <c r="J263" s="73"/>
      <c r="K263" s="73"/>
      <c r="L263" s="73"/>
      <c r="M263" s="74"/>
      <c r="N263" s="71" t="str">
        <f t="shared" si="4"/>
        <v/>
      </c>
      <c r="O263" s="72"/>
      <c r="P263" s="72"/>
      <c r="Q263" s="72"/>
      <c r="R263" s="72"/>
      <c r="S263" s="72"/>
      <c r="T263" s="72"/>
      <c r="U263" s="72"/>
      <c r="V263" s="72"/>
    </row>
    <row r="264" spans="1:25" ht="27.75" customHeight="1">
      <c r="A264" s="87" t="str">
        <f>IF(ISBLANK(C264)," ",259-COUNTBLANK($C$6:C264))</f>
        <v xml:space="preserve"> </v>
      </c>
      <c r="B264" s="88"/>
      <c r="C264" s="88"/>
      <c r="D264" s="89"/>
      <c r="E264" s="89"/>
      <c r="F264" s="73"/>
      <c r="G264" s="73"/>
      <c r="H264" s="73"/>
      <c r="I264" s="73"/>
      <c r="J264" s="73"/>
      <c r="K264" s="73"/>
      <c r="L264" s="73"/>
      <c r="M264" s="74"/>
      <c r="N264" s="71" t="str">
        <f t="shared" si="4"/>
        <v/>
      </c>
      <c r="O264" s="72"/>
      <c r="P264" s="72"/>
      <c r="Q264" s="72"/>
      <c r="R264" s="72"/>
      <c r="S264" s="72"/>
      <c r="T264" s="72"/>
      <c r="U264" s="72"/>
      <c r="V264" s="72"/>
    </row>
    <row r="265" spans="1:25" ht="27.75" customHeight="1">
      <c r="A265" s="87" t="str">
        <f>IF(ISBLANK(C265)," ",260-COUNTBLANK($C$6:C265))</f>
        <v xml:space="preserve"> </v>
      </c>
      <c r="B265" s="88"/>
      <c r="C265" s="88"/>
      <c r="D265" s="89"/>
      <c r="E265" s="89"/>
      <c r="F265" s="73"/>
      <c r="G265" s="73"/>
      <c r="H265" s="73"/>
      <c r="I265" s="73"/>
      <c r="J265" s="73"/>
      <c r="K265" s="73"/>
      <c r="L265" s="73"/>
      <c r="M265" s="74"/>
      <c r="N265" s="71" t="str">
        <f t="shared" si="4"/>
        <v/>
      </c>
      <c r="O265" s="72"/>
      <c r="P265" s="72"/>
      <c r="Q265" s="72"/>
      <c r="R265" s="72"/>
      <c r="S265" s="72"/>
      <c r="T265" s="72"/>
      <c r="U265" s="72"/>
      <c r="V265" s="72"/>
    </row>
    <row r="266" spans="1:25" ht="27.75" customHeight="1">
      <c r="A266" s="87" t="str">
        <f>IF(ISBLANK(C266)," ",261-COUNTBLANK($C$6:C266))</f>
        <v xml:space="preserve"> </v>
      </c>
      <c r="B266" s="88"/>
      <c r="C266" s="88"/>
      <c r="D266" s="89"/>
      <c r="E266" s="89"/>
      <c r="F266" s="73"/>
      <c r="G266" s="73"/>
      <c r="H266" s="73"/>
      <c r="I266" s="73"/>
      <c r="J266" s="73"/>
      <c r="K266" s="73"/>
      <c r="L266" s="73"/>
      <c r="M266" s="74"/>
      <c r="N266" s="71" t="str">
        <f t="shared" si="4"/>
        <v/>
      </c>
      <c r="O266" s="72"/>
      <c r="P266" s="72"/>
      <c r="Q266" s="72"/>
      <c r="R266" s="72"/>
      <c r="S266" s="72"/>
      <c r="T266" s="72"/>
      <c r="U266" s="72"/>
      <c r="V266" s="72"/>
    </row>
    <row r="267" spans="1:25" ht="27.75" customHeight="1">
      <c r="A267" s="87" t="str">
        <f>IF(ISBLANK(C267)," ",262-COUNTBLANK($C$6:C267))</f>
        <v xml:space="preserve"> </v>
      </c>
      <c r="B267" s="88"/>
      <c r="C267" s="88"/>
      <c r="D267" s="89"/>
      <c r="E267" s="89"/>
      <c r="F267" s="73"/>
      <c r="G267" s="73"/>
      <c r="H267" s="73"/>
      <c r="I267" s="73"/>
      <c r="J267" s="73"/>
      <c r="K267" s="73"/>
      <c r="L267" s="73"/>
      <c r="M267" s="74"/>
      <c r="N267" s="71" t="str">
        <f t="shared" si="4"/>
        <v/>
      </c>
      <c r="O267" s="72"/>
      <c r="P267" s="72"/>
      <c r="Q267" s="72"/>
      <c r="R267" s="72"/>
      <c r="S267" s="72"/>
      <c r="T267" s="72"/>
      <c r="U267" s="72"/>
      <c r="V267" s="72"/>
    </row>
    <row r="268" spans="1:25" ht="27.75" customHeight="1">
      <c r="A268" s="87" t="str">
        <f>IF(ISBLANK(C268)," ",263-COUNTBLANK($C$6:C268))</f>
        <v xml:space="preserve"> </v>
      </c>
      <c r="B268" s="88"/>
      <c r="C268" s="88"/>
      <c r="D268" s="89"/>
      <c r="E268" s="89"/>
      <c r="F268" s="73"/>
      <c r="G268" s="73"/>
      <c r="H268" s="73"/>
      <c r="I268" s="73"/>
      <c r="J268" s="73"/>
      <c r="K268" s="73"/>
      <c r="L268" s="73"/>
      <c r="M268" s="74"/>
      <c r="N268" s="71" t="str">
        <f t="shared" si="4"/>
        <v/>
      </c>
      <c r="O268" s="72"/>
      <c r="P268" s="72"/>
      <c r="Q268" s="72"/>
      <c r="R268" s="72"/>
      <c r="S268" s="72"/>
      <c r="T268" s="72"/>
      <c r="U268" s="72"/>
      <c r="V268" s="72"/>
    </row>
    <row r="269" spans="1:25" ht="27.75" customHeight="1">
      <c r="A269" s="87" t="str">
        <f>IF(ISBLANK(C269)," ",264-COUNTBLANK($C$6:C269))</f>
        <v xml:space="preserve"> </v>
      </c>
      <c r="B269" s="88"/>
      <c r="C269" s="88"/>
      <c r="D269" s="89"/>
      <c r="E269" s="89"/>
      <c r="F269" s="73"/>
      <c r="G269" s="73"/>
      <c r="H269" s="73"/>
      <c r="I269" s="73"/>
      <c r="J269" s="73"/>
      <c r="K269" s="73"/>
      <c r="L269" s="73"/>
      <c r="M269" s="74"/>
      <c r="N269" s="71" t="str">
        <f t="shared" si="4"/>
        <v/>
      </c>
      <c r="O269" s="72"/>
      <c r="P269" s="72"/>
      <c r="Q269" s="72"/>
      <c r="R269" s="72"/>
      <c r="S269" s="72"/>
      <c r="T269" s="72"/>
      <c r="U269" s="72"/>
      <c r="V269" s="72"/>
    </row>
    <row r="270" spans="1:25" ht="27.75" customHeight="1">
      <c r="A270" s="87" t="str">
        <f>IF(ISBLANK(C270)," ",265-COUNTBLANK($C$6:C270))</f>
        <v xml:space="preserve"> </v>
      </c>
      <c r="B270" s="88"/>
      <c r="C270" s="88"/>
      <c r="D270" s="89"/>
      <c r="E270" s="89"/>
      <c r="F270" s="73"/>
      <c r="G270" s="73"/>
      <c r="H270" s="73"/>
      <c r="I270" s="73"/>
      <c r="J270" s="73"/>
      <c r="K270" s="73"/>
      <c r="L270" s="73"/>
      <c r="M270" s="74"/>
      <c r="N270" s="71" t="str">
        <f t="shared" si="4"/>
        <v/>
      </c>
      <c r="O270" s="72"/>
      <c r="P270" s="72"/>
      <c r="Q270" s="72"/>
      <c r="R270" s="72"/>
      <c r="S270" s="72"/>
      <c r="T270" s="72"/>
      <c r="U270" s="72"/>
      <c r="V270" s="72"/>
    </row>
    <row r="271" spans="1:25" ht="27.75" customHeight="1">
      <c r="A271" s="87" t="str">
        <f>IF(ISBLANK(C271)," ",266-COUNTBLANK($C$6:C271))</f>
        <v xml:space="preserve"> </v>
      </c>
      <c r="B271" s="88"/>
      <c r="C271" s="88"/>
      <c r="D271" s="89"/>
      <c r="E271" s="89"/>
      <c r="F271" s="73"/>
      <c r="G271" s="73"/>
      <c r="H271" s="73"/>
      <c r="I271" s="73"/>
      <c r="J271" s="73"/>
      <c r="K271" s="73"/>
      <c r="L271" s="73"/>
      <c r="M271" s="74"/>
      <c r="N271" s="71" t="str">
        <f t="shared" si="4"/>
        <v/>
      </c>
      <c r="O271" s="72"/>
      <c r="P271" s="72"/>
      <c r="Q271" s="72"/>
      <c r="R271" s="72"/>
      <c r="S271" s="72"/>
      <c r="T271" s="72"/>
      <c r="U271" s="72"/>
      <c r="V271" s="72"/>
    </row>
    <row r="272" spans="1:25" ht="27.75" customHeight="1">
      <c r="A272" s="87" t="str">
        <f>IF(ISBLANK(C272)," ",267-COUNTBLANK($C$6:C272))</f>
        <v xml:space="preserve"> </v>
      </c>
      <c r="B272" s="88"/>
      <c r="C272" s="88"/>
      <c r="D272" s="89"/>
      <c r="E272" s="89"/>
      <c r="F272" s="73"/>
      <c r="G272" s="73"/>
      <c r="H272" s="73"/>
      <c r="I272" s="73"/>
      <c r="J272" s="73"/>
      <c r="K272" s="73"/>
      <c r="L272" s="73"/>
      <c r="M272" s="74"/>
      <c r="N272" s="71" t="str">
        <f t="shared" si="4"/>
        <v/>
      </c>
      <c r="O272" s="72"/>
      <c r="P272" s="72"/>
      <c r="Q272" s="72"/>
      <c r="R272" s="72"/>
      <c r="S272" s="72"/>
      <c r="T272" s="72"/>
      <c r="U272" s="72"/>
      <c r="V272" s="72"/>
    </row>
    <row r="273" spans="1:25" ht="27.75" customHeight="1">
      <c r="A273" s="87" t="str">
        <f>IF(ISBLANK(C273)," ",268-COUNTBLANK($C$6:C273))</f>
        <v xml:space="preserve"> </v>
      </c>
      <c r="B273" s="88"/>
      <c r="C273" s="88"/>
      <c r="D273" s="89"/>
      <c r="E273" s="89"/>
      <c r="F273" s="73"/>
      <c r="G273" s="73"/>
      <c r="H273" s="73"/>
      <c r="I273" s="73"/>
      <c r="J273" s="73"/>
      <c r="K273" s="73"/>
      <c r="L273" s="73"/>
      <c r="M273" s="74"/>
      <c r="N273" s="71" t="str">
        <f t="shared" si="4"/>
        <v/>
      </c>
      <c r="O273" s="75"/>
      <c r="P273" s="72"/>
      <c r="Q273" s="72"/>
      <c r="R273" s="72"/>
      <c r="S273" s="72"/>
      <c r="T273" s="72"/>
      <c r="U273" s="72"/>
      <c r="V273" s="76"/>
    </row>
    <row r="274" spans="1:25" ht="27.75" customHeight="1">
      <c r="A274" s="87" t="str">
        <f>IF(ISBLANK(C274)," ",269-COUNTBLANK($C$6:C274))</f>
        <v xml:space="preserve"> </v>
      </c>
      <c r="B274" s="88"/>
      <c r="C274" s="88"/>
      <c r="D274" s="89"/>
      <c r="E274" s="89"/>
      <c r="F274" s="73"/>
      <c r="G274" s="73"/>
      <c r="H274" s="73"/>
      <c r="I274" s="73"/>
      <c r="J274" s="73"/>
      <c r="K274" s="73"/>
      <c r="L274" s="73"/>
      <c r="M274" s="74"/>
      <c r="N274" s="71" t="str">
        <f t="shared" si="4"/>
        <v/>
      </c>
      <c r="O274" s="75"/>
      <c r="P274" s="72"/>
      <c r="Q274" s="72"/>
      <c r="R274" s="72"/>
      <c r="S274" s="72"/>
      <c r="T274" s="72"/>
      <c r="U274" s="72"/>
      <c r="V274" s="76"/>
    </row>
    <row r="275" spans="1:25" ht="27.75" customHeight="1">
      <c r="A275" s="87" t="str">
        <f>IF(ISBLANK(C275)," ",270-COUNTBLANK($C$6:C275))</f>
        <v xml:space="preserve"> </v>
      </c>
      <c r="B275" s="88"/>
      <c r="C275" s="88"/>
      <c r="D275" s="89"/>
      <c r="E275" s="89"/>
      <c r="F275" s="73"/>
      <c r="G275" s="73"/>
      <c r="H275" s="73"/>
      <c r="I275" s="73"/>
      <c r="J275" s="73"/>
      <c r="K275" s="73"/>
      <c r="L275" s="73"/>
      <c r="M275" s="74"/>
      <c r="N275" s="71" t="str">
        <f t="shared" si="4"/>
        <v/>
      </c>
      <c r="O275" s="75"/>
      <c r="P275" s="72"/>
      <c r="Q275" s="72"/>
      <c r="R275" s="72"/>
      <c r="S275" s="72"/>
      <c r="T275" s="72"/>
      <c r="U275" s="72"/>
      <c r="V275" s="76"/>
    </row>
    <row r="276" spans="1:25" ht="27.75" customHeight="1">
      <c r="A276" s="87" t="str">
        <f>IF(ISBLANK(C276)," ",271-COUNTBLANK($C$6:C276))</f>
        <v xml:space="preserve"> </v>
      </c>
      <c r="B276" s="88"/>
      <c r="C276" s="88"/>
      <c r="D276" s="89"/>
      <c r="E276" s="89"/>
      <c r="F276" s="73"/>
      <c r="G276" s="73"/>
      <c r="H276" s="73"/>
      <c r="I276" s="73"/>
      <c r="J276" s="73"/>
      <c r="K276" s="73"/>
      <c r="L276" s="73"/>
      <c r="M276" s="74"/>
      <c r="N276" s="71" t="str">
        <f t="shared" si="4"/>
        <v/>
      </c>
      <c r="O276" s="75"/>
      <c r="P276" s="72"/>
      <c r="Q276" s="72"/>
      <c r="R276" s="72"/>
      <c r="S276" s="72"/>
      <c r="T276" s="72"/>
      <c r="U276" s="72"/>
      <c r="V276" s="76"/>
    </row>
    <row r="277" spans="1:25" ht="27.75" customHeight="1">
      <c r="A277" s="87" t="str">
        <f>IF(ISBLANK(C277)," ",272-COUNTBLANK($C$6:C277))</f>
        <v xml:space="preserve"> </v>
      </c>
      <c r="B277" s="88"/>
      <c r="C277" s="88"/>
      <c r="D277" s="89"/>
      <c r="E277" s="89"/>
      <c r="F277" s="73"/>
      <c r="G277" s="73"/>
      <c r="H277" s="73"/>
      <c r="I277" s="73"/>
      <c r="J277" s="73"/>
      <c r="K277" s="73"/>
      <c r="L277" s="73"/>
      <c r="M277" s="74"/>
      <c r="N277" s="71" t="str">
        <f t="shared" si="4"/>
        <v/>
      </c>
      <c r="O277" s="72"/>
      <c r="P277" s="72"/>
      <c r="Q277" s="72"/>
      <c r="R277" s="72"/>
      <c r="S277" s="72"/>
      <c r="T277" s="72"/>
      <c r="U277" s="72"/>
      <c r="V277" s="79"/>
      <c r="W277" s="72"/>
      <c r="X277" s="72"/>
      <c r="Y277" s="72"/>
    </row>
    <row r="278" spans="1:25" ht="27.75" customHeight="1">
      <c r="A278" s="80" t="s">
        <v>58</v>
      </c>
      <c r="B278" s="81"/>
      <c r="C278" s="96"/>
      <c r="D278" s="82"/>
      <c r="E278" s="82">
        <f>SUM(E258:E277)</f>
        <v>0</v>
      </c>
      <c r="F278" s="83"/>
      <c r="G278" s="83"/>
      <c r="H278" s="83"/>
      <c r="I278" s="83"/>
      <c r="J278" s="83"/>
      <c r="K278" s="83"/>
      <c r="L278" s="83"/>
      <c r="M278" s="84"/>
      <c r="N278" s="71" t="str">
        <f t="shared" si="4"/>
        <v/>
      </c>
      <c r="O278" s="75"/>
      <c r="P278" s="72"/>
      <c r="Q278" s="72"/>
      <c r="R278" s="72"/>
      <c r="S278" s="72"/>
      <c r="T278" s="72"/>
      <c r="U278" s="72"/>
      <c r="V278" s="79"/>
      <c r="W278" s="72"/>
      <c r="X278" s="72"/>
      <c r="Y278" s="72"/>
    </row>
    <row r="279" spans="1:25" ht="27.75" customHeight="1">
      <c r="A279" s="93" t="str">
        <f>IF(ISBLANK(C279)," ",274-COUNTBLANK($C$6:C279))</f>
        <v xml:space="preserve"> </v>
      </c>
      <c r="B279" s="94"/>
      <c r="C279" s="94"/>
      <c r="D279" s="95"/>
      <c r="E279" s="95"/>
      <c r="F279" s="85"/>
      <c r="G279" s="85"/>
      <c r="H279" s="85"/>
      <c r="I279" s="85"/>
      <c r="J279" s="85"/>
      <c r="K279" s="85"/>
      <c r="L279" s="85"/>
      <c r="M279" s="86"/>
      <c r="N279" s="71" t="str">
        <f t="shared" si="4"/>
        <v/>
      </c>
      <c r="O279" s="72"/>
      <c r="P279" s="72"/>
      <c r="Q279" s="72"/>
      <c r="R279" s="72"/>
      <c r="S279" s="72"/>
      <c r="T279" s="72"/>
      <c r="U279" s="72"/>
      <c r="V279" s="72"/>
    </row>
    <row r="280" spans="1:25" ht="27.75" customHeight="1">
      <c r="A280" s="87" t="str">
        <f>IF(ISBLANK(C280)," ",275-COUNTBLANK($C$6:C280))</f>
        <v xml:space="preserve"> </v>
      </c>
      <c r="B280" s="88"/>
      <c r="C280" s="88"/>
      <c r="D280" s="89"/>
      <c r="E280" s="89"/>
      <c r="F280" s="73"/>
      <c r="G280" s="73"/>
      <c r="H280" s="73"/>
      <c r="I280" s="73"/>
      <c r="J280" s="73"/>
      <c r="K280" s="73"/>
      <c r="L280" s="73"/>
      <c r="M280" s="74"/>
      <c r="N280" s="71" t="str">
        <f t="shared" si="4"/>
        <v/>
      </c>
      <c r="O280" s="72"/>
      <c r="P280" s="72"/>
      <c r="Q280" s="72"/>
      <c r="R280" s="72"/>
      <c r="S280" s="72"/>
      <c r="T280" s="72"/>
      <c r="U280" s="72"/>
      <c r="V280" s="72"/>
    </row>
    <row r="281" spans="1:25" ht="27.75" customHeight="1">
      <c r="A281" s="87" t="str">
        <f>IF(ISBLANK(C281)," ",276-COUNTBLANK($C$6:C281))</f>
        <v xml:space="preserve"> </v>
      </c>
      <c r="B281" s="88"/>
      <c r="C281" s="88"/>
      <c r="D281" s="89"/>
      <c r="E281" s="89"/>
      <c r="F281" s="73"/>
      <c r="G281" s="73"/>
      <c r="H281" s="73"/>
      <c r="I281" s="73"/>
      <c r="J281" s="73"/>
      <c r="K281" s="73"/>
      <c r="L281" s="73"/>
      <c r="M281" s="74"/>
      <c r="N281" s="71" t="str">
        <f t="shared" si="4"/>
        <v/>
      </c>
      <c r="O281" s="72"/>
      <c r="P281" s="72"/>
      <c r="Q281" s="72"/>
      <c r="R281" s="72"/>
      <c r="S281" s="72"/>
      <c r="T281" s="72"/>
      <c r="U281" s="72"/>
      <c r="V281" s="72"/>
    </row>
    <row r="282" spans="1:25" ht="27.75" customHeight="1">
      <c r="A282" s="87" t="str">
        <f>IF(ISBLANK(C282)," ",277-COUNTBLANK($C$6:C282))</f>
        <v xml:space="preserve"> </v>
      </c>
      <c r="B282" s="88"/>
      <c r="C282" s="88"/>
      <c r="D282" s="89"/>
      <c r="E282" s="89"/>
      <c r="F282" s="73"/>
      <c r="G282" s="73"/>
      <c r="H282" s="73"/>
      <c r="I282" s="73"/>
      <c r="J282" s="73"/>
      <c r="K282" s="73"/>
      <c r="L282" s="73"/>
      <c r="M282" s="74"/>
      <c r="N282" s="71" t="str">
        <f t="shared" si="4"/>
        <v/>
      </c>
      <c r="O282" s="72"/>
      <c r="P282" s="72"/>
      <c r="Q282" s="72"/>
      <c r="R282" s="72"/>
      <c r="S282" s="72"/>
      <c r="T282" s="72"/>
      <c r="U282" s="72"/>
      <c r="V282" s="72"/>
    </row>
    <row r="283" spans="1:25" ht="27.75" customHeight="1">
      <c r="A283" s="87" t="str">
        <f>IF(ISBLANK(C283)," ",278-COUNTBLANK($C$6:C283))</f>
        <v xml:space="preserve"> </v>
      </c>
      <c r="B283" s="88"/>
      <c r="C283" s="88"/>
      <c r="D283" s="89"/>
      <c r="E283" s="89"/>
      <c r="F283" s="73"/>
      <c r="G283" s="73"/>
      <c r="H283" s="73"/>
      <c r="I283" s="73"/>
      <c r="J283" s="73"/>
      <c r="K283" s="73"/>
      <c r="L283" s="73"/>
      <c r="M283" s="74"/>
      <c r="N283" s="71" t="str">
        <f t="shared" si="4"/>
        <v/>
      </c>
      <c r="O283" s="72"/>
      <c r="P283" s="72"/>
      <c r="Q283" s="72"/>
      <c r="R283" s="72"/>
      <c r="S283" s="72"/>
      <c r="T283" s="72"/>
      <c r="U283" s="72"/>
      <c r="V283" s="72"/>
    </row>
    <row r="284" spans="1:25" ht="27.75" customHeight="1">
      <c r="A284" s="87" t="str">
        <f>IF(ISBLANK(C284)," ",279-COUNTBLANK($C$6:C284))</f>
        <v xml:space="preserve"> </v>
      </c>
      <c r="B284" s="88"/>
      <c r="C284" s="88"/>
      <c r="D284" s="89"/>
      <c r="E284" s="89"/>
      <c r="F284" s="73"/>
      <c r="G284" s="73"/>
      <c r="H284" s="73"/>
      <c r="I284" s="73"/>
      <c r="J284" s="73"/>
      <c r="K284" s="73"/>
      <c r="L284" s="73"/>
      <c r="M284" s="74"/>
      <c r="N284" s="71" t="str">
        <f t="shared" si="4"/>
        <v/>
      </c>
      <c r="O284" s="72"/>
      <c r="P284" s="72"/>
      <c r="Q284" s="72"/>
      <c r="R284" s="72"/>
      <c r="S284" s="72"/>
      <c r="T284" s="72"/>
      <c r="U284" s="72"/>
      <c r="V284" s="72"/>
    </row>
    <row r="285" spans="1:25" ht="27.75" customHeight="1">
      <c r="A285" s="87" t="str">
        <f>IF(ISBLANK(C285)," ",280-COUNTBLANK($C$6:C285))</f>
        <v xml:space="preserve"> </v>
      </c>
      <c r="B285" s="88"/>
      <c r="C285" s="88"/>
      <c r="D285" s="89"/>
      <c r="E285" s="89"/>
      <c r="F285" s="73"/>
      <c r="G285" s="73"/>
      <c r="H285" s="73"/>
      <c r="I285" s="73"/>
      <c r="J285" s="73"/>
      <c r="K285" s="73"/>
      <c r="L285" s="73"/>
      <c r="M285" s="74"/>
      <c r="N285" s="71" t="str">
        <f t="shared" si="4"/>
        <v/>
      </c>
      <c r="O285" s="72"/>
      <c r="P285" s="72"/>
      <c r="Q285" s="72"/>
      <c r="R285" s="72"/>
      <c r="S285" s="72"/>
      <c r="T285" s="72"/>
      <c r="U285" s="72"/>
      <c r="V285" s="72"/>
    </row>
    <row r="286" spans="1:25" ht="27.75" customHeight="1">
      <c r="A286" s="87" t="str">
        <f>IF(ISBLANK(C286)," ",281-COUNTBLANK($C$6:C286))</f>
        <v xml:space="preserve"> </v>
      </c>
      <c r="B286" s="88"/>
      <c r="C286" s="88"/>
      <c r="D286" s="89"/>
      <c r="E286" s="89"/>
      <c r="F286" s="73"/>
      <c r="G286" s="73"/>
      <c r="H286" s="73"/>
      <c r="I286" s="73"/>
      <c r="J286" s="73"/>
      <c r="K286" s="73"/>
      <c r="L286" s="73"/>
      <c r="M286" s="74"/>
      <c r="N286" s="71" t="str">
        <f t="shared" si="4"/>
        <v/>
      </c>
      <c r="O286" s="72"/>
      <c r="P286" s="72"/>
      <c r="Q286" s="72"/>
      <c r="R286" s="72"/>
      <c r="S286" s="72"/>
      <c r="T286" s="72"/>
      <c r="U286" s="72"/>
      <c r="V286" s="72"/>
    </row>
    <row r="287" spans="1:25" ht="27.75" customHeight="1">
      <c r="A287" s="87" t="str">
        <f>IF(ISBLANK(C287)," ",282-COUNTBLANK($C$6:C287))</f>
        <v xml:space="preserve"> </v>
      </c>
      <c r="B287" s="88"/>
      <c r="C287" s="88"/>
      <c r="D287" s="89"/>
      <c r="E287" s="89"/>
      <c r="F287" s="73"/>
      <c r="G287" s="73"/>
      <c r="H287" s="73"/>
      <c r="I287" s="73"/>
      <c r="J287" s="73"/>
      <c r="K287" s="73"/>
      <c r="L287" s="73"/>
      <c r="M287" s="74"/>
      <c r="N287" s="71" t="str">
        <f t="shared" si="4"/>
        <v/>
      </c>
      <c r="O287" s="72"/>
      <c r="P287" s="72"/>
      <c r="Q287" s="72"/>
      <c r="R287" s="72"/>
      <c r="S287" s="72"/>
      <c r="T287" s="72"/>
      <c r="U287" s="72"/>
      <c r="V287" s="72"/>
    </row>
    <row r="288" spans="1:25" ht="27.75" customHeight="1">
      <c r="A288" s="87" t="str">
        <f>IF(ISBLANK(C288)," ",283-COUNTBLANK($C$6:C288))</f>
        <v xml:space="preserve"> </v>
      </c>
      <c r="B288" s="88"/>
      <c r="C288" s="88"/>
      <c r="D288" s="89"/>
      <c r="E288" s="89"/>
      <c r="F288" s="73"/>
      <c r="G288" s="73"/>
      <c r="H288" s="73"/>
      <c r="I288" s="73"/>
      <c r="J288" s="73"/>
      <c r="K288" s="73"/>
      <c r="L288" s="73"/>
      <c r="M288" s="74"/>
      <c r="N288" s="71" t="str">
        <f t="shared" si="4"/>
        <v/>
      </c>
      <c r="O288" s="72"/>
      <c r="P288" s="72"/>
      <c r="Q288" s="72"/>
      <c r="R288" s="72"/>
      <c r="S288" s="72"/>
      <c r="T288" s="72"/>
      <c r="U288" s="72"/>
      <c r="V288" s="72"/>
    </row>
    <row r="289" spans="1:25" ht="27.75" customHeight="1">
      <c r="A289" s="87" t="str">
        <f>IF(ISBLANK(C289)," ",284-COUNTBLANK($C$6:C289))</f>
        <v xml:space="preserve"> </v>
      </c>
      <c r="B289" s="88"/>
      <c r="C289" s="88"/>
      <c r="D289" s="89"/>
      <c r="E289" s="89"/>
      <c r="F289" s="73"/>
      <c r="G289" s="73"/>
      <c r="H289" s="73"/>
      <c r="I289" s="73"/>
      <c r="J289" s="73"/>
      <c r="K289" s="73"/>
      <c r="L289" s="73"/>
      <c r="M289" s="74"/>
      <c r="N289" s="71" t="str">
        <f t="shared" si="4"/>
        <v/>
      </c>
      <c r="O289" s="72"/>
      <c r="P289" s="72"/>
      <c r="Q289" s="72"/>
      <c r="R289" s="72"/>
      <c r="S289" s="72"/>
      <c r="T289" s="72"/>
      <c r="U289" s="72"/>
      <c r="V289" s="72"/>
    </row>
    <row r="290" spans="1:25" ht="27.75" customHeight="1">
      <c r="A290" s="87" t="str">
        <f>IF(ISBLANK(C290)," ",285-COUNTBLANK($C$6:C290))</f>
        <v xml:space="preserve"> </v>
      </c>
      <c r="B290" s="88"/>
      <c r="C290" s="88"/>
      <c r="D290" s="89"/>
      <c r="E290" s="89"/>
      <c r="F290" s="73"/>
      <c r="G290" s="73"/>
      <c r="H290" s="73"/>
      <c r="I290" s="73"/>
      <c r="J290" s="73"/>
      <c r="K290" s="73"/>
      <c r="L290" s="73"/>
      <c r="M290" s="74"/>
      <c r="N290" s="71" t="str">
        <f t="shared" si="4"/>
        <v/>
      </c>
      <c r="O290" s="72"/>
      <c r="P290" s="72"/>
      <c r="Q290" s="72"/>
      <c r="R290" s="72"/>
      <c r="S290" s="72"/>
      <c r="T290" s="72"/>
      <c r="U290" s="72"/>
      <c r="V290" s="72"/>
    </row>
    <row r="291" spans="1:25" ht="27.75" customHeight="1">
      <c r="A291" s="87" t="str">
        <f>IF(ISBLANK(C291)," ",286-COUNTBLANK($C$6:C291))</f>
        <v xml:space="preserve"> </v>
      </c>
      <c r="B291" s="88"/>
      <c r="C291" s="88"/>
      <c r="D291" s="89"/>
      <c r="E291" s="89"/>
      <c r="F291" s="73"/>
      <c r="G291" s="73"/>
      <c r="H291" s="73"/>
      <c r="I291" s="73"/>
      <c r="J291" s="73"/>
      <c r="K291" s="73"/>
      <c r="L291" s="73"/>
      <c r="M291" s="74"/>
      <c r="N291" s="71" t="str">
        <f t="shared" si="4"/>
        <v/>
      </c>
      <c r="O291" s="72"/>
      <c r="P291" s="72"/>
      <c r="Q291" s="72"/>
      <c r="R291" s="72"/>
      <c r="S291" s="72"/>
      <c r="T291" s="72"/>
      <c r="U291" s="72"/>
      <c r="V291" s="72"/>
    </row>
    <row r="292" spans="1:25" ht="27.75" customHeight="1">
      <c r="A292" s="87" t="str">
        <f>IF(ISBLANK(C292)," ",287-COUNTBLANK($C$6:C292))</f>
        <v xml:space="preserve"> </v>
      </c>
      <c r="B292" s="88"/>
      <c r="C292" s="88"/>
      <c r="D292" s="89"/>
      <c r="E292" s="89"/>
      <c r="F292" s="73"/>
      <c r="G292" s="73"/>
      <c r="H292" s="73"/>
      <c r="I292" s="73"/>
      <c r="J292" s="73"/>
      <c r="K292" s="73"/>
      <c r="L292" s="73"/>
      <c r="M292" s="74"/>
      <c r="N292" s="71" t="str">
        <f t="shared" si="4"/>
        <v/>
      </c>
      <c r="O292" s="72"/>
      <c r="P292" s="72"/>
      <c r="Q292" s="72"/>
      <c r="R292" s="72"/>
      <c r="S292" s="72"/>
      <c r="T292" s="72"/>
      <c r="U292" s="72"/>
      <c r="V292" s="72"/>
    </row>
    <row r="293" spans="1:25" ht="27.75" customHeight="1">
      <c r="A293" s="87" t="str">
        <f>IF(ISBLANK(C293)," ",288-COUNTBLANK($C$6:C293))</f>
        <v xml:space="preserve"> </v>
      </c>
      <c r="B293" s="88"/>
      <c r="C293" s="88"/>
      <c r="D293" s="89"/>
      <c r="E293" s="89"/>
      <c r="F293" s="73"/>
      <c r="G293" s="73"/>
      <c r="H293" s="73"/>
      <c r="I293" s="73"/>
      <c r="J293" s="73"/>
      <c r="K293" s="73"/>
      <c r="L293" s="73"/>
      <c r="M293" s="74"/>
      <c r="N293" s="71" t="str">
        <f t="shared" si="4"/>
        <v/>
      </c>
      <c r="O293" s="72"/>
      <c r="P293" s="72"/>
      <c r="Q293" s="72"/>
      <c r="R293" s="72"/>
      <c r="S293" s="72"/>
      <c r="T293" s="72"/>
      <c r="U293" s="72"/>
      <c r="V293" s="72"/>
    </row>
    <row r="294" spans="1:25" ht="27.75" customHeight="1">
      <c r="A294" s="87" t="str">
        <f>IF(ISBLANK(C294)," ",289-COUNTBLANK($C$6:C294))</f>
        <v xml:space="preserve"> </v>
      </c>
      <c r="B294" s="88"/>
      <c r="C294" s="88"/>
      <c r="D294" s="89"/>
      <c r="E294" s="89"/>
      <c r="F294" s="73"/>
      <c r="G294" s="73"/>
      <c r="H294" s="73"/>
      <c r="I294" s="73"/>
      <c r="J294" s="73"/>
      <c r="K294" s="73"/>
      <c r="L294" s="73"/>
      <c r="M294" s="74"/>
      <c r="N294" s="71" t="str">
        <f t="shared" si="4"/>
        <v/>
      </c>
      <c r="O294" s="75"/>
      <c r="P294" s="72"/>
      <c r="Q294" s="72"/>
      <c r="R294" s="72"/>
      <c r="S294" s="72"/>
      <c r="T294" s="72"/>
      <c r="U294" s="72"/>
      <c r="V294" s="76"/>
    </row>
    <row r="295" spans="1:25" ht="27.75" customHeight="1">
      <c r="A295" s="87" t="str">
        <f>IF(ISBLANK(C295)," ",290-COUNTBLANK($C$6:C295))</f>
        <v xml:space="preserve"> </v>
      </c>
      <c r="B295" s="88"/>
      <c r="C295" s="88"/>
      <c r="D295" s="89"/>
      <c r="E295" s="89"/>
      <c r="F295" s="73"/>
      <c r="G295" s="73"/>
      <c r="H295" s="73"/>
      <c r="I295" s="73"/>
      <c r="J295" s="73"/>
      <c r="K295" s="73"/>
      <c r="L295" s="73"/>
      <c r="M295" s="74"/>
      <c r="N295" s="71" t="str">
        <f t="shared" si="4"/>
        <v/>
      </c>
      <c r="O295" s="75"/>
      <c r="P295" s="72"/>
      <c r="Q295" s="72"/>
      <c r="R295" s="72"/>
      <c r="S295" s="72"/>
      <c r="T295" s="72"/>
      <c r="U295" s="72"/>
      <c r="V295" s="76"/>
    </row>
    <row r="296" spans="1:25" ht="27.75" customHeight="1">
      <c r="A296" s="87" t="str">
        <f>IF(ISBLANK(C296)," ",291-COUNTBLANK($C$6:C296))</f>
        <v xml:space="preserve"> </v>
      </c>
      <c r="B296" s="88"/>
      <c r="C296" s="88"/>
      <c r="D296" s="89"/>
      <c r="E296" s="89"/>
      <c r="F296" s="73"/>
      <c r="G296" s="73"/>
      <c r="H296" s="73"/>
      <c r="I296" s="73"/>
      <c r="J296" s="73"/>
      <c r="K296" s="73"/>
      <c r="L296" s="73"/>
      <c r="M296" s="74"/>
      <c r="N296" s="71" t="str">
        <f t="shared" si="4"/>
        <v/>
      </c>
      <c r="O296" s="75"/>
      <c r="P296" s="72"/>
      <c r="Q296" s="72"/>
      <c r="R296" s="72"/>
      <c r="S296" s="72"/>
      <c r="T296" s="72"/>
      <c r="U296" s="72"/>
      <c r="V296" s="76"/>
    </row>
    <row r="297" spans="1:25" ht="27.75" customHeight="1">
      <c r="A297" s="87" t="str">
        <f>IF(ISBLANK(C297)," ",292-COUNTBLANK($C$6:C297))</f>
        <v xml:space="preserve"> </v>
      </c>
      <c r="B297" s="88"/>
      <c r="C297" s="88"/>
      <c r="D297" s="89"/>
      <c r="E297" s="89"/>
      <c r="F297" s="73"/>
      <c r="G297" s="73"/>
      <c r="H297" s="73"/>
      <c r="I297" s="73"/>
      <c r="J297" s="73"/>
      <c r="K297" s="73"/>
      <c r="L297" s="73"/>
      <c r="M297" s="74"/>
      <c r="N297" s="71" t="str">
        <f t="shared" si="4"/>
        <v/>
      </c>
      <c r="O297" s="75"/>
      <c r="P297" s="72"/>
      <c r="Q297" s="72"/>
      <c r="R297" s="72"/>
      <c r="S297" s="72"/>
      <c r="T297" s="72"/>
      <c r="U297" s="72"/>
      <c r="V297" s="76"/>
    </row>
    <row r="298" spans="1:25" ht="27.75" customHeight="1">
      <c r="A298" s="87" t="str">
        <f>IF(ISBLANK(C298)," ",293-COUNTBLANK($C$6:C298))</f>
        <v xml:space="preserve"> </v>
      </c>
      <c r="B298" s="88"/>
      <c r="C298" s="88"/>
      <c r="D298" s="89"/>
      <c r="E298" s="89"/>
      <c r="F298" s="73"/>
      <c r="G298" s="73"/>
      <c r="H298" s="73"/>
      <c r="I298" s="73"/>
      <c r="J298" s="73"/>
      <c r="K298" s="73"/>
      <c r="L298" s="73"/>
      <c r="M298" s="74"/>
      <c r="N298" s="71" t="str">
        <f t="shared" si="4"/>
        <v/>
      </c>
      <c r="O298" s="72"/>
      <c r="P298" s="72"/>
      <c r="Q298" s="72"/>
      <c r="R298" s="72"/>
      <c r="S298" s="72"/>
      <c r="T298" s="72"/>
      <c r="U298" s="72"/>
      <c r="V298" s="79"/>
      <c r="W298" s="72"/>
      <c r="X298" s="72"/>
      <c r="Y298" s="72"/>
    </row>
    <row r="299" spans="1:25" ht="27.75" customHeight="1">
      <c r="A299" s="80" t="s">
        <v>58</v>
      </c>
      <c r="B299" s="81"/>
      <c r="C299" s="96"/>
      <c r="D299" s="82"/>
      <c r="E299" s="82">
        <f>SUM(E279:E298)</f>
        <v>0</v>
      </c>
      <c r="F299" s="83"/>
      <c r="G299" s="83"/>
      <c r="H299" s="83"/>
      <c r="I299" s="83"/>
      <c r="J299" s="83"/>
      <c r="K299" s="83"/>
      <c r="L299" s="83"/>
      <c r="M299" s="84"/>
      <c r="N299" s="71" t="str">
        <f t="shared" si="4"/>
        <v/>
      </c>
      <c r="O299" s="75"/>
      <c r="P299" s="72"/>
      <c r="Q299" s="72"/>
      <c r="R299" s="72"/>
      <c r="S299" s="72"/>
      <c r="T299" s="72"/>
      <c r="U299" s="72"/>
      <c r="V299" s="79"/>
      <c r="W299" s="72"/>
      <c r="X299" s="72"/>
      <c r="Y299" s="72"/>
    </row>
    <row r="300" spans="1:25" ht="27.75" customHeight="1">
      <c r="A300" s="93" t="str">
        <f>IF(ISBLANK(C300)," ",295-COUNTBLANK($C$6:C300))</f>
        <v xml:space="preserve"> </v>
      </c>
      <c r="B300" s="94"/>
      <c r="C300" s="94"/>
      <c r="D300" s="95"/>
      <c r="E300" s="95"/>
      <c r="F300" s="85"/>
      <c r="G300" s="85"/>
      <c r="H300" s="85"/>
      <c r="I300" s="85"/>
      <c r="J300" s="85"/>
      <c r="K300" s="85"/>
      <c r="L300" s="85"/>
      <c r="M300" s="86"/>
      <c r="N300" s="71" t="str">
        <f t="shared" si="4"/>
        <v/>
      </c>
      <c r="O300" s="72"/>
      <c r="P300" s="72"/>
      <c r="Q300" s="72"/>
      <c r="R300" s="72"/>
      <c r="S300" s="72"/>
      <c r="T300" s="72"/>
      <c r="U300" s="72"/>
      <c r="V300" s="72"/>
    </row>
    <row r="301" spans="1:25" ht="27.75" customHeight="1">
      <c r="A301" s="87" t="str">
        <f>IF(ISBLANK(C301)," ",296-COUNTBLANK($C$6:C301))</f>
        <v xml:space="preserve"> </v>
      </c>
      <c r="B301" s="88"/>
      <c r="C301" s="88"/>
      <c r="D301" s="89"/>
      <c r="E301" s="89"/>
      <c r="F301" s="73"/>
      <c r="G301" s="73"/>
      <c r="H301" s="73"/>
      <c r="I301" s="73"/>
      <c r="J301" s="73"/>
      <c r="K301" s="73"/>
      <c r="L301" s="73"/>
      <c r="M301" s="74"/>
      <c r="N301" s="71" t="str">
        <f t="shared" si="4"/>
        <v/>
      </c>
      <c r="O301" s="72"/>
      <c r="P301" s="72"/>
      <c r="Q301" s="72"/>
      <c r="R301" s="72"/>
      <c r="S301" s="72"/>
      <c r="T301" s="72"/>
      <c r="U301" s="72"/>
      <c r="V301" s="72"/>
    </row>
    <row r="302" spans="1:25" ht="27.75" customHeight="1">
      <c r="A302" s="87" t="str">
        <f>IF(ISBLANK(C302)," ",297-COUNTBLANK($C$6:C302))</f>
        <v xml:space="preserve"> </v>
      </c>
      <c r="B302" s="88"/>
      <c r="C302" s="88"/>
      <c r="D302" s="89"/>
      <c r="E302" s="89"/>
      <c r="F302" s="73"/>
      <c r="G302" s="73"/>
      <c r="H302" s="73"/>
      <c r="I302" s="73"/>
      <c r="J302" s="73"/>
      <c r="K302" s="73"/>
      <c r="L302" s="73"/>
      <c r="M302" s="74"/>
      <c r="N302" s="71" t="str">
        <f t="shared" si="4"/>
        <v/>
      </c>
      <c r="O302" s="72"/>
      <c r="P302" s="72"/>
      <c r="Q302" s="72"/>
      <c r="R302" s="72"/>
      <c r="S302" s="72"/>
      <c r="T302" s="72"/>
      <c r="U302" s="72"/>
      <c r="V302" s="72"/>
    </row>
    <row r="303" spans="1:25" ht="27.75" customHeight="1">
      <c r="A303" s="87" t="str">
        <f>IF(ISBLANK(C303)," ",298-COUNTBLANK($C$6:C303))</f>
        <v xml:space="preserve"> </v>
      </c>
      <c r="B303" s="88"/>
      <c r="C303" s="88"/>
      <c r="D303" s="89"/>
      <c r="E303" s="89"/>
      <c r="F303" s="73"/>
      <c r="G303" s="73"/>
      <c r="H303" s="73"/>
      <c r="I303" s="73"/>
      <c r="J303" s="73"/>
      <c r="K303" s="73"/>
      <c r="L303" s="73"/>
      <c r="M303" s="74"/>
      <c r="N303" s="71" t="str">
        <f t="shared" si="4"/>
        <v/>
      </c>
      <c r="O303" s="72"/>
      <c r="P303" s="72"/>
      <c r="Q303" s="72"/>
      <c r="R303" s="72"/>
      <c r="S303" s="72"/>
      <c r="T303" s="72"/>
      <c r="U303" s="72"/>
      <c r="V303" s="72"/>
    </row>
    <row r="304" spans="1:25" ht="27.75" customHeight="1">
      <c r="A304" s="87" t="str">
        <f>IF(ISBLANK(C304)," ",299-COUNTBLANK($C$6:C304))</f>
        <v xml:space="preserve"> </v>
      </c>
      <c r="B304" s="88"/>
      <c r="C304" s="88"/>
      <c r="D304" s="89"/>
      <c r="E304" s="89"/>
      <c r="F304" s="73"/>
      <c r="G304" s="73"/>
      <c r="H304" s="73"/>
      <c r="I304" s="73"/>
      <c r="J304" s="73"/>
      <c r="K304" s="73"/>
      <c r="L304" s="73"/>
      <c r="M304" s="74"/>
      <c r="N304" s="71" t="str">
        <f t="shared" si="4"/>
        <v/>
      </c>
      <c r="O304" s="72"/>
      <c r="P304" s="72"/>
      <c r="Q304" s="72"/>
      <c r="R304" s="72"/>
      <c r="S304" s="72"/>
      <c r="T304" s="72"/>
      <c r="U304" s="72"/>
      <c r="V304" s="72"/>
    </row>
    <row r="305" spans="1:25" ht="27.75" customHeight="1">
      <c r="A305" s="87" t="str">
        <f>IF(ISBLANK(C305)," ",300-COUNTBLANK($C$6:C305))</f>
        <v xml:space="preserve"> </v>
      </c>
      <c r="B305" s="88"/>
      <c r="C305" s="88"/>
      <c r="D305" s="89"/>
      <c r="E305" s="89"/>
      <c r="F305" s="73"/>
      <c r="G305" s="73"/>
      <c r="H305" s="73"/>
      <c r="I305" s="73"/>
      <c r="J305" s="73"/>
      <c r="K305" s="73"/>
      <c r="L305" s="73"/>
      <c r="M305" s="74"/>
      <c r="N305" s="71" t="str">
        <f t="shared" si="4"/>
        <v/>
      </c>
      <c r="O305" s="72"/>
      <c r="P305" s="72"/>
      <c r="Q305" s="72"/>
      <c r="R305" s="72"/>
      <c r="S305" s="72"/>
      <c r="T305" s="72"/>
      <c r="U305" s="72"/>
      <c r="V305" s="72"/>
    </row>
    <row r="306" spans="1:25" ht="27.75" customHeight="1">
      <c r="A306" s="87" t="str">
        <f>IF(ISBLANK(C306)," ",301-COUNTBLANK($C$6:C306))</f>
        <v xml:space="preserve"> </v>
      </c>
      <c r="B306" s="88"/>
      <c r="C306" s="88"/>
      <c r="D306" s="89"/>
      <c r="E306" s="89"/>
      <c r="F306" s="73"/>
      <c r="G306" s="73"/>
      <c r="H306" s="73"/>
      <c r="I306" s="73"/>
      <c r="J306" s="73"/>
      <c r="K306" s="73"/>
      <c r="L306" s="73"/>
      <c r="M306" s="74"/>
      <c r="N306" s="71" t="str">
        <f t="shared" si="4"/>
        <v/>
      </c>
      <c r="O306" s="72"/>
      <c r="P306" s="72"/>
      <c r="Q306" s="72"/>
      <c r="R306" s="72"/>
      <c r="S306" s="72"/>
      <c r="T306" s="72"/>
      <c r="U306" s="72"/>
      <c r="V306" s="72"/>
    </row>
    <row r="307" spans="1:25" ht="27.75" customHeight="1">
      <c r="A307" s="87" t="str">
        <f>IF(ISBLANK(C307)," ",302-COUNTBLANK($C$6:C307))</f>
        <v xml:space="preserve"> </v>
      </c>
      <c r="B307" s="88"/>
      <c r="C307" s="88"/>
      <c r="D307" s="89"/>
      <c r="E307" s="89"/>
      <c r="F307" s="73"/>
      <c r="G307" s="73"/>
      <c r="H307" s="73"/>
      <c r="I307" s="73"/>
      <c r="J307" s="73"/>
      <c r="K307" s="73"/>
      <c r="L307" s="73"/>
      <c r="M307" s="74"/>
      <c r="N307" s="71" t="str">
        <f t="shared" si="4"/>
        <v/>
      </c>
      <c r="O307" s="72"/>
      <c r="P307" s="72"/>
      <c r="Q307" s="72"/>
      <c r="R307" s="72"/>
      <c r="S307" s="72"/>
      <c r="T307" s="72"/>
      <c r="U307" s="72"/>
      <c r="V307" s="72"/>
    </row>
    <row r="308" spans="1:25" ht="27.75" customHeight="1">
      <c r="A308" s="87" t="str">
        <f>IF(ISBLANK(C308)," ",303-COUNTBLANK($C$6:C308))</f>
        <v xml:space="preserve"> </v>
      </c>
      <c r="B308" s="88"/>
      <c r="C308" s="88"/>
      <c r="D308" s="89"/>
      <c r="E308" s="89"/>
      <c r="F308" s="73"/>
      <c r="G308" s="73"/>
      <c r="H308" s="73"/>
      <c r="I308" s="73"/>
      <c r="J308" s="73"/>
      <c r="K308" s="73"/>
      <c r="L308" s="73"/>
      <c r="M308" s="74"/>
      <c r="N308" s="71" t="str">
        <f t="shared" si="4"/>
        <v/>
      </c>
      <c r="O308" s="72"/>
      <c r="P308" s="72"/>
      <c r="Q308" s="72"/>
      <c r="R308" s="72"/>
      <c r="S308" s="72"/>
      <c r="T308" s="72"/>
      <c r="U308" s="72"/>
      <c r="V308" s="72"/>
    </row>
    <row r="309" spans="1:25" ht="27.75" customHeight="1">
      <c r="A309" s="87" t="str">
        <f>IF(ISBLANK(C309)," ",304-COUNTBLANK($C$6:C309))</f>
        <v xml:space="preserve"> </v>
      </c>
      <c r="B309" s="88"/>
      <c r="C309" s="88"/>
      <c r="D309" s="89"/>
      <c r="E309" s="89"/>
      <c r="F309" s="73"/>
      <c r="G309" s="73"/>
      <c r="H309" s="73"/>
      <c r="I309" s="73"/>
      <c r="J309" s="73"/>
      <c r="K309" s="73"/>
      <c r="L309" s="73"/>
      <c r="M309" s="74"/>
      <c r="N309" s="71" t="str">
        <f t="shared" si="4"/>
        <v/>
      </c>
      <c r="O309" s="72"/>
      <c r="P309" s="72"/>
      <c r="Q309" s="72"/>
      <c r="R309" s="72"/>
      <c r="S309" s="72"/>
      <c r="T309" s="72"/>
      <c r="U309" s="72"/>
      <c r="V309" s="72"/>
    </row>
    <row r="310" spans="1:25" ht="27.75" customHeight="1">
      <c r="A310" s="87" t="str">
        <f>IF(ISBLANK(C310)," ",305-COUNTBLANK($C$6:C310))</f>
        <v xml:space="preserve"> </v>
      </c>
      <c r="B310" s="88"/>
      <c r="C310" s="88"/>
      <c r="D310" s="89"/>
      <c r="E310" s="89"/>
      <c r="F310" s="73"/>
      <c r="G310" s="73"/>
      <c r="H310" s="73"/>
      <c r="I310" s="73"/>
      <c r="J310" s="73"/>
      <c r="K310" s="73"/>
      <c r="L310" s="73"/>
      <c r="M310" s="74"/>
      <c r="N310" s="71" t="str">
        <f t="shared" si="4"/>
        <v/>
      </c>
      <c r="O310" s="72"/>
      <c r="P310" s="72"/>
      <c r="Q310" s="72"/>
      <c r="R310" s="72"/>
      <c r="S310" s="72"/>
      <c r="T310" s="72"/>
      <c r="U310" s="72"/>
      <c r="V310" s="72"/>
    </row>
    <row r="311" spans="1:25" ht="27.75" customHeight="1">
      <c r="A311" s="87" t="str">
        <f>IF(ISBLANK(C311)," ",306-COUNTBLANK($C$6:C311))</f>
        <v xml:space="preserve"> </v>
      </c>
      <c r="B311" s="88"/>
      <c r="C311" s="88"/>
      <c r="D311" s="89"/>
      <c r="E311" s="89"/>
      <c r="F311" s="73"/>
      <c r="G311" s="73"/>
      <c r="H311" s="73"/>
      <c r="I311" s="73"/>
      <c r="J311" s="73"/>
      <c r="K311" s="73"/>
      <c r="L311" s="73"/>
      <c r="M311" s="74"/>
      <c r="N311" s="71" t="str">
        <f t="shared" si="4"/>
        <v/>
      </c>
      <c r="O311" s="72"/>
      <c r="P311" s="72"/>
      <c r="Q311" s="72"/>
      <c r="R311" s="72"/>
      <c r="S311" s="72"/>
      <c r="T311" s="72"/>
      <c r="U311" s="72"/>
      <c r="V311" s="72"/>
    </row>
    <row r="312" spans="1:25" ht="27.75" customHeight="1">
      <c r="A312" s="87" t="str">
        <f>IF(ISBLANK(C312)," ",307-COUNTBLANK($C$6:C312))</f>
        <v xml:space="preserve"> </v>
      </c>
      <c r="B312" s="88"/>
      <c r="C312" s="88"/>
      <c r="D312" s="89"/>
      <c r="E312" s="89"/>
      <c r="F312" s="73"/>
      <c r="G312" s="73"/>
      <c r="H312" s="73"/>
      <c r="I312" s="73"/>
      <c r="J312" s="73"/>
      <c r="K312" s="73"/>
      <c r="L312" s="73"/>
      <c r="M312" s="74"/>
      <c r="N312" s="71" t="str">
        <f t="shared" si="4"/>
        <v/>
      </c>
      <c r="O312" s="72"/>
      <c r="P312" s="72"/>
      <c r="Q312" s="72"/>
      <c r="R312" s="72"/>
      <c r="S312" s="72"/>
      <c r="T312" s="72"/>
      <c r="U312" s="72"/>
      <c r="V312" s="72"/>
    </row>
    <row r="313" spans="1:25" ht="27.75" customHeight="1">
      <c r="A313" s="87" t="str">
        <f>IF(ISBLANK(C313)," ",308-COUNTBLANK($C$6:C313))</f>
        <v xml:space="preserve"> </v>
      </c>
      <c r="B313" s="88"/>
      <c r="C313" s="88"/>
      <c r="D313" s="89"/>
      <c r="E313" s="89"/>
      <c r="F313" s="73"/>
      <c r="G313" s="73"/>
      <c r="H313" s="73"/>
      <c r="I313" s="73"/>
      <c r="J313" s="73"/>
      <c r="K313" s="73"/>
      <c r="L313" s="73"/>
      <c r="M313" s="74"/>
      <c r="N313" s="71" t="str">
        <f t="shared" si="4"/>
        <v/>
      </c>
      <c r="O313" s="72"/>
      <c r="P313" s="72"/>
      <c r="Q313" s="72"/>
      <c r="R313" s="72"/>
      <c r="S313" s="72"/>
      <c r="T313" s="72"/>
      <c r="U313" s="72"/>
      <c r="V313" s="72"/>
    </row>
    <row r="314" spans="1:25" ht="27.75" customHeight="1">
      <c r="A314" s="87" t="str">
        <f>IF(ISBLANK(C314)," ",309-COUNTBLANK($C$6:C314))</f>
        <v xml:space="preserve"> </v>
      </c>
      <c r="B314" s="88"/>
      <c r="C314" s="88"/>
      <c r="D314" s="89"/>
      <c r="E314" s="89"/>
      <c r="F314" s="73"/>
      <c r="G314" s="73"/>
      <c r="H314" s="73"/>
      <c r="I314" s="73"/>
      <c r="J314" s="73"/>
      <c r="K314" s="73"/>
      <c r="L314" s="73"/>
      <c r="M314" s="74"/>
      <c r="N314" s="71" t="str">
        <f t="shared" si="4"/>
        <v/>
      </c>
      <c r="O314" s="72"/>
      <c r="P314" s="72"/>
      <c r="Q314" s="72"/>
      <c r="R314" s="72"/>
      <c r="S314" s="72"/>
      <c r="T314" s="72"/>
      <c r="U314" s="72"/>
      <c r="V314" s="72"/>
    </row>
    <row r="315" spans="1:25" ht="27.75" customHeight="1">
      <c r="A315" s="87" t="str">
        <f>IF(ISBLANK(C315)," ",310-COUNTBLANK($C$6:C315))</f>
        <v xml:space="preserve"> </v>
      </c>
      <c r="B315" s="88"/>
      <c r="C315" s="88"/>
      <c r="D315" s="89"/>
      <c r="E315" s="89"/>
      <c r="F315" s="73"/>
      <c r="G315" s="73"/>
      <c r="H315" s="73"/>
      <c r="I315" s="73"/>
      <c r="J315" s="73"/>
      <c r="K315" s="73"/>
      <c r="L315" s="73"/>
      <c r="M315" s="74"/>
      <c r="N315" s="71" t="str">
        <f t="shared" si="4"/>
        <v/>
      </c>
      <c r="O315" s="75"/>
      <c r="P315" s="72"/>
      <c r="Q315" s="72"/>
      <c r="R315" s="72"/>
      <c r="S315" s="72"/>
      <c r="T315" s="72"/>
      <c r="U315" s="72"/>
      <c r="V315" s="76"/>
    </row>
    <row r="316" spans="1:25" ht="27.75" customHeight="1">
      <c r="A316" s="87" t="str">
        <f>IF(ISBLANK(C316)," ",311-COUNTBLANK($C$6:C316))</f>
        <v xml:space="preserve"> </v>
      </c>
      <c r="B316" s="88"/>
      <c r="C316" s="88"/>
      <c r="D316" s="89"/>
      <c r="E316" s="89"/>
      <c r="F316" s="73"/>
      <c r="G316" s="73"/>
      <c r="H316" s="73"/>
      <c r="I316" s="73"/>
      <c r="J316" s="73"/>
      <c r="K316" s="73"/>
      <c r="L316" s="73"/>
      <c r="M316" s="74"/>
      <c r="N316" s="71" t="str">
        <f t="shared" si="4"/>
        <v/>
      </c>
      <c r="O316" s="75"/>
      <c r="P316" s="72"/>
      <c r="Q316" s="72"/>
      <c r="R316" s="72"/>
      <c r="S316" s="72"/>
      <c r="T316" s="72"/>
      <c r="U316" s="72"/>
      <c r="V316" s="76"/>
    </row>
    <row r="317" spans="1:25" ht="27.75" customHeight="1">
      <c r="A317" s="87" t="str">
        <f>IF(ISBLANK(C317)," ",312-COUNTBLANK($C$6:C317))</f>
        <v xml:space="preserve"> </v>
      </c>
      <c r="B317" s="88"/>
      <c r="C317" s="88"/>
      <c r="D317" s="89"/>
      <c r="E317" s="89"/>
      <c r="F317" s="73"/>
      <c r="G317" s="73"/>
      <c r="H317" s="73"/>
      <c r="I317" s="73"/>
      <c r="J317" s="73"/>
      <c r="K317" s="73"/>
      <c r="L317" s="73"/>
      <c r="M317" s="74"/>
      <c r="N317" s="71" t="str">
        <f t="shared" si="4"/>
        <v/>
      </c>
      <c r="O317" s="75"/>
      <c r="P317" s="72"/>
      <c r="Q317" s="72"/>
      <c r="R317" s="72"/>
      <c r="S317" s="72"/>
      <c r="T317" s="72"/>
      <c r="U317" s="72"/>
      <c r="V317" s="76"/>
    </row>
    <row r="318" spans="1:25" ht="27.75" customHeight="1">
      <c r="A318" s="87" t="str">
        <f>IF(ISBLANK(C318)," ",313-COUNTBLANK($C$6:C318))</f>
        <v xml:space="preserve"> </v>
      </c>
      <c r="B318" s="88"/>
      <c r="C318" s="88"/>
      <c r="D318" s="89"/>
      <c r="E318" s="89"/>
      <c r="F318" s="73"/>
      <c r="G318" s="73"/>
      <c r="H318" s="73"/>
      <c r="I318" s="73"/>
      <c r="J318" s="73"/>
      <c r="K318" s="73"/>
      <c r="L318" s="73"/>
      <c r="M318" s="74"/>
      <c r="N318" s="71" t="str">
        <f t="shared" si="4"/>
        <v/>
      </c>
      <c r="O318" s="75"/>
      <c r="P318" s="72"/>
      <c r="Q318" s="72"/>
      <c r="R318" s="72"/>
      <c r="S318" s="72"/>
      <c r="T318" s="72"/>
      <c r="U318" s="72"/>
      <c r="V318" s="76"/>
    </row>
    <row r="319" spans="1:25" ht="27.75" customHeight="1">
      <c r="A319" s="87" t="str">
        <f>IF(ISBLANK(C319)," ",314-COUNTBLANK($C$6:C319))</f>
        <v xml:space="preserve"> </v>
      </c>
      <c r="B319" s="88"/>
      <c r="C319" s="88"/>
      <c r="D319" s="89"/>
      <c r="E319" s="89"/>
      <c r="F319" s="73"/>
      <c r="G319" s="73"/>
      <c r="H319" s="73"/>
      <c r="I319" s="73"/>
      <c r="J319" s="73"/>
      <c r="K319" s="73"/>
      <c r="L319" s="73"/>
      <c r="M319" s="74"/>
      <c r="N319" s="71" t="str">
        <f t="shared" si="4"/>
        <v/>
      </c>
      <c r="O319" s="72"/>
      <c r="P319" s="72"/>
      <c r="Q319" s="72"/>
      <c r="R319" s="72"/>
      <c r="S319" s="72"/>
      <c r="T319" s="72"/>
      <c r="U319" s="72"/>
      <c r="V319" s="79"/>
      <c r="W319" s="72"/>
      <c r="X319" s="72"/>
      <c r="Y319" s="72"/>
    </row>
    <row r="320" spans="1:25" ht="27.75" customHeight="1">
      <c r="A320" s="80" t="s">
        <v>58</v>
      </c>
      <c r="B320" s="81"/>
      <c r="C320" s="96"/>
      <c r="D320" s="82"/>
      <c r="E320" s="82">
        <f>SUM(E300:E319)</f>
        <v>0</v>
      </c>
      <c r="F320" s="83"/>
      <c r="G320" s="83"/>
      <c r="H320" s="83"/>
      <c r="I320" s="83"/>
      <c r="J320" s="83"/>
      <c r="K320" s="83"/>
      <c r="L320" s="83"/>
      <c r="M320" s="84"/>
      <c r="N320" s="71" t="str">
        <f t="shared" si="4"/>
        <v/>
      </c>
      <c r="O320" s="75"/>
      <c r="P320" s="72"/>
      <c r="Q320" s="72"/>
      <c r="R320" s="72"/>
      <c r="S320" s="72"/>
      <c r="T320" s="72"/>
      <c r="U320" s="72"/>
      <c r="V320" s="79"/>
      <c r="W320" s="72"/>
      <c r="X320" s="72"/>
      <c r="Y320" s="72"/>
    </row>
    <row r="321" spans="1:22" ht="27.75" customHeight="1">
      <c r="A321" s="93" t="str">
        <f>IF(ISBLANK(C321)," ",316-COUNTBLANK($C$6:C321))</f>
        <v xml:space="preserve"> </v>
      </c>
      <c r="B321" s="94"/>
      <c r="C321" s="94"/>
      <c r="D321" s="95"/>
      <c r="E321" s="95"/>
      <c r="F321" s="85"/>
      <c r="G321" s="85"/>
      <c r="H321" s="85"/>
      <c r="I321" s="85"/>
      <c r="J321" s="85"/>
      <c r="K321" s="85"/>
      <c r="L321" s="85"/>
      <c r="M321" s="86"/>
      <c r="N321" s="71" t="str">
        <f t="shared" si="4"/>
        <v/>
      </c>
      <c r="O321" s="72"/>
      <c r="P321" s="72"/>
      <c r="Q321" s="72"/>
      <c r="R321" s="72"/>
      <c r="S321" s="72"/>
      <c r="T321" s="72"/>
      <c r="U321" s="72"/>
      <c r="V321" s="72"/>
    </row>
    <row r="322" spans="1:22" ht="27.75" customHeight="1">
      <c r="A322" s="87" t="str">
        <f>IF(ISBLANK(C322)," ",317-COUNTBLANK($C$6:C322))</f>
        <v xml:space="preserve"> </v>
      </c>
      <c r="B322" s="88"/>
      <c r="C322" s="88"/>
      <c r="D322" s="89"/>
      <c r="E322" s="89"/>
      <c r="F322" s="73"/>
      <c r="G322" s="73"/>
      <c r="H322" s="73"/>
      <c r="I322" s="73"/>
      <c r="J322" s="73"/>
      <c r="K322" s="73"/>
      <c r="L322" s="73"/>
      <c r="M322" s="74"/>
      <c r="N322" s="71" t="str">
        <f t="shared" si="4"/>
        <v/>
      </c>
      <c r="O322" s="72"/>
      <c r="P322" s="72"/>
      <c r="Q322" s="72"/>
      <c r="R322" s="72"/>
      <c r="S322" s="72"/>
      <c r="T322" s="72"/>
      <c r="U322" s="72"/>
      <c r="V322" s="72"/>
    </row>
    <row r="323" spans="1:22" ht="27.75" customHeight="1">
      <c r="A323" s="87" t="str">
        <f>IF(ISBLANK(C323)," ",318-COUNTBLANK($C$6:C323))</f>
        <v xml:space="preserve"> </v>
      </c>
      <c r="B323" s="88"/>
      <c r="C323" s="88"/>
      <c r="D323" s="89"/>
      <c r="E323" s="89"/>
      <c r="F323" s="73"/>
      <c r="G323" s="73"/>
      <c r="H323" s="73"/>
      <c r="I323" s="73"/>
      <c r="J323" s="73"/>
      <c r="K323" s="73"/>
      <c r="L323" s="73"/>
      <c r="M323" s="74"/>
      <c r="N323" s="71" t="str">
        <f t="shared" si="4"/>
        <v/>
      </c>
      <c r="O323" s="72"/>
      <c r="P323" s="72"/>
      <c r="Q323" s="72"/>
      <c r="R323" s="72"/>
      <c r="S323" s="72"/>
      <c r="T323" s="72"/>
      <c r="U323" s="72"/>
      <c r="V323" s="72"/>
    </row>
    <row r="324" spans="1:22" ht="27.75" customHeight="1">
      <c r="A324" s="87" t="str">
        <f>IF(ISBLANK(C324)," ",319-COUNTBLANK($C$6:C324))</f>
        <v xml:space="preserve"> </v>
      </c>
      <c r="B324" s="88"/>
      <c r="C324" s="88"/>
      <c r="D324" s="89"/>
      <c r="E324" s="89"/>
      <c r="F324" s="73"/>
      <c r="G324" s="73"/>
      <c r="H324" s="73"/>
      <c r="I324" s="73"/>
      <c r="J324" s="73"/>
      <c r="K324" s="73"/>
      <c r="L324" s="73"/>
      <c r="M324" s="74"/>
      <c r="N324" s="71" t="str">
        <f t="shared" si="4"/>
        <v/>
      </c>
      <c r="O324" s="72"/>
      <c r="P324" s="72"/>
      <c r="Q324" s="72"/>
      <c r="R324" s="72"/>
      <c r="S324" s="72"/>
      <c r="T324" s="72"/>
      <c r="U324" s="72"/>
      <c r="V324" s="72"/>
    </row>
    <row r="325" spans="1:22" ht="27.75" customHeight="1">
      <c r="A325" s="87" t="str">
        <f>IF(ISBLANK(C325)," ",320-COUNTBLANK($C$6:C325))</f>
        <v xml:space="preserve"> </v>
      </c>
      <c r="B325" s="88"/>
      <c r="C325" s="88"/>
      <c r="D325" s="89"/>
      <c r="E325" s="89"/>
      <c r="F325" s="73"/>
      <c r="G325" s="73"/>
      <c r="H325" s="73"/>
      <c r="I325" s="73"/>
      <c r="J325" s="73"/>
      <c r="K325" s="73"/>
      <c r="L325" s="73"/>
      <c r="M325" s="74"/>
      <c r="N325" s="71" t="str">
        <f t="shared" si="4"/>
        <v/>
      </c>
      <c r="O325" s="72"/>
      <c r="P325" s="72"/>
      <c r="Q325" s="72"/>
      <c r="R325" s="72"/>
      <c r="S325" s="72"/>
      <c r="T325" s="72"/>
      <c r="U325" s="72"/>
      <c r="V325" s="72"/>
    </row>
    <row r="326" spans="1:22" ht="27.75" customHeight="1">
      <c r="A326" s="87" t="str">
        <f>IF(ISBLANK(C326)," ",321-COUNTBLANK($C$6:C326))</f>
        <v xml:space="preserve"> </v>
      </c>
      <c r="B326" s="88"/>
      <c r="C326" s="88"/>
      <c r="D326" s="89"/>
      <c r="E326" s="89"/>
      <c r="F326" s="73"/>
      <c r="G326" s="73"/>
      <c r="H326" s="73"/>
      <c r="I326" s="73"/>
      <c r="J326" s="73"/>
      <c r="K326" s="73"/>
      <c r="L326" s="73"/>
      <c r="M326" s="74"/>
      <c r="N326" s="71" t="str">
        <f t="shared" ref="N326:N389" si="5">CONCATENATE(C326,H326)</f>
        <v/>
      </c>
      <c r="O326" s="72"/>
      <c r="P326" s="72"/>
      <c r="Q326" s="72"/>
      <c r="R326" s="72"/>
      <c r="S326" s="72"/>
      <c r="T326" s="72"/>
      <c r="U326" s="72"/>
      <c r="V326" s="72"/>
    </row>
    <row r="327" spans="1:22" ht="27.75" customHeight="1">
      <c r="A327" s="87" t="str">
        <f>IF(ISBLANK(C327)," ",322-COUNTBLANK($C$6:C327))</f>
        <v xml:space="preserve"> </v>
      </c>
      <c r="B327" s="88"/>
      <c r="C327" s="88"/>
      <c r="D327" s="89"/>
      <c r="E327" s="89"/>
      <c r="F327" s="73"/>
      <c r="G327" s="73"/>
      <c r="H327" s="73"/>
      <c r="I327" s="73"/>
      <c r="J327" s="73"/>
      <c r="K327" s="73"/>
      <c r="L327" s="73"/>
      <c r="M327" s="74"/>
      <c r="N327" s="71" t="str">
        <f t="shared" si="5"/>
        <v/>
      </c>
      <c r="O327" s="72"/>
      <c r="P327" s="72"/>
      <c r="Q327" s="72"/>
      <c r="R327" s="72"/>
      <c r="S327" s="72"/>
      <c r="T327" s="72"/>
      <c r="U327" s="72"/>
      <c r="V327" s="72"/>
    </row>
    <row r="328" spans="1:22" ht="27.75" customHeight="1">
      <c r="A328" s="87" t="str">
        <f>IF(ISBLANK(C328)," ",323-COUNTBLANK($C$6:C328))</f>
        <v xml:space="preserve"> </v>
      </c>
      <c r="B328" s="88"/>
      <c r="C328" s="88"/>
      <c r="D328" s="89"/>
      <c r="E328" s="89"/>
      <c r="F328" s="73"/>
      <c r="G328" s="73"/>
      <c r="H328" s="73"/>
      <c r="I328" s="73"/>
      <c r="J328" s="73"/>
      <c r="K328" s="73"/>
      <c r="L328" s="73"/>
      <c r="M328" s="74"/>
      <c r="N328" s="71" t="str">
        <f t="shared" si="5"/>
        <v/>
      </c>
      <c r="O328" s="72"/>
      <c r="P328" s="72"/>
      <c r="Q328" s="72"/>
      <c r="R328" s="72"/>
      <c r="S328" s="72"/>
      <c r="T328" s="72"/>
      <c r="U328" s="72"/>
      <c r="V328" s="72"/>
    </row>
    <row r="329" spans="1:22" ht="27.75" customHeight="1">
      <c r="A329" s="87" t="str">
        <f>IF(ISBLANK(C329)," ",324-COUNTBLANK($C$6:C329))</f>
        <v xml:space="preserve"> </v>
      </c>
      <c r="B329" s="88"/>
      <c r="C329" s="88"/>
      <c r="D329" s="89"/>
      <c r="E329" s="89"/>
      <c r="F329" s="73"/>
      <c r="G329" s="73"/>
      <c r="H329" s="73"/>
      <c r="I329" s="73"/>
      <c r="J329" s="73"/>
      <c r="K329" s="73"/>
      <c r="L329" s="73"/>
      <c r="M329" s="74"/>
      <c r="N329" s="71" t="str">
        <f t="shared" si="5"/>
        <v/>
      </c>
      <c r="O329" s="72"/>
      <c r="P329" s="72"/>
      <c r="Q329" s="72"/>
      <c r="R329" s="72"/>
      <c r="S329" s="72"/>
      <c r="T329" s="72"/>
      <c r="U329" s="72"/>
      <c r="V329" s="72"/>
    </row>
    <row r="330" spans="1:22" ht="27.75" customHeight="1">
      <c r="A330" s="87" t="str">
        <f>IF(ISBLANK(C330)," ",325-COUNTBLANK($C$6:C330))</f>
        <v xml:space="preserve"> </v>
      </c>
      <c r="B330" s="88"/>
      <c r="C330" s="88"/>
      <c r="D330" s="89"/>
      <c r="E330" s="89"/>
      <c r="F330" s="73"/>
      <c r="G330" s="73"/>
      <c r="H330" s="73"/>
      <c r="I330" s="73"/>
      <c r="J330" s="73"/>
      <c r="K330" s="73"/>
      <c r="L330" s="73"/>
      <c r="M330" s="74"/>
      <c r="N330" s="71" t="str">
        <f t="shared" si="5"/>
        <v/>
      </c>
      <c r="O330" s="72"/>
      <c r="P330" s="72"/>
      <c r="Q330" s="72"/>
      <c r="R330" s="72"/>
      <c r="S330" s="72"/>
      <c r="T330" s="72"/>
      <c r="U330" s="72"/>
      <c r="V330" s="72"/>
    </row>
    <row r="331" spans="1:22" ht="27.75" customHeight="1">
      <c r="A331" s="87" t="str">
        <f>IF(ISBLANK(C331)," ",326-COUNTBLANK($C$6:C331))</f>
        <v xml:space="preserve"> </v>
      </c>
      <c r="B331" s="88"/>
      <c r="C331" s="88"/>
      <c r="D331" s="89"/>
      <c r="E331" s="89"/>
      <c r="F331" s="73"/>
      <c r="G331" s="73"/>
      <c r="H331" s="73"/>
      <c r="I331" s="73"/>
      <c r="J331" s="73"/>
      <c r="K331" s="73"/>
      <c r="L331" s="73"/>
      <c r="M331" s="74"/>
      <c r="N331" s="71" t="str">
        <f t="shared" si="5"/>
        <v/>
      </c>
      <c r="O331" s="72"/>
      <c r="P331" s="72"/>
      <c r="Q331" s="72"/>
      <c r="R331" s="72"/>
      <c r="S331" s="72"/>
      <c r="T331" s="72"/>
      <c r="U331" s="72"/>
      <c r="V331" s="72"/>
    </row>
    <row r="332" spans="1:22" ht="27.75" customHeight="1">
      <c r="A332" s="87" t="str">
        <f>IF(ISBLANK(C332)," ",327-COUNTBLANK($C$6:C332))</f>
        <v xml:space="preserve"> </v>
      </c>
      <c r="B332" s="88"/>
      <c r="C332" s="88"/>
      <c r="D332" s="89"/>
      <c r="E332" s="89"/>
      <c r="F332" s="73"/>
      <c r="G332" s="73"/>
      <c r="H332" s="73"/>
      <c r="I332" s="73"/>
      <c r="J332" s="73"/>
      <c r="K332" s="73"/>
      <c r="L332" s="73"/>
      <c r="M332" s="74"/>
      <c r="N332" s="71" t="str">
        <f t="shared" si="5"/>
        <v/>
      </c>
      <c r="O332" s="72"/>
      <c r="P332" s="72"/>
      <c r="Q332" s="72"/>
      <c r="R332" s="72"/>
      <c r="S332" s="72"/>
      <c r="T332" s="72"/>
      <c r="U332" s="72"/>
      <c r="V332" s="72"/>
    </row>
    <row r="333" spans="1:22" ht="27.75" customHeight="1">
      <c r="A333" s="87" t="str">
        <f>IF(ISBLANK(C333)," ",328-COUNTBLANK($C$6:C333))</f>
        <v xml:space="preserve"> </v>
      </c>
      <c r="B333" s="88"/>
      <c r="C333" s="88"/>
      <c r="D333" s="89"/>
      <c r="E333" s="89"/>
      <c r="F333" s="73"/>
      <c r="G333" s="73"/>
      <c r="H333" s="73"/>
      <c r="I333" s="73"/>
      <c r="J333" s="73"/>
      <c r="K333" s="73"/>
      <c r="L333" s="73"/>
      <c r="M333" s="74"/>
      <c r="N333" s="71" t="str">
        <f t="shared" si="5"/>
        <v/>
      </c>
      <c r="O333" s="72"/>
      <c r="P333" s="72"/>
      <c r="Q333" s="72"/>
      <c r="R333" s="72"/>
      <c r="S333" s="72"/>
      <c r="T333" s="72"/>
      <c r="U333" s="72"/>
      <c r="V333" s="72"/>
    </row>
    <row r="334" spans="1:22" ht="27.75" customHeight="1">
      <c r="A334" s="87" t="str">
        <f>IF(ISBLANK(C334)," ",329-COUNTBLANK($C$6:C334))</f>
        <v xml:space="preserve"> </v>
      </c>
      <c r="B334" s="88"/>
      <c r="C334" s="88"/>
      <c r="D334" s="89"/>
      <c r="E334" s="89"/>
      <c r="F334" s="73"/>
      <c r="G334" s="73"/>
      <c r="H334" s="73"/>
      <c r="I334" s="73"/>
      <c r="J334" s="73"/>
      <c r="K334" s="73"/>
      <c r="L334" s="73"/>
      <c r="M334" s="74"/>
      <c r="N334" s="71" t="str">
        <f t="shared" si="5"/>
        <v/>
      </c>
      <c r="O334" s="72"/>
      <c r="P334" s="72"/>
      <c r="Q334" s="72"/>
      <c r="R334" s="72"/>
      <c r="S334" s="72"/>
      <c r="T334" s="72"/>
      <c r="U334" s="72"/>
      <c r="V334" s="72"/>
    </row>
    <row r="335" spans="1:22" ht="27.75" customHeight="1">
      <c r="A335" s="87" t="str">
        <f>IF(ISBLANK(C335)," ",330-COUNTBLANK($C$6:C335))</f>
        <v xml:space="preserve"> </v>
      </c>
      <c r="B335" s="88"/>
      <c r="C335" s="88"/>
      <c r="D335" s="89"/>
      <c r="E335" s="89"/>
      <c r="F335" s="73"/>
      <c r="G335" s="73"/>
      <c r="H335" s="73"/>
      <c r="I335" s="73"/>
      <c r="J335" s="73"/>
      <c r="K335" s="73"/>
      <c r="L335" s="73"/>
      <c r="M335" s="74"/>
      <c r="N335" s="71" t="str">
        <f t="shared" si="5"/>
        <v/>
      </c>
      <c r="O335" s="72"/>
      <c r="P335" s="72"/>
      <c r="Q335" s="72"/>
      <c r="R335" s="72"/>
      <c r="S335" s="72"/>
      <c r="T335" s="72"/>
      <c r="U335" s="72"/>
      <c r="V335" s="72"/>
    </row>
    <row r="336" spans="1:22" ht="27.75" customHeight="1">
      <c r="A336" s="87" t="str">
        <f>IF(ISBLANK(C336)," ",331-COUNTBLANK($C$6:C336))</f>
        <v xml:space="preserve"> </v>
      </c>
      <c r="B336" s="88"/>
      <c r="C336" s="88"/>
      <c r="D336" s="89"/>
      <c r="E336" s="89"/>
      <c r="F336" s="73"/>
      <c r="G336" s="73"/>
      <c r="H336" s="73"/>
      <c r="I336" s="73"/>
      <c r="J336" s="73"/>
      <c r="K336" s="73"/>
      <c r="L336" s="73"/>
      <c r="M336" s="74"/>
      <c r="N336" s="71" t="str">
        <f t="shared" si="5"/>
        <v/>
      </c>
      <c r="O336" s="75"/>
      <c r="P336" s="72"/>
      <c r="Q336" s="72"/>
      <c r="R336" s="72"/>
      <c r="S336" s="72"/>
      <c r="T336" s="72"/>
      <c r="U336" s="72"/>
      <c r="V336" s="76"/>
    </row>
    <row r="337" spans="1:25" ht="27.75" customHeight="1">
      <c r="A337" s="87" t="str">
        <f>IF(ISBLANK(C337)," ",332-COUNTBLANK($C$6:C337))</f>
        <v xml:space="preserve"> </v>
      </c>
      <c r="B337" s="88"/>
      <c r="C337" s="88"/>
      <c r="D337" s="89"/>
      <c r="E337" s="89"/>
      <c r="F337" s="73"/>
      <c r="G337" s="73"/>
      <c r="H337" s="73"/>
      <c r="I337" s="73"/>
      <c r="J337" s="73"/>
      <c r="K337" s="73"/>
      <c r="L337" s="73"/>
      <c r="M337" s="74"/>
      <c r="N337" s="71" t="str">
        <f t="shared" si="5"/>
        <v/>
      </c>
      <c r="O337" s="75"/>
      <c r="P337" s="72"/>
      <c r="Q337" s="72"/>
      <c r="R337" s="72"/>
      <c r="S337" s="72"/>
      <c r="T337" s="72"/>
      <c r="U337" s="72"/>
      <c r="V337" s="76"/>
    </row>
    <row r="338" spans="1:25" ht="27.75" customHeight="1">
      <c r="A338" s="87" t="str">
        <f>IF(ISBLANK(C338)," ",333-COUNTBLANK($C$6:C338))</f>
        <v xml:space="preserve"> </v>
      </c>
      <c r="B338" s="88"/>
      <c r="C338" s="88"/>
      <c r="D338" s="89"/>
      <c r="E338" s="89"/>
      <c r="F338" s="73"/>
      <c r="G338" s="73"/>
      <c r="H338" s="73"/>
      <c r="I338" s="73"/>
      <c r="J338" s="73"/>
      <c r="K338" s="73"/>
      <c r="L338" s="73"/>
      <c r="M338" s="74"/>
      <c r="N338" s="71" t="str">
        <f t="shared" si="5"/>
        <v/>
      </c>
      <c r="O338" s="75"/>
      <c r="P338" s="72"/>
      <c r="Q338" s="72"/>
      <c r="R338" s="72"/>
      <c r="S338" s="72"/>
      <c r="T338" s="72"/>
      <c r="U338" s="72"/>
      <c r="V338" s="76"/>
    </row>
    <row r="339" spans="1:25" ht="27.75" customHeight="1">
      <c r="A339" s="87" t="str">
        <f>IF(ISBLANK(C339)," ",334-COUNTBLANK($C$6:C339))</f>
        <v xml:space="preserve"> </v>
      </c>
      <c r="B339" s="88"/>
      <c r="C339" s="88"/>
      <c r="D339" s="89"/>
      <c r="E339" s="89"/>
      <c r="F339" s="73"/>
      <c r="G339" s="73"/>
      <c r="H339" s="73"/>
      <c r="I339" s="73"/>
      <c r="J339" s="73"/>
      <c r="K339" s="73"/>
      <c r="L339" s="73"/>
      <c r="M339" s="74"/>
      <c r="N339" s="71" t="str">
        <f t="shared" si="5"/>
        <v/>
      </c>
      <c r="O339" s="75"/>
      <c r="P339" s="72"/>
      <c r="Q339" s="72"/>
      <c r="R339" s="72"/>
      <c r="S339" s="72"/>
      <c r="T339" s="72"/>
      <c r="U339" s="72"/>
      <c r="V339" s="76"/>
    </row>
    <row r="340" spans="1:25" ht="27.75" customHeight="1">
      <c r="A340" s="87" t="str">
        <f>IF(ISBLANK(C340)," ",335-COUNTBLANK($C$6:C340))</f>
        <v xml:space="preserve"> </v>
      </c>
      <c r="B340" s="88"/>
      <c r="C340" s="88"/>
      <c r="D340" s="89"/>
      <c r="E340" s="89"/>
      <c r="F340" s="73"/>
      <c r="G340" s="73"/>
      <c r="H340" s="73"/>
      <c r="I340" s="73"/>
      <c r="J340" s="73"/>
      <c r="K340" s="73"/>
      <c r="L340" s="73"/>
      <c r="M340" s="74"/>
      <c r="N340" s="71" t="str">
        <f t="shared" si="5"/>
        <v/>
      </c>
      <c r="O340" s="72"/>
      <c r="P340" s="72"/>
      <c r="Q340" s="72"/>
      <c r="R340" s="72"/>
      <c r="S340" s="72"/>
      <c r="T340" s="72"/>
      <c r="U340" s="72"/>
      <c r="V340" s="79"/>
      <c r="W340" s="72"/>
      <c r="X340" s="72"/>
      <c r="Y340" s="72"/>
    </row>
    <row r="341" spans="1:25" ht="27.75" customHeight="1">
      <c r="A341" s="80" t="s">
        <v>58</v>
      </c>
      <c r="B341" s="81"/>
      <c r="C341" s="96"/>
      <c r="D341" s="82"/>
      <c r="E341" s="82">
        <f>SUM(E321:E340)</f>
        <v>0</v>
      </c>
      <c r="F341" s="83"/>
      <c r="G341" s="83"/>
      <c r="H341" s="83"/>
      <c r="I341" s="83"/>
      <c r="J341" s="83"/>
      <c r="K341" s="83"/>
      <c r="L341" s="83"/>
      <c r="M341" s="84"/>
      <c r="N341" s="71" t="str">
        <f t="shared" si="5"/>
        <v/>
      </c>
      <c r="O341" s="75"/>
      <c r="P341" s="72"/>
      <c r="Q341" s="72"/>
      <c r="R341" s="72"/>
      <c r="S341" s="72"/>
      <c r="T341" s="72"/>
      <c r="U341" s="72"/>
      <c r="V341" s="79"/>
      <c r="W341" s="72"/>
      <c r="X341" s="72"/>
      <c r="Y341" s="72"/>
    </row>
    <row r="342" spans="1:25" ht="27.75" customHeight="1">
      <c r="A342" s="93" t="str">
        <f>IF(ISBLANK(C342)," ",337-COUNTBLANK($C$6:C342))</f>
        <v xml:space="preserve"> </v>
      </c>
      <c r="B342" s="94"/>
      <c r="C342" s="94"/>
      <c r="D342" s="95"/>
      <c r="E342" s="95"/>
      <c r="F342" s="85"/>
      <c r="G342" s="85"/>
      <c r="H342" s="85"/>
      <c r="I342" s="85"/>
      <c r="J342" s="85"/>
      <c r="K342" s="85"/>
      <c r="L342" s="85"/>
      <c r="M342" s="86"/>
      <c r="N342" s="71" t="str">
        <f t="shared" si="5"/>
        <v/>
      </c>
      <c r="O342" s="72"/>
      <c r="P342" s="72"/>
      <c r="Q342" s="72"/>
      <c r="R342" s="72"/>
      <c r="S342" s="72"/>
      <c r="T342" s="72"/>
      <c r="U342" s="72"/>
      <c r="V342" s="72"/>
    </row>
    <row r="343" spans="1:25" ht="27.75" customHeight="1">
      <c r="A343" s="87" t="str">
        <f>IF(ISBLANK(C343)," ",338-COUNTBLANK($C$6:C343))</f>
        <v xml:space="preserve"> </v>
      </c>
      <c r="B343" s="88"/>
      <c r="C343" s="88"/>
      <c r="D343" s="89"/>
      <c r="E343" s="89"/>
      <c r="F343" s="73"/>
      <c r="G343" s="73"/>
      <c r="H343" s="73"/>
      <c r="I343" s="73"/>
      <c r="J343" s="73"/>
      <c r="K343" s="73"/>
      <c r="L343" s="73"/>
      <c r="M343" s="74"/>
      <c r="N343" s="71" t="str">
        <f t="shared" si="5"/>
        <v/>
      </c>
      <c r="O343" s="72"/>
      <c r="P343" s="72"/>
      <c r="Q343" s="72"/>
      <c r="R343" s="72"/>
      <c r="S343" s="72"/>
      <c r="T343" s="72"/>
      <c r="U343" s="72"/>
      <c r="V343" s="72"/>
    </row>
    <row r="344" spans="1:25" ht="27.75" customHeight="1">
      <c r="A344" s="87" t="str">
        <f>IF(ISBLANK(C344)," ",339-COUNTBLANK($C$6:C344))</f>
        <v xml:space="preserve"> </v>
      </c>
      <c r="B344" s="88"/>
      <c r="C344" s="88"/>
      <c r="D344" s="89"/>
      <c r="E344" s="89"/>
      <c r="F344" s="73"/>
      <c r="G344" s="73"/>
      <c r="H344" s="73"/>
      <c r="I344" s="73"/>
      <c r="J344" s="73"/>
      <c r="K344" s="73"/>
      <c r="L344" s="73"/>
      <c r="M344" s="74"/>
      <c r="N344" s="71" t="str">
        <f t="shared" si="5"/>
        <v/>
      </c>
      <c r="O344" s="72"/>
      <c r="P344" s="72"/>
      <c r="Q344" s="72"/>
      <c r="R344" s="72"/>
      <c r="S344" s="72"/>
      <c r="T344" s="72"/>
      <c r="U344" s="72"/>
      <c r="V344" s="72"/>
    </row>
    <row r="345" spans="1:25" ht="27.75" customHeight="1">
      <c r="A345" s="87" t="str">
        <f>IF(ISBLANK(C345)," ",340-COUNTBLANK($C$6:C345))</f>
        <v xml:space="preserve"> </v>
      </c>
      <c r="B345" s="88"/>
      <c r="C345" s="88"/>
      <c r="D345" s="89"/>
      <c r="E345" s="89"/>
      <c r="F345" s="73"/>
      <c r="G345" s="73"/>
      <c r="H345" s="73"/>
      <c r="I345" s="73"/>
      <c r="J345" s="73"/>
      <c r="K345" s="73"/>
      <c r="L345" s="73"/>
      <c r="M345" s="74"/>
      <c r="N345" s="71" t="str">
        <f t="shared" si="5"/>
        <v/>
      </c>
      <c r="O345" s="72"/>
      <c r="P345" s="72"/>
      <c r="Q345" s="72"/>
      <c r="R345" s="72"/>
      <c r="S345" s="72"/>
      <c r="T345" s="72"/>
      <c r="U345" s="72"/>
      <c r="V345" s="72"/>
    </row>
    <row r="346" spans="1:25" ht="27.75" customHeight="1">
      <c r="A346" s="87" t="str">
        <f>IF(ISBLANK(C346)," ",341-COUNTBLANK($C$6:C346))</f>
        <v xml:space="preserve"> </v>
      </c>
      <c r="B346" s="88"/>
      <c r="C346" s="88"/>
      <c r="D346" s="89"/>
      <c r="E346" s="89"/>
      <c r="F346" s="73"/>
      <c r="G346" s="73"/>
      <c r="H346" s="73"/>
      <c r="I346" s="73"/>
      <c r="J346" s="73"/>
      <c r="K346" s="73"/>
      <c r="L346" s="73"/>
      <c r="M346" s="74"/>
      <c r="N346" s="71" t="str">
        <f t="shared" si="5"/>
        <v/>
      </c>
      <c r="O346" s="72"/>
      <c r="P346" s="72"/>
      <c r="Q346" s="72"/>
      <c r="R346" s="72"/>
      <c r="S346" s="72"/>
      <c r="T346" s="72"/>
      <c r="U346" s="72"/>
      <c r="V346" s="72"/>
    </row>
    <row r="347" spans="1:25" ht="27.75" customHeight="1">
      <c r="A347" s="87" t="str">
        <f>IF(ISBLANK(C347)," ",342-COUNTBLANK($C$6:C347))</f>
        <v xml:space="preserve"> </v>
      </c>
      <c r="B347" s="88"/>
      <c r="C347" s="88"/>
      <c r="D347" s="89"/>
      <c r="E347" s="89"/>
      <c r="F347" s="73"/>
      <c r="G347" s="73"/>
      <c r="H347" s="73"/>
      <c r="I347" s="73"/>
      <c r="J347" s="73"/>
      <c r="K347" s="73"/>
      <c r="L347" s="73"/>
      <c r="M347" s="74"/>
      <c r="N347" s="71" t="str">
        <f t="shared" si="5"/>
        <v/>
      </c>
      <c r="O347" s="72"/>
      <c r="P347" s="72"/>
      <c r="Q347" s="72"/>
      <c r="R347" s="72"/>
      <c r="S347" s="72"/>
      <c r="T347" s="72"/>
      <c r="U347" s="72"/>
      <c r="V347" s="72"/>
    </row>
    <row r="348" spans="1:25" ht="27.75" customHeight="1">
      <c r="A348" s="87" t="str">
        <f>IF(ISBLANK(C348)," ",343-COUNTBLANK($C$6:C348))</f>
        <v xml:space="preserve"> </v>
      </c>
      <c r="B348" s="88"/>
      <c r="C348" s="88"/>
      <c r="D348" s="89"/>
      <c r="E348" s="89"/>
      <c r="F348" s="73"/>
      <c r="G348" s="73"/>
      <c r="H348" s="73"/>
      <c r="I348" s="73"/>
      <c r="J348" s="73"/>
      <c r="K348" s="73"/>
      <c r="L348" s="73"/>
      <c r="M348" s="74"/>
      <c r="N348" s="71" t="str">
        <f t="shared" si="5"/>
        <v/>
      </c>
      <c r="O348" s="72"/>
      <c r="P348" s="72"/>
      <c r="Q348" s="72"/>
      <c r="R348" s="72"/>
      <c r="S348" s="72"/>
      <c r="T348" s="72"/>
      <c r="U348" s="72"/>
      <c r="V348" s="72"/>
    </row>
    <row r="349" spans="1:25" ht="27.75" customHeight="1">
      <c r="A349" s="87" t="str">
        <f>IF(ISBLANK(C349)," ",344-COUNTBLANK($C$6:C349))</f>
        <v xml:space="preserve"> </v>
      </c>
      <c r="B349" s="88"/>
      <c r="C349" s="88"/>
      <c r="D349" s="89"/>
      <c r="E349" s="89"/>
      <c r="F349" s="73"/>
      <c r="G349" s="73"/>
      <c r="H349" s="73"/>
      <c r="I349" s="73"/>
      <c r="J349" s="73"/>
      <c r="K349" s="73"/>
      <c r="L349" s="73"/>
      <c r="M349" s="74"/>
      <c r="N349" s="71" t="str">
        <f t="shared" si="5"/>
        <v/>
      </c>
      <c r="O349" s="72"/>
      <c r="P349" s="72"/>
      <c r="Q349" s="72"/>
      <c r="R349" s="72"/>
      <c r="S349" s="72"/>
      <c r="T349" s="72"/>
      <c r="U349" s="72"/>
      <c r="V349" s="72"/>
    </row>
    <row r="350" spans="1:25" ht="27.75" customHeight="1">
      <c r="A350" s="87" t="str">
        <f>IF(ISBLANK(C350)," ",345-COUNTBLANK($C$6:C350))</f>
        <v xml:space="preserve"> </v>
      </c>
      <c r="B350" s="88"/>
      <c r="C350" s="88"/>
      <c r="D350" s="89"/>
      <c r="E350" s="89"/>
      <c r="F350" s="73"/>
      <c r="G350" s="73"/>
      <c r="H350" s="73"/>
      <c r="I350" s="73"/>
      <c r="J350" s="73"/>
      <c r="K350" s="73"/>
      <c r="L350" s="73"/>
      <c r="M350" s="74"/>
      <c r="N350" s="71" t="str">
        <f t="shared" si="5"/>
        <v/>
      </c>
      <c r="O350" s="72"/>
      <c r="P350" s="72"/>
      <c r="Q350" s="72"/>
      <c r="R350" s="72"/>
      <c r="S350" s="72"/>
      <c r="T350" s="72"/>
      <c r="U350" s="72"/>
      <c r="V350" s="72"/>
    </row>
    <row r="351" spans="1:25" ht="27.75" customHeight="1">
      <c r="A351" s="87" t="str">
        <f>IF(ISBLANK(C351)," ",346-COUNTBLANK($C$6:C351))</f>
        <v xml:space="preserve"> </v>
      </c>
      <c r="B351" s="88"/>
      <c r="C351" s="88"/>
      <c r="D351" s="89"/>
      <c r="E351" s="89"/>
      <c r="F351" s="73"/>
      <c r="G351" s="73"/>
      <c r="H351" s="73"/>
      <c r="I351" s="73"/>
      <c r="J351" s="73"/>
      <c r="K351" s="73"/>
      <c r="L351" s="73"/>
      <c r="M351" s="74"/>
      <c r="N351" s="71" t="str">
        <f t="shared" si="5"/>
        <v/>
      </c>
      <c r="O351" s="72"/>
      <c r="P351" s="72"/>
      <c r="Q351" s="72"/>
      <c r="R351" s="72"/>
      <c r="S351" s="72"/>
      <c r="T351" s="72"/>
      <c r="U351" s="72"/>
      <c r="V351" s="72"/>
    </row>
    <row r="352" spans="1:25" ht="27.75" customHeight="1">
      <c r="A352" s="87" t="str">
        <f>IF(ISBLANK(C352)," ",347-COUNTBLANK($C$6:C352))</f>
        <v xml:space="preserve"> </v>
      </c>
      <c r="B352" s="88"/>
      <c r="C352" s="88"/>
      <c r="D352" s="89"/>
      <c r="E352" s="89"/>
      <c r="F352" s="73"/>
      <c r="G352" s="73"/>
      <c r="H352" s="73"/>
      <c r="I352" s="73"/>
      <c r="J352" s="73"/>
      <c r="K352" s="73"/>
      <c r="L352" s="73"/>
      <c r="M352" s="74"/>
      <c r="N352" s="71" t="str">
        <f t="shared" si="5"/>
        <v/>
      </c>
      <c r="O352" s="72"/>
      <c r="P352" s="72"/>
      <c r="Q352" s="72"/>
      <c r="R352" s="72"/>
      <c r="S352" s="72"/>
      <c r="T352" s="72"/>
      <c r="U352" s="72"/>
      <c r="V352" s="72"/>
    </row>
    <row r="353" spans="1:25" ht="27.75" customHeight="1">
      <c r="A353" s="87" t="str">
        <f>IF(ISBLANK(C353)," ",348-COUNTBLANK($C$6:C353))</f>
        <v xml:space="preserve"> </v>
      </c>
      <c r="B353" s="88"/>
      <c r="C353" s="88"/>
      <c r="D353" s="89"/>
      <c r="E353" s="89"/>
      <c r="F353" s="73"/>
      <c r="G353" s="73"/>
      <c r="H353" s="73"/>
      <c r="I353" s="73"/>
      <c r="J353" s="73"/>
      <c r="K353" s="73"/>
      <c r="L353" s="73"/>
      <c r="M353" s="74"/>
      <c r="N353" s="71" t="str">
        <f t="shared" si="5"/>
        <v/>
      </c>
      <c r="O353" s="72"/>
      <c r="P353" s="72"/>
      <c r="Q353" s="72"/>
      <c r="R353" s="72"/>
      <c r="S353" s="72"/>
      <c r="T353" s="72"/>
      <c r="U353" s="72"/>
      <c r="V353" s="72"/>
    </row>
    <row r="354" spans="1:25" ht="27.75" customHeight="1">
      <c r="A354" s="87" t="str">
        <f>IF(ISBLANK(C354)," ",349-COUNTBLANK($C$6:C354))</f>
        <v xml:space="preserve"> </v>
      </c>
      <c r="B354" s="88"/>
      <c r="C354" s="88"/>
      <c r="D354" s="89"/>
      <c r="E354" s="89"/>
      <c r="F354" s="73"/>
      <c r="G354" s="73"/>
      <c r="H354" s="73"/>
      <c r="I354" s="73"/>
      <c r="J354" s="73"/>
      <c r="K354" s="73"/>
      <c r="L354" s="73"/>
      <c r="M354" s="74"/>
      <c r="N354" s="71" t="str">
        <f t="shared" si="5"/>
        <v/>
      </c>
      <c r="O354" s="72"/>
      <c r="P354" s="72"/>
      <c r="Q354" s="72"/>
      <c r="R354" s="72"/>
      <c r="S354" s="72"/>
      <c r="T354" s="72"/>
      <c r="U354" s="72"/>
      <c r="V354" s="72"/>
    </row>
    <row r="355" spans="1:25" ht="27.75" customHeight="1">
      <c r="A355" s="87" t="str">
        <f>IF(ISBLANK(C355)," ",350-COUNTBLANK($C$6:C355))</f>
        <v xml:space="preserve"> </v>
      </c>
      <c r="B355" s="88"/>
      <c r="C355" s="88"/>
      <c r="D355" s="89"/>
      <c r="E355" s="89"/>
      <c r="F355" s="73"/>
      <c r="G355" s="73"/>
      <c r="H355" s="73"/>
      <c r="I355" s="73"/>
      <c r="J355" s="73"/>
      <c r="K355" s="73"/>
      <c r="L355" s="73"/>
      <c r="M355" s="74"/>
      <c r="N355" s="71" t="str">
        <f t="shared" si="5"/>
        <v/>
      </c>
      <c r="O355" s="72"/>
      <c r="P355" s="72"/>
      <c r="Q355" s="72"/>
      <c r="R355" s="72"/>
      <c r="S355" s="72"/>
      <c r="T355" s="72"/>
      <c r="U355" s="72"/>
      <c r="V355" s="72"/>
    </row>
    <row r="356" spans="1:25" ht="27.75" customHeight="1">
      <c r="A356" s="87" t="str">
        <f>IF(ISBLANK(C356)," ",351-COUNTBLANK($C$6:C356))</f>
        <v xml:space="preserve"> </v>
      </c>
      <c r="B356" s="88"/>
      <c r="C356" s="88"/>
      <c r="D356" s="89"/>
      <c r="E356" s="89"/>
      <c r="F356" s="73"/>
      <c r="G356" s="73"/>
      <c r="H356" s="73"/>
      <c r="I356" s="73"/>
      <c r="J356" s="73"/>
      <c r="K356" s="73"/>
      <c r="L356" s="73"/>
      <c r="M356" s="74"/>
      <c r="N356" s="71" t="str">
        <f t="shared" si="5"/>
        <v/>
      </c>
      <c r="O356" s="72"/>
      <c r="P356" s="72"/>
      <c r="Q356" s="72"/>
      <c r="R356" s="72"/>
      <c r="S356" s="72"/>
      <c r="T356" s="72"/>
      <c r="U356" s="72"/>
      <c r="V356" s="72"/>
    </row>
    <row r="357" spans="1:25" ht="27.75" customHeight="1">
      <c r="A357" s="87" t="str">
        <f>IF(ISBLANK(C357)," ",352-COUNTBLANK($C$6:C357))</f>
        <v xml:space="preserve"> </v>
      </c>
      <c r="B357" s="88"/>
      <c r="C357" s="88"/>
      <c r="D357" s="89"/>
      <c r="E357" s="89"/>
      <c r="F357" s="73"/>
      <c r="G357" s="73"/>
      <c r="H357" s="73"/>
      <c r="I357" s="73"/>
      <c r="J357" s="73"/>
      <c r="K357" s="73"/>
      <c r="L357" s="73"/>
      <c r="M357" s="74"/>
      <c r="N357" s="71" t="str">
        <f t="shared" si="5"/>
        <v/>
      </c>
      <c r="O357" s="75"/>
      <c r="P357" s="72"/>
      <c r="Q357" s="72"/>
      <c r="R357" s="72"/>
      <c r="S357" s="72"/>
      <c r="T357" s="72"/>
      <c r="U357" s="72"/>
      <c r="V357" s="76"/>
    </row>
    <row r="358" spans="1:25" ht="27.75" customHeight="1">
      <c r="A358" s="87" t="str">
        <f>IF(ISBLANK(C358)," ",353-COUNTBLANK($C$6:C358))</f>
        <v xml:space="preserve"> </v>
      </c>
      <c r="B358" s="88"/>
      <c r="C358" s="88"/>
      <c r="D358" s="89"/>
      <c r="E358" s="89"/>
      <c r="F358" s="73"/>
      <c r="G358" s="73"/>
      <c r="H358" s="73"/>
      <c r="I358" s="73"/>
      <c r="J358" s="73"/>
      <c r="K358" s="73"/>
      <c r="L358" s="73"/>
      <c r="M358" s="74"/>
      <c r="N358" s="71" t="str">
        <f t="shared" si="5"/>
        <v/>
      </c>
      <c r="O358" s="75"/>
      <c r="P358" s="72"/>
      <c r="Q358" s="72"/>
      <c r="R358" s="72"/>
      <c r="S358" s="72"/>
      <c r="T358" s="72"/>
      <c r="U358" s="72"/>
      <c r="V358" s="76"/>
    </row>
    <row r="359" spans="1:25" ht="27.75" customHeight="1">
      <c r="A359" s="87" t="str">
        <f>IF(ISBLANK(C359)," ",354-COUNTBLANK($C$6:C359))</f>
        <v xml:space="preserve"> </v>
      </c>
      <c r="B359" s="88"/>
      <c r="C359" s="88"/>
      <c r="D359" s="89"/>
      <c r="E359" s="89"/>
      <c r="F359" s="73"/>
      <c r="G359" s="73"/>
      <c r="H359" s="73"/>
      <c r="I359" s="73"/>
      <c r="J359" s="73"/>
      <c r="K359" s="73"/>
      <c r="L359" s="73"/>
      <c r="M359" s="74"/>
      <c r="N359" s="71" t="str">
        <f t="shared" si="5"/>
        <v/>
      </c>
      <c r="O359" s="75"/>
      <c r="P359" s="72"/>
      <c r="Q359" s="72"/>
      <c r="R359" s="72"/>
      <c r="S359" s="72"/>
      <c r="T359" s="72"/>
      <c r="U359" s="72"/>
      <c r="V359" s="76"/>
    </row>
    <row r="360" spans="1:25" ht="27.75" customHeight="1">
      <c r="A360" s="87" t="str">
        <f>IF(ISBLANK(C360)," ",355-COUNTBLANK($C$6:C360))</f>
        <v xml:space="preserve"> </v>
      </c>
      <c r="B360" s="88"/>
      <c r="C360" s="88"/>
      <c r="D360" s="89"/>
      <c r="E360" s="89"/>
      <c r="F360" s="73"/>
      <c r="G360" s="73"/>
      <c r="H360" s="73"/>
      <c r="I360" s="73"/>
      <c r="J360" s="73"/>
      <c r="K360" s="73"/>
      <c r="L360" s="73"/>
      <c r="M360" s="74"/>
      <c r="N360" s="71" t="str">
        <f t="shared" si="5"/>
        <v/>
      </c>
      <c r="O360" s="75"/>
      <c r="P360" s="72"/>
      <c r="Q360" s="72"/>
      <c r="R360" s="72"/>
      <c r="S360" s="72"/>
      <c r="T360" s="72"/>
      <c r="U360" s="72"/>
      <c r="V360" s="76"/>
    </row>
    <row r="361" spans="1:25" ht="27.75" customHeight="1">
      <c r="A361" s="87" t="str">
        <f>IF(ISBLANK(C361)," ",356-COUNTBLANK($C$6:C361))</f>
        <v xml:space="preserve"> </v>
      </c>
      <c r="B361" s="88"/>
      <c r="C361" s="88"/>
      <c r="D361" s="89"/>
      <c r="E361" s="89"/>
      <c r="F361" s="73"/>
      <c r="G361" s="73"/>
      <c r="H361" s="73"/>
      <c r="I361" s="73"/>
      <c r="J361" s="73"/>
      <c r="K361" s="73"/>
      <c r="L361" s="73"/>
      <c r="M361" s="74"/>
      <c r="N361" s="71" t="str">
        <f t="shared" si="5"/>
        <v/>
      </c>
      <c r="O361" s="72"/>
      <c r="P361" s="72"/>
      <c r="Q361" s="72"/>
      <c r="R361" s="72"/>
      <c r="S361" s="72"/>
      <c r="T361" s="72"/>
      <c r="U361" s="72"/>
      <c r="V361" s="79"/>
      <c r="W361" s="72"/>
      <c r="X361" s="72"/>
      <c r="Y361" s="72"/>
    </row>
    <row r="362" spans="1:25" ht="27.75" customHeight="1">
      <c r="A362" s="80" t="s">
        <v>58</v>
      </c>
      <c r="B362" s="81"/>
      <c r="C362" s="96"/>
      <c r="D362" s="82"/>
      <c r="E362" s="82">
        <f>SUM(E342:E361)</f>
        <v>0</v>
      </c>
      <c r="F362" s="83"/>
      <c r="G362" s="83"/>
      <c r="H362" s="83"/>
      <c r="I362" s="83"/>
      <c r="J362" s="83"/>
      <c r="K362" s="83"/>
      <c r="L362" s="83"/>
      <c r="M362" s="84"/>
      <c r="N362" s="71" t="str">
        <f t="shared" si="5"/>
        <v/>
      </c>
      <c r="O362" s="75"/>
      <c r="P362" s="72"/>
      <c r="Q362" s="72"/>
      <c r="R362" s="72"/>
      <c r="S362" s="72"/>
      <c r="T362" s="72"/>
      <c r="U362" s="72"/>
      <c r="V362" s="79"/>
      <c r="W362" s="72"/>
      <c r="X362" s="72"/>
      <c r="Y362" s="72"/>
    </row>
    <row r="363" spans="1:25" ht="27.75" customHeight="1">
      <c r="A363" s="93" t="str">
        <f>IF(ISBLANK(C363)," ",358-COUNTBLANK($C$6:C363))</f>
        <v xml:space="preserve"> </v>
      </c>
      <c r="B363" s="94"/>
      <c r="C363" s="94"/>
      <c r="D363" s="95"/>
      <c r="E363" s="95"/>
      <c r="F363" s="85"/>
      <c r="G363" s="85"/>
      <c r="H363" s="85"/>
      <c r="I363" s="85"/>
      <c r="J363" s="85"/>
      <c r="K363" s="85"/>
      <c r="L363" s="85"/>
      <c r="M363" s="86"/>
      <c r="N363" s="71" t="str">
        <f t="shared" si="5"/>
        <v/>
      </c>
      <c r="O363" s="72"/>
      <c r="P363" s="72"/>
      <c r="Q363" s="72"/>
      <c r="R363" s="72"/>
      <c r="S363" s="72"/>
      <c r="T363" s="72"/>
      <c r="U363" s="72"/>
      <c r="V363" s="72"/>
    </row>
    <row r="364" spans="1:25" ht="27.75" customHeight="1">
      <c r="A364" s="87" t="str">
        <f>IF(ISBLANK(C364)," ",359-COUNTBLANK($C$6:C364))</f>
        <v xml:space="preserve"> </v>
      </c>
      <c r="B364" s="88"/>
      <c r="C364" s="88"/>
      <c r="D364" s="89"/>
      <c r="E364" s="89"/>
      <c r="F364" s="73"/>
      <c r="G364" s="73"/>
      <c r="H364" s="73"/>
      <c r="I364" s="73"/>
      <c r="J364" s="73"/>
      <c r="K364" s="73"/>
      <c r="L364" s="73"/>
      <c r="M364" s="74"/>
      <c r="N364" s="71" t="str">
        <f t="shared" si="5"/>
        <v/>
      </c>
      <c r="O364" s="72"/>
      <c r="P364" s="72"/>
      <c r="Q364" s="72"/>
      <c r="R364" s="72"/>
      <c r="S364" s="72"/>
      <c r="T364" s="72"/>
      <c r="U364" s="72"/>
      <c r="V364" s="72"/>
    </row>
    <row r="365" spans="1:25" ht="27.75" customHeight="1">
      <c r="A365" s="87" t="str">
        <f>IF(ISBLANK(C365)," ",360-COUNTBLANK($C$6:C365))</f>
        <v xml:space="preserve"> </v>
      </c>
      <c r="B365" s="88"/>
      <c r="C365" s="88"/>
      <c r="D365" s="89"/>
      <c r="E365" s="89"/>
      <c r="F365" s="73"/>
      <c r="G365" s="73"/>
      <c r="H365" s="73"/>
      <c r="I365" s="73"/>
      <c r="J365" s="73"/>
      <c r="K365" s="73"/>
      <c r="L365" s="73"/>
      <c r="M365" s="74"/>
      <c r="N365" s="71" t="str">
        <f t="shared" si="5"/>
        <v/>
      </c>
      <c r="O365" s="72"/>
      <c r="P365" s="72"/>
      <c r="Q365" s="72"/>
      <c r="R365" s="72"/>
      <c r="S365" s="72"/>
      <c r="T365" s="72"/>
      <c r="U365" s="72"/>
      <c r="V365" s="72"/>
    </row>
    <row r="366" spans="1:25" ht="27.75" customHeight="1">
      <c r="A366" s="87" t="str">
        <f>IF(ISBLANK(C366)," ",361-COUNTBLANK($C$6:C366))</f>
        <v xml:space="preserve"> </v>
      </c>
      <c r="B366" s="88"/>
      <c r="C366" s="88"/>
      <c r="D366" s="89"/>
      <c r="E366" s="89"/>
      <c r="F366" s="73"/>
      <c r="G366" s="73"/>
      <c r="H366" s="73"/>
      <c r="I366" s="73"/>
      <c r="J366" s="73"/>
      <c r="K366" s="73"/>
      <c r="L366" s="73"/>
      <c r="M366" s="74"/>
      <c r="N366" s="71" t="str">
        <f t="shared" si="5"/>
        <v/>
      </c>
      <c r="O366" s="72"/>
      <c r="P366" s="72"/>
      <c r="Q366" s="72"/>
      <c r="R366" s="72"/>
      <c r="S366" s="72"/>
      <c r="T366" s="72"/>
      <c r="U366" s="72"/>
      <c r="V366" s="72"/>
    </row>
    <row r="367" spans="1:25" ht="27.75" customHeight="1">
      <c r="A367" s="87" t="str">
        <f>IF(ISBLANK(C367)," ",362-COUNTBLANK($C$6:C367))</f>
        <v xml:space="preserve"> </v>
      </c>
      <c r="B367" s="88"/>
      <c r="C367" s="88"/>
      <c r="D367" s="89"/>
      <c r="E367" s="89"/>
      <c r="F367" s="73"/>
      <c r="G367" s="73"/>
      <c r="H367" s="73"/>
      <c r="I367" s="73"/>
      <c r="J367" s="73"/>
      <c r="K367" s="73"/>
      <c r="L367" s="73"/>
      <c r="M367" s="74"/>
      <c r="N367" s="71" t="str">
        <f t="shared" si="5"/>
        <v/>
      </c>
      <c r="O367" s="72"/>
      <c r="P367" s="72"/>
      <c r="Q367" s="72"/>
      <c r="R367" s="72"/>
      <c r="S367" s="72"/>
      <c r="T367" s="72"/>
      <c r="U367" s="72"/>
      <c r="V367" s="72"/>
    </row>
    <row r="368" spans="1:25" ht="27.75" customHeight="1">
      <c r="A368" s="87" t="str">
        <f>IF(ISBLANK(C368)," ",363-COUNTBLANK($C$6:C368))</f>
        <v xml:space="preserve"> </v>
      </c>
      <c r="B368" s="88"/>
      <c r="C368" s="88"/>
      <c r="D368" s="89"/>
      <c r="E368" s="89"/>
      <c r="F368" s="73"/>
      <c r="G368" s="73"/>
      <c r="H368" s="73"/>
      <c r="I368" s="73"/>
      <c r="J368" s="73"/>
      <c r="K368" s="73"/>
      <c r="L368" s="73"/>
      <c r="M368" s="74"/>
      <c r="N368" s="71" t="str">
        <f t="shared" si="5"/>
        <v/>
      </c>
      <c r="O368" s="72"/>
      <c r="P368" s="72"/>
      <c r="Q368" s="72"/>
      <c r="R368" s="72"/>
      <c r="S368" s="72"/>
      <c r="T368" s="72"/>
      <c r="U368" s="72"/>
      <c r="V368" s="72"/>
    </row>
    <row r="369" spans="1:25" ht="27.75" customHeight="1">
      <c r="A369" s="87" t="str">
        <f>IF(ISBLANK(C369)," ",364-COUNTBLANK($C$6:C369))</f>
        <v xml:space="preserve"> </v>
      </c>
      <c r="B369" s="88"/>
      <c r="C369" s="88"/>
      <c r="D369" s="89"/>
      <c r="E369" s="89"/>
      <c r="F369" s="73"/>
      <c r="G369" s="73"/>
      <c r="H369" s="73"/>
      <c r="I369" s="73"/>
      <c r="J369" s="73"/>
      <c r="K369" s="73"/>
      <c r="L369" s="73"/>
      <c r="M369" s="74"/>
      <c r="N369" s="71" t="str">
        <f t="shared" si="5"/>
        <v/>
      </c>
      <c r="O369" s="72"/>
      <c r="P369" s="72"/>
      <c r="Q369" s="72"/>
      <c r="R369" s="72"/>
      <c r="S369" s="72"/>
      <c r="T369" s="72"/>
      <c r="U369" s="72"/>
      <c r="V369" s="72"/>
    </row>
    <row r="370" spans="1:25" ht="27.75" customHeight="1">
      <c r="A370" s="87" t="str">
        <f>IF(ISBLANK(C370)," ",365-COUNTBLANK($C$6:C370))</f>
        <v xml:space="preserve"> </v>
      </c>
      <c r="B370" s="88"/>
      <c r="C370" s="88"/>
      <c r="D370" s="89"/>
      <c r="E370" s="89"/>
      <c r="F370" s="73"/>
      <c r="G370" s="73"/>
      <c r="H370" s="73"/>
      <c r="I370" s="73"/>
      <c r="J370" s="73"/>
      <c r="K370" s="73"/>
      <c r="L370" s="73"/>
      <c r="M370" s="74"/>
      <c r="N370" s="71" t="str">
        <f t="shared" si="5"/>
        <v/>
      </c>
      <c r="O370" s="72"/>
      <c r="P370" s="72"/>
      <c r="Q370" s="72"/>
      <c r="R370" s="72"/>
      <c r="S370" s="72"/>
      <c r="T370" s="72"/>
      <c r="U370" s="72"/>
      <c r="V370" s="72"/>
    </row>
    <row r="371" spans="1:25" ht="27.75" customHeight="1">
      <c r="A371" s="87" t="str">
        <f>IF(ISBLANK(C371)," ",366-COUNTBLANK($C$6:C371))</f>
        <v xml:space="preserve"> </v>
      </c>
      <c r="B371" s="88"/>
      <c r="C371" s="88"/>
      <c r="D371" s="89"/>
      <c r="E371" s="89"/>
      <c r="F371" s="73"/>
      <c r="G371" s="73"/>
      <c r="H371" s="73"/>
      <c r="I371" s="73"/>
      <c r="J371" s="73"/>
      <c r="K371" s="73"/>
      <c r="L371" s="73"/>
      <c r="M371" s="74"/>
      <c r="N371" s="71" t="str">
        <f t="shared" si="5"/>
        <v/>
      </c>
      <c r="O371" s="72"/>
      <c r="P371" s="72"/>
      <c r="Q371" s="72"/>
      <c r="R371" s="72"/>
      <c r="S371" s="72"/>
      <c r="T371" s="72"/>
      <c r="U371" s="72"/>
      <c r="V371" s="72"/>
    </row>
    <row r="372" spans="1:25" ht="27.75" customHeight="1">
      <c r="A372" s="87" t="str">
        <f>IF(ISBLANK(C372)," ",367-COUNTBLANK($C$6:C372))</f>
        <v xml:space="preserve"> </v>
      </c>
      <c r="B372" s="88"/>
      <c r="C372" s="88"/>
      <c r="D372" s="89"/>
      <c r="E372" s="89"/>
      <c r="F372" s="73"/>
      <c r="G372" s="73"/>
      <c r="H372" s="73"/>
      <c r="I372" s="73"/>
      <c r="J372" s="73"/>
      <c r="K372" s="73"/>
      <c r="L372" s="73"/>
      <c r="M372" s="74"/>
      <c r="N372" s="71" t="str">
        <f t="shared" si="5"/>
        <v/>
      </c>
      <c r="O372" s="72"/>
      <c r="P372" s="72"/>
      <c r="Q372" s="72"/>
      <c r="R372" s="72"/>
      <c r="S372" s="72"/>
      <c r="T372" s="72"/>
      <c r="U372" s="72"/>
      <c r="V372" s="72"/>
    </row>
    <row r="373" spans="1:25" ht="27.75" customHeight="1">
      <c r="A373" s="87" t="str">
        <f>IF(ISBLANK(C373)," ",368-COUNTBLANK($C$6:C373))</f>
        <v xml:space="preserve"> </v>
      </c>
      <c r="B373" s="88"/>
      <c r="C373" s="88"/>
      <c r="D373" s="89"/>
      <c r="E373" s="89"/>
      <c r="F373" s="73"/>
      <c r="G373" s="73"/>
      <c r="H373" s="73"/>
      <c r="I373" s="73"/>
      <c r="J373" s="73"/>
      <c r="K373" s="73"/>
      <c r="L373" s="73"/>
      <c r="M373" s="74"/>
      <c r="N373" s="71" t="str">
        <f t="shared" si="5"/>
        <v/>
      </c>
      <c r="O373" s="72"/>
      <c r="P373" s="72"/>
      <c r="Q373" s="72"/>
      <c r="R373" s="72"/>
      <c r="S373" s="72"/>
      <c r="T373" s="72"/>
      <c r="U373" s="72"/>
      <c r="V373" s="72"/>
    </row>
    <row r="374" spans="1:25" ht="27.75" customHeight="1">
      <c r="A374" s="87" t="str">
        <f>IF(ISBLANK(C374)," ",369-COUNTBLANK($C$6:C374))</f>
        <v xml:space="preserve"> </v>
      </c>
      <c r="B374" s="88"/>
      <c r="C374" s="88"/>
      <c r="D374" s="89"/>
      <c r="E374" s="89"/>
      <c r="F374" s="73"/>
      <c r="G374" s="73"/>
      <c r="H374" s="73"/>
      <c r="I374" s="73"/>
      <c r="J374" s="73"/>
      <c r="K374" s="73"/>
      <c r="L374" s="73"/>
      <c r="M374" s="74"/>
      <c r="N374" s="71" t="str">
        <f t="shared" si="5"/>
        <v/>
      </c>
      <c r="O374" s="72"/>
      <c r="P374" s="72"/>
      <c r="Q374" s="72"/>
      <c r="R374" s="72"/>
      <c r="S374" s="72"/>
      <c r="T374" s="72"/>
      <c r="U374" s="72"/>
      <c r="V374" s="72"/>
    </row>
    <row r="375" spans="1:25" ht="27.75" customHeight="1">
      <c r="A375" s="87" t="str">
        <f>IF(ISBLANK(C375)," ",370-COUNTBLANK($C$6:C375))</f>
        <v xml:space="preserve"> </v>
      </c>
      <c r="B375" s="88"/>
      <c r="C375" s="88"/>
      <c r="D375" s="89"/>
      <c r="E375" s="89"/>
      <c r="F375" s="73"/>
      <c r="G375" s="73"/>
      <c r="H375" s="73"/>
      <c r="I375" s="73"/>
      <c r="J375" s="73"/>
      <c r="K375" s="73"/>
      <c r="L375" s="73"/>
      <c r="M375" s="74"/>
      <c r="N375" s="71" t="str">
        <f t="shared" si="5"/>
        <v/>
      </c>
      <c r="O375" s="72"/>
      <c r="P375" s="72"/>
      <c r="Q375" s="72"/>
      <c r="R375" s="72"/>
      <c r="S375" s="72"/>
      <c r="T375" s="72"/>
      <c r="U375" s="72"/>
      <c r="V375" s="72"/>
    </row>
    <row r="376" spans="1:25" ht="27.75" customHeight="1">
      <c r="A376" s="87" t="str">
        <f>IF(ISBLANK(C376)," ",371-COUNTBLANK($C$6:C376))</f>
        <v xml:space="preserve"> </v>
      </c>
      <c r="B376" s="88"/>
      <c r="C376" s="88"/>
      <c r="D376" s="89"/>
      <c r="E376" s="89"/>
      <c r="F376" s="73"/>
      <c r="G376" s="73"/>
      <c r="H376" s="73"/>
      <c r="I376" s="73"/>
      <c r="J376" s="73"/>
      <c r="K376" s="73"/>
      <c r="L376" s="73"/>
      <c r="M376" s="74"/>
      <c r="N376" s="71" t="str">
        <f t="shared" si="5"/>
        <v/>
      </c>
      <c r="O376" s="72"/>
      <c r="P376" s="72"/>
      <c r="Q376" s="72"/>
      <c r="R376" s="72"/>
      <c r="S376" s="72"/>
      <c r="T376" s="72"/>
      <c r="U376" s="72"/>
      <c r="V376" s="72"/>
    </row>
    <row r="377" spans="1:25" ht="27.75" customHeight="1">
      <c r="A377" s="87" t="str">
        <f>IF(ISBLANK(C377)," ",372-COUNTBLANK($C$6:C377))</f>
        <v xml:space="preserve"> </v>
      </c>
      <c r="B377" s="88"/>
      <c r="C377" s="88"/>
      <c r="D377" s="89"/>
      <c r="E377" s="89"/>
      <c r="F377" s="73"/>
      <c r="G377" s="73"/>
      <c r="H377" s="73"/>
      <c r="I377" s="73"/>
      <c r="J377" s="73"/>
      <c r="K377" s="73"/>
      <c r="L377" s="73"/>
      <c r="M377" s="74"/>
      <c r="N377" s="71" t="str">
        <f t="shared" si="5"/>
        <v/>
      </c>
      <c r="O377" s="72"/>
      <c r="P377" s="72"/>
      <c r="Q377" s="72"/>
      <c r="R377" s="72"/>
      <c r="S377" s="72"/>
      <c r="T377" s="72"/>
      <c r="U377" s="72"/>
      <c r="V377" s="72"/>
    </row>
    <row r="378" spans="1:25" ht="27.75" customHeight="1">
      <c r="A378" s="87" t="str">
        <f>IF(ISBLANK(C378)," ",373-COUNTBLANK($C$6:C378))</f>
        <v xml:space="preserve"> </v>
      </c>
      <c r="B378" s="88"/>
      <c r="C378" s="88"/>
      <c r="D378" s="89"/>
      <c r="E378" s="89"/>
      <c r="F378" s="73"/>
      <c r="G378" s="73"/>
      <c r="H378" s="73"/>
      <c r="I378" s="73"/>
      <c r="J378" s="73"/>
      <c r="K378" s="73"/>
      <c r="L378" s="73"/>
      <c r="M378" s="74"/>
      <c r="N378" s="71" t="str">
        <f t="shared" si="5"/>
        <v/>
      </c>
      <c r="O378" s="75"/>
      <c r="P378" s="72"/>
      <c r="Q378" s="72"/>
      <c r="R378" s="72"/>
      <c r="S378" s="72"/>
      <c r="T378" s="72"/>
      <c r="U378" s="72"/>
      <c r="V378" s="76"/>
    </row>
    <row r="379" spans="1:25" ht="27.75" customHeight="1">
      <c r="A379" s="87" t="str">
        <f>IF(ISBLANK(C379)," ",374-COUNTBLANK($C$6:C379))</f>
        <v xml:space="preserve"> </v>
      </c>
      <c r="B379" s="88"/>
      <c r="C379" s="88"/>
      <c r="D379" s="89"/>
      <c r="E379" s="89"/>
      <c r="F379" s="73"/>
      <c r="G379" s="73"/>
      <c r="H379" s="73"/>
      <c r="I379" s="73"/>
      <c r="J379" s="73"/>
      <c r="K379" s="73"/>
      <c r="L379" s="73"/>
      <c r="M379" s="74"/>
      <c r="N379" s="71" t="str">
        <f t="shared" si="5"/>
        <v/>
      </c>
      <c r="O379" s="75"/>
      <c r="P379" s="72"/>
      <c r="Q379" s="72"/>
      <c r="R379" s="72"/>
      <c r="S379" s="72"/>
      <c r="T379" s="72"/>
      <c r="U379" s="72"/>
      <c r="V379" s="76"/>
    </row>
    <row r="380" spans="1:25" ht="27.75" customHeight="1">
      <c r="A380" s="87" t="str">
        <f>IF(ISBLANK(C380)," ",375-COUNTBLANK($C$6:C380))</f>
        <v xml:space="preserve"> </v>
      </c>
      <c r="B380" s="88"/>
      <c r="C380" s="88"/>
      <c r="D380" s="89"/>
      <c r="E380" s="89"/>
      <c r="F380" s="73"/>
      <c r="G380" s="73"/>
      <c r="H380" s="73"/>
      <c r="I380" s="73"/>
      <c r="J380" s="73"/>
      <c r="K380" s="73"/>
      <c r="L380" s="73"/>
      <c r="M380" s="74"/>
      <c r="N380" s="71" t="str">
        <f t="shared" si="5"/>
        <v/>
      </c>
      <c r="O380" s="75"/>
      <c r="P380" s="72"/>
      <c r="Q380" s="72"/>
      <c r="R380" s="72"/>
      <c r="S380" s="72"/>
      <c r="T380" s="72"/>
      <c r="U380" s="72"/>
      <c r="V380" s="76"/>
    </row>
    <row r="381" spans="1:25" ht="27.75" customHeight="1">
      <c r="A381" s="87" t="str">
        <f>IF(ISBLANK(C381)," ",376-COUNTBLANK($C$6:C381))</f>
        <v xml:space="preserve"> </v>
      </c>
      <c r="B381" s="88"/>
      <c r="C381" s="88"/>
      <c r="D381" s="89"/>
      <c r="E381" s="89"/>
      <c r="F381" s="73"/>
      <c r="G381" s="73"/>
      <c r="H381" s="73"/>
      <c r="I381" s="73"/>
      <c r="J381" s="73"/>
      <c r="K381" s="73"/>
      <c r="L381" s="73"/>
      <c r="M381" s="74"/>
      <c r="N381" s="71" t="str">
        <f t="shared" si="5"/>
        <v/>
      </c>
      <c r="O381" s="75"/>
      <c r="P381" s="72"/>
      <c r="Q381" s="72"/>
      <c r="R381" s="72"/>
      <c r="S381" s="72"/>
      <c r="T381" s="72"/>
      <c r="U381" s="72"/>
      <c r="V381" s="76"/>
    </row>
    <row r="382" spans="1:25" ht="27.75" customHeight="1">
      <c r="A382" s="87" t="str">
        <f>IF(ISBLANK(C382)," ",377-COUNTBLANK($C$6:C382))</f>
        <v xml:space="preserve"> </v>
      </c>
      <c r="B382" s="88"/>
      <c r="C382" s="88"/>
      <c r="D382" s="89"/>
      <c r="E382" s="89"/>
      <c r="F382" s="73"/>
      <c r="G382" s="73"/>
      <c r="H382" s="73"/>
      <c r="I382" s="73"/>
      <c r="J382" s="73"/>
      <c r="K382" s="73"/>
      <c r="L382" s="73"/>
      <c r="M382" s="74"/>
      <c r="N382" s="71" t="str">
        <f t="shared" si="5"/>
        <v/>
      </c>
      <c r="O382" s="72"/>
      <c r="P382" s="72"/>
      <c r="Q382" s="72"/>
      <c r="R382" s="72"/>
      <c r="S382" s="72"/>
      <c r="T382" s="72"/>
      <c r="U382" s="72"/>
      <c r="V382" s="79"/>
      <c r="W382" s="72"/>
      <c r="X382" s="72"/>
      <c r="Y382" s="72"/>
    </row>
    <row r="383" spans="1:25" ht="27.75" customHeight="1">
      <c r="A383" s="80" t="s">
        <v>58</v>
      </c>
      <c r="B383" s="81"/>
      <c r="C383" s="96"/>
      <c r="D383" s="82"/>
      <c r="E383" s="82">
        <f>SUM(E363:E382)</f>
        <v>0</v>
      </c>
      <c r="F383" s="83"/>
      <c r="G383" s="83"/>
      <c r="H383" s="83"/>
      <c r="I383" s="83"/>
      <c r="J383" s="83"/>
      <c r="K383" s="83"/>
      <c r="L383" s="83"/>
      <c r="M383" s="84"/>
      <c r="N383" s="71" t="str">
        <f t="shared" si="5"/>
        <v/>
      </c>
      <c r="O383" s="75"/>
      <c r="P383" s="72"/>
      <c r="Q383" s="72"/>
      <c r="R383" s="72"/>
      <c r="S383" s="72"/>
      <c r="T383" s="72"/>
      <c r="U383" s="72"/>
      <c r="V383" s="79"/>
      <c r="W383" s="72"/>
      <c r="X383" s="72"/>
      <c r="Y383" s="72"/>
    </row>
    <row r="384" spans="1:25" ht="27.75" customHeight="1">
      <c r="A384" s="93" t="str">
        <f>IF(ISBLANK(C384)," ",379-COUNTBLANK($C$6:C384))</f>
        <v xml:space="preserve"> </v>
      </c>
      <c r="B384" s="94"/>
      <c r="C384" s="94"/>
      <c r="D384" s="95"/>
      <c r="E384" s="95"/>
      <c r="F384" s="85"/>
      <c r="G384" s="85"/>
      <c r="H384" s="85"/>
      <c r="I384" s="85"/>
      <c r="J384" s="85"/>
      <c r="K384" s="85"/>
      <c r="L384" s="85"/>
      <c r="M384" s="86"/>
      <c r="N384" s="71" t="str">
        <f t="shared" si="5"/>
        <v/>
      </c>
      <c r="O384" s="72"/>
      <c r="P384" s="72"/>
      <c r="Q384" s="72"/>
      <c r="R384" s="72"/>
      <c r="S384" s="72"/>
      <c r="T384" s="72"/>
      <c r="U384" s="72"/>
      <c r="V384" s="72"/>
    </row>
    <row r="385" spans="1:22" ht="27.75" customHeight="1">
      <c r="A385" s="87" t="str">
        <f>IF(ISBLANK(C385)," ",380-COUNTBLANK($C$6:C385))</f>
        <v xml:space="preserve"> </v>
      </c>
      <c r="B385" s="88"/>
      <c r="C385" s="88"/>
      <c r="D385" s="89"/>
      <c r="E385" s="89"/>
      <c r="F385" s="73"/>
      <c r="G385" s="73"/>
      <c r="H385" s="73"/>
      <c r="I385" s="73"/>
      <c r="J385" s="73"/>
      <c r="K385" s="73"/>
      <c r="L385" s="73"/>
      <c r="M385" s="74"/>
      <c r="N385" s="71" t="str">
        <f t="shared" si="5"/>
        <v/>
      </c>
      <c r="O385" s="72"/>
      <c r="P385" s="72"/>
      <c r="Q385" s="72"/>
      <c r="R385" s="72"/>
      <c r="S385" s="72"/>
      <c r="T385" s="72"/>
      <c r="U385" s="72"/>
      <c r="V385" s="72"/>
    </row>
    <row r="386" spans="1:22" ht="27.75" customHeight="1">
      <c r="A386" s="87" t="str">
        <f>IF(ISBLANK(C386)," ",381-COUNTBLANK($C$6:C386))</f>
        <v xml:space="preserve"> </v>
      </c>
      <c r="B386" s="88"/>
      <c r="C386" s="88"/>
      <c r="D386" s="89"/>
      <c r="E386" s="89"/>
      <c r="F386" s="73"/>
      <c r="G386" s="73"/>
      <c r="H386" s="73"/>
      <c r="I386" s="73"/>
      <c r="J386" s="73"/>
      <c r="K386" s="73"/>
      <c r="L386" s="73"/>
      <c r="M386" s="74"/>
      <c r="N386" s="71" t="str">
        <f t="shared" si="5"/>
        <v/>
      </c>
      <c r="O386" s="72"/>
      <c r="P386" s="72"/>
      <c r="Q386" s="72"/>
      <c r="R386" s="72"/>
      <c r="S386" s="72"/>
      <c r="T386" s="72"/>
      <c r="U386" s="72"/>
      <c r="V386" s="72"/>
    </row>
    <row r="387" spans="1:22" ht="27.75" customHeight="1">
      <c r="A387" s="87" t="str">
        <f>IF(ISBLANK(C387)," ",382-COUNTBLANK($C$6:C387))</f>
        <v xml:space="preserve"> </v>
      </c>
      <c r="B387" s="88"/>
      <c r="C387" s="88"/>
      <c r="D387" s="89"/>
      <c r="E387" s="89"/>
      <c r="F387" s="73"/>
      <c r="G387" s="73"/>
      <c r="H387" s="73"/>
      <c r="I387" s="73"/>
      <c r="J387" s="73"/>
      <c r="K387" s="73"/>
      <c r="L387" s="73"/>
      <c r="M387" s="74"/>
      <c r="N387" s="71" t="str">
        <f t="shared" si="5"/>
        <v/>
      </c>
      <c r="O387" s="72"/>
      <c r="P387" s="72"/>
      <c r="Q387" s="72"/>
      <c r="R387" s="72"/>
      <c r="S387" s="72"/>
      <c r="T387" s="72"/>
      <c r="U387" s="72"/>
      <c r="V387" s="72"/>
    </row>
    <row r="388" spans="1:22" ht="27.75" customHeight="1">
      <c r="A388" s="87" t="str">
        <f>IF(ISBLANK(C388)," ",383-COUNTBLANK($C$6:C388))</f>
        <v xml:space="preserve"> </v>
      </c>
      <c r="B388" s="88"/>
      <c r="C388" s="88"/>
      <c r="D388" s="89"/>
      <c r="E388" s="89"/>
      <c r="F388" s="73"/>
      <c r="G388" s="73"/>
      <c r="H388" s="73"/>
      <c r="I388" s="73"/>
      <c r="J388" s="73"/>
      <c r="K388" s="73"/>
      <c r="L388" s="73"/>
      <c r="M388" s="74"/>
      <c r="N388" s="71" t="str">
        <f t="shared" si="5"/>
        <v/>
      </c>
      <c r="O388" s="72"/>
      <c r="P388" s="72"/>
      <c r="Q388" s="72"/>
      <c r="R388" s="72"/>
      <c r="S388" s="72"/>
      <c r="T388" s="72"/>
      <c r="U388" s="72"/>
      <c r="V388" s="72"/>
    </row>
    <row r="389" spans="1:22" ht="27.75" customHeight="1">
      <c r="A389" s="87" t="str">
        <f>IF(ISBLANK(C389)," ",384-COUNTBLANK($C$6:C389))</f>
        <v xml:space="preserve"> </v>
      </c>
      <c r="B389" s="88"/>
      <c r="C389" s="88"/>
      <c r="D389" s="89"/>
      <c r="E389" s="89"/>
      <c r="F389" s="73"/>
      <c r="G389" s="73"/>
      <c r="H389" s="73"/>
      <c r="I389" s="73"/>
      <c r="J389" s="73"/>
      <c r="K389" s="73"/>
      <c r="L389" s="73"/>
      <c r="M389" s="74"/>
      <c r="N389" s="71" t="str">
        <f t="shared" si="5"/>
        <v/>
      </c>
      <c r="O389" s="72"/>
      <c r="P389" s="72"/>
      <c r="Q389" s="72"/>
      <c r="R389" s="72"/>
      <c r="S389" s="72"/>
      <c r="T389" s="72"/>
      <c r="U389" s="72"/>
      <c r="V389" s="72"/>
    </row>
    <row r="390" spans="1:22" ht="27.75" customHeight="1">
      <c r="A390" s="87" t="str">
        <f>IF(ISBLANK(C390)," ",385-COUNTBLANK($C$6:C390))</f>
        <v xml:space="preserve"> </v>
      </c>
      <c r="B390" s="88"/>
      <c r="C390" s="88"/>
      <c r="D390" s="89"/>
      <c r="E390" s="89"/>
      <c r="F390" s="73"/>
      <c r="G390" s="73"/>
      <c r="H390" s="73"/>
      <c r="I390" s="73"/>
      <c r="J390" s="73"/>
      <c r="K390" s="73"/>
      <c r="L390" s="73"/>
      <c r="M390" s="74"/>
      <c r="N390" s="71" t="str">
        <f t="shared" ref="N390:N453" si="6">CONCATENATE(C390,H390)</f>
        <v/>
      </c>
      <c r="O390" s="72"/>
      <c r="P390" s="72"/>
      <c r="Q390" s="72"/>
      <c r="R390" s="72"/>
      <c r="S390" s="72"/>
      <c r="T390" s="72"/>
      <c r="U390" s="72"/>
      <c r="V390" s="72"/>
    </row>
    <row r="391" spans="1:22" ht="27.75" customHeight="1">
      <c r="A391" s="87" t="str">
        <f>IF(ISBLANK(C391)," ",386-COUNTBLANK($C$6:C391))</f>
        <v xml:space="preserve"> </v>
      </c>
      <c r="B391" s="88"/>
      <c r="C391" s="88"/>
      <c r="D391" s="89"/>
      <c r="E391" s="89"/>
      <c r="F391" s="73"/>
      <c r="G391" s="73"/>
      <c r="H391" s="73"/>
      <c r="I391" s="73"/>
      <c r="J391" s="73"/>
      <c r="K391" s="73"/>
      <c r="L391" s="73"/>
      <c r="M391" s="74"/>
      <c r="N391" s="71" t="str">
        <f t="shared" si="6"/>
        <v/>
      </c>
      <c r="O391" s="72"/>
      <c r="P391" s="72"/>
      <c r="Q391" s="72"/>
      <c r="R391" s="72"/>
      <c r="S391" s="72"/>
      <c r="T391" s="72"/>
      <c r="U391" s="72"/>
      <c r="V391" s="72"/>
    </row>
    <row r="392" spans="1:22" ht="27.75" customHeight="1">
      <c r="A392" s="87" t="str">
        <f>IF(ISBLANK(C392)," ",387-COUNTBLANK($C$6:C392))</f>
        <v xml:space="preserve"> </v>
      </c>
      <c r="B392" s="88"/>
      <c r="C392" s="88"/>
      <c r="D392" s="89"/>
      <c r="E392" s="89"/>
      <c r="F392" s="73"/>
      <c r="G392" s="73"/>
      <c r="H392" s="73"/>
      <c r="I392" s="73"/>
      <c r="J392" s="73"/>
      <c r="K392" s="73"/>
      <c r="L392" s="73"/>
      <c r="M392" s="74"/>
      <c r="N392" s="71" t="str">
        <f t="shared" si="6"/>
        <v/>
      </c>
      <c r="O392" s="72"/>
      <c r="P392" s="72"/>
      <c r="Q392" s="72"/>
      <c r="R392" s="72"/>
      <c r="S392" s="72"/>
      <c r="T392" s="72"/>
      <c r="U392" s="72"/>
      <c r="V392" s="72"/>
    </row>
    <row r="393" spans="1:22" ht="27.75" customHeight="1">
      <c r="A393" s="87" t="str">
        <f>IF(ISBLANK(C393)," ",388-COUNTBLANK($C$6:C393))</f>
        <v xml:space="preserve"> </v>
      </c>
      <c r="B393" s="88"/>
      <c r="C393" s="88"/>
      <c r="D393" s="89"/>
      <c r="E393" s="89"/>
      <c r="F393" s="73"/>
      <c r="G393" s="73"/>
      <c r="H393" s="73"/>
      <c r="I393" s="73"/>
      <c r="J393" s="73"/>
      <c r="K393" s="73"/>
      <c r="L393" s="73"/>
      <c r="M393" s="74"/>
      <c r="N393" s="71" t="str">
        <f t="shared" si="6"/>
        <v/>
      </c>
      <c r="O393" s="72"/>
      <c r="P393" s="72"/>
      <c r="Q393" s="72"/>
      <c r="R393" s="72"/>
      <c r="S393" s="72"/>
      <c r="T393" s="72"/>
      <c r="U393" s="72"/>
      <c r="V393" s="72"/>
    </row>
    <row r="394" spans="1:22" ht="27.75" customHeight="1">
      <c r="A394" s="87" t="str">
        <f>IF(ISBLANK(C394)," ",389-COUNTBLANK($C$6:C394))</f>
        <v xml:space="preserve"> </v>
      </c>
      <c r="B394" s="88"/>
      <c r="C394" s="88"/>
      <c r="D394" s="89"/>
      <c r="E394" s="89"/>
      <c r="F394" s="73"/>
      <c r="G394" s="73"/>
      <c r="H394" s="73"/>
      <c r="I394" s="73"/>
      <c r="J394" s="73"/>
      <c r="K394" s="73"/>
      <c r="L394" s="73"/>
      <c r="M394" s="74"/>
      <c r="N394" s="71" t="str">
        <f t="shared" si="6"/>
        <v/>
      </c>
      <c r="O394" s="72"/>
      <c r="P394" s="72"/>
      <c r="Q394" s="72"/>
      <c r="R394" s="72"/>
      <c r="S394" s="72"/>
      <c r="T394" s="72"/>
      <c r="U394" s="72"/>
      <c r="V394" s="72"/>
    </row>
    <row r="395" spans="1:22" ht="27.75" customHeight="1">
      <c r="A395" s="87" t="str">
        <f>IF(ISBLANK(C395)," ",390-COUNTBLANK($C$6:C395))</f>
        <v xml:space="preserve"> </v>
      </c>
      <c r="B395" s="88"/>
      <c r="C395" s="88"/>
      <c r="D395" s="89"/>
      <c r="E395" s="89"/>
      <c r="F395" s="73"/>
      <c r="G395" s="73"/>
      <c r="H395" s="73"/>
      <c r="I395" s="73"/>
      <c r="J395" s="73"/>
      <c r="K395" s="73"/>
      <c r="L395" s="73"/>
      <c r="M395" s="74"/>
      <c r="N395" s="71" t="str">
        <f t="shared" si="6"/>
        <v/>
      </c>
      <c r="O395" s="72"/>
      <c r="P395" s="72"/>
      <c r="Q395" s="72"/>
      <c r="R395" s="72"/>
      <c r="S395" s="72"/>
      <c r="T395" s="72"/>
      <c r="U395" s="72"/>
      <c r="V395" s="72"/>
    </row>
    <row r="396" spans="1:22" ht="27.75" customHeight="1">
      <c r="A396" s="87" t="str">
        <f>IF(ISBLANK(C396)," ",391-COUNTBLANK($C$6:C396))</f>
        <v xml:space="preserve"> </v>
      </c>
      <c r="B396" s="88"/>
      <c r="C396" s="88"/>
      <c r="D396" s="89"/>
      <c r="E396" s="89"/>
      <c r="F396" s="73"/>
      <c r="G396" s="73"/>
      <c r="H396" s="73"/>
      <c r="I396" s="73"/>
      <c r="J396" s="73"/>
      <c r="K396" s="73"/>
      <c r="L396" s="73"/>
      <c r="M396" s="74"/>
      <c r="N396" s="71" t="str">
        <f t="shared" si="6"/>
        <v/>
      </c>
      <c r="O396" s="72"/>
      <c r="P396" s="72"/>
      <c r="Q396" s="72"/>
      <c r="R396" s="72"/>
      <c r="S396" s="72"/>
      <c r="T396" s="72"/>
      <c r="U396" s="72"/>
      <c r="V396" s="72"/>
    </row>
    <row r="397" spans="1:22" ht="27.75" customHeight="1">
      <c r="A397" s="87" t="str">
        <f>IF(ISBLANK(C397)," ",392-COUNTBLANK($C$6:C397))</f>
        <v xml:space="preserve"> </v>
      </c>
      <c r="B397" s="88"/>
      <c r="C397" s="88"/>
      <c r="D397" s="89"/>
      <c r="E397" s="89"/>
      <c r="F397" s="73"/>
      <c r="G397" s="73"/>
      <c r="H397" s="73"/>
      <c r="I397" s="73"/>
      <c r="J397" s="73"/>
      <c r="K397" s="73"/>
      <c r="L397" s="73"/>
      <c r="M397" s="74"/>
      <c r="N397" s="71" t="str">
        <f t="shared" si="6"/>
        <v/>
      </c>
      <c r="O397" s="72"/>
      <c r="P397" s="72"/>
      <c r="Q397" s="72"/>
      <c r="R397" s="72"/>
      <c r="S397" s="72"/>
      <c r="T397" s="72"/>
      <c r="U397" s="72"/>
      <c r="V397" s="72"/>
    </row>
    <row r="398" spans="1:22" ht="27.75" customHeight="1">
      <c r="A398" s="87" t="str">
        <f>IF(ISBLANK(C398)," ",393-COUNTBLANK($C$6:C398))</f>
        <v xml:space="preserve"> </v>
      </c>
      <c r="B398" s="88"/>
      <c r="C398" s="88"/>
      <c r="D398" s="89"/>
      <c r="E398" s="89"/>
      <c r="F398" s="73"/>
      <c r="G398" s="73"/>
      <c r="H398" s="73"/>
      <c r="I398" s="73"/>
      <c r="J398" s="73"/>
      <c r="K398" s="73"/>
      <c r="L398" s="73"/>
      <c r="M398" s="74"/>
      <c r="N398" s="71" t="str">
        <f t="shared" si="6"/>
        <v/>
      </c>
      <c r="O398" s="72"/>
      <c r="P398" s="72"/>
      <c r="Q398" s="72"/>
      <c r="R398" s="72"/>
      <c r="S398" s="72"/>
      <c r="T398" s="72"/>
      <c r="U398" s="72"/>
      <c r="V398" s="72"/>
    </row>
    <row r="399" spans="1:22" ht="27.75" customHeight="1">
      <c r="A399" s="87" t="str">
        <f>IF(ISBLANK(C399)," ",394-COUNTBLANK($C$6:C399))</f>
        <v xml:space="preserve"> </v>
      </c>
      <c r="B399" s="88"/>
      <c r="C399" s="88"/>
      <c r="D399" s="89"/>
      <c r="E399" s="89"/>
      <c r="F399" s="73"/>
      <c r="G399" s="73"/>
      <c r="H399" s="73"/>
      <c r="I399" s="73"/>
      <c r="J399" s="73"/>
      <c r="K399" s="73"/>
      <c r="L399" s="73"/>
      <c r="M399" s="74"/>
      <c r="N399" s="71" t="str">
        <f t="shared" si="6"/>
        <v/>
      </c>
      <c r="O399" s="75"/>
      <c r="P399" s="72"/>
      <c r="Q399" s="72"/>
      <c r="R399" s="72"/>
      <c r="S399" s="72"/>
      <c r="T399" s="72"/>
      <c r="U399" s="72"/>
      <c r="V399" s="76"/>
    </row>
    <row r="400" spans="1:22" ht="27.75" customHeight="1">
      <c r="A400" s="87" t="str">
        <f>IF(ISBLANK(C400)," ",395-COUNTBLANK($C$6:C400))</f>
        <v xml:space="preserve"> </v>
      </c>
      <c r="B400" s="88"/>
      <c r="C400" s="88"/>
      <c r="D400" s="89"/>
      <c r="E400" s="89"/>
      <c r="F400" s="73"/>
      <c r="G400" s="73"/>
      <c r="H400" s="73"/>
      <c r="I400" s="73"/>
      <c r="J400" s="73"/>
      <c r="K400" s="73"/>
      <c r="L400" s="73"/>
      <c r="M400" s="74"/>
      <c r="N400" s="71" t="str">
        <f t="shared" si="6"/>
        <v/>
      </c>
      <c r="O400" s="75"/>
      <c r="P400" s="72"/>
      <c r="Q400" s="72"/>
      <c r="R400" s="72"/>
      <c r="S400" s="72"/>
      <c r="T400" s="72"/>
      <c r="U400" s="72"/>
      <c r="V400" s="76"/>
    </row>
    <row r="401" spans="1:25" ht="27.75" customHeight="1">
      <c r="A401" s="87" t="str">
        <f>IF(ISBLANK(C401)," ",396-COUNTBLANK($C$6:C401))</f>
        <v xml:space="preserve"> </v>
      </c>
      <c r="B401" s="88"/>
      <c r="C401" s="88"/>
      <c r="D401" s="89"/>
      <c r="E401" s="89"/>
      <c r="F401" s="73"/>
      <c r="G401" s="73"/>
      <c r="H401" s="73"/>
      <c r="I401" s="73"/>
      <c r="J401" s="73"/>
      <c r="K401" s="73"/>
      <c r="L401" s="73"/>
      <c r="M401" s="74"/>
      <c r="N401" s="71" t="str">
        <f t="shared" si="6"/>
        <v/>
      </c>
      <c r="O401" s="75"/>
      <c r="P401" s="72"/>
      <c r="Q401" s="72"/>
      <c r="R401" s="72"/>
      <c r="S401" s="72"/>
      <c r="T401" s="72"/>
      <c r="U401" s="72"/>
      <c r="V401" s="76"/>
    </row>
    <row r="402" spans="1:25" ht="27.75" customHeight="1">
      <c r="A402" s="87" t="str">
        <f>IF(ISBLANK(C402)," ",397-COUNTBLANK($C$6:C402))</f>
        <v xml:space="preserve"> </v>
      </c>
      <c r="B402" s="88"/>
      <c r="C402" s="88"/>
      <c r="D402" s="89"/>
      <c r="E402" s="89"/>
      <c r="F402" s="73"/>
      <c r="G402" s="73"/>
      <c r="H402" s="73"/>
      <c r="I402" s="73"/>
      <c r="J402" s="73"/>
      <c r="K402" s="73"/>
      <c r="L402" s="73"/>
      <c r="M402" s="74"/>
      <c r="N402" s="71" t="str">
        <f t="shared" si="6"/>
        <v/>
      </c>
      <c r="O402" s="75"/>
      <c r="P402" s="72"/>
      <c r="Q402" s="72"/>
      <c r="R402" s="72"/>
      <c r="S402" s="72"/>
      <c r="T402" s="72"/>
      <c r="U402" s="72"/>
      <c r="V402" s="76"/>
    </row>
    <row r="403" spans="1:25" ht="27.75" customHeight="1">
      <c r="A403" s="87" t="str">
        <f>IF(ISBLANK(C403)," ",398-COUNTBLANK($C$6:C403))</f>
        <v xml:space="preserve"> </v>
      </c>
      <c r="B403" s="88"/>
      <c r="C403" s="88"/>
      <c r="D403" s="89"/>
      <c r="E403" s="89"/>
      <c r="F403" s="73"/>
      <c r="G403" s="73"/>
      <c r="H403" s="73"/>
      <c r="I403" s="73"/>
      <c r="J403" s="73"/>
      <c r="K403" s="73"/>
      <c r="L403" s="73"/>
      <c r="M403" s="74"/>
      <c r="N403" s="71" t="str">
        <f t="shared" si="6"/>
        <v/>
      </c>
      <c r="O403" s="72"/>
      <c r="P403" s="72"/>
      <c r="Q403" s="72"/>
      <c r="R403" s="72"/>
      <c r="S403" s="72"/>
      <c r="T403" s="72"/>
      <c r="U403" s="72"/>
      <c r="V403" s="79"/>
      <c r="W403" s="72"/>
      <c r="X403" s="72"/>
      <c r="Y403" s="72"/>
    </row>
    <row r="404" spans="1:25" ht="27.75" customHeight="1">
      <c r="A404" s="80" t="s">
        <v>58</v>
      </c>
      <c r="B404" s="81"/>
      <c r="C404" s="96"/>
      <c r="D404" s="82"/>
      <c r="E404" s="82">
        <f>SUM(E384:E403)</f>
        <v>0</v>
      </c>
      <c r="F404" s="83"/>
      <c r="G404" s="83"/>
      <c r="H404" s="83"/>
      <c r="I404" s="83"/>
      <c r="J404" s="83"/>
      <c r="K404" s="83"/>
      <c r="L404" s="83"/>
      <c r="M404" s="84"/>
      <c r="N404" s="71" t="str">
        <f t="shared" si="6"/>
        <v/>
      </c>
      <c r="O404" s="75"/>
      <c r="P404" s="72"/>
      <c r="Q404" s="72"/>
      <c r="R404" s="72"/>
      <c r="S404" s="72"/>
      <c r="T404" s="72"/>
      <c r="U404" s="72"/>
      <c r="V404" s="79"/>
      <c r="W404" s="72"/>
      <c r="X404" s="72"/>
      <c r="Y404" s="72"/>
    </row>
    <row r="405" spans="1:25" ht="27.75" customHeight="1">
      <c r="A405" s="93" t="str">
        <f>IF(ISBLANK(C405)," ",400-COUNTBLANK($C$6:C405))</f>
        <v xml:space="preserve"> </v>
      </c>
      <c r="B405" s="94"/>
      <c r="C405" s="94"/>
      <c r="D405" s="95"/>
      <c r="E405" s="95"/>
      <c r="F405" s="85"/>
      <c r="G405" s="85"/>
      <c r="H405" s="85"/>
      <c r="I405" s="85"/>
      <c r="J405" s="85"/>
      <c r="K405" s="85"/>
      <c r="L405" s="85"/>
      <c r="M405" s="86"/>
      <c r="N405" s="71" t="str">
        <f t="shared" si="6"/>
        <v/>
      </c>
      <c r="O405" s="72"/>
      <c r="P405" s="72"/>
      <c r="Q405" s="72"/>
      <c r="R405" s="72"/>
      <c r="S405" s="72"/>
      <c r="T405" s="72"/>
      <c r="U405" s="72"/>
      <c r="V405" s="72"/>
    </row>
    <row r="406" spans="1:25" ht="27.75" customHeight="1">
      <c r="A406" s="87" t="str">
        <f>IF(ISBLANK(C406)," ",401-COUNTBLANK($C$6:C406))</f>
        <v xml:space="preserve"> </v>
      </c>
      <c r="B406" s="88"/>
      <c r="C406" s="88"/>
      <c r="D406" s="89"/>
      <c r="E406" s="89"/>
      <c r="F406" s="73"/>
      <c r="G406" s="73"/>
      <c r="H406" s="73"/>
      <c r="I406" s="73"/>
      <c r="J406" s="73"/>
      <c r="K406" s="73"/>
      <c r="L406" s="73"/>
      <c r="M406" s="74"/>
      <c r="N406" s="71" t="str">
        <f t="shared" si="6"/>
        <v/>
      </c>
      <c r="O406" s="72"/>
      <c r="P406" s="72"/>
      <c r="Q406" s="72"/>
      <c r="R406" s="72"/>
      <c r="S406" s="72"/>
      <c r="T406" s="72"/>
      <c r="U406" s="72"/>
      <c r="V406" s="72"/>
    </row>
    <row r="407" spans="1:25" ht="27.75" customHeight="1">
      <c r="A407" s="87" t="str">
        <f>IF(ISBLANK(C407)," ",402-COUNTBLANK($C$6:C407))</f>
        <v xml:space="preserve"> </v>
      </c>
      <c r="B407" s="88"/>
      <c r="C407" s="88"/>
      <c r="D407" s="89"/>
      <c r="E407" s="89"/>
      <c r="F407" s="73"/>
      <c r="G407" s="73"/>
      <c r="H407" s="73"/>
      <c r="I407" s="73"/>
      <c r="J407" s="73"/>
      <c r="K407" s="73"/>
      <c r="L407" s="73"/>
      <c r="M407" s="74"/>
      <c r="N407" s="71" t="str">
        <f t="shared" si="6"/>
        <v/>
      </c>
      <c r="O407" s="72"/>
      <c r="P407" s="72"/>
      <c r="Q407" s="72"/>
      <c r="R407" s="72"/>
      <c r="S407" s="72"/>
      <c r="T407" s="72"/>
      <c r="U407" s="72"/>
      <c r="V407" s="72"/>
    </row>
    <row r="408" spans="1:25" ht="27.75" customHeight="1">
      <c r="A408" s="87" t="str">
        <f>IF(ISBLANK(C408)," ",403-COUNTBLANK($C$6:C408))</f>
        <v xml:space="preserve"> </v>
      </c>
      <c r="B408" s="88"/>
      <c r="C408" s="88"/>
      <c r="D408" s="89"/>
      <c r="E408" s="89"/>
      <c r="F408" s="73"/>
      <c r="G408" s="73"/>
      <c r="H408" s="73"/>
      <c r="I408" s="73"/>
      <c r="J408" s="73"/>
      <c r="K408" s="73"/>
      <c r="L408" s="73"/>
      <c r="M408" s="74"/>
      <c r="N408" s="71" t="str">
        <f t="shared" si="6"/>
        <v/>
      </c>
      <c r="O408" s="72"/>
      <c r="P408" s="72"/>
      <c r="Q408" s="72"/>
      <c r="R408" s="72"/>
      <c r="S408" s="72"/>
      <c r="T408" s="72"/>
      <c r="U408" s="72"/>
      <c r="V408" s="72"/>
    </row>
    <row r="409" spans="1:25" ht="27.75" customHeight="1">
      <c r="A409" s="87" t="str">
        <f>IF(ISBLANK(C409)," ",404-COUNTBLANK($C$6:C409))</f>
        <v xml:space="preserve"> </v>
      </c>
      <c r="B409" s="88"/>
      <c r="C409" s="88"/>
      <c r="D409" s="89"/>
      <c r="E409" s="89"/>
      <c r="F409" s="73"/>
      <c r="G409" s="73"/>
      <c r="H409" s="73"/>
      <c r="I409" s="73"/>
      <c r="J409" s="73"/>
      <c r="K409" s="73"/>
      <c r="L409" s="73"/>
      <c r="M409" s="74"/>
      <c r="N409" s="71" t="str">
        <f t="shared" si="6"/>
        <v/>
      </c>
      <c r="O409" s="72"/>
      <c r="P409" s="72"/>
      <c r="Q409" s="72"/>
      <c r="R409" s="72"/>
      <c r="S409" s="72"/>
      <c r="T409" s="72"/>
      <c r="U409" s="72"/>
      <c r="V409" s="72"/>
    </row>
    <row r="410" spans="1:25" ht="27.75" customHeight="1">
      <c r="A410" s="87" t="str">
        <f>IF(ISBLANK(C410)," ",405-COUNTBLANK($C$6:C410))</f>
        <v xml:space="preserve"> </v>
      </c>
      <c r="B410" s="88"/>
      <c r="C410" s="88"/>
      <c r="D410" s="89"/>
      <c r="E410" s="89"/>
      <c r="F410" s="73"/>
      <c r="G410" s="73"/>
      <c r="H410" s="73"/>
      <c r="I410" s="73"/>
      <c r="J410" s="73"/>
      <c r="K410" s="73"/>
      <c r="L410" s="73"/>
      <c r="M410" s="74"/>
      <c r="N410" s="71" t="str">
        <f t="shared" si="6"/>
        <v/>
      </c>
      <c r="O410" s="72"/>
      <c r="P410" s="72"/>
      <c r="Q410" s="72"/>
      <c r="R410" s="72"/>
      <c r="S410" s="72"/>
      <c r="T410" s="72"/>
      <c r="U410" s="72"/>
      <c r="V410" s="72"/>
    </row>
    <row r="411" spans="1:25" ht="27.75" customHeight="1">
      <c r="A411" s="87" t="str">
        <f>IF(ISBLANK(C411)," ",406-COUNTBLANK($C$6:C411))</f>
        <v xml:space="preserve"> </v>
      </c>
      <c r="B411" s="88"/>
      <c r="C411" s="88"/>
      <c r="D411" s="89"/>
      <c r="E411" s="89"/>
      <c r="F411" s="73"/>
      <c r="G411" s="73"/>
      <c r="H411" s="73"/>
      <c r="I411" s="73"/>
      <c r="J411" s="73"/>
      <c r="K411" s="73"/>
      <c r="L411" s="73"/>
      <c r="M411" s="74"/>
      <c r="N411" s="71" t="str">
        <f t="shared" si="6"/>
        <v/>
      </c>
      <c r="O411" s="72"/>
      <c r="P411" s="72"/>
      <c r="Q411" s="72"/>
      <c r="R411" s="72"/>
      <c r="S411" s="72"/>
      <c r="T411" s="72"/>
      <c r="U411" s="72"/>
      <c r="V411" s="72"/>
    </row>
    <row r="412" spans="1:25" ht="27.75" customHeight="1">
      <c r="A412" s="87" t="str">
        <f>IF(ISBLANK(C412)," ",407-COUNTBLANK($C$6:C412))</f>
        <v xml:space="preserve"> </v>
      </c>
      <c r="B412" s="88"/>
      <c r="C412" s="88"/>
      <c r="D412" s="89"/>
      <c r="E412" s="89"/>
      <c r="F412" s="73"/>
      <c r="G412" s="73"/>
      <c r="H412" s="73"/>
      <c r="I412" s="73"/>
      <c r="J412" s="73"/>
      <c r="K412" s="73"/>
      <c r="L412" s="73"/>
      <c r="M412" s="74"/>
      <c r="N412" s="71" t="str">
        <f t="shared" si="6"/>
        <v/>
      </c>
      <c r="O412" s="72"/>
      <c r="P412" s="72"/>
      <c r="Q412" s="72"/>
      <c r="R412" s="72"/>
      <c r="S412" s="72"/>
      <c r="T412" s="72"/>
      <c r="U412" s="72"/>
      <c r="V412" s="72"/>
    </row>
    <row r="413" spans="1:25" ht="27.75" customHeight="1">
      <c r="A413" s="87" t="str">
        <f>IF(ISBLANK(C413)," ",408-COUNTBLANK($C$6:C413))</f>
        <v xml:space="preserve"> </v>
      </c>
      <c r="B413" s="88"/>
      <c r="C413" s="88"/>
      <c r="D413" s="89"/>
      <c r="E413" s="89"/>
      <c r="F413" s="73"/>
      <c r="G413" s="73"/>
      <c r="H413" s="73"/>
      <c r="I413" s="73"/>
      <c r="J413" s="73"/>
      <c r="K413" s="73"/>
      <c r="L413" s="73"/>
      <c r="M413" s="74"/>
      <c r="N413" s="71" t="str">
        <f t="shared" si="6"/>
        <v/>
      </c>
      <c r="O413" s="72"/>
      <c r="P413" s="72"/>
      <c r="Q413" s="72"/>
      <c r="R413" s="72"/>
      <c r="S413" s="72"/>
      <c r="T413" s="72"/>
      <c r="U413" s="72"/>
      <c r="V413" s="72"/>
    </row>
    <row r="414" spans="1:25" ht="27.75" customHeight="1">
      <c r="A414" s="87" t="str">
        <f>IF(ISBLANK(C414)," ",409-COUNTBLANK($C$6:C414))</f>
        <v xml:space="preserve"> </v>
      </c>
      <c r="B414" s="88"/>
      <c r="C414" s="88"/>
      <c r="D414" s="89"/>
      <c r="E414" s="89"/>
      <c r="F414" s="73"/>
      <c r="G414" s="73"/>
      <c r="H414" s="73"/>
      <c r="I414" s="73"/>
      <c r="J414" s="73"/>
      <c r="K414" s="73"/>
      <c r="L414" s="73"/>
      <c r="M414" s="74"/>
      <c r="N414" s="71" t="str">
        <f t="shared" si="6"/>
        <v/>
      </c>
      <c r="O414" s="72"/>
      <c r="P414" s="72"/>
      <c r="Q414" s="72"/>
      <c r="R414" s="72"/>
      <c r="S414" s="72"/>
      <c r="T414" s="72"/>
      <c r="U414" s="72"/>
      <c r="V414" s="72"/>
    </row>
    <row r="415" spans="1:25" ht="27.75" customHeight="1">
      <c r="A415" s="87" t="str">
        <f>IF(ISBLANK(C415)," ",410-COUNTBLANK($C$6:C415))</f>
        <v xml:space="preserve"> </v>
      </c>
      <c r="B415" s="88"/>
      <c r="C415" s="88"/>
      <c r="D415" s="89"/>
      <c r="E415" s="89"/>
      <c r="F415" s="73"/>
      <c r="G415" s="73"/>
      <c r="H415" s="73"/>
      <c r="I415" s="73"/>
      <c r="J415" s="73"/>
      <c r="K415" s="73"/>
      <c r="L415" s="73"/>
      <c r="M415" s="74"/>
      <c r="N415" s="71" t="str">
        <f t="shared" si="6"/>
        <v/>
      </c>
      <c r="O415" s="72"/>
      <c r="P415" s="72"/>
      <c r="Q415" s="72"/>
      <c r="R415" s="72"/>
      <c r="S415" s="72"/>
      <c r="T415" s="72"/>
      <c r="U415" s="72"/>
      <c r="V415" s="72"/>
    </row>
    <row r="416" spans="1:25" ht="27.75" customHeight="1">
      <c r="A416" s="87" t="str">
        <f>IF(ISBLANK(C416)," ",411-COUNTBLANK($C$6:C416))</f>
        <v xml:space="preserve"> </v>
      </c>
      <c r="B416" s="88"/>
      <c r="C416" s="88"/>
      <c r="D416" s="89"/>
      <c r="E416" s="89"/>
      <c r="F416" s="73"/>
      <c r="G416" s="73"/>
      <c r="H416" s="73"/>
      <c r="I416" s="73"/>
      <c r="J416" s="73"/>
      <c r="K416" s="73"/>
      <c r="L416" s="73"/>
      <c r="M416" s="74"/>
      <c r="N416" s="71" t="str">
        <f t="shared" si="6"/>
        <v/>
      </c>
      <c r="O416" s="72"/>
      <c r="P416" s="72"/>
      <c r="Q416" s="72"/>
      <c r="R416" s="72"/>
      <c r="S416" s="72"/>
      <c r="T416" s="72"/>
      <c r="U416" s="72"/>
      <c r="V416" s="72"/>
    </row>
    <row r="417" spans="1:25" ht="27.75" customHeight="1">
      <c r="A417" s="87" t="str">
        <f>IF(ISBLANK(C417)," ",412-COUNTBLANK($C$6:C417))</f>
        <v xml:space="preserve"> </v>
      </c>
      <c r="B417" s="88"/>
      <c r="C417" s="88"/>
      <c r="D417" s="89"/>
      <c r="E417" s="89"/>
      <c r="F417" s="73"/>
      <c r="G417" s="73"/>
      <c r="H417" s="73"/>
      <c r="I417" s="73"/>
      <c r="J417" s="73"/>
      <c r="K417" s="73"/>
      <c r="L417" s="73"/>
      <c r="M417" s="74"/>
      <c r="N417" s="71" t="str">
        <f t="shared" si="6"/>
        <v/>
      </c>
      <c r="O417" s="72"/>
      <c r="P417" s="72"/>
      <c r="Q417" s="72"/>
      <c r="R417" s="72"/>
      <c r="S417" s="72"/>
      <c r="T417" s="72"/>
      <c r="U417" s="72"/>
      <c r="V417" s="72"/>
    </row>
    <row r="418" spans="1:25" ht="27.75" customHeight="1">
      <c r="A418" s="87" t="str">
        <f>IF(ISBLANK(C418)," ",413-COUNTBLANK($C$6:C418))</f>
        <v xml:space="preserve"> </v>
      </c>
      <c r="B418" s="88"/>
      <c r="C418" s="88"/>
      <c r="D418" s="89"/>
      <c r="E418" s="89"/>
      <c r="F418" s="73"/>
      <c r="G418" s="73"/>
      <c r="H418" s="73"/>
      <c r="I418" s="73"/>
      <c r="J418" s="73"/>
      <c r="K418" s="73"/>
      <c r="L418" s="73"/>
      <c r="M418" s="74"/>
      <c r="N418" s="71" t="str">
        <f t="shared" si="6"/>
        <v/>
      </c>
      <c r="O418" s="72"/>
      <c r="P418" s="72"/>
      <c r="Q418" s="72"/>
      <c r="R418" s="72"/>
      <c r="S418" s="72"/>
      <c r="T418" s="72"/>
      <c r="U418" s="72"/>
      <c r="V418" s="72"/>
    </row>
    <row r="419" spans="1:25" ht="27.75" customHeight="1">
      <c r="A419" s="87" t="str">
        <f>IF(ISBLANK(C419)," ",414-COUNTBLANK($C$6:C419))</f>
        <v xml:space="preserve"> </v>
      </c>
      <c r="B419" s="88"/>
      <c r="C419" s="88"/>
      <c r="D419" s="89"/>
      <c r="E419" s="89"/>
      <c r="F419" s="73"/>
      <c r="G419" s="73"/>
      <c r="H419" s="73"/>
      <c r="I419" s="73"/>
      <c r="J419" s="73"/>
      <c r="K419" s="73"/>
      <c r="L419" s="73"/>
      <c r="M419" s="74"/>
      <c r="N419" s="71" t="str">
        <f t="shared" si="6"/>
        <v/>
      </c>
      <c r="O419" s="72"/>
      <c r="P419" s="72"/>
      <c r="Q419" s="72"/>
      <c r="R419" s="72"/>
      <c r="S419" s="72"/>
      <c r="T419" s="72"/>
      <c r="U419" s="72"/>
      <c r="V419" s="72"/>
    </row>
    <row r="420" spans="1:25" ht="27.75" customHeight="1">
      <c r="A420" s="87" t="str">
        <f>IF(ISBLANK(C420)," ",415-COUNTBLANK($C$6:C420))</f>
        <v xml:space="preserve"> </v>
      </c>
      <c r="B420" s="88"/>
      <c r="C420" s="88"/>
      <c r="D420" s="89"/>
      <c r="E420" s="89"/>
      <c r="F420" s="73"/>
      <c r="G420" s="73"/>
      <c r="H420" s="73"/>
      <c r="I420" s="73"/>
      <c r="J420" s="73"/>
      <c r="K420" s="73"/>
      <c r="L420" s="73"/>
      <c r="M420" s="74"/>
      <c r="N420" s="71" t="str">
        <f t="shared" si="6"/>
        <v/>
      </c>
      <c r="O420" s="75"/>
      <c r="P420" s="72"/>
      <c r="Q420" s="72"/>
      <c r="R420" s="72"/>
      <c r="S420" s="72"/>
      <c r="T420" s="72"/>
      <c r="U420" s="72"/>
      <c r="V420" s="76"/>
    </row>
    <row r="421" spans="1:25" ht="27.75" customHeight="1">
      <c r="A421" s="87" t="str">
        <f>IF(ISBLANK(C421)," ",416-COUNTBLANK($C$6:C421))</f>
        <v xml:space="preserve"> </v>
      </c>
      <c r="B421" s="88"/>
      <c r="C421" s="88"/>
      <c r="D421" s="89"/>
      <c r="E421" s="89"/>
      <c r="F421" s="73"/>
      <c r="G421" s="73"/>
      <c r="H421" s="73"/>
      <c r="I421" s="73"/>
      <c r="J421" s="73"/>
      <c r="K421" s="73"/>
      <c r="L421" s="73"/>
      <c r="M421" s="74"/>
      <c r="N421" s="71" t="str">
        <f t="shared" si="6"/>
        <v/>
      </c>
      <c r="O421" s="75"/>
      <c r="P421" s="72"/>
      <c r="Q421" s="72"/>
      <c r="R421" s="72"/>
      <c r="S421" s="72"/>
      <c r="T421" s="72"/>
      <c r="U421" s="72"/>
      <c r="V421" s="76"/>
    </row>
    <row r="422" spans="1:25" ht="27.75" customHeight="1">
      <c r="A422" s="87" t="str">
        <f>IF(ISBLANK(C422)," ",417-COUNTBLANK($C$6:C422))</f>
        <v xml:space="preserve"> </v>
      </c>
      <c r="B422" s="88"/>
      <c r="C422" s="88"/>
      <c r="D422" s="89"/>
      <c r="E422" s="89"/>
      <c r="F422" s="73"/>
      <c r="G422" s="73"/>
      <c r="H422" s="73"/>
      <c r="I422" s="73"/>
      <c r="J422" s="73"/>
      <c r="K422" s="73"/>
      <c r="L422" s="73"/>
      <c r="M422" s="74"/>
      <c r="N422" s="71" t="str">
        <f t="shared" si="6"/>
        <v/>
      </c>
      <c r="O422" s="75"/>
      <c r="P422" s="72"/>
      <c r="Q422" s="72"/>
      <c r="R422" s="72"/>
      <c r="S422" s="72"/>
      <c r="T422" s="72"/>
      <c r="U422" s="72"/>
      <c r="V422" s="76"/>
    </row>
    <row r="423" spans="1:25" ht="27.75" customHeight="1">
      <c r="A423" s="87" t="str">
        <f>IF(ISBLANK(C423)," ",418-COUNTBLANK($C$6:C423))</f>
        <v xml:space="preserve"> </v>
      </c>
      <c r="B423" s="88"/>
      <c r="C423" s="88"/>
      <c r="D423" s="89"/>
      <c r="E423" s="89"/>
      <c r="F423" s="73"/>
      <c r="G423" s="73"/>
      <c r="H423" s="73"/>
      <c r="I423" s="73"/>
      <c r="J423" s="73"/>
      <c r="K423" s="73"/>
      <c r="L423" s="73"/>
      <c r="M423" s="74"/>
      <c r="N423" s="71" t="str">
        <f t="shared" si="6"/>
        <v/>
      </c>
      <c r="O423" s="75"/>
      <c r="P423" s="72"/>
      <c r="Q423" s="72"/>
      <c r="R423" s="72"/>
      <c r="S423" s="72"/>
      <c r="T423" s="72"/>
      <c r="U423" s="72"/>
      <c r="V423" s="76"/>
    </row>
    <row r="424" spans="1:25" ht="27.75" customHeight="1">
      <c r="A424" s="87" t="str">
        <f>IF(ISBLANK(C424)," ",419-COUNTBLANK($C$6:C424))</f>
        <v xml:space="preserve"> </v>
      </c>
      <c r="B424" s="88"/>
      <c r="C424" s="88"/>
      <c r="D424" s="89"/>
      <c r="E424" s="89"/>
      <c r="F424" s="73"/>
      <c r="G424" s="73"/>
      <c r="H424" s="73"/>
      <c r="I424" s="73"/>
      <c r="J424" s="73"/>
      <c r="K424" s="73"/>
      <c r="L424" s="73"/>
      <c r="M424" s="74"/>
      <c r="N424" s="71" t="str">
        <f t="shared" si="6"/>
        <v/>
      </c>
      <c r="O424" s="72"/>
      <c r="P424" s="72"/>
      <c r="Q424" s="72"/>
      <c r="R424" s="72"/>
      <c r="S424" s="72"/>
      <c r="T424" s="72"/>
      <c r="U424" s="72"/>
      <c r="V424" s="79"/>
      <c r="W424" s="72"/>
      <c r="X424" s="72"/>
      <c r="Y424" s="72"/>
    </row>
    <row r="425" spans="1:25" ht="27.75" customHeight="1">
      <c r="A425" s="80" t="s">
        <v>58</v>
      </c>
      <c r="B425" s="81"/>
      <c r="C425" s="96"/>
      <c r="D425" s="82"/>
      <c r="E425" s="82">
        <f>SUM(E405:E424)</f>
        <v>0</v>
      </c>
      <c r="F425" s="83"/>
      <c r="G425" s="83"/>
      <c r="H425" s="83"/>
      <c r="I425" s="83"/>
      <c r="J425" s="83"/>
      <c r="K425" s="83"/>
      <c r="L425" s="83"/>
      <c r="M425" s="84"/>
      <c r="N425" s="71" t="str">
        <f t="shared" si="6"/>
        <v/>
      </c>
      <c r="O425" s="75"/>
      <c r="P425" s="72"/>
      <c r="Q425" s="72"/>
      <c r="R425" s="72"/>
      <c r="S425" s="72"/>
      <c r="T425" s="72"/>
      <c r="U425" s="72"/>
      <c r="V425" s="79"/>
      <c r="W425" s="72"/>
      <c r="X425" s="72"/>
      <c r="Y425" s="72"/>
    </row>
    <row r="426" spans="1:25" ht="27.75" customHeight="1">
      <c r="A426" s="93" t="str">
        <f>IF(ISBLANK(C426)," ",421-COUNTBLANK($C$6:C426))</f>
        <v xml:space="preserve"> </v>
      </c>
      <c r="B426" s="94"/>
      <c r="C426" s="94"/>
      <c r="D426" s="95"/>
      <c r="E426" s="95"/>
      <c r="F426" s="85"/>
      <c r="G426" s="85"/>
      <c r="H426" s="85"/>
      <c r="I426" s="85"/>
      <c r="J426" s="85"/>
      <c r="K426" s="85"/>
      <c r="L426" s="85"/>
      <c r="M426" s="86"/>
      <c r="N426" s="71" t="str">
        <f t="shared" si="6"/>
        <v/>
      </c>
      <c r="O426" s="72"/>
      <c r="P426" s="72"/>
      <c r="Q426" s="72"/>
      <c r="R426" s="72"/>
      <c r="S426" s="72"/>
      <c r="T426" s="72"/>
      <c r="U426" s="72"/>
      <c r="V426" s="72"/>
    </row>
    <row r="427" spans="1:25" ht="27.75" customHeight="1">
      <c r="A427" s="87" t="str">
        <f>IF(ISBLANK(C427)," ",422-COUNTBLANK($C$6:C427))</f>
        <v xml:space="preserve"> </v>
      </c>
      <c r="B427" s="88"/>
      <c r="C427" s="88"/>
      <c r="D427" s="89"/>
      <c r="E427" s="89"/>
      <c r="F427" s="73"/>
      <c r="G427" s="73"/>
      <c r="H427" s="73"/>
      <c r="I427" s="73"/>
      <c r="J427" s="73"/>
      <c r="K427" s="73"/>
      <c r="L427" s="73"/>
      <c r="M427" s="74"/>
      <c r="N427" s="71" t="str">
        <f t="shared" si="6"/>
        <v/>
      </c>
      <c r="O427" s="72"/>
      <c r="P427" s="72"/>
      <c r="Q427" s="72"/>
      <c r="R427" s="72"/>
      <c r="S427" s="72"/>
      <c r="T427" s="72"/>
      <c r="U427" s="72"/>
      <c r="V427" s="72"/>
    </row>
    <row r="428" spans="1:25" ht="27.75" customHeight="1">
      <c r="A428" s="87" t="str">
        <f>IF(ISBLANK(C428)," ",423-COUNTBLANK($C$6:C428))</f>
        <v xml:space="preserve"> </v>
      </c>
      <c r="B428" s="88"/>
      <c r="C428" s="88"/>
      <c r="D428" s="89"/>
      <c r="E428" s="89"/>
      <c r="F428" s="73"/>
      <c r="G428" s="73"/>
      <c r="H428" s="73"/>
      <c r="I428" s="73"/>
      <c r="J428" s="73"/>
      <c r="K428" s="73"/>
      <c r="L428" s="73"/>
      <c r="M428" s="74"/>
      <c r="N428" s="71" t="str">
        <f t="shared" si="6"/>
        <v/>
      </c>
      <c r="O428" s="72"/>
      <c r="P428" s="72"/>
      <c r="Q428" s="72"/>
      <c r="R428" s="72"/>
      <c r="S428" s="72"/>
      <c r="T428" s="72"/>
      <c r="U428" s="72"/>
      <c r="V428" s="72"/>
    </row>
    <row r="429" spans="1:25" ht="27.75" customHeight="1">
      <c r="A429" s="87" t="str">
        <f>IF(ISBLANK(C429)," ",424-COUNTBLANK($C$6:C429))</f>
        <v xml:space="preserve"> </v>
      </c>
      <c r="B429" s="88"/>
      <c r="C429" s="88"/>
      <c r="D429" s="89"/>
      <c r="E429" s="89"/>
      <c r="F429" s="73"/>
      <c r="G429" s="73"/>
      <c r="H429" s="73"/>
      <c r="I429" s="73"/>
      <c r="J429" s="73"/>
      <c r="K429" s="73"/>
      <c r="L429" s="73"/>
      <c r="M429" s="74"/>
      <c r="N429" s="71" t="str">
        <f t="shared" si="6"/>
        <v/>
      </c>
      <c r="O429" s="72"/>
      <c r="P429" s="72"/>
      <c r="Q429" s="72"/>
      <c r="R429" s="72"/>
      <c r="S429" s="72"/>
      <c r="T429" s="72"/>
      <c r="U429" s="72"/>
      <c r="V429" s="72"/>
    </row>
    <row r="430" spans="1:25" ht="27.75" customHeight="1">
      <c r="A430" s="87" t="str">
        <f>IF(ISBLANK(C430)," ",425-COUNTBLANK($C$6:C430))</f>
        <v xml:space="preserve"> </v>
      </c>
      <c r="B430" s="88"/>
      <c r="C430" s="88"/>
      <c r="D430" s="89"/>
      <c r="E430" s="89"/>
      <c r="F430" s="73"/>
      <c r="G430" s="73"/>
      <c r="H430" s="73"/>
      <c r="I430" s="73"/>
      <c r="J430" s="73"/>
      <c r="K430" s="73"/>
      <c r="L430" s="73"/>
      <c r="M430" s="74"/>
      <c r="N430" s="71" t="str">
        <f t="shared" si="6"/>
        <v/>
      </c>
      <c r="O430" s="72"/>
      <c r="P430" s="72"/>
      <c r="Q430" s="72"/>
      <c r="R430" s="72"/>
      <c r="S430" s="72"/>
      <c r="T430" s="72"/>
      <c r="U430" s="72"/>
      <c r="V430" s="72"/>
    </row>
    <row r="431" spans="1:25" ht="27.75" customHeight="1">
      <c r="A431" s="87" t="str">
        <f>IF(ISBLANK(C431)," ",426-COUNTBLANK($C$6:C431))</f>
        <v xml:space="preserve"> </v>
      </c>
      <c r="B431" s="88"/>
      <c r="C431" s="88"/>
      <c r="D431" s="89"/>
      <c r="E431" s="89"/>
      <c r="F431" s="73"/>
      <c r="G431" s="73"/>
      <c r="H431" s="73"/>
      <c r="I431" s="73"/>
      <c r="J431" s="73"/>
      <c r="K431" s="73"/>
      <c r="L431" s="73"/>
      <c r="M431" s="74"/>
      <c r="N431" s="71" t="str">
        <f t="shared" si="6"/>
        <v/>
      </c>
      <c r="O431" s="72"/>
      <c r="P431" s="72"/>
      <c r="Q431" s="72"/>
      <c r="R431" s="72"/>
      <c r="S431" s="72"/>
      <c r="T431" s="72"/>
      <c r="U431" s="72"/>
      <c r="V431" s="72"/>
    </row>
    <row r="432" spans="1:25" ht="27.75" customHeight="1">
      <c r="A432" s="87" t="str">
        <f>IF(ISBLANK(C432)," ",427-COUNTBLANK($C$6:C432))</f>
        <v xml:space="preserve"> </v>
      </c>
      <c r="B432" s="88"/>
      <c r="C432" s="88"/>
      <c r="D432" s="89"/>
      <c r="E432" s="89"/>
      <c r="F432" s="73"/>
      <c r="G432" s="73"/>
      <c r="H432" s="73"/>
      <c r="I432" s="73"/>
      <c r="J432" s="73"/>
      <c r="K432" s="73"/>
      <c r="L432" s="73"/>
      <c r="M432" s="74"/>
      <c r="N432" s="71" t="str">
        <f t="shared" si="6"/>
        <v/>
      </c>
      <c r="O432" s="72"/>
      <c r="P432" s="72"/>
      <c r="Q432" s="72"/>
      <c r="R432" s="72"/>
      <c r="S432" s="72"/>
      <c r="T432" s="72"/>
      <c r="U432" s="72"/>
      <c r="V432" s="72"/>
    </row>
    <row r="433" spans="1:25" ht="27.75" customHeight="1">
      <c r="A433" s="87" t="str">
        <f>IF(ISBLANK(C433)," ",428-COUNTBLANK($C$6:C433))</f>
        <v xml:space="preserve"> </v>
      </c>
      <c r="B433" s="88"/>
      <c r="C433" s="88"/>
      <c r="D433" s="89"/>
      <c r="E433" s="89"/>
      <c r="F433" s="73"/>
      <c r="G433" s="73"/>
      <c r="H433" s="73"/>
      <c r="I433" s="73"/>
      <c r="J433" s="73"/>
      <c r="K433" s="73"/>
      <c r="L433" s="73"/>
      <c r="M433" s="74"/>
      <c r="N433" s="71" t="str">
        <f t="shared" si="6"/>
        <v/>
      </c>
      <c r="O433" s="72"/>
      <c r="P433" s="72"/>
      <c r="Q433" s="72"/>
      <c r="R433" s="72"/>
      <c r="S433" s="72"/>
      <c r="T433" s="72"/>
      <c r="U433" s="72"/>
      <c r="V433" s="72"/>
    </row>
    <row r="434" spans="1:25" ht="27.75" customHeight="1">
      <c r="A434" s="87" t="str">
        <f>IF(ISBLANK(C434)," ",429-COUNTBLANK($C$6:C434))</f>
        <v xml:space="preserve"> </v>
      </c>
      <c r="B434" s="88"/>
      <c r="C434" s="88"/>
      <c r="D434" s="89"/>
      <c r="E434" s="89"/>
      <c r="F434" s="73"/>
      <c r="G434" s="73"/>
      <c r="H434" s="73"/>
      <c r="I434" s="73"/>
      <c r="J434" s="73"/>
      <c r="K434" s="73"/>
      <c r="L434" s="73"/>
      <c r="M434" s="74"/>
      <c r="N434" s="71" t="str">
        <f t="shared" si="6"/>
        <v/>
      </c>
      <c r="O434" s="72"/>
      <c r="P434" s="72"/>
      <c r="Q434" s="72"/>
      <c r="R434" s="72"/>
      <c r="S434" s="72"/>
      <c r="T434" s="72"/>
      <c r="U434" s="72"/>
      <c r="V434" s="72"/>
    </row>
    <row r="435" spans="1:25" ht="27.75" customHeight="1">
      <c r="A435" s="87" t="str">
        <f>IF(ISBLANK(C435)," ",430-COUNTBLANK($C$6:C435))</f>
        <v xml:space="preserve"> </v>
      </c>
      <c r="B435" s="88"/>
      <c r="C435" s="88"/>
      <c r="D435" s="89"/>
      <c r="E435" s="89"/>
      <c r="F435" s="73"/>
      <c r="G435" s="73"/>
      <c r="H435" s="73"/>
      <c r="I435" s="73"/>
      <c r="J435" s="73"/>
      <c r="K435" s="73"/>
      <c r="L435" s="73"/>
      <c r="M435" s="74"/>
      <c r="N435" s="71" t="str">
        <f t="shared" si="6"/>
        <v/>
      </c>
      <c r="O435" s="72"/>
      <c r="P435" s="72"/>
      <c r="Q435" s="72"/>
      <c r="R435" s="72"/>
      <c r="S435" s="72"/>
      <c r="T435" s="72"/>
      <c r="U435" s="72"/>
      <c r="V435" s="72"/>
    </row>
    <row r="436" spans="1:25" ht="27.75" customHeight="1">
      <c r="A436" s="87" t="str">
        <f>IF(ISBLANK(C436)," ",431-COUNTBLANK($C$6:C436))</f>
        <v xml:space="preserve"> </v>
      </c>
      <c r="B436" s="88"/>
      <c r="C436" s="88"/>
      <c r="D436" s="89"/>
      <c r="E436" s="89"/>
      <c r="F436" s="73"/>
      <c r="G436" s="73"/>
      <c r="H436" s="73"/>
      <c r="I436" s="73"/>
      <c r="J436" s="73"/>
      <c r="K436" s="73"/>
      <c r="L436" s="73"/>
      <c r="M436" s="74"/>
      <c r="N436" s="71" t="str">
        <f t="shared" si="6"/>
        <v/>
      </c>
      <c r="O436" s="72"/>
      <c r="P436" s="72"/>
      <c r="Q436" s="72"/>
      <c r="R436" s="72"/>
      <c r="S436" s="72"/>
      <c r="T436" s="72"/>
      <c r="U436" s="72"/>
      <c r="V436" s="72"/>
    </row>
    <row r="437" spans="1:25" ht="27.75" customHeight="1">
      <c r="A437" s="87" t="str">
        <f>IF(ISBLANK(C437)," ",432-COUNTBLANK($C$6:C437))</f>
        <v xml:space="preserve"> </v>
      </c>
      <c r="B437" s="88"/>
      <c r="C437" s="88"/>
      <c r="D437" s="89"/>
      <c r="E437" s="89"/>
      <c r="F437" s="73"/>
      <c r="G437" s="73"/>
      <c r="H437" s="73"/>
      <c r="I437" s="73"/>
      <c r="J437" s="73"/>
      <c r="K437" s="73"/>
      <c r="L437" s="73"/>
      <c r="M437" s="74"/>
      <c r="N437" s="71" t="str">
        <f t="shared" si="6"/>
        <v/>
      </c>
      <c r="O437" s="72"/>
      <c r="P437" s="72"/>
      <c r="Q437" s="72"/>
      <c r="R437" s="72"/>
      <c r="S437" s="72"/>
      <c r="T437" s="72"/>
      <c r="U437" s="72"/>
      <c r="V437" s="72"/>
    </row>
    <row r="438" spans="1:25" ht="27.75" customHeight="1">
      <c r="A438" s="87" t="str">
        <f>IF(ISBLANK(C438)," ",433-COUNTBLANK($C$6:C438))</f>
        <v xml:space="preserve"> </v>
      </c>
      <c r="B438" s="88"/>
      <c r="C438" s="88"/>
      <c r="D438" s="89"/>
      <c r="E438" s="89"/>
      <c r="F438" s="73"/>
      <c r="G438" s="73"/>
      <c r="H438" s="73"/>
      <c r="I438" s="73"/>
      <c r="J438" s="73"/>
      <c r="K438" s="73"/>
      <c r="L438" s="73"/>
      <c r="M438" s="74"/>
      <c r="N438" s="71" t="str">
        <f t="shared" si="6"/>
        <v/>
      </c>
      <c r="O438" s="72"/>
      <c r="P438" s="72"/>
      <c r="Q438" s="72"/>
      <c r="R438" s="72"/>
      <c r="S438" s="72"/>
      <c r="T438" s="72"/>
      <c r="U438" s="72"/>
      <c r="V438" s="72"/>
    </row>
    <row r="439" spans="1:25" ht="27.75" customHeight="1">
      <c r="A439" s="87" t="str">
        <f>IF(ISBLANK(C439)," ",434-COUNTBLANK($C$6:C439))</f>
        <v xml:space="preserve"> </v>
      </c>
      <c r="B439" s="88"/>
      <c r="C439" s="88"/>
      <c r="D439" s="89"/>
      <c r="E439" s="89"/>
      <c r="F439" s="73"/>
      <c r="G439" s="73"/>
      <c r="H439" s="73"/>
      <c r="I439" s="73"/>
      <c r="J439" s="73"/>
      <c r="K439" s="73"/>
      <c r="L439" s="73"/>
      <c r="M439" s="74"/>
      <c r="N439" s="71" t="str">
        <f t="shared" si="6"/>
        <v/>
      </c>
      <c r="O439" s="72"/>
      <c r="P439" s="72"/>
      <c r="Q439" s="72"/>
      <c r="R439" s="72"/>
      <c r="S439" s="72"/>
      <c r="T439" s="72"/>
      <c r="U439" s="72"/>
      <c r="V439" s="72"/>
    </row>
    <row r="440" spans="1:25" ht="27.75" customHeight="1">
      <c r="A440" s="87" t="str">
        <f>IF(ISBLANK(C440)," ",435-COUNTBLANK($C$6:C440))</f>
        <v xml:space="preserve"> </v>
      </c>
      <c r="B440" s="88"/>
      <c r="C440" s="88"/>
      <c r="D440" s="89"/>
      <c r="E440" s="89"/>
      <c r="F440" s="73"/>
      <c r="G440" s="73"/>
      <c r="H440" s="73"/>
      <c r="I440" s="73"/>
      <c r="J440" s="73"/>
      <c r="K440" s="73"/>
      <c r="L440" s="73"/>
      <c r="M440" s="74"/>
      <c r="N440" s="71" t="str">
        <f t="shared" si="6"/>
        <v/>
      </c>
      <c r="O440" s="72"/>
      <c r="P440" s="72"/>
      <c r="Q440" s="72"/>
      <c r="R440" s="72"/>
      <c r="S440" s="72"/>
      <c r="T440" s="72"/>
      <c r="U440" s="72"/>
      <c r="V440" s="72"/>
    </row>
    <row r="441" spans="1:25" ht="27.75" customHeight="1">
      <c r="A441" s="87" t="str">
        <f>IF(ISBLANK(C441)," ",436-COUNTBLANK($C$6:C441))</f>
        <v xml:space="preserve"> </v>
      </c>
      <c r="B441" s="88"/>
      <c r="C441" s="88"/>
      <c r="D441" s="89"/>
      <c r="E441" s="89"/>
      <c r="F441" s="73"/>
      <c r="G441" s="73"/>
      <c r="H441" s="73"/>
      <c r="I441" s="73"/>
      <c r="J441" s="73"/>
      <c r="K441" s="73"/>
      <c r="L441" s="73"/>
      <c r="M441" s="74"/>
      <c r="N441" s="71" t="str">
        <f t="shared" si="6"/>
        <v/>
      </c>
      <c r="O441" s="75"/>
      <c r="P441" s="72"/>
      <c r="Q441" s="72"/>
      <c r="R441" s="72"/>
      <c r="S441" s="72"/>
      <c r="T441" s="72"/>
      <c r="U441" s="72"/>
      <c r="V441" s="76"/>
    </row>
    <row r="442" spans="1:25" ht="27.75" customHeight="1">
      <c r="A442" s="87" t="str">
        <f>IF(ISBLANK(C442)," ",437-COUNTBLANK($C$6:C442))</f>
        <v xml:space="preserve"> </v>
      </c>
      <c r="B442" s="88"/>
      <c r="C442" s="88"/>
      <c r="D442" s="89"/>
      <c r="E442" s="89"/>
      <c r="F442" s="73"/>
      <c r="G442" s="73"/>
      <c r="H442" s="73"/>
      <c r="I442" s="73"/>
      <c r="J442" s="73"/>
      <c r="K442" s="73"/>
      <c r="L442" s="73"/>
      <c r="M442" s="74"/>
      <c r="N442" s="71" t="str">
        <f t="shared" si="6"/>
        <v/>
      </c>
      <c r="O442" s="75"/>
      <c r="P442" s="72"/>
      <c r="Q442" s="72"/>
      <c r="R442" s="72"/>
      <c r="S442" s="72"/>
      <c r="T442" s="72"/>
      <c r="U442" s="72"/>
      <c r="V442" s="76"/>
    </row>
    <row r="443" spans="1:25" ht="27.75" customHeight="1">
      <c r="A443" s="87" t="str">
        <f>IF(ISBLANK(C443)," ",438-COUNTBLANK($C$6:C443))</f>
        <v xml:space="preserve"> </v>
      </c>
      <c r="B443" s="88"/>
      <c r="C443" s="88"/>
      <c r="D443" s="89"/>
      <c r="E443" s="89"/>
      <c r="F443" s="73"/>
      <c r="G443" s="73"/>
      <c r="H443" s="73"/>
      <c r="I443" s="73"/>
      <c r="J443" s="73"/>
      <c r="K443" s="73"/>
      <c r="L443" s="73"/>
      <c r="M443" s="74"/>
      <c r="N443" s="71" t="str">
        <f t="shared" si="6"/>
        <v/>
      </c>
      <c r="O443" s="75"/>
      <c r="P443" s="72"/>
      <c r="Q443" s="72"/>
      <c r="R443" s="72"/>
      <c r="S443" s="72"/>
      <c r="T443" s="72"/>
      <c r="U443" s="72"/>
      <c r="V443" s="76"/>
    </row>
    <row r="444" spans="1:25" ht="27.75" customHeight="1">
      <c r="A444" s="87" t="str">
        <f>IF(ISBLANK(C444)," ",439-COUNTBLANK($C$6:C444))</f>
        <v xml:space="preserve"> </v>
      </c>
      <c r="B444" s="88"/>
      <c r="C444" s="88"/>
      <c r="D444" s="89"/>
      <c r="E444" s="89"/>
      <c r="F444" s="73"/>
      <c r="G444" s="73"/>
      <c r="H444" s="73"/>
      <c r="I444" s="73"/>
      <c r="J444" s="73"/>
      <c r="K444" s="73"/>
      <c r="L444" s="73"/>
      <c r="M444" s="74"/>
      <c r="N444" s="71" t="str">
        <f t="shared" si="6"/>
        <v/>
      </c>
      <c r="O444" s="75"/>
      <c r="P444" s="72"/>
      <c r="Q444" s="72"/>
      <c r="R444" s="72"/>
      <c r="S444" s="72"/>
      <c r="T444" s="72"/>
      <c r="U444" s="72"/>
      <c r="V444" s="76"/>
    </row>
    <row r="445" spans="1:25" ht="27.75" customHeight="1">
      <c r="A445" s="87" t="str">
        <f>IF(ISBLANK(C445)," ",440-COUNTBLANK($C$6:C445))</f>
        <v xml:space="preserve"> </v>
      </c>
      <c r="B445" s="88"/>
      <c r="C445" s="88"/>
      <c r="D445" s="89"/>
      <c r="E445" s="89"/>
      <c r="F445" s="73"/>
      <c r="G445" s="73"/>
      <c r="H445" s="73"/>
      <c r="I445" s="73"/>
      <c r="J445" s="73"/>
      <c r="K445" s="73"/>
      <c r="L445" s="73"/>
      <c r="M445" s="74"/>
      <c r="N445" s="71" t="str">
        <f t="shared" si="6"/>
        <v/>
      </c>
      <c r="O445" s="72"/>
      <c r="P445" s="72"/>
      <c r="Q445" s="72"/>
      <c r="R445" s="72"/>
      <c r="S445" s="72"/>
      <c r="T445" s="72"/>
      <c r="U445" s="72"/>
      <c r="V445" s="79"/>
      <c r="W445" s="72"/>
      <c r="X445" s="72"/>
      <c r="Y445" s="72"/>
    </row>
    <row r="446" spans="1:25" ht="27.75" customHeight="1">
      <c r="A446" s="80" t="s">
        <v>58</v>
      </c>
      <c r="B446" s="81"/>
      <c r="C446" s="96"/>
      <c r="D446" s="82"/>
      <c r="E446" s="82">
        <f>SUM(E426:E445)</f>
        <v>0</v>
      </c>
      <c r="F446" s="83"/>
      <c r="G446" s="83"/>
      <c r="H446" s="83"/>
      <c r="I446" s="83"/>
      <c r="J446" s="83"/>
      <c r="K446" s="83"/>
      <c r="L446" s="83"/>
      <c r="M446" s="84"/>
      <c r="N446" s="71" t="str">
        <f t="shared" si="6"/>
        <v/>
      </c>
      <c r="O446" s="75"/>
      <c r="P446" s="72"/>
      <c r="Q446" s="72"/>
      <c r="R446" s="72"/>
      <c r="S446" s="72"/>
      <c r="T446" s="72"/>
      <c r="U446" s="72"/>
      <c r="V446" s="79"/>
      <c r="W446" s="72"/>
      <c r="X446" s="72"/>
      <c r="Y446" s="72"/>
    </row>
    <row r="447" spans="1:25" ht="27.75" customHeight="1">
      <c r="A447" s="93" t="str">
        <f>IF(ISBLANK(C447)," ",442-COUNTBLANK($C$6:C447))</f>
        <v xml:space="preserve"> </v>
      </c>
      <c r="B447" s="94"/>
      <c r="C447" s="94"/>
      <c r="D447" s="95"/>
      <c r="E447" s="95"/>
      <c r="F447" s="85"/>
      <c r="G447" s="85"/>
      <c r="H447" s="85"/>
      <c r="I447" s="85"/>
      <c r="J447" s="85"/>
      <c r="K447" s="85"/>
      <c r="L447" s="85"/>
      <c r="M447" s="86"/>
      <c r="N447" s="71" t="str">
        <f t="shared" si="6"/>
        <v/>
      </c>
      <c r="O447" s="72"/>
      <c r="P447" s="72"/>
      <c r="Q447" s="72"/>
      <c r="R447" s="72"/>
      <c r="S447" s="72"/>
      <c r="T447" s="72"/>
      <c r="U447" s="72"/>
      <c r="V447" s="72"/>
    </row>
    <row r="448" spans="1:25" ht="27.75" customHeight="1">
      <c r="A448" s="87" t="str">
        <f>IF(ISBLANK(C448)," ",443-COUNTBLANK($C$6:C448))</f>
        <v xml:space="preserve"> </v>
      </c>
      <c r="B448" s="88"/>
      <c r="C448" s="88"/>
      <c r="D448" s="89"/>
      <c r="E448" s="89"/>
      <c r="F448" s="73"/>
      <c r="G448" s="73"/>
      <c r="H448" s="73"/>
      <c r="I448" s="73"/>
      <c r="J448" s="73"/>
      <c r="K448" s="73"/>
      <c r="L448" s="73"/>
      <c r="M448" s="74"/>
      <c r="N448" s="71" t="str">
        <f t="shared" si="6"/>
        <v/>
      </c>
      <c r="O448" s="72"/>
      <c r="P448" s="72"/>
      <c r="Q448" s="72"/>
      <c r="R448" s="72"/>
      <c r="S448" s="72"/>
      <c r="T448" s="72"/>
      <c r="U448" s="72"/>
      <c r="V448" s="72"/>
    </row>
    <row r="449" spans="1:22" ht="27.75" customHeight="1">
      <c r="A449" s="87" t="str">
        <f>IF(ISBLANK(C449)," ",444-COUNTBLANK($C$6:C449))</f>
        <v xml:space="preserve"> </v>
      </c>
      <c r="B449" s="88"/>
      <c r="C449" s="88"/>
      <c r="D449" s="89"/>
      <c r="E449" s="89"/>
      <c r="F449" s="73"/>
      <c r="G449" s="73"/>
      <c r="H449" s="73"/>
      <c r="I449" s="73"/>
      <c r="J449" s="73"/>
      <c r="K449" s="73"/>
      <c r="L449" s="73"/>
      <c r="M449" s="74"/>
      <c r="N449" s="71" t="str">
        <f t="shared" si="6"/>
        <v/>
      </c>
      <c r="O449" s="72"/>
      <c r="P449" s="72"/>
      <c r="Q449" s="72"/>
      <c r="R449" s="72"/>
      <c r="S449" s="72"/>
      <c r="T449" s="72"/>
      <c r="U449" s="72"/>
      <c r="V449" s="72"/>
    </row>
    <row r="450" spans="1:22" ht="27.75" customHeight="1">
      <c r="A450" s="87" t="str">
        <f>IF(ISBLANK(C450)," ",445-COUNTBLANK($C$6:C450))</f>
        <v xml:space="preserve"> </v>
      </c>
      <c r="B450" s="88"/>
      <c r="C450" s="88"/>
      <c r="D450" s="89"/>
      <c r="E450" s="89"/>
      <c r="F450" s="73"/>
      <c r="G450" s="73"/>
      <c r="H450" s="73"/>
      <c r="I450" s="73"/>
      <c r="J450" s="73"/>
      <c r="K450" s="73"/>
      <c r="L450" s="73"/>
      <c r="M450" s="74"/>
      <c r="N450" s="71" t="str">
        <f t="shared" si="6"/>
        <v/>
      </c>
      <c r="O450" s="72"/>
      <c r="P450" s="72"/>
      <c r="Q450" s="72"/>
      <c r="R450" s="72"/>
      <c r="S450" s="72"/>
      <c r="T450" s="72"/>
      <c r="U450" s="72"/>
      <c r="V450" s="72"/>
    </row>
    <row r="451" spans="1:22" ht="27.75" customHeight="1">
      <c r="A451" s="87" t="str">
        <f>IF(ISBLANK(C451)," ",446-COUNTBLANK($C$6:C451))</f>
        <v xml:space="preserve"> </v>
      </c>
      <c r="B451" s="88"/>
      <c r="C451" s="88"/>
      <c r="D451" s="89"/>
      <c r="E451" s="89"/>
      <c r="F451" s="73"/>
      <c r="G451" s="73"/>
      <c r="H451" s="73"/>
      <c r="I451" s="73"/>
      <c r="J451" s="73"/>
      <c r="K451" s="73"/>
      <c r="L451" s="73"/>
      <c r="M451" s="74"/>
      <c r="N451" s="71" t="str">
        <f t="shared" si="6"/>
        <v/>
      </c>
      <c r="O451" s="72"/>
      <c r="P451" s="72"/>
      <c r="Q451" s="72"/>
      <c r="R451" s="72"/>
      <c r="S451" s="72"/>
      <c r="T451" s="72"/>
      <c r="U451" s="72"/>
      <c r="V451" s="72"/>
    </row>
    <row r="452" spans="1:22" ht="27.75" customHeight="1">
      <c r="A452" s="87" t="str">
        <f>IF(ISBLANK(C452)," ",447-COUNTBLANK($C$6:C452))</f>
        <v xml:space="preserve"> </v>
      </c>
      <c r="B452" s="88"/>
      <c r="C452" s="88"/>
      <c r="D452" s="89"/>
      <c r="E452" s="89"/>
      <c r="F452" s="73"/>
      <c r="G452" s="73"/>
      <c r="H452" s="73"/>
      <c r="I452" s="73"/>
      <c r="J452" s="73"/>
      <c r="K452" s="73"/>
      <c r="L452" s="73"/>
      <c r="M452" s="74"/>
      <c r="N452" s="71" t="str">
        <f t="shared" si="6"/>
        <v/>
      </c>
      <c r="O452" s="72"/>
      <c r="P452" s="72"/>
      <c r="Q452" s="72"/>
      <c r="R452" s="72"/>
      <c r="S452" s="72"/>
      <c r="T452" s="72"/>
      <c r="U452" s="72"/>
      <c r="V452" s="72"/>
    </row>
    <row r="453" spans="1:22" ht="27.75" customHeight="1">
      <c r="A453" s="87" t="str">
        <f>IF(ISBLANK(C453)," ",448-COUNTBLANK($C$6:C453))</f>
        <v xml:space="preserve"> </v>
      </c>
      <c r="B453" s="88"/>
      <c r="C453" s="88"/>
      <c r="D453" s="89"/>
      <c r="E453" s="89"/>
      <c r="F453" s="73"/>
      <c r="G453" s="73"/>
      <c r="H453" s="73"/>
      <c r="I453" s="73"/>
      <c r="J453" s="73"/>
      <c r="K453" s="73"/>
      <c r="L453" s="73"/>
      <c r="M453" s="74"/>
      <c r="N453" s="71" t="str">
        <f t="shared" si="6"/>
        <v/>
      </c>
      <c r="O453" s="72"/>
      <c r="P453" s="72"/>
      <c r="Q453" s="72"/>
      <c r="R453" s="72"/>
      <c r="S453" s="72"/>
      <c r="T453" s="72"/>
      <c r="U453" s="72"/>
      <c r="V453" s="72"/>
    </row>
    <row r="454" spans="1:22" ht="27.75" customHeight="1">
      <c r="A454" s="87" t="str">
        <f>IF(ISBLANK(C454)," ",449-COUNTBLANK($C$6:C454))</f>
        <v xml:space="preserve"> </v>
      </c>
      <c r="B454" s="88"/>
      <c r="C454" s="88"/>
      <c r="D454" s="89"/>
      <c r="E454" s="89"/>
      <c r="F454" s="73"/>
      <c r="G454" s="73"/>
      <c r="H454" s="73"/>
      <c r="I454" s="73"/>
      <c r="J454" s="73"/>
      <c r="K454" s="73"/>
      <c r="L454" s="73"/>
      <c r="M454" s="74"/>
      <c r="N454" s="71" t="str">
        <f t="shared" ref="N454:N517" si="7">CONCATENATE(C454,H454)</f>
        <v/>
      </c>
      <c r="O454" s="72"/>
      <c r="P454" s="72"/>
      <c r="Q454" s="72"/>
      <c r="R454" s="72"/>
      <c r="S454" s="72"/>
      <c r="T454" s="72"/>
      <c r="U454" s="72"/>
      <c r="V454" s="72"/>
    </row>
    <row r="455" spans="1:22" ht="27.75" customHeight="1">
      <c r="A455" s="87" t="str">
        <f>IF(ISBLANK(C455)," ",450-COUNTBLANK($C$6:C455))</f>
        <v xml:space="preserve"> </v>
      </c>
      <c r="B455" s="88"/>
      <c r="C455" s="88"/>
      <c r="D455" s="89"/>
      <c r="E455" s="89"/>
      <c r="F455" s="73"/>
      <c r="G455" s="73"/>
      <c r="H455" s="73"/>
      <c r="I455" s="73"/>
      <c r="J455" s="73"/>
      <c r="K455" s="73"/>
      <c r="L455" s="73"/>
      <c r="M455" s="74"/>
      <c r="N455" s="71" t="str">
        <f t="shared" si="7"/>
        <v/>
      </c>
      <c r="O455" s="72"/>
      <c r="P455" s="72"/>
      <c r="Q455" s="72"/>
      <c r="R455" s="72"/>
      <c r="S455" s="72"/>
      <c r="T455" s="72"/>
      <c r="U455" s="72"/>
      <c r="V455" s="72"/>
    </row>
    <row r="456" spans="1:22" ht="27.75" customHeight="1">
      <c r="A456" s="87" t="str">
        <f>IF(ISBLANK(C456)," ",451-COUNTBLANK($C$6:C456))</f>
        <v xml:space="preserve"> </v>
      </c>
      <c r="B456" s="88"/>
      <c r="C456" s="88"/>
      <c r="D456" s="89"/>
      <c r="E456" s="89"/>
      <c r="F456" s="73"/>
      <c r="G456" s="73"/>
      <c r="H456" s="73"/>
      <c r="I456" s="73"/>
      <c r="J456" s="73"/>
      <c r="K456" s="73"/>
      <c r="L456" s="73"/>
      <c r="M456" s="74"/>
      <c r="N456" s="71" t="str">
        <f t="shared" si="7"/>
        <v/>
      </c>
      <c r="O456" s="72"/>
      <c r="P456" s="72"/>
      <c r="Q456" s="72"/>
      <c r="R456" s="72"/>
      <c r="S456" s="72"/>
      <c r="T456" s="72"/>
      <c r="U456" s="72"/>
      <c r="V456" s="72"/>
    </row>
    <row r="457" spans="1:22" ht="27.75" customHeight="1">
      <c r="A457" s="87" t="str">
        <f>IF(ISBLANK(C457)," ",452-COUNTBLANK($C$6:C457))</f>
        <v xml:space="preserve"> </v>
      </c>
      <c r="B457" s="88"/>
      <c r="C457" s="88"/>
      <c r="D457" s="89"/>
      <c r="E457" s="89"/>
      <c r="F457" s="73"/>
      <c r="G457" s="73"/>
      <c r="H457" s="73"/>
      <c r="I457" s="73"/>
      <c r="J457" s="73"/>
      <c r="K457" s="73"/>
      <c r="L457" s="73"/>
      <c r="M457" s="74"/>
      <c r="N457" s="71" t="str">
        <f t="shared" si="7"/>
        <v/>
      </c>
      <c r="O457" s="72"/>
      <c r="P457" s="72"/>
      <c r="Q457" s="72"/>
      <c r="R457" s="72"/>
      <c r="S457" s="72"/>
      <c r="T457" s="72"/>
      <c r="U457" s="72"/>
      <c r="V457" s="72"/>
    </row>
    <row r="458" spans="1:22" ht="27.75" customHeight="1">
      <c r="A458" s="87" t="str">
        <f>IF(ISBLANK(C458)," ",453-COUNTBLANK($C$6:C458))</f>
        <v xml:space="preserve"> </v>
      </c>
      <c r="B458" s="88"/>
      <c r="C458" s="88"/>
      <c r="D458" s="89"/>
      <c r="E458" s="89"/>
      <c r="F458" s="73"/>
      <c r="G458" s="73"/>
      <c r="H458" s="73"/>
      <c r="I458" s="73"/>
      <c r="J458" s="73"/>
      <c r="K458" s="73"/>
      <c r="L458" s="73"/>
      <c r="M458" s="74"/>
      <c r="N458" s="71" t="str">
        <f t="shared" si="7"/>
        <v/>
      </c>
      <c r="O458" s="72"/>
      <c r="P458" s="72"/>
      <c r="Q458" s="72"/>
      <c r="R458" s="72"/>
      <c r="S458" s="72"/>
      <c r="T458" s="72"/>
      <c r="U458" s="72"/>
      <c r="V458" s="72"/>
    </row>
    <row r="459" spans="1:22" ht="27.75" customHeight="1">
      <c r="A459" s="87" t="str">
        <f>IF(ISBLANK(C459)," ",454-COUNTBLANK($C$6:C459))</f>
        <v xml:space="preserve"> </v>
      </c>
      <c r="B459" s="88"/>
      <c r="C459" s="88"/>
      <c r="D459" s="89"/>
      <c r="E459" s="89"/>
      <c r="F459" s="73"/>
      <c r="G459" s="73"/>
      <c r="H459" s="73"/>
      <c r="I459" s="73"/>
      <c r="J459" s="73"/>
      <c r="K459" s="73"/>
      <c r="L459" s="73"/>
      <c r="M459" s="74"/>
      <c r="N459" s="71" t="str">
        <f t="shared" si="7"/>
        <v/>
      </c>
      <c r="O459" s="72"/>
      <c r="P459" s="72"/>
      <c r="Q459" s="72"/>
      <c r="R459" s="72"/>
      <c r="S459" s="72"/>
      <c r="T459" s="72"/>
      <c r="U459" s="72"/>
      <c r="V459" s="72"/>
    </row>
    <row r="460" spans="1:22" ht="27.75" customHeight="1">
      <c r="A460" s="87" t="str">
        <f>IF(ISBLANK(C460)," ",455-COUNTBLANK($C$6:C460))</f>
        <v xml:space="preserve"> </v>
      </c>
      <c r="B460" s="88"/>
      <c r="C460" s="88"/>
      <c r="D460" s="89"/>
      <c r="E460" s="89"/>
      <c r="F460" s="73"/>
      <c r="G460" s="73"/>
      <c r="H460" s="73"/>
      <c r="I460" s="73"/>
      <c r="J460" s="73"/>
      <c r="K460" s="73"/>
      <c r="L460" s="73"/>
      <c r="M460" s="74"/>
      <c r="N460" s="71" t="str">
        <f t="shared" si="7"/>
        <v/>
      </c>
      <c r="O460" s="72"/>
      <c r="P460" s="72"/>
      <c r="Q460" s="72"/>
      <c r="R460" s="72"/>
      <c r="S460" s="72"/>
      <c r="T460" s="72"/>
      <c r="U460" s="72"/>
      <c r="V460" s="72"/>
    </row>
    <row r="461" spans="1:22" ht="27.75" customHeight="1">
      <c r="A461" s="87" t="str">
        <f>IF(ISBLANK(C461)," ",456-COUNTBLANK($C$6:C461))</f>
        <v xml:space="preserve"> </v>
      </c>
      <c r="B461" s="88"/>
      <c r="C461" s="88"/>
      <c r="D461" s="89"/>
      <c r="E461" s="89"/>
      <c r="F461" s="73"/>
      <c r="G461" s="73"/>
      <c r="H461" s="73"/>
      <c r="I461" s="73"/>
      <c r="J461" s="73"/>
      <c r="K461" s="73"/>
      <c r="L461" s="73"/>
      <c r="M461" s="74"/>
      <c r="N461" s="71" t="str">
        <f t="shared" si="7"/>
        <v/>
      </c>
      <c r="O461" s="72"/>
      <c r="P461" s="72"/>
      <c r="Q461" s="72"/>
      <c r="R461" s="72"/>
      <c r="S461" s="72"/>
      <c r="T461" s="72"/>
      <c r="U461" s="72"/>
      <c r="V461" s="72"/>
    </row>
    <row r="462" spans="1:22" ht="27.75" customHeight="1">
      <c r="A462" s="87" t="str">
        <f>IF(ISBLANK(C462)," ",457-COUNTBLANK($C$6:C462))</f>
        <v xml:space="preserve"> </v>
      </c>
      <c r="B462" s="88"/>
      <c r="C462" s="88"/>
      <c r="D462" s="89"/>
      <c r="E462" s="89"/>
      <c r="F462" s="73"/>
      <c r="G462" s="73"/>
      <c r="H462" s="73"/>
      <c r="I462" s="73"/>
      <c r="J462" s="73"/>
      <c r="K462" s="73"/>
      <c r="L462" s="73"/>
      <c r="M462" s="74"/>
      <c r="N462" s="71" t="str">
        <f t="shared" si="7"/>
        <v/>
      </c>
      <c r="O462" s="75"/>
      <c r="P462" s="72"/>
      <c r="Q462" s="72"/>
      <c r="R462" s="72"/>
      <c r="S462" s="72"/>
      <c r="T462" s="72"/>
      <c r="U462" s="72"/>
      <c r="V462" s="76"/>
    </row>
    <row r="463" spans="1:22" ht="27.75" customHeight="1">
      <c r="A463" s="87" t="str">
        <f>IF(ISBLANK(C463)," ",458-COUNTBLANK($C$6:C463))</f>
        <v xml:space="preserve"> </v>
      </c>
      <c r="B463" s="88"/>
      <c r="C463" s="88"/>
      <c r="D463" s="89"/>
      <c r="E463" s="89"/>
      <c r="F463" s="73"/>
      <c r="G463" s="73"/>
      <c r="H463" s="73"/>
      <c r="I463" s="73"/>
      <c r="J463" s="73"/>
      <c r="K463" s="73"/>
      <c r="L463" s="73"/>
      <c r="M463" s="74"/>
      <c r="N463" s="71" t="str">
        <f t="shared" si="7"/>
        <v/>
      </c>
      <c r="O463" s="75"/>
      <c r="P463" s="72"/>
      <c r="Q463" s="72"/>
      <c r="R463" s="72"/>
      <c r="S463" s="72"/>
      <c r="T463" s="72"/>
      <c r="U463" s="72"/>
      <c r="V463" s="76"/>
    </row>
    <row r="464" spans="1:22" ht="27.75" customHeight="1">
      <c r="A464" s="87" t="str">
        <f>IF(ISBLANK(C464)," ",459-COUNTBLANK($C$6:C464))</f>
        <v xml:space="preserve"> </v>
      </c>
      <c r="B464" s="88"/>
      <c r="C464" s="88"/>
      <c r="D464" s="89"/>
      <c r="E464" s="89"/>
      <c r="F464" s="73"/>
      <c r="G464" s="73"/>
      <c r="H464" s="73"/>
      <c r="I464" s="73"/>
      <c r="J464" s="73"/>
      <c r="K464" s="73"/>
      <c r="L464" s="73"/>
      <c r="M464" s="74"/>
      <c r="N464" s="71" t="str">
        <f t="shared" si="7"/>
        <v/>
      </c>
      <c r="O464" s="75"/>
      <c r="P464" s="72"/>
      <c r="Q464" s="72"/>
      <c r="R464" s="72"/>
      <c r="S464" s="72"/>
      <c r="T464" s="72"/>
      <c r="U464" s="72"/>
      <c r="V464" s="76"/>
    </row>
    <row r="465" spans="1:25" ht="27.75" customHeight="1">
      <c r="A465" s="87" t="str">
        <f>IF(ISBLANK(C465)," ",460-COUNTBLANK($C$6:C465))</f>
        <v xml:space="preserve"> </v>
      </c>
      <c r="B465" s="88"/>
      <c r="C465" s="88"/>
      <c r="D465" s="89"/>
      <c r="E465" s="89"/>
      <c r="F465" s="73"/>
      <c r="G465" s="73"/>
      <c r="H465" s="73"/>
      <c r="I465" s="73"/>
      <c r="J465" s="73"/>
      <c r="K465" s="73"/>
      <c r="L465" s="73"/>
      <c r="M465" s="74"/>
      <c r="N465" s="71" t="str">
        <f t="shared" si="7"/>
        <v/>
      </c>
      <c r="O465" s="75"/>
      <c r="P465" s="72"/>
      <c r="Q465" s="72"/>
      <c r="R465" s="72"/>
      <c r="S465" s="72"/>
      <c r="T465" s="72"/>
      <c r="U465" s="72"/>
      <c r="V465" s="76"/>
    </row>
    <row r="466" spans="1:25" ht="27.75" customHeight="1">
      <c r="A466" s="87" t="str">
        <f>IF(ISBLANK(C466)," ",461-COUNTBLANK($C$6:C466))</f>
        <v xml:space="preserve"> </v>
      </c>
      <c r="B466" s="88"/>
      <c r="C466" s="88"/>
      <c r="D466" s="89"/>
      <c r="E466" s="89"/>
      <c r="F466" s="73"/>
      <c r="G466" s="73"/>
      <c r="H466" s="73"/>
      <c r="I466" s="73"/>
      <c r="J466" s="73"/>
      <c r="K466" s="73"/>
      <c r="L466" s="73"/>
      <c r="M466" s="74"/>
      <c r="N466" s="71" t="str">
        <f t="shared" si="7"/>
        <v/>
      </c>
      <c r="O466" s="72"/>
      <c r="P466" s="72"/>
      <c r="Q466" s="72"/>
      <c r="R466" s="72"/>
      <c r="S466" s="72"/>
      <c r="T466" s="72"/>
      <c r="U466" s="72"/>
      <c r="V466" s="79"/>
      <c r="W466" s="72"/>
      <c r="X466" s="72"/>
      <c r="Y466" s="72"/>
    </row>
    <row r="467" spans="1:25" ht="27.75" customHeight="1">
      <c r="A467" s="80" t="s">
        <v>58</v>
      </c>
      <c r="B467" s="81"/>
      <c r="C467" s="96"/>
      <c r="D467" s="82"/>
      <c r="E467" s="82">
        <f>SUM(E447:E466)</f>
        <v>0</v>
      </c>
      <c r="F467" s="83"/>
      <c r="G467" s="83"/>
      <c r="H467" s="83"/>
      <c r="I467" s="83"/>
      <c r="J467" s="83"/>
      <c r="K467" s="83"/>
      <c r="L467" s="83"/>
      <c r="M467" s="84"/>
      <c r="N467" s="71" t="str">
        <f t="shared" si="7"/>
        <v/>
      </c>
      <c r="O467" s="75"/>
      <c r="P467" s="72"/>
      <c r="Q467" s="72"/>
      <c r="R467" s="72"/>
      <c r="S467" s="72"/>
      <c r="T467" s="72"/>
      <c r="U467" s="72"/>
      <c r="V467" s="79"/>
      <c r="W467" s="72"/>
      <c r="X467" s="72"/>
      <c r="Y467" s="72"/>
    </row>
    <row r="468" spans="1:25" ht="27.75" customHeight="1">
      <c r="A468" s="93" t="str">
        <f>IF(ISBLANK(C468)," ",463-COUNTBLANK($C$6:C468))</f>
        <v xml:space="preserve"> </v>
      </c>
      <c r="B468" s="94"/>
      <c r="C468" s="94"/>
      <c r="D468" s="95"/>
      <c r="E468" s="95"/>
      <c r="F468" s="85"/>
      <c r="G468" s="85"/>
      <c r="H468" s="85"/>
      <c r="I468" s="85"/>
      <c r="J468" s="85"/>
      <c r="K468" s="85"/>
      <c r="L468" s="85"/>
      <c r="M468" s="86"/>
      <c r="N468" s="71" t="str">
        <f t="shared" si="7"/>
        <v/>
      </c>
      <c r="O468" s="72"/>
      <c r="P468" s="72"/>
      <c r="Q468" s="72"/>
      <c r="R468" s="72"/>
      <c r="S468" s="72"/>
      <c r="T468" s="72"/>
      <c r="U468" s="72"/>
      <c r="V468" s="72"/>
    </row>
    <row r="469" spans="1:25" ht="27.75" customHeight="1">
      <c r="A469" s="87" t="str">
        <f>IF(ISBLANK(C469)," ",464-COUNTBLANK($C$6:C469))</f>
        <v xml:space="preserve"> </v>
      </c>
      <c r="B469" s="88"/>
      <c r="C469" s="88"/>
      <c r="D469" s="89"/>
      <c r="E469" s="89"/>
      <c r="F469" s="73"/>
      <c r="G469" s="73"/>
      <c r="H469" s="73"/>
      <c r="I469" s="73"/>
      <c r="J469" s="73"/>
      <c r="K469" s="73"/>
      <c r="L469" s="73"/>
      <c r="M469" s="74"/>
      <c r="N469" s="71" t="str">
        <f t="shared" si="7"/>
        <v/>
      </c>
      <c r="O469" s="72"/>
      <c r="P469" s="72"/>
      <c r="Q469" s="72"/>
      <c r="R469" s="72"/>
      <c r="S469" s="72"/>
      <c r="T469" s="72"/>
      <c r="U469" s="72"/>
      <c r="V469" s="72"/>
    </row>
    <row r="470" spans="1:25" ht="27.75" customHeight="1">
      <c r="A470" s="87" t="str">
        <f>IF(ISBLANK(C470)," ",465-COUNTBLANK($C$6:C470))</f>
        <v xml:space="preserve"> </v>
      </c>
      <c r="B470" s="88"/>
      <c r="C470" s="88"/>
      <c r="D470" s="89"/>
      <c r="E470" s="89"/>
      <c r="F470" s="73"/>
      <c r="G470" s="73"/>
      <c r="H470" s="73"/>
      <c r="I470" s="73"/>
      <c r="J470" s="73"/>
      <c r="K470" s="73"/>
      <c r="L470" s="73"/>
      <c r="M470" s="74"/>
      <c r="N470" s="71" t="str">
        <f t="shared" si="7"/>
        <v/>
      </c>
      <c r="O470" s="72"/>
      <c r="P470" s="72"/>
      <c r="Q470" s="72"/>
      <c r="R470" s="72"/>
      <c r="S470" s="72"/>
      <c r="T470" s="72"/>
      <c r="U470" s="72"/>
      <c r="V470" s="72"/>
    </row>
    <row r="471" spans="1:25" ht="27.75" customHeight="1">
      <c r="A471" s="87" t="str">
        <f>IF(ISBLANK(C471)," ",466-COUNTBLANK($C$6:C471))</f>
        <v xml:space="preserve"> </v>
      </c>
      <c r="B471" s="88"/>
      <c r="C471" s="88"/>
      <c r="D471" s="89"/>
      <c r="E471" s="89"/>
      <c r="F471" s="73"/>
      <c r="G471" s="73"/>
      <c r="H471" s="73"/>
      <c r="I471" s="73"/>
      <c r="J471" s="73"/>
      <c r="K471" s="73"/>
      <c r="L471" s="73"/>
      <c r="M471" s="74"/>
      <c r="N471" s="71" t="str">
        <f t="shared" si="7"/>
        <v/>
      </c>
      <c r="O471" s="72"/>
      <c r="P471" s="72"/>
      <c r="Q471" s="72"/>
      <c r="R471" s="72"/>
      <c r="S471" s="72"/>
      <c r="T471" s="72"/>
      <c r="U471" s="72"/>
      <c r="V471" s="72"/>
    </row>
    <row r="472" spans="1:25" ht="27.75" customHeight="1">
      <c r="A472" s="87" t="str">
        <f>IF(ISBLANK(C472)," ",467-COUNTBLANK($C$6:C472))</f>
        <v xml:space="preserve"> </v>
      </c>
      <c r="B472" s="88"/>
      <c r="C472" s="88"/>
      <c r="D472" s="89"/>
      <c r="E472" s="89"/>
      <c r="F472" s="73"/>
      <c r="G472" s="73"/>
      <c r="H472" s="73"/>
      <c r="I472" s="73"/>
      <c r="J472" s="73"/>
      <c r="K472" s="73"/>
      <c r="L472" s="73"/>
      <c r="M472" s="74"/>
      <c r="N472" s="71" t="str">
        <f t="shared" si="7"/>
        <v/>
      </c>
      <c r="O472" s="72"/>
      <c r="P472" s="72"/>
      <c r="Q472" s="72"/>
      <c r="R472" s="72"/>
      <c r="S472" s="72"/>
      <c r="T472" s="72"/>
      <c r="U472" s="72"/>
      <c r="V472" s="72"/>
    </row>
    <row r="473" spans="1:25" ht="27.75" customHeight="1">
      <c r="A473" s="87" t="str">
        <f>IF(ISBLANK(C473)," ",468-COUNTBLANK($C$6:C473))</f>
        <v xml:space="preserve"> </v>
      </c>
      <c r="B473" s="88"/>
      <c r="C473" s="88"/>
      <c r="D473" s="89"/>
      <c r="E473" s="89"/>
      <c r="F473" s="73"/>
      <c r="G473" s="73"/>
      <c r="H473" s="73"/>
      <c r="I473" s="73"/>
      <c r="J473" s="73"/>
      <c r="K473" s="73"/>
      <c r="L473" s="73"/>
      <c r="M473" s="74"/>
      <c r="N473" s="71" t="str">
        <f t="shared" si="7"/>
        <v/>
      </c>
      <c r="O473" s="72"/>
      <c r="P473" s="72"/>
      <c r="Q473" s="72"/>
      <c r="R473" s="72"/>
      <c r="S473" s="72"/>
      <c r="T473" s="72"/>
      <c r="U473" s="72"/>
      <c r="V473" s="72"/>
    </row>
    <row r="474" spans="1:25" ht="27.75" customHeight="1">
      <c r="A474" s="87" t="str">
        <f>IF(ISBLANK(C474)," ",469-COUNTBLANK($C$6:C474))</f>
        <v xml:space="preserve"> </v>
      </c>
      <c r="B474" s="88"/>
      <c r="C474" s="88"/>
      <c r="D474" s="89"/>
      <c r="E474" s="89"/>
      <c r="F474" s="73"/>
      <c r="G474" s="73"/>
      <c r="H474" s="73"/>
      <c r="I474" s="73"/>
      <c r="J474" s="73"/>
      <c r="K474" s="73"/>
      <c r="L474" s="73"/>
      <c r="M474" s="74"/>
      <c r="N474" s="71" t="str">
        <f t="shared" si="7"/>
        <v/>
      </c>
      <c r="O474" s="72"/>
      <c r="P474" s="72"/>
      <c r="Q474" s="72"/>
      <c r="R474" s="72"/>
      <c r="S474" s="72"/>
      <c r="T474" s="72"/>
      <c r="U474" s="72"/>
      <c r="V474" s="72"/>
    </row>
    <row r="475" spans="1:25" ht="27.75" customHeight="1">
      <c r="A475" s="87" t="str">
        <f>IF(ISBLANK(C475)," ",470-COUNTBLANK($C$6:C475))</f>
        <v xml:space="preserve"> </v>
      </c>
      <c r="B475" s="88"/>
      <c r="C475" s="88"/>
      <c r="D475" s="89"/>
      <c r="E475" s="89"/>
      <c r="F475" s="73"/>
      <c r="G475" s="73"/>
      <c r="H475" s="73"/>
      <c r="I475" s="73"/>
      <c r="J475" s="73"/>
      <c r="K475" s="73"/>
      <c r="L475" s="73"/>
      <c r="M475" s="74"/>
      <c r="N475" s="71" t="str">
        <f t="shared" si="7"/>
        <v/>
      </c>
      <c r="O475" s="72"/>
      <c r="P475" s="72"/>
      <c r="Q475" s="72"/>
      <c r="R475" s="72"/>
      <c r="S475" s="72"/>
      <c r="T475" s="72"/>
      <c r="U475" s="72"/>
      <c r="V475" s="72"/>
    </row>
    <row r="476" spans="1:25" ht="27.75" customHeight="1">
      <c r="A476" s="87" t="str">
        <f>IF(ISBLANK(C476)," ",471-COUNTBLANK($C$6:C476))</f>
        <v xml:space="preserve"> </v>
      </c>
      <c r="B476" s="88"/>
      <c r="C476" s="88"/>
      <c r="D476" s="89"/>
      <c r="E476" s="89"/>
      <c r="F476" s="73"/>
      <c r="G476" s="73"/>
      <c r="H476" s="73"/>
      <c r="I476" s="73"/>
      <c r="J476" s="73"/>
      <c r="K476" s="73"/>
      <c r="L476" s="73"/>
      <c r="M476" s="74"/>
      <c r="N476" s="71" t="str">
        <f t="shared" si="7"/>
        <v/>
      </c>
      <c r="O476" s="72"/>
      <c r="P476" s="72"/>
      <c r="Q476" s="72"/>
      <c r="R476" s="72"/>
      <c r="S476" s="72"/>
      <c r="T476" s="72"/>
      <c r="U476" s="72"/>
      <c r="V476" s="72"/>
    </row>
    <row r="477" spans="1:25" ht="27.75" customHeight="1">
      <c r="A477" s="87" t="str">
        <f>IF(ISBLANK(C477)," ",472-COUNTBLANK($C$6:C477))</f>
        <v xml:space="preserve"> </v>
      </c>
      <c r="B477" s="88"/>
      <c r="C477" s="88"/>
      <c r="D477" s="89"/>
      <c r="E477" s="89"/>
      <c r="F477" s="73"/>
      <c r="G477" s="73"/>
      <c r="H477" s="73"/>
      <c r="I477" s="73"/>
      <c r="J477" s="73"/>
      <c r="K477" s="73"/>
      <c r="L477" s="73"/>
      <c r="M477" s="74"/>
      <c r="N477" s="71" t="str">
        <f t="shared" si="7"/>
        <v/>
      </c>
      <c r="O477" s="72"/>
      <c r="P477" s="72"/>
      <c r="Q477" s="72"/>
      <c r="R477" s="72"/>
      <c r="S477" s="72"/>
      <c r="T477" s="72"/>
      <c r="U477" s="72"/>
      <c r="V477" s="72"/>
    </row>
    <row r="478" spans="1:25" ht="27.75" customHeight="1">
      <c r="A478" s="87" t="str">
        <f>IF(ISBLANK(C478)," ",473-COUNTBLANK($C$6:C478))</f>
        <v xml:space="preserve"> </v>
      </c>
      <c r="B478" s="88"/>
      <c r="C478" s="88"/>
      <c r="D478" s="89"/>
      <c r="E478" s="89"/>
      <c r="F478" s="73"/>
      <c r="G478" s="73"/>
      <c r="H478" s="73"/>
      <c r="I478" s="73"/>
      <c r="J478" s="73"/>
      <c r="K478" s="73"/>
      <c r="L478" s="73"/>
      <c r="M478" s="74"/>
      <c r="N478" s="71" t="str">
        <f t="shared" si="7"/>
        <v/>
      </c>
      <c r="O478" s="72"/>
      <c r="P478" s="72"/>
      <c r="Q478" s="72"/>
      <c r="R478" s="72"/>
      <c r="S478" s="72"/>
      <c r="T478" s="72"/>
      <c r="U478" s="72"/>
      <c r="V478" s="72"/>
    </row>
    <row r="479" spans="1:25" ht="27.75" customHeight="1">
      <c r="A479" s="87" t="str">
        <f>IF(ISBLANK(C479)," ",474-COUNTBLANK($C$6:C479))</f>
        <v xml:space="preserve"> </v>
      </c>
      <c r="B479" s="88"/>
      <c r="C479" s="88"/>
      <c r="D479" s="89"/>
      <c r="E479" s="89"/>
      <c r="F479" s="73"/>
      <c r="G479" s="73"/>
      <c r="H479" s="73"/>
      <c r="I479" s="73"/>
      <c r="J479" s="73"/>
      <c r="K479" s="73"/>
      <c r="L479" s="73"/>
      <c r="M479" s="74"/>
      <c r="N479" s="71" t="str">
        <f t="shared" si="7"/>
        <v/>
      </c>
      <c r="O479" s="72"/>
      <c r="P479" s="72"/>
      <c r="Q479" s="72"/>
      <c r="R479" s="72"/>
      <c r="S479" s="72"/>
      <c r="T479" s="72"/>
      <c r="U479" s="72"/>
      <c r="V479" s="72"/>
    </row>
    <row r="480" spans="1:25" ht="27.75" customHeight="1">
      <c r="A480" s="87" t="str">
        <f>IF(ISBLANK(C480)," ",475-COUNTBLANK($C$6:C480))</f>
        <v xml:space="preserve"> </v>
      </c>
      <c r="B480" s="88"/>
      <c r="C480" s="88"/>
      <c r="D480" s="89"/>
      <c r="E480" s="89"/>
      <c r="F480" s="73"/>
      <c r="G480" s="73"/>
      <c r="H480" s="73"/>
      <c r="I480" s="73"/>
      <c r="J480" s="73"/>
      <c r="K480" s="73"/>
      <c r="L480" s="73"/>
      <c r="M480" s="74"/>
      <c r="N480" s="71" t="str">
        <f t="shared" si="7"/>
        <v/>
      </c>
      <c r="O480" s="72"/>
      <c r="P480" s="72"/>
      <c r="Q480" s="72"/>
      <c r="R480" s="72"/>
      <c r="S480" s="72"/>
      <c r="T480" s="72"/>
      <c r="U480" s="72"/>
      <c r="V480" s="72"/>
    </row>
    <row r="481" spans="1:25" ht="27.75" customHeight="1">
      <c r="A481" s="87" t="str">
        <f>IF(ISBLANK(C481)," ",476-COUNTBLANK($C$6:C481))</f>
        <v xml:space="preserve"> </v>
      </c>
      <c r="B481" s="88"/>
      <c r="C481" s="88"/>
      <c r="D481" s="89"/>
      <c r="E481" s="89"/>
      <c r="F481" s="73"/>
      <c r="G481" s="73"/>
      <c r="H481" s="73"/>
      <c r="I481" s="73"/>
      <c r="J481" s="73"/>
      <c r="K481" s="73"/>
      <c r="L481" s="73"/>
      <c r="M481" s="74"/>
      <c r="N481" s="71" t="str">
        <f t="shared" si="7"/>
        <v/>
      </c>
      <c r="O481" s="72"/>
      <c r="P481" s="72"/>
      <c r="Q481" s="72"/>
      <c r="R481" s="72"/>
      <c r="S481" s="72"/>
      <c r="T481" s="72"/>
      <c r="U481" s="72"/>
      <c r="V481" s="72"/>
    </row>
    <row r="482" spans="1:25" ht="27.75" customHeight="1">
      <c r="A482" s="87" t="str">
        <f>IF(ISBLANK(C482)," ",477-COUNTBLANK($C$6:C482))</f>
        <v xml:space="preserve"> </v>
      </c>
      <c r="B482" s="88"/>
      <c r="C482" s="88"/>
      <c r="D482" s="89"/>
      <c r="E482" s="89"/>
      <c r="F482" s="73"/>
      <c r="G482" s="73"/>
      <c r="H482" s="73"/>
      <c r="I482" s="73"/>
      <c r="J482" s="73"/>
      <c r="K482" s="73"/>
      <c r="L482" s="73"/>
      <c r="M482" s="74"/>
      <c r="N482" s="71" t="str">
        <f t="shared" si="7"/>
        <v/>
      </c>
      <c r="O482" s="72"/>
      <c r="P482" s="72"/>
      <c r="Q482" s="72"/>
      <c r="R482" s="72"/>
      <c r="S482" s="72"/>
      <c r="T482" s="72"/>
      <c r="U482" s="72"/>
      <c r="V482" s="72"/>
    </row>
    <row r="483" spans="1:25" ht="27.75" customHeight="1">
      <c r="A483" s="87" t="str">
        <f>IF(ISBLANK(C483)," ",478-COUNTBLANK($C$6:C483))</f>
        <v xml:space="preserve"> </v>
      </c>
      <c r="B483" s="88"/>
      <c r="C483" s="88"/>
      <c r="D483" s="89"/>
      <c r="E483" s="89"/>
      <c r="F483" s="73"/>
      <c r="G483" s="73"/>
      <c r="H483" s="73"/>
      <c r="I483" s="73"/>
      <c r="J483" s="73"/>
      <c r="K483" s="73"/>
      <c r="L483" s="73"/>
      <c r="M483" s="74"/>
      <c r="N483" s="71" t="str">
        <f t="shared" si="7"/>
        <v/>
      </c>
      <c r="O483" s="75"/>
      <c r="P483" s="72"/>
      <c r="Q483" s="72"/>
      <c r="R483" s="72"/>
      <c r="S483" s="72"/>
      <c r="T483" s="72"/>
      <c r="U483" s="72"/>
      <c r="V483" s="76"/>
    </row>
    <row r="484" spans="1:25" ht="27.75" customHeight="1">
      <c r="A484" s="87" t="str">
        <f>IF(ISBLANK(C484)," ",479-COUNTBLANK($C$6:C484))</f>
        <v xml:space="preserve"> </v>
      </c>
      <c r="B484" s="88"/>
      <c r="C484" s="88"/>
      <c r="D484" s="89"/>
      <c r="E484" s="89"/>
      <c r="F484" s="73"/>
      <c r="G484" s="73"/>
      <c r="H484" s="73"/>
      <c r="I484" s="73"/>
      <c r="J484" s="73"/>
      <c r="K484" s="73"/>
      <c r="L484" s="73"/>
      <c r="M484" s="74"/>
      <c r="N484" s="71" t="str">
        <f t="shared" si="7"/>
        <v/>
      </c>
      <c r="O484" s="75"/>
      <c r="P484" s="72"/>
      <c r="Q484" s="72"/>
      <c r="R484" s="72"/>
      <c r="S484" s="72"/>
      <c r="T484" s="72"/>
      <c r="U484" s="72"/>
      <c r="V484" s="76"/>
    </row>
    <row r="485" spans="1:25" ht="27.75" customHeight="1">
      <c r="A485" s="87" t="str">
        <f>IF(ISBLANK(C485)," ",480-COUNTBLANK($C$6:C485))</f>
        <v xml:space="preserve"> </v>
      </c>
      <c r="B485" s="88"/>
      <c r="C485" s="88"/>
      <c r="D485" s="89"/>
      <c r="E485" s="89"/>
      <c r="F485" s="73"/>
      <c r="G485" s="73"/>
      <c r="H485" s="73"/>
      <c r="I485" s="73"/>
      <c r="J485" s="73"/>
      <c r="K485" s="73"/>
      <c r="L485" s="73"/>
      <c r="M485" s="74"/>
      <c r="N485" s="71" t="str">
        <f t="shared" si="7"/>
        <v/>
      </c>
      <c r="O485" s="75"/>
      <c r="P485" s="72"/>
      <c r="Q485" s="72"/>
      <c r="R485" s="72"/>
      <c r="S485" s="72"/>
      <c r="T485" s="72"/>
      <c r="U485" s="72"/>
      <c r="V485" s="76"/>
    </row>
    <row r="486" spans="1:25" ht="27.75" customHeight="1">
      <c r="A486" s="87" t="str">
        <f>IF(ISBLANK(C486)," ",481-COUNTBLANK($C$6:C486))</f>
        <v xml:space="preserve"> </v>
      </c>
      <c r="B486" s="88"/>
      <c r="C486" s="88"/>
      <c r="D486" s="89"/>
      <c r="E486" s="89"/>
      <c r="F486" s="73"/>
      <c r="G486" s="73"/>
      <c r="H486" s="73"/>
      <c r="I486" s="73"/>
      <c r="J486" s="73"/>
      <c r="K486" s="73"/>
      <c r="L486" s="73"/>
      <c r="M486" s="74"/>
      <c r="N486" s="71" t="str">
        <f t="shared" si="7"/>
        <v/>
      </c>
      <c r="O486" s="75"/>
      <c r="P486" s="72"/>
      <c r="Q486" s="72"/>
      <c r="R486" s="72"/>
      <c r="S486" s="72"/>
      <c r="T486" s="72"/>
      <c r="U486" s="72"/>
      <c r="V486" s="76"/>
    </row>
    <row r="487" spans="1:25" ht="27.75" customHeight="1">
      <c r="A487" s="87" t="str">
        <f>IF(ISBLANK(C487)," ",482-COUNTBLANK($C$6:C487))</f>
        <v xml:space="preserve"> </v>
      </c>
      <c r="B487" s="88"/>
      <c r="C487" s="88"/>
      <c r="D487" s="89"/>
      <c r="E487" s="89"/>
      <c r="F487" s="73"/>
      <c r="G487" s="73"/>
      <c r="H487" s="73"/>
      <c r="I487" s="73"/>
      <c r="J487" s="73"/>
      <c r="K487" s="73"/>
      <c r="L487" s="73"/>
      <c r="M487" s="74"/>
      <c r="N487" s="71" t="str">
        <f t="shared" si="7"/>
        <v/>
      </c>
      <c r="O487" s="72"/>
      <c r="P487" s="72"/>
      <c r="Q487" s="72"/>
      <c r="R487" s="72"/>
      <c r="S487" s="72"/>
      <c r="T487" s="72"/>
      <c r="U487" s="72"/>
      <c r="V487" s="79"/>
      <c r="W487" s="72"/>
      <c r="X487" s="72"/>
      <c r="Y487" s="72"/>
    </row>
    <row r="488" spans="1:25" ht="27.75" customHeight="1">
      <c r="A488" s="80" t="s">
        <v>58</v>
      </c>
      <c r="B488" s="81"/>
      <c r="C488" s="96"/>
      <c r="D488" s="82"/>
      <c r="E488" s="82">
        <f>SUM(E468:E487)</f>
        <v>0</v>
      </c>
      <c r="F488" s="83"/>
      <c r="G488" s="83"/>
      <c r="H488" s="83"/>
      <c r="I488" s="83"/>
      <c r="J488" s="83"/>
      <c r="K488" s="83"/>
      <c r="L488" s="83"/>
      <c r="M488" s="84"/>
      <c r="N488" s="71" t="str">
        <f t="shared" si="7"/>
        <v/>
      </c>
      <c r="O488" s="75"/>
      <c r="P488" s="72"/>
      <c r="Q488" s="72"/>
      <c r="R488" s="72"/>
      <c r="S488" s="72"/>
      <c r="T488" s="72"/>
      <c r="U488" s="72"/>
      <c r="V488" s="79"/>
      <c r="W488" s="72"/>
      <c r="X488" s="72"/>
      <c r="Y488" s="72"/>
    </row>
    <row r="489" spans="1:25" ht="27.75" customHeight="1">
      <c r="A489" s="93" t="str">
        <f>IF(ISBLANK(C489)," ",484-COUNTBLANK($C$6:C489))</f>
        <v xml:space="preserve"> </v>
      </c>
      <c r="B489" s="94"/>
      <c r="C489" s="94"/>
      <c r="D489" s="95"/>
      <c r="E489" s="95"/>
      <c r="F489" s="85"/>
      <c r="G489" s="85"/>
      <c r="H489" s="85"/>
      <c r="I489" s="85"/>
      <c r="J489" s="85"/>
      <c r="K489" s="85"/>
      <c r="L489" s="85"/>
      <c r="M489" s="86"/>
      <c r="N489" s="71" t="str">
        <f t="shared" si="7"/>
        <v/>
      </c>
      <c r="O489" s="72"/>
      <c r="P489" s="72"/>
      <c r="Q489" s="72"/>
      <c r="R489" s="72"/>
      <c r="S489" s="72"/>
      <c r="T489" s="72"/>
      <c r="U489" s="72"/>
      <c r="V489" s="72"/>
    </row>
    <row r="490" spans="1:25" ht="27.75" customHeight="1">
      <c r="A490" s="87" t="str">
        <f>IF(ISBLANK(C490)," ",485-COUNTBLANK($C$6:C490))</f>
        <v xml:space="preserve"> </v>
      </c>
      <c r="B490" s="88"/>
      <c r="C490" s="88"/>
      <c r="D490" s="89"/>
      <c r="E490" s="89"/>
      <c r="F490" s="73"/>
      <c r="G490" s="73"/>
      <c r="H490" s="73"/>
      <c r="I490" s="73"/>
      <c r="J490" s="73"/>
      <c r="K490" s="73"/>
      <c r="L490" s="73"/>
      <c r="M490" s="74"/>
      <c r="N490" s="71" t="str">
        <f t="shared" si="7"/>
        <v/>
      </c>
      <c r="O490" s="72"/>
      <c r="P490" s="72"/>
      <c r="Q490" s="72"/>
      <c r="R490" s="72"/>
      <c r="S490" s="72"/>
      <c r="T490" s="72"/>
      <c r="U490" s="72"/>
      <c r="V490" s="72"/>
    </row>
    <row r="491" spans="1:25" ht="27.75" customHeight="1">
      <c r="A491" s="87" t="str">
        <f>IF(ISBLANK(C491)," ",486-COUNTBLANK($C$6:C491))</f>
        <v xml:space="preserve"> </v>
      </c>
      <c r="B491" s="88"/>
      <c r="C491" s="88"/>
      <c r="D491" s="89"/>
      <c r="E491" s="89"/>
      <c r="F491" s="73"/>
      <c r="G491" s="73"/>
      <c r="H491" s="73"/>
      <c r="I491" s="73"/>
      <c r="J491" s="73"/>
      <c r="K491" s="73"/>
      <c r="L491" s="73"/>
      <c r="M491" s="74"/>
      <c r="N491" s="71" t="str">
        <f t="shared" si="7"/>
        <v/>
      </c>
      <c r="O491" s="72"/>
      <c r="P491" s="72"/>
      <c r="Q491" s="72"/>
      <c r="R491" s="72"/>
      <c r="S491" s="72"/>
      <c r="T491" s="72"/>
      <c r="U491" s="72"/>
      <c r="V491" s="72"/>
    </row>
    <row r="492" spans="1:25" ht="27.75" customHeight="1">
      <c r="A492" s="87" t="str">
        <f>IF(ISBLANK(C492)," ",487-COUNTBLANK($C$6:C492))</f>
        <v xml:space="preserve"> </v>
      </c>
      <c r="B492" s="88"/>
      <c r="C492" s="88"/>
      <c r="D492" s="89"/>
      <c r="E492" s="89"/>
      <c r="F492" s="73"/>
      <c r="G492" s="73"/>
      <c r="H492" s="73"/>
      <c r="I492" s="73"/>
      <c r="J492" s="73"/>
      <c r="K492" s="73"/>
      <c r="L492" s="73"/>
      <c r="M492" s="74"/>
      <c r="N492" s="71" t="str">
        <f t="shared" si="7"/>
        <v/>
      </c>
      <c r="O492" s="72"/>
      <c r="P492" s="72"/>
      <c r="Q492" s="72"/>
      <c r="R492" s="72"/>
      <c r="S492" s="72"/>
      <c r="T492" s="72"/>
      <c r="U492" s="72"/>
      <c r="V492" s="72"/>
    </row>
    <row r="493" spans="1:25" ht="27.75" customHeight="1">
      <c r="A493" s="87" t="str">
        <f>IF(ISBLANK(C493)," ",488-COUNTBLANK($C$6:C493))</f>
        <v xml:space="preserve"> </v>
      </c>
      <c r="B493" s="88"/>
      <c r="C493" s="88"/>
      <c r="D493" s="89"/>
      <c r="E493" s="89"/>
      <c r="F493" s="73"/>
      <c r="G493" s="73"/>
      <c r="H493" s="73"/>
      <c r="I493" s="73"/>
      <c r="J493" s="73"/>
      <c r="K493" s="73"/>
      <c r="L493" s="73"/>
      <c r="M493" s="74"/>
      <c r="N493" s="71" t="str">
        <f t="shared" si="7"/>
        <v/>
      </c>
      <c r="O493" s="72"/>
      <c r="P493" s="72"/>
      <c r="Q493" s="72"/>
      <c r="R493" s="72"/>
      <c r="S493" s="72"/>
      <c r="T493" s="72"/>
      <c r="U493" s="72"/>
      <c r="V493" s="72"/>
    </row>
    <row r="494" spans="1:25" ht="27.75" customHeight="1">
      <c r="A494" s="87" t="str">
        <f>IF(ISBLANK(C494)," ",489-COUNTBLANK($C$6:C494))</f>
        <v xml:space="preserve"> </v>
      </c>
      <c r="B494" s="88"/>
      <c r="C494" s="88"/>
      <c r="D494" s="89"/>
      <c r="E494" s="89"/>
      <c r="F494" s="73"/>
      <c r="G494" s="73"/>
      <c r="H494" s="73"/>
      <c r="I494" s="73"/>
      <c r="J494" s="73"/>
      <c r="K494" s="73"/>
      <c r="L494" s="73"/>
      <c r="M494" s="74"/>
      <c r="N494" s="71" t="str">
        <f t="shared" si="7"/>
        <v/>
      </c>
      <c r="O494" s="72"/>
      <c r="P494" s="72"/>
      <c r="Q494" s="72"/>
      <c r="R494" s="72"/>
      <c r="S494" s="72"/>
      <c r="T494" s="72"/>
      <c r="U494" s="72"/>
      <c r="V494" s="72"/>
    </row>
    <row r="495" spans="1:25" ht="27.75" customHeight="1">
      <c r="A495" s="87" t="str">
        <f>IF(ISBLANK(C495)," ",490-COUNTBLANK($C$6:C495))</f>
        <v xml:space="preserve"> </v>
      </c>
      <c r="B495" s="88"/>
      <c r="C495" s="88"/>
      <c r="D495" s="89"/>
      <c r="E495" s="89"/>
      <c r="F495" s="73"/>
      <c r="G495" s="73"/>
      <c r="H495" s="73"/>
      <c r="I495" s="73"/>
      <c r="J495" s="73"/>
      <c r="K495" s="73"/>
      <c r="L495" s="73"/>
      <c r="M495" s="74"/>
      <c r="N495" s="71" t="str">
        <f t="shared" si="7"/>
        <v/>
      </c>
      <c r="O495" s="72"/>
      <c r="P495" s="72"/>
      <c r="Q495" s="72"/>
      <c r="R495" s="72"/>
      <c r="S495" s="72"/>
      <c r="T495" s="72"/>
      <c r="U495" s="72"/>
      <c r="V495" s="72"/>
    </row>
    <row r="496" spans="1:25" ht="27.75" customHeight="1">
      <c r="A496" s="87" t="str">
        <f>IF(ISBLANK(C496)," ",491-COUNTBLANK($C$6:C496))</f>
        <v xml:space="preserve"> </v>
      </c>
      <c r="B496" s="88"/>
      <c r="C496" s="88"/>
      <c r="D496" s="89"/>
      <c r="E496" s="89"/>
      <c r="F496" s="73"/>
      <c r="G496" s="73"/>
      <c r="H496" s="73"/>
      <c r="I496" s="73"/>
      <c r="J496" s="73"/>
      <c r="K496" s="73"/>
      <c r="L496" s="73"/>
      <c r="M496" s="74"/>
      <c r="N496" s="71" t="str">
        <f t="shared" si="7"/>
        <v/>
      </c>
      <c r="O496" s="72"/>
      <c r="P496" s="72"/>
      <c r="Q496" s="72"/>
      <c r="R496" s="72"/>
      <c r="S496" s="72"/>
      <c r="T496" s="72"/>
      <c r="U496" s="72"/>
      <c r="V496" s="72"/>
    </row>
    <row r="497" spans="1:25" ht="27.75" customHeight="1">
      <c r="A497" s="87" t="str">
        <f>IF(ISBLANK(C497)," ",492-COUNTBLANK($C$6:C497))</f>
        <v xml:space="preserve"> </v>
      </c>
      <c r="B497" s="88"/>
      <c r="C497" s="88"/>
      <c r="D497" s="89"/>
      <c r="E497" s="89"/>
      <c r="F497" s="73"/>
      <c r="G497" s="73"/>
      <c r="H497" s="73"/>
      <c r="I497" s="73"/>
      <c r="J497" s="73"/>
      <c r="K497" s="73"/>
      <c r="L497" s="73"/>
      <c r="M497" s="74"/>
      <c r="N497" s="71" t="str">
        <f t="shared" si="7"/>
        <v/>
      </c>
      <c r="O497" s="72"/>
      <c r="P497" s="72"/>
      <c r="Q497" s="72"/>
      <c r="R497" s="72"/>
      <c r="S497" s="72"/>
      <c r="T497" s="72"/>
      <c r="U497" s="72"/>
      <c r="V497" s="72"/>
    </row>
    <row r="498" spans="1:25" ht="27.75" customHeight="1">
      <c r="A498" s="87" t="str">
        <f>IF(ISBLANK(C498)," ",493-COUNTBLANK($C$6:C498))</f>
        <v xml:space="preserve"> </v>
      </c>
      <c r="B498" s="88"/>
      <c r="C498" s="88"/>
      <c r="D498" s="89"/>
      <c r="E498" s="89"/>
      <c r="F498" s="73"/>
      <c r="G498" s="73"/>
      <c r="H498" s="73"/>
      <c r="I498" s="73"/>
      <c r="J498" s="73"/>
      <c r="K498" s="73"/>
      <c r="L498" s="73"/>
      <c r="M498" s="74"/>
      <c r="N498" s="71" t="str">
        <f t="shared" si="7"/>
        <v/>
      </c>
      <c r="O498" s="72"/>
      <c r="P498" s="72"/>
      <c r="Q498" s="72"/>
      <c r="R498" s="72"/>
      <c r="S498" s="72"/>
      <c r="T498" s="72"/>
      <c r="U498" s="72"/>
      <c r="V498" s="72"/>
    </row>
    <row r="499" spans="1:25" ht="27.75" customHeight="1">
      <c r="A499" s="87" t="str">
        <f>IF(ISBLANK(C499)," ",494-COUNTBLANK($C$6:C499))</f>
        <v xml:space="preserve"> </v>
      </c>
      <c r="B499" s="88"/>
      <c r="C499" s="88"/>
      <c r="D499" s="89"/>
      <c r="E499" s="89"/>
      <c r="F499" s="73"/>
      <c r="G499" s="73"/>
      <c r="H499" s="73"/>
      <c r="I499" s="73"/>
      <c r="J499" s="73"/>
      <c r="K499" s="73"/>
      <c r="L499" s="73"/>
      <c r="M499" s="74"/>
      <c r="N499" s="71" t="str">
        <f t="shared" si="7"/>
        <v/>
      </c>
      <c r="O499" s="72"/>
      <c r="P499" s="72"/>
      <c r="Q499" s="72"/>
      <c r="R499" s="72"/>
      <c r="S499" s="72"/>
      <c r="T499" s="72"/>
      <c r="U499" s="72"/>
      <c r="V499" s="72"/>
    </row>
    <row r="500" spans="1:25" ht="27.75" customHeight="1">
      <c r="A500" s="87" t="str">
        <f>IF(ISBLANK(C500)," ",495-COUNTBLANK($C$6:C500))</f>
        <v xml:space="preserve"> </v>
      </c>
      <c r="B500" s="88"/>
      <c r="C500" s="88"/>
      <c r="D500" s="89"/>
      <c r="E500" s="89"/>
      <c r="F500" s="73"/>
      <c r="G500" s="73"/>
      <c r="H500" s="73"/>
      <c r="I500" s="73"/>
      <c r="J500" s="73"/>
      <c r="K500" s="73"/>
      <c r="L500" s="73"/>
      <c r="M500" s="74"/>
      <c r="N500" s="71" t="str">
        <f t="shared" si="7"/>
        <v/>
      </c>
      <c r="O500" s="72"/>
      <c r="P500" s="72"/>
      <c r="Q500" s="72"/>
      <c r="R500" s="72"/>
      <c r="S500" s="72"/>
      <c r="T500" s="72"/>
      <c r="U500" s="72"/>
      <c r="V500" s="72"/>
    </row>
    <row r="501" spans="1:25" ht="27.75" customHeight="1">
      <c r="A501" s="87" t="str">
        <f>IF(ISBLANK(C501)," ",496-COUNTBLANK($C$6:C501))</f>
        <v xml:space="preserve"> </v>
      </c>
      <c r="B501" s="88"/>
      <c r="C501" s="88"/>
      <c r="D501" s="89"/>
      <c r="E501" s="89"/>
      <c r="F501" s="73"/>
      <c r="G501" s="73"/>
      <c r="H501" s="73"/>
      <c r="I501" s="73"/>
      <c r="J501" s="73"/>
      <c r="K501" s="73"/>
      <c r="L501" s="73"/>
      <c r="M501" s="74"/>
      <c r="N501" s="71" t="str">
        <f t="shared" si="7"/>
        <v/>
      </c>
      <c r="O501" s="72"/>
      <c r="P501" s="72"/>
      <c r="Q501" s="72"/>
      <c r="R501" s="72"/>
      <c r="S501" s="72"/>
      <c r="T501" s="72"/>
      <c r="U501" s="72"/>
      <c r="V501" s="72"/>
    </row>
    <row r="502" spans="1:25" ht="27.75" customHeight="1">
      <c r="A502" s="87" t="str">
        <f>IF(ISBLANK(C502)," ",497-COUNTBLANK($C$6:C502))</f>
        <v xml:space="preserve"> </v>
      </c>
      <c r="B502" s="88"/>
      <c r="C502" s="88"/>
      <c r="D502" s="89"/>
      <c r="E502" s="89"/>
      <c r="F502" s="73"/>
      <c r="G502" s="73"/>
      <c r="H502" s="73"/>
      <c r="I502" s="73"/>
      <c r="J502" s="73"/>
      <c r="K502" s="73"/>
      <c r="L502" s="73"/>
      <c r="M502" s="74"/>
      <c r="N502" s="71" t="str">
        <f t="shared" si="7"/>
        <v/>
      </c>
      <c r="O502" s="72"/>
      <c r="P502" s="72"/>
      <c r="Q502" s="72"/>
      <c r="R502" s="72"/>
      <c r="S502" s="72"/>
      <c r="T502" s="72"/>
      <c r="U502" s="72"/>
      <c r="V502" s="72"/>
    </row>
    <row r="503" spans="1:25" ht="27.75" customHeight="1">
      <c r="A503" s="87" t="str">
        <f>IF(ISBLANK(C503)," ",498-COUNTBLANK($C$6:C503))</f>
        <v xml:space="preserve"> </v>
      </c>
      <c r="B503" s="88"/>
      <c r="C503" s="88"/>
      <c r="D503" s="89"/>
      <c r="E503" s="89"/>
      <c r="F503" s="73"/>
      <c r="G503" s="73"/>
      <c r="H503" s="73"/>
      <c r="I503" s="73"/>
      <c r="J503" s="73"/>
      <c r="K503" s="73"/>
      <c r="L503" s="73"/>
      <c r="M503" s="74"/>
      <c r="N503" s="71" t="str">
        <f t="shared" si="7"/>
        <v/>
      </c>
      <c r="O503" s="72"/>
      <c r="P503" s="72"/>
      <c r="Q503" s="72"/>
      <c r="R503" s="72"/>
      <c r="S503" s="72"/>
      <c r="T503" s="72"/>
      <c r="U503" s="72"/>
      <c r="V503" s="72"/>
    </row>
    <row r="504" spans="1:25" ht="27.75" customHeight="1">
      <c r="A504" s="87" t="str">
        <f>IF(ISBLANK(C504)," ",499-COUNTBLANK($C$6:C504))</f>
        <v xml:space="preserve"> </v>
      </c>
      <c r="B504" s="88"/>
      <c r="C504" s="88"/>
      <c r="D504" s="89"/>
      <c r="E504" s="89"/>
      <c r="F504" s="73"/>
      <c r="G504" s="73"/>
      <c r="H504" s="73"/>
      <c r="I504" s="73"/>
      <c r="J504" s="73"/>
      <c r="K504" s="73"/>
      <c r="L504" s="73"/>
      <c r="M504" s="74"/>
      <c r="N504" s="71" t="str">
        <f t="shared" si="7"/>
        <v/>
      </c>
      <c r="O504" s="75"/>
      <c r="P504" s="72"/>
      <c r="Q504" s="72"/>
      <c r="R504" s="72"/>
      <c r="S504" s="72"/>
      <c r="T504" s="72"/>
      <c r="U504" s="72"/>
      <c r="V504" s="76"/>
    </row>
    <row r="505" spans="1:25" ht="27.75" customHeight="1">
      <c r="A505" s="87" t="str">
        <f>IF(ISBLANK(C505)," ",500-COUNTBLANK($C$6:C505))</f>
        <v xml:space="preserve"> </v>
      </c>
      <c r="B505" s="88"/>
      <c r="C505" s="88"/>
      <c r="D505" s="89"/>
      <c r="E505" s="89"/>
      <c r="F505" s="73"/>
      <c r="G505" s="73"/>
      <c r="H505" s="73"/>
      <c r="I505" s="73"/>
      <c r="J505" s="73"/>
      <c r="K505" s="73"/>
      <c r="L505" s="73"/>
      <c r="M505" s="74"/>
      <c r="N505" s="71" t="str">
        <f t="shared" si="7"/>
        <v/>
      </c>
      <c r="O505" s="75"/>
      <c r="P505" s="72"/>
      <c r="Q505" s="72"/>
      <c r="R505" s="72"/>
      <c r="S505" s="72"/>
      <c r="T505" s="72"/>
      <c r="U505" s="72"/>
      <c r="V505" s="76"/>
    </row>
    <row r="506" spans="1:25" ht="27.75" customHeight="1">
      <c r="A506" s="87" t="str">
        <f>IF(ISBLANK(C506)," ",501-COUNTBLANK($C$6:C506))</f>
        <v xml:space="preserve"> </v>
      </c>
      <c r="B506" s="88"/>
      <c r="C506" s="88"/>
      <c r="D506" s="89"/>
      <c r="E506" s="89"/>
      <c r="F506" s="73"/>
      <c r="G506" s="73"/>
      <c r="H506" s="73"/>
      <c r="I506" s="73"/>
      <c r="J506" s="73"/>
      <c r="K506" s="73"/>
      <c r="L506" s="73"/>
      <c r="M506" s="74"/>
      <c r="N506" s="71" t="str">
        <f t="shared" si="7"/>
        <v/>
      </c>
      <c r="O506" s="75"/>
      <c r="P506" s="72"/>
      <c r="Q506" s="72"/>
      <c r="R506" s="72"/>
      <c r="S506" s="72"/>
      <c r="T506" s="72"/>
      <c r="U506" s="72"/>
      <c r="V506" s="76"/>
    </row>
    <row r="507" spans="1:25" ht="27.75" customHeight="1">
      <c r="A507" s="87" t="str">
        <f>IF(ISBLANK(C507)," ",502-COUNTBLANK($C$6:C507))</f>
        <v xml:space="preserve"> </v>
      </c>
      <c r="B507" s="88"/>
      <c r="C507" s="88"/>
      <c r="D507" s="89"/>
      <c r="E507" s="89"/>
      <c r="F507" s="73"/>
      <c r="G507" s="73"/>
      <c r="H507" s="73"/>
      <c r="I507" s="73"/>
      <c r="J507" s="73"/>
      <c r="K507" s="73"/>
      <c r="L507" s="73"/>
      <c r="M507" s="74"/>
      <c r="N507" s="71" t="str">
        <f t="shared" si="7"/>
        <v/>
      </c>
      <c r="O507" s="75"/>
      <c r="P507" s="72"/>
      <c r="Q507" s="72"/>
      <c r="R507" s="72"/>
      <c r="S507" s="72"/>
      <c r="T507" s="72"/>
      <c r="U507" s="72"/>
      <c r="V507" s="76"/>
    </row>
    <row r="508" spans="1:25" ht="27.75" customHeight="1">
      <c r="A508" s="87" t="str">
        <f>IF(ISBLANK(C508)," ",503-COUNTBLANK($C$6:C508))</f>
        <v xml:space="preserve"> </v>
      </c>
      <c r="B508" s="88"/>
      <c r="C508" s="88"/>
      <c r="D508" s="89"/>
      <c r="E508" s="89"/>
      <c r="F508" s="73"/>
      <c r="G508" s="73"/>
      <c r="H508" s="73"/>
      <c r="I508" s="73"/>
      <c r="J508" s="73"/>
      <c r="K508" s="73"/>
      <c r="L508" s="73"/>
      <c r="M508" s="74"/>
      <c r="N508" s="71" t="str">
        <f t="shared" si="7"/>
        <v/>
      </c>
      <c r="O508" s="72"/>
      <c r="P508" s="72"/>
      <c r="Q508" s="72"/>
      <c r="R508" s="72"/>
      <c r="S508" s="72"/>
      <c r="T508" s="72"/>
      <c r="U508" s="72"/>
      <c r="V508" s="79"/>
      <c r="W508" s="72"/>
      <c r="X508" s="72"/>
      <c r="Y508" s="72"/>
    </row>
    <row r="509" spans="1:25" ht="27.75" customHeight="1">
      <c r="A509" s="80" t="s">
        <v>58</v>
      </c>
      <c r="B509" s="81"/>
      <c r="C509" s="96"/>
      <c r="D509" s="82"/>
      <c r="E509" s="82">
        <f>SUM(E489:E508)</f>
        <v>0</v>
      </c>
      <c r="F509" s="83"/>
      <c r="G509" s="83"/>
      <c r="H509" s="83"/>
      <c r="I509" s="83"/>
      <c r="J509" s="83"/>
      <c r="K509" s="83"/>
      <c r="L509" s="83"/>
      <c r="M509" s="84"/>
      <c r="N509" s="71" t="str">
        <f t="shared" si="7"/>
        <v/>
      </c>
      <c r="O509" s="75"/>
      <c r="P509" s="72"/>
      <c r="Q509" s="72"/>
      <c r="R509" s="72"/>
      <c r="S509" s="72"/>
      <c r="T509" s="72"/>
      <c r="U509" s="72"/>
      <c r="V509" s="79"/>
      <c r="W509" s="72"/>
      <c r="X509" s="72"/>
      <c r="Y509" s="72"/>
    </row>
    <row r="510" spans="1:25" ht="27.75" customHeight="1">
      <c r="A510" s="93" t="str">
        <f>IF(ISBLANK(C510)," ",505-COUNTBLANK($C$6:C510))</f>
        <v xml:space="preserve"> </v>
      </c>
      <c r="B510" s="94"/>
      <c r="C510" s="94"/>
      <c r="D510" s="95"/>
      <c r="E510" s="95"/>
      <c r="F510" s="85"/>
      <c r="G510" s="85"/>
      <c r="H510" s="85"/>
      <c r="I510" s="85"/>
      <c r="J510" s="85"/>
      <c r="K510" s="85"/>
      <c r="L510" s="85"/>
      <c r="M510" s="86"/>
      <c r="N510" s="71" t="str">
        <f t="shared" si="7"/>
        <v/>
      </c>
      <c r="O510" s="72"/>
      <c r="P510" s="72"/>
      <c r="Q510" s="72"/>
      <c r="R510" s="72"/>
      <c r="S510" s="72"/>
      <c r="T510" s="72"/>
      <c r="U510" s="72"/>
      <c r="V510" s="72"/>
    </row>
    <row r="511" spans="1:25" ht="27.75" customHeight="1">
      <c r="A511" s="87" t="str">
        <f>IF(ISBLANK(C511)," ",506-COUNTBLANK($C$6:C511))</f>
        <v xml:space="preserve"> </v>
      </c>
      <c r="B511" s="88"/>
      <c r="C511" s="88"/>
      <c r="D511" s="89"/>
      <c r="E511" s="89"/>
      <c r="F511" s="73"/>
      <c r="G511" s="73"/>
      <c r="H511" s="73"/>
      <c r="I511" s="73"/>
      <c r="J511" s="73"/>
      <c r="K511" s="73"/>
      <c r="L511" s="73"/>
      <c r="M511" s="74"/>
      <c r="N511" s="71" t="str">
        <f t="shared" si="7"/>
        <v/>
      </c>
      <c r="O511" s="72"/>
      <c r="P511" s="72"/>
      <c r="Q511" s="72"/>
      <c r="R511" s="72"/>
      <c r="S511" s="72"/>
      <c r="T511" s="72"/>
      <c r="U511" s="72"/>
      <c r="V511" s="72"/>
    </row>
    <row r="512" spans="1:25" ht="27.75" customHeight="1">
      <c r="A512" s="87" t="str">
        <f>IF(ISBLANK(C512)," ",507-COUNTBLANK($C$6:C512))</f>
        <v xml:space="preserve"> </v>
      </c>
      <c r="B512" s="88"/>
      <c r="C512" s="88"/>
      <c r="D512" s="89"/>
      <c r="E512" s="89"/>
      <c r="F512" s="73"/>
      <c r="G512" s="73"/>
      <c r="H512" s="73"/>
      <c r="I512" s="73"/>
      <c r="J512" s="73"/>
      <c r="K512" s="73"/>
      <c r="L512" s="73"/>
      <c r="M512" s="74"/>
      <c r="N512" s="71" t="str">
        <f t="shared" si="7"/>
        <v/>
      </c>
      <c r="O512" s="72"/>
      <c r="P512" s="72"/>
      <c r="Q512" s="72"/>
      <c r="R512" s="72"/>
      <c r="S512" s="72"/>
      <c r="T512" s="72"/>
      <c r="U512" s="72"/>
      <c r="V512" s="72"/>
    </row>
    <row r="513" spans="1:22" ht="27.75" customHeight="1">
      <c r="A513" s="87" t="str">
        <f>IF(ISBLANK(C513)," ",508-COUNTBLANK($C$6:C513))</f>
        <v xml:space="preserve"> </v>
      </c>
      <c r="B513" s="88"/>
      <c r="C513" s="88"/>
      <c r="D513" s="89"/>
      <c r="E513" s="89"/>
      <c r="F513" s="73"/>
      <c r="G513" s="73"/>
      <c r="H513" s="73"/>
      <c r="I513" s="73"/>
      <c r="J513" s="73"/>
      <c r="K513" s="73"/>
      <c r="L513" s="73"/>
      <c r="M513" s="74"/>
      <c r="N513" s="71" t="str">
        <f t="shared" si="7"/>
        <v/>
      </c>
      <c r="O513" s="72"/>
      <c r="P513" s="72"/>
      <c r="Q513" s="72"/>
      <c r="R513" s="72"/>
      <c r="S513" s="72"/>
      <c r="T513" s="72"/>
      <c r="U513" s="72"/>
      <c r="V513" s="72"/>
    </row>
    <row r="514" spans="1:22" ht="27.75" customHeight="1">
      <c r="A514" s="87" t="str">
        <f>IF(ISBLANK(C514)," ",509-COUNTBLANK($C$6:C514))</f>
        <v xml:space="preserve"> </v>
      </c>
      <c r="B514" s="88"/>
      <c r="C514" s="88"/>
      <c r="D514" s="89"/>
      <c r="E514" s="89"/>
      <c r="F514" s="73"/>
      <c r="G514" s="73"/>
      <c r="H514" s="73"/>
      <c r="I514" s="73"/>
      <c r="J514" s="73"/>
      <c r="K514" s="73"/>
      <c r="L514" s="73"/>
      <c r="M514" s="74"/>
      <c r="N514" s="71" t="str">
        <f t="shared" si="7"/>
        <v/>
      </c>
      <c r="O514" s="72"/>
      <c r="P514" s="72"/>
      <c r="Q514" s="72"/>
      <c r="R514" s="72"/>
      <c r="S514" s="72"/>
      <c r="T514" s="72"/>
      <c r="U514" s="72"/>
      <c r="V514" s="72"/>
    </row>
    <row r="515" spans="1:22" ht="27.75" customHeight="1">
      <c r="A515" s="87" t="str">
        <f>IF(ISBLANK(C515)," ",510-COUNTBLANK($C$6:C515))</f>
        <v xml:space="preserve"> </v>
      </c>
      <c r="B515" s="88"/>
      <c r="C515" s="88"/>
      <c r="D515" s="89"/>
      <c r="E515" s="89"/>
      <c r="F515" s="73"/>
      <c r="G515" s="73"/>
      <c r="H515" s="73"/>
      <c r="I515" s="73"/>
      <c r="J515" s="73"/>
      <c r="K515" s="73"/>
      <c r="L515" s="73"/>
      <c r="M515" s="74"/>
      <c r="N515" s="71" t="str">
        <f t="shared" si="7"/>
        <v/>
      </c>
      <c r="O515" s="72"/>
      <c r="P515" s="72"/>
      <c r="Q515" s="72"/>
      <c r="R515" s="72"/>
      <c r="S515" s="72"/>
      <c r="T515" s="72"/>
      <c r="U515" s="72"/>
      <c r="V515" s="72"/>
    </row>
    <row r="516" spans="1:22" ht="27.75" customHeight="1">
      <c r="A516" s="87" t="str">
        <f>IF(ISBLANK(C516)," ",511-COUNTBLANK($C$6:C516))</f>
        <v xml:space="preserve"> </v>
      </c>
      <c r="B516" s="88"/>
      <c r="C516" s="88"/>
      <c r="D516" s="89"/>
      <c r="E516" s="89"/>
      <c r="F516" s="73"/>
      <c r="G516" s="73"/>
      <c r="H516" s="73"/>
      <c r="I516" s="73"/>
      <c r="J516" s="73"/>
      <c r="K516" s="73"/>
      <c r="L516" s="73"/>
      <c r="M516" s="74"/>
      <c r="N516" s="71" t="str">
        <f t="shared" si="7"/>
        <v/>
      </c>
      <c r="O516" s="72"/>
      <c r="P516" s="72"/>
      <c r="Q516" s="72"/>
      <c r="R516" s="72"/>
      <c r="S516" s="72"/>
      <c r="T516" s="72"/>
      <c r="U516" s="72"/>
      <c r="V516" s="72"/>
    </row>
    <row r="517" spans="1:22" ht="27.75" customHeight="1">
      <c r="A517" s="87" t="str">
        <f>IF(ISBLANK(C517)," ",512-COUNTBLANK($C$6:C517))</f>
        <v xml:space="preserve"> </v>
      </c>
      <c r="B517" s="88"/>
      <c r="C517" s="88"/>
      <c r="D517" s="89"/>
      <c r="E517" s="89"/>
      <c r="F517" s="73"/>
      <c r="G517" s="73"/>
      <c r="H517" s="73"/>
      <c r="I517" s="73"/>
      <c r="J517" s="73"/>
      <c r="K517" s="73"/>
      <c r="L517" s="73"/>
      <c r="M517" s="74"/>
      <c r="N517" s="71" t="str">
        <f t="shared" si="7"/>
        <v/>
      </c>
      <c r="O517" s="72"/>
      <c r="P517" s="72"/>
      <c r="Q517" s="72"/>
      <c r="R517" s="72"/>
      <c r="S517" s="72"/>
      <c r="T517" s="72"/>
      <c r="U517" s="72"/>
      <c r="V517" s="72"/>
    </row>
    <row r="518" spans="1:22" ht="27.75" customHeight="1">
      <c r="A518" s="87" t="str">
        <f>IF(ISBLANK(C518)," ",513-COUNTBLANK($C$6:C518))</f>
        <v xml:space="preserve"> </v>
      </c>
      <c r="B518" s="88"/>
      <c r="C518" s="88"/>
      <c r="D518" s="89"/>
      <c r="E518" s="89"/>
      <c r="F518" s="73"/>
      <c r="G518" s="73"/>
      <c r="H518" s="73"/>
      <c r="I518" s="73"/>
      <c r="J518" s="73"/>
      <c r="K518" s="73"/>
      <c r="L518" s="73"/>
      <c r="M518" s="74"/>
      <c r="N518" s="71" t="str">
        <f t="shared" ref="N518:N530" si="8">CONCATENATE(C518,H518)</f>
        <v/>
      </c>
      <c r="O518" s="72"/>
      <c r="P518" s="72"/>
      <c r="Q518" s="72"/>
      <c r="R518" s="72"/>
      <c r="S518" s="72"/>
      <c r="T518" s="72"/>
      <c r="U518" s="72"/>
      <c r="V518" s="72"/>
    </row>
    <row r="519" spans="1:22" ht="27.75" customHeight="1">
      <c r="A519" s="87" t="str">
        <f>IF(ISBLANK(C519)," ",514-COUNTBLANK($C$6:C519))</f>
        <v xml:space="preserve"> </v>
      </c>
      <c r="B519" s="88"/>
      <c r="C519" s="88"/>
      <c r="D519" s="89"/>
      <c r="E519" s="89"/>
      <c r="F519" s="73"/>
      <c r="G519" s="73"/>
      <c r="H519" s="73"/>
      <c r="I519" s="73"/>
      <c r="J519" s="73"/>
      <c r="K519" s="73"/>
      <c r="L519" s="73"/>
      <c r="M519" s="74"/>
      <c r="N519" s="71" t="str">
        <f t="shared" si="8"/>
        <v/>
      </c>
      <c r="O519" s="72"/>
      <c r="P519" s="72"/>
      <c r="Q519" s="72"/>
      <c r="R519" s="72"/>
      <c r="S519" s="72"/>
      <c r="T519" s="72"/>
      <c r="U519" s="72"/>
      <c r="V519" s="72"/>
    </row>
    <row r="520" spans="1:22" ht="27.75" customHeight="1">
      <c r="A520" s="87" t="str">
        <f>IF(ISBLANK(C520)," ",515-COUNTBLANK($C$6:C520))</f>
        <v xml:space="preserve"> </v>
      </c>
      <c r="B520" s="88"/>
      <c r="C520" s="88"/>
      <c r="D520" s="89"/>
      <c r="E520" s="89"/>
      <c r="F520" s="73"/>
      <c r="G520" s="73"/>
      <c r="H520" s="73"/>
      <c r="I520" s="73"/>
      <c r="J520" s="73"/>
      <c r="K520" s="73"/>
      <c r="L520" s="73"/>
      <c r="M520" s="74"/>
      <c r="N520" s="71" t="str">
        <f t="shared" si="8"/>
        <v/>
      </c>
      <c r="O520" s="72"/>
      <c r="P520" s="72"/>
      <c r="Q520" s="72"/>
      <c r="R520" s="72"/>
      <c r="S520" s="72"/>
      <c r="T520" s="72"/>
      <c r="U520" s="72"/>
      <c r="V520" s="72"/>
    </row>
    <row r="521" spans="1:22" ht="27.75" customHeight="1">
      <c r="A521" s="87" t="str">
        <f>IF(ISBLANK(C521)," ",516-COUNTBLANK($C$6:C521))</f>
        <v xml:space="preserve"> </v>
      </c>
      <c r="B521" s="88"/>
      <c r="C521" s="88"/>
      <c r="D521" s="89"/>
      <c r="E521" s="89"/>
      <c r="F521" s="73"/>
      <c r="G521" s="73"/>
      <c r="H521" s="73"/>
      <c r="I521" s="73"/>
      <c r="J521" s="73"/>
      <c r="K521" s="73"/>
      <c r="L521" s="73"/>
      <c r="M521" s="74"/>
      <c r="N521" s="71" t="str">
        <f t="shared" si="8"/>
        <v/>
      </c>
      <c r="O521" s="72"/>
      <c r="P521" s="72"/>
      <c r="Q521" s="72"/>
      <c r="R521" s="72"/>
      <c r="S521" s="72"/>
      <c r="T521" s="72"/>
      <c r="U521" s="72"/>
      <c r="V521" s="72"/>
    </row>
    <row r="522" spans="1:22" ht="27.75" customHeight="1">
      <c r="A522" s="87" t="str">
        <f>IF(ISBLANK(C522)," ",517-COUNTBLANK($C$6:C522))</f>
        <v xml:space="preserve"> </v>
      </c>
      <c r="B522" s="88"/>
      <c r="C522" s="88"/>
      <c r="D522" s="89"/>
      <c r="E522" s="89"/>
      <c r="F522" s="73"/>
      <c r="G522" s="73"/>
      <c r="H522" s="73"/>
      <c r="I522" s="73"/>
      <c r="J522" s="73"/>
      <c r="K522" s="73"/>
      <c r="L522" s="73"/>
      <c r="M522" s="74"/>
      <c r="N522" s="71" t="str">
        <f t="shared" si="8"/>
        <v/>
      </c>
      <c r="O522" s="72"/>
      <c r="P522" s="72"/>
      <c r="Q522" s="72"/>
      <c r="R522" s="72"/>
      <c r="S522" s="72"/>
      <c r="T522" s="72"/>
      <c r="U522" s="72"/>
      <c r="V522" s="72"/>
    </row>
    <row r="523" spans="1:22" ht="27.75" customHeight="1">
      <c r="A523" s="87" t="str">
        <f>IF(ISBLANK(C523)," ",518-COUNTBLANK($C$6:C523))</f>
        <v xml:space="preserve"> </v>
      </c>
      <c r="B523" s="88"/>
      <c r="C523" s="88"/>
      <c r="D523" s="89"/>
      <c r="E523" s="89"/>
      <c r="F523" s="73"/>
      <c r="G523" s="73"/>
      <c r="H523" s="73"/>
      <c r="I523" s="73"/>
      <c r="J523" s="73"/>
      <c r="K523" s="73"/>
      <c r="L523" s="73"/>
      <c r="M523" s="74"/>
      <c r="N523" s="71" t="str">
        <f t="shared" si="8"/>
        <v/>
      </c>
      <c r="O523" s="72"/>
      <c r="P523" s="72"/>
      <c r="Q523" s="72"/>
      <c r="R523" s="72"/>
      <c r="S523" s="72"/>
      <c r="T523" s="72"/>
      <c r="U523" s="72"/>
      <c r="V523" s="72"/>
    </row>
    <row r="524" spans="1:22" ht="27.75" customHeight="1">
      <c r="A524" s="87" t="str">
        <f>IF(ISBLANK(C524)," ",519-COUNTBLANK($C$6:C524))</f>
        <v xml:space="preserve"> </v>
      </c>
      <c r="B524" s="88"/>
      <c r="C524" s="88"/>
      <c r="D524" s="89"/>
      <c r="E524" s="89"/>
      <c r="F524" s="73"/>
      <c r="G524" s="73"/>
      <c r="H524" s="73"/>
      <c r="I524" s="73"/>
      <c r="J524" s="73"/>
      <c r="K524" s="73"/>
      <c r="L524" s="73"/>
      <c r="M524" s="74"/>
      <c r="N524" s="71" t="str">
        <f t="shared" si="8"/>
        <v/>
      </c>
      <c r="O524" s="72"/>
      <c r="P524" s="72"/>
      <c r="Q524" s="72"/>
      <c r="R524" s="72"/>
      <c r="S524" s="72"/>
      <c r="T524" s="72"/>
      <c r="U524" s="72"/>
      <c r="V524" s="72"/>
    </row>
    <row r="525" spans="1:22" ht="27.75" customHeight="1">
      <c r="A525" s="87" t="str">
        <f>IF(ISBLANK(C525)," ",520-COUNTBLANK($C$6:C525))</f>
        <v xml:space="preserve"> </v>
      </c>
      <c r="B525" s="88"/>
      <c r="C525" s="88"/>
      <c r="D525" s="89"/>
      <c r="E525" s="89"/>
      <c r="F525" s="73"/>
      <c r="G525" s="73"/>
      <c r="H525" s="73"/>
      <c r="I525" s="73"/>
      <c r="J525" s="73"/>
      <c r="K525" s="73"/>
      <c r="L525" s="73"/>
      <c r="M525" s="74"/>
      <c r="N525" s="71" t="str">
        <f t="shared" si="8"/>
        <v/>
      </c>
      <c r="O525" s="75"/>
      <c r="P525" s="72"/>
      <c r="Q525" s="72"/>
      <c r="R525" s="72"/>
      <c r="S525" s="72"/>
      <c r="T525" s="72"/>
      <c r="U525" s="72"/>
      <c r="V525" s="76"/>
    </row>
    <row r="526" spans="1:22" ht="27.75" customHeight="1">
      <c r="A526" s="87" t="str">
        <f>IF(ISBLANK(C526)," ",521-COUNTBLANK($C$6:C526))</f>
        <v xml:space="preserve"> </v>
      </c>
      <c r="B526" s="88"/>
      <c r="C526" s="88"/>
      <c r="D526" s="89"/>
      <c r="E526" s="89"/>
      <c r="F526" s="73"/>
      <c r="G526" s="73"/>
      <c r="H526" s="73"/>
      <c r="I526" s="73"/>
      <c r="J526" s="73"/>
      <c r="K526" s="73"/>
      <c r="L526" s="73"/>
      <c r="M526" s="74"/>
      <c r="N526" s="71" t="str">
        <f t="shared" si="8"/>
        <v/>
      </c>
      <c r="O526" s="75"/>
      <c r="P526" s="72"/>
      <c r="Q526" s="72"/>
      <c r="R526" s="72"/>
      <c r="S526" s="72"/>
      <c r="T526" s="72"/>
      <c r="U526" s="72"/>
      <c r="V526" s="76"/>
    </row>
    <row r="527" spans="1:22" ht="27.75" customHeight="1">
      <c r="A527" s="87" t="str">
        <f>IF(ISBLANK(C527)," ",522-COUNTBLANK($C$6:C527))</f>
        <v xml:space="preserve"> </v>
      </c>
      <c r="B527" s="88"/>
      <c r="C527" s="88"/>
      <c r="D527" s="89"/>
      <c r="E527" s="89"/>
      <c r="F527" s="73"/>
      <c r="G527" s="73"/>
      <c r="H527" s="73"/>
      <c r="I527" s="73"/>
      <c r="J527" s="73"/>
      <c r="K527" s="73"/>
      <c r="L527" s="73"/>
      <c r="M527" s="74"/>
      <c r="N527" s="71" t="str">
        <f t="shared" si="8"/>
        <v/>
      </c>
      <c r="O527" s="75"/>
      <c r="P527" s="72"/>
      <c r="Q527" s="72"/>
      <c r="R527" s="72"/>
      <c r="S527" s="72"/>
      <c r="T527" s="72"/>
      <c r="U527" s="72"/>
      <c r="V527" s="76"/>
    </row>
    <row r="528" spans="1:22" ht="27.75" customHeight="1">
      <c r="A528" s="87" t="str">
        <f>IF(ISBLANK(C528)," ",523-COUNTBLANK($C$6:C528))</f>
        <v xml:space="preserve"> </v>
      </c>
      <c r="B528" s="88"/>
      <c r="C528" s="88"/>
      <c r="D528" s="89"/>
      <c r="E528" s="89"/>
      <c r="F528" s="73"/>
      <c r="G528" s="73"/>
      <c r="H528" s="73"/>
      <c r="I528" s="73"/>
      <c r="J528" s="73"/>
      <c r="K528" s="73"/>
      <c r="L528" s="73"/>
      <c r="M528" s="74"/>
      <c r="N528" s="71" t="str">
        <f t="shared" si="8"/>
        <v/>
      </c>
      <c r="O528" s="75"/>
      <c r="P528" s="72"/>
      <c r="Q528" s="72"/>
      <c r="R528" s="72"/>
      <c r="S528" s="72"/>
      <c r="T528" s="72"/>
      <c r="U528" s="72"/>
      <c r="V528" s="76"/>
    </row>
    <row r="529" spans="1:25" ht="27.75" customHeight="1">
      <c r="A529" s="87" t="str">
        <f>IF(ISBLANK(C529)," ",524-COUNTBLANK($C$6:C529))</f>
        <v xml:space="preserve"> </v>
      </c>
      <c r="B529" s="88"/>
      <c r="C529" s="88"/>
      <c r="D529" s="89"/>
      <c r="E529" s="89"/>
      <c r="F529" s="73"/>
      <c r="G529" s="73"/>
      <c r="H529" s="73"/>
      <c r="I529" s="73"/>
      <c r="J529" s="73"/>
      <c r="K529" s="73"/>
      <c r="L529" s="73"/>
      <c r="M529" s="74"/>
      <c r="N529" s="71" t="str">
        <f t="shared" si="8"/>
        <v/>
      </c>
      <c r="O529" s="72"/>
      <c r="P529" s="72"/>
      <c r="Q529" s="72"/>
      <c r="R529" s="72"/>
      <c r="S529" s="72"/>
      <c r="T529" s="72"/>
      <c r="U529" s="72"/>
      <c r="V529" s="79"/>
      <c r="W529" s="72"/>
      <c r="X529" s="72"/>
      <c r="Y529" s="72"/>
    </row>
    <row r="530" spans="1:25" ht="27.75" customHeight="1">
      <c r="A530" s="80" t="s">
        <v>58</v>
      </c>
      <c r="B530" s="81"/>
      <c r="C530" s="96"/>
      <c r="D530" s="82"/>
      <c r="E530" s="82">
        <f>SUM(E510:E529)</f>
        <v>0</v>
      </c>
      <c r="F530" s="83"/>
      <c r="G530" s="83"/>
      <c r="H530" s="83"/>
      <c r="I530" s="83"/>
      <c r="J530" s="83"/>
      <c r="K530" s="83"/>
      <c r="L530" s="83"/>
      <c r="M530" s="84"/>
      <c r="N530" s="71" t="str">
        <f t="shared" si="8"/>
        <v/>
      </c>
      <c r="O530" s="75"/>
      <c r="P530" s="72"/>
      <c r="Q530" s="72"/>
      <c r="R530" s="72"/>
      <c r="S530" s="72"/>
      <c r="T530" s="72"/>
      <c r="U530" s="72"/>
      <c r="V530" s="79"/>
      <c r="W530" s="72"/>
      <c r="X530" s="72"/>
      <c r="Y530" s="72"/>
    </row>
    <row r="531" spans="1:25">
      <c r="O531" s="99"/>
      <c r="P531" s="99"/>
      <c r="Q531" s="99"/>
      <c r="R531" s="99"/>
      <c r="S531" s="99"/>
      <c r="T531" s="99"/>
      <c r="U531" s="99"/>
      <c r="V531" s="99"/>
    </row>
    <row r="532" spans="1:25">
      <c r="O532" s="99"/>
      <c r="P532" s="99"/>
      <c r="Q532" s="99"/>
      <c r="R532" s="99"/>
      <c r="S532" s="99"/>
      <c r="T532" s="99"/>
      <c r="U532" s="99"/>
      <c r="V532" s="99"/>
    </row>
  </sheetData>
  <mergeCells count="4">
    <mergeCell ref="B4:B5"/>
    <mergeCell ref="C4:C5"/>
    <mergeCell ref="H4:I4"/>
    <mergeCell ref="M4:M5"/>
  </mergeCells>
  <phoneticPr fontId="5" type="noConversion"/>
  <printOptions horizontalCentered="1" verticalCentered="1"/>
  <pageMargins left="0.19685039370078741" right="0.19685039370078741" top="1.1811023622047245" bottom="0.59055118110236227" header="0.59055118110236227" footer="0.19685039370078741"/>
  <pageSetup paperSize="9" orientation="portrait" horizontalDpi="4294967292" r:id="rId1"/>
  <headerFooter alignWithMargins="0"/>
  <rowBreaks count="1" manualBreakCount="1">
    <brk id="2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Y532"/>
  <sheetViews>
    <sheetView showGridLines="0" showZeros="0" view="pageBreakPreview" zoomScaleNormal="70" workbookViewId="0">
      <selection activeCell="A26" sqref="A26:IV26"/>
    </sheetView>
  </sheetViews>
  <sheetFormatPr defaultRowHeight="11.25"/>
  <cols>
    <col min="1" max="1" width="4.33203125" style="51" customWidth="1"/>
    <col min="2" max="2" width="6.33203125" style="97" customWidth="1"/>
    <col min="3" max="3" width="3.77734375" style="51" customWidth="1"/>
    <col min="4" max="4" width="6.77734375" style="51" customWidth="1"/>
    <col min="5" max="5" width="6.77734375" style="98" customWidth="1"/>
    <col min="6" max="6" width="4.109375" style="51" customWidth="1"/>
    <col min="7" max="7" width="4.77734375" style="51" customWidth="1"/>
    <col min="8" max="8" width="7.33203125" style="51" customWidth="1"/>
    <col min="9" max="9" width="11.77734375" style="51" customWidth="1"/>
    <col min="10" max="10" width="6.77734375" style="51" customWidth="1"/>
    <col min="11" max="11" width="11.77734375" style="51" customWidth="1"/>
    <col min="12" max="12" width="6.77734375" style="51" customWidth="1"/>
    <col min="13" max="13" width="3.77734375" style="51" customWidth="1"/>
    <col min="14" max="14" width="20.77734375" style="99" hidden="1" customWidth="1"/>
    <col min="15" max="21" width="9.77734375" style="51" customWidth="1"/>
    <col min="22" max="22" width="10.77734375" style="51" customWidth="1"/>
    <col min="23" max="16384" width="8.88671875" style="51"/>
  </cols>
  <sheetData>
    <row r="1" spans="1:22" ht="30" customHeight="1">
      <c r="A1" s="45" t="s">
        <v>64</v>
      </c>
      <c r="B1" s="46"/>
      <c r="C1" s="47"/>
      <c r="D1" s="47"/>
      <c r="E1" s="48"/>
      <c r="F1" s="47"/>
      <c r="G1" s="47"/>
      <c r="H1" s="47"/>
      <c r="I1" s="47"/>
      <c r="J1" s="47"/>
      <c r="K1" s="47"/>
      <c r="L1" s="47"/>
      <c r="M1" s="47"/>
      <c r="N1" s="49"/>
      <c r="O1" s="50"/>
      <c r="P1" s="50"/>
      <c r="Q1" s="50"/>
      <c r="R1" s="50"/>
      <c r="S1" s="50"/>
      <c r="T1" s="50"/>
      <c r="U1" s="50"/>
      <c r="V1" s="50"/>
    </row>
    <row r="2" spans="1:22" ht="19.899999999999999" customHeight="1">
      <c r="A2" s="50"/>
      <c r="B2" s="52"/>
      <c r="C2" s="50"/>
      <c r="D2" s="50"/>
      <c r="E2" s="53"/>
      <c r="F2" s="50"/>
      <c r="G2" s="50"/>
      <c r="H2" s="50"/>
      <c r="I2" s="50"/>
      <c r="J2" s="54"/>
      <c r="K2" s="55">
        <v>3</v>
      </c>
      <c r="L2" s="47"/>
      <c r="M2" s="47"/>
      <c r="N2" s="56"/>
      <c r="O2" s="50"/>
      <c r="P2" s="50"/>
      <c r="Q2" s="50"/>
      <c r="R2" s="50"/>
      <c r="S2" s="50"/>
      <c r="T2" s="50"/>
      <c r="U2" s="50"/>
      <c r="V2" s="50"/>
    </row>
    <row r="3" spans="1:22" ht="10.15" customHeight="1">
      <c r="A3" s="50"/>
      <c r="B3" s="52"/>
      <c r="C3" s="50"/>
      <c r="D3" s="50"/>
      <c r="E3" s="53"/>
      <c r="F3" s="50"/>
      <c r="G3" s="50"/>
      <c r="H3" s="50"/>
      <c r="I3" s="50"/>
      <c r="J3" s="50"/>
      <c r="K3" s="50"/>
      <c r="L3" s="50"/>
      <c r="M3" s="50"/>
      <c r="N3" s="57"/>
      <c r="O3" s="50"/>
      <c r="P3" s="50"/>
      <c r="Q3" s="50"/>
      <c r="R3" s="50"/>
      <c r="S3" s="50"/>
      <c r="T3" s="50"/>
      <c r="U3" s="50"/>
      <c r="V3" s="50"/>
    </row>
    <row r="4" spans="1:22" ht="30" customHeight="1">
      <c r="A4" s="107" t="s">
        <v>45</v>
      </c>
      <c r="B4" s="381" t="s">
        <v>46</v>
      </c>
      <c r="C4" s="369" t="s">
        <v>47</v>
      </c>
      <c r="D4" s="108" t="s">
        <v>48</v>
      </c>
      <c r="E4" s="109" t="s">
        <v>49</v>
      </c>
      <c r="F4" s="110" t="s">
        <v>50</v>
      </c>
      <c r="G4" s="58"/>
      <c r="H4" s="367" t="s">
        <v>51</v>
      </c>
      <c r="I4" s="368"/>
      <c r="J4" s="59" t="s">
        <v>52</v>
      </c>
      <c r="K4" s="58"/>
      <c r="L4" s="60"/>
      <c r="M4" s="371" t="s">
        <v>37</v>
      </c>
      <c r="N4" s="56"/>
      <c r="O4" s="50"/>
      <c r="P4" s="61"/>
      <c r="Q4" s="61"/>
      <c r="R4" s="61"/>
      <c r="S4" s="61"/>
      <c r="T4" s="61"/>
      <c r="U4" s="61"/>
      <c r="V4" s="61"/>
    </row>
    <row r="5" spans="1:22" ht="30" customHeight="1">
      <c r="A5" s="62" t="s">
        <v>53</v>
      </c>
      <c r="B5" s="382"/>
      <c r="C5" s="370"/>
      <c r="D5" s="63" t="s">
        <v>65</v>
      </c>
      <c r="E5" s="63" t="s">
        <v>65</v>
      </c>
      <c r="F5" s="64" t="s">
        <v>47</v>
      </c>
      <c r="G5" s="65" t="s">
        <v>54</v>
      </c>
      <c r="H5" s="65" t="s">
        <v>55</v>
      </c>
      <c r="I5" s="64" t="s">
        <v>56</v>
      </c>
      <c r="J5" s="65" t="s">
        <v>55</v>
      </c>
      <c r="K5" s="65" t="s">
        <v>56</v>
      </c>
      <c r="L5" s="66" t="s">
        <v>57</v>
      </c>
      <c r="M5" s="372"/>
      <c r="N5" s="67"/>
      <c r="O5" s="61"/>
      <c r="P5" s="68"/>
      <c r="Q5" s="68"/>
      <c r="R5" s="68"/>
      <c r="S5" s="68"/>
      <c r="T5" s="68"/>
      <c r="U5" s="68"/>
      <c r="V5" s="50"/>
    </row>
    <row r="6" spans="1:22" ht="27.75" customHeight="1">
      <c r="A6" s="147"/>
      <c r="B6" s="148"/>
      <c r="C6" s="149"/>
      <c r="D6" s="150"/>
      <c r="E6" s="150"/>
      <c r="F6" s="151"/>
      <c r="G6" s="151"/>
      <c r="H6" s="152"/>
      <c r="I6" s="153"/>
      <c r="J6" s="69"/>
      <c r="K6" s="69"/>
      <c r="L6" s="69"/>
      <c r="M6" s="70"/>
      <c r="N6" s="71" t="str">
        <f t="shared" ref="N6:N69" si="0">CONCATENATE(C6,H6)</f>
        <v/>
      </c>
      <c r="O6" s="72"/>
      <c r="P6" s="72"/>
      <c r="Q6" s="72"/>
      <c r="R6" s="72"/>
      <c r="S6" s="72"/>
      <c r="T6" s="72"/>
      <c r="U6" s="72"/>
      <c r="V6" s="72"/>
    </row>
    <row r="7" spans="1:22" ht="27.75" customHeight="1">
      <c r="A7" s="154"/>
      <c r="B7" s="155"/>
      <c r="C7" s="156"/>
      <c r="D7" s="157"/>
      <c r="E7" s="157"/>
      <c r="F7" s="158"/>
      <c r="G7" s="158"/>
      <c r="H7" s="159"/>
      <c r="I7" s="160"/>
      <c r="J7" s="73"/>
      <c r="K7" s="73"/>
      <c r="L7" s="73"/>
      <c r="M7" s="74"/>
      <c r="N7" s="71" t="str">
        <f t="shared" si="0"/>
        <v/>
      </c>
      <c r="O7" s="72"/>
      <c r="P7" s="72"/>
      <c r="Q7" s="72"/>
      <c r="R7" s="72"/>
      <c r="S7" s="72"/>
      <c r="T7" s="72"/>
      <c r="U7" s="72"/>
      <c r="V7" s="72"/>
    </row>
    <row r="8" spans="1:22" ht="27.75" customHeight="1">
      <c r="A8" s="154"/>
      <c r="B8" s="155"/>
      <c r="C8" s="156"/>
      <c r="D8" s="157"/>
      <c r="E8" s="157"/>
      <c r="F8" s="158"/>
      <c r="G8" s="158"/>
      <c r="H8" s="159"/>
      <c r="I8" s="160"/>
      <c r="J8" s="73"/>
      <c r="K8" s="73"/>
      <c r="L8" s="73"/>
      <c r="M8" s="74"/>
      <c r="N8" s="71" t="str">
        <f t="shared" si="0"/>
        <v/>
      </c>
      <c r="O8" s="72"/>
      <c r="P8" s="72"/>
      <c r="Q8" s="72"/>
      <c r="R8" s="72"/>
      <c r="S8" s="72"/>
      <c r="T8" s="72"/>
      <c r="U8" s="72"/>
      <c r="V8" s="72"/>
    </row>
    <row r="9" spans="1:22" ht="27.75" customHeight="1">
      <c r="A9" s="154"/>
      <c r="B9" s="155"/>
      <c r="C9" s="156"/>
      <c r="D9" s="157"/>
      <c r="E9" s="157"/>
      <c r="F9" s="158"/>
      <c r="G9" s="158"/>
      <c r="H9" s="159"/>
      <c r="I9" s="160"/>
      <c r="J9" s="73"/>
      <c r="K9" s="73"/>
      <c r="L9" s="73"/>
      <c r="M9" s="74"/>
      <c r="N9" s="71" t="str">
        <f t="shared" si="0"/>
        <v/>
      </c>
      <c r="O9" s="72"/>
      <c r="P9" s="72"/>
      <c r="Q9" s="72"/>
      <c r="R9" s="72"/>
      <c r="S9" s="72"/>
      <c r="T9" s="72"/>
      <c r="U9" s="72"/>
      <c r="V9" s="72"/>
    </row>
    <row r="10" spans="1:22" ht="27.75" customHeight="1">
      <c r="A10" s="154"/>
      <c r="B10" s="155"/>
      <c r="C10" s="156"/>
      <c r="D10" s="157"/>
      <c r="E10" s="157"/>
      <c r="F10" s="158"/>
      <c r="G10" s="158"/>
      <c r="H10" s="159"/>
      <c r="I10" s="160"/>
      <c r="J10" s="73"/>
      <c r="K10" s="73"/>
      <c r="L10" s="73"/>
      <c r="M10" s="74"/>
      <c r="N10" s="71" t="str">
        <f t="shared" si="0"/>
        <v/>
      </c>
      <c r="O10" s="72"/>
      <c r="P10" s="72"/>
      <c r="Q10" s="72"/>
      <c r="R10" s="72"/>
      <c r="S10" s="72"/>
      <c r="T10" s="72"/>
      <c r="U10" s="72"/>
      <c r="V10" s="72"/>
    </row>
    <row r="11" spans="1:22" ht="27.75" customHeight="1">
      <c r="A11" s="154"/>
      <c r="B11" s="155"/>
      <c r="C11" s="156"/>
      <c r="D11" s="157"/>
      <c r="E11" s="157"/>
      <c r="F11" s="158"/>
      <c r="G11" s="158"/>
      <c r="H11" s="159"/>
      <c r="I11" s="160"/>
      <c r="J11" s="73"/>
      <c r="K11" s="73"/>
      <c r="L11" s="73"/>
      <c r="M11" s="74"/>
      <c r="N11" s="71" t="str">
        <f t="shared" si="0"/>
        <v/>
      </c>
      <c r="O11" s="72"/>
      <c r="P11" s="72"/>
      <c r="Q11" s="72"/>
      <c r="R11" s="72"/>
      <c r="S11" s="72"/>
      <c r="T11" s="72"/>
      <c r="U11" s="72"/>
      <c r="V11" s="72"/>
    </row>
    <row r="12" spans="1:22" ht="27.75" customHeight="1">
      <c r="A12" s="154"/>
      <c r="B12" s="155"/>
      <c r="C12" s="156"/>
      <c r="D12" s="157"/>
      <c r="E12" s="157"/>
      <c r="F12" s="158"/>
      <c r="G12" s="161"/>
      <c r="H12" s="159"/>
      <c r="I12" s="160"/>
      <c r="J12" s="73"/>
      <c r="K12" s="73"/>
      <c r="L12" s="73"/>
      <c r="M12" s="74"/>
      <c r="N12" s="71" t="str">
        <f t="shared" si="0"/>
        <v/>
      </c>
      <c r="O12" s="72"/>
      <c r="P12" s="72"/>
      <c r="Q12" s="72"/>
      <c r="R12" s="72"/>
      <c r="S12" s="72"/>
      <c r="T12" s="72"/>
      <c r="U12" s="72"/>
      <c r="V12" s="72"/>
    </row>
    <row r="13" spans="1:22" ht="27.75" customHeight="1">
      <c r="A13" s="154"/>
      <c r="B13" s="155"/>
      <c r="C13" s="156"/>
      <c r="D13" s="157"/>
      <c r="E13" s="157"/>
      <c r="F13" s="158"/>
      <c r="G13" s="158"/>
      <c r="H13" s="159"/>
      <c r="I13" s="160"/>
      <c r="J13" s="73"/>
      <c r="K13" s="73"/>
      <c r="L13" s="73"/>
      <c r="M13" s="74"/>
      <c r="N13" s="71" t="str">
        <f t="shared" si="0"/>
        <v/>
      </c>
      <c r="O13" s="72"/>
      <c r="P13" s="72"/>
      <c r="Q13" s="72"/>
      <c r="R13" s="72"/>
      <c r="S13" s="72"/>
      <c r="T13" s="72"/>
      <c r="U13" s="72"/>
      <c r="V13" s="72"/>
    </row>
    <row r="14" spans="1:22" ht="27.75" customHeight="1">
      <c r="A14" s="154"/>
      <c r="B14" s="155"/>
      <c r="C14" s="156"/>
      <c r="D14" s="157"/>
      <c r="E14" s="157"/>
      <c r="F14" s="158"/>
      <c r="G14" s="158"/>
      <c r="H14" s="159"/>
      <c r="I14" s="160"/>
      <c r="J14" s="73"/>
      <c r="K14" s="73"/>
      <c r="L14" s="73"/>
      <c r="M14" s="74"/>
      <c r="N14" s="71" t="str">
        <f t="shared" si="0"/>
        <v/>
      </c>
      <c r="O14" s="72"/>
      <c r="P14" s="72"/>
      <c r="Q14" s="72"/>
      <c r="R14" s="72"/>
      <c r="S14" s="72"/>
      <c r="T14" s="72"/>
      <c r="U14" s="72"/>
      <c r="V14" s="72"/>
    </row>
    <row r="15" spans="1:22" ht="27.75" customHeight="1">
      <c r="A15" s="154"/>
      <c r="B15" s="155"/>
      <c r="C15" s="156"/>
      <c r="D15" s="157"/>
      <c r="E15" s="157"/>
      <c r="F15" s="158"/>
      <c r="G15" s="158"/>
      <c r="H15" s="159"/>
      <c r="I15" s="160"/>
      <c r="J15" s="73"/>
      <c r="K15" s="73"/>
      <c r="L15" s="73"/>
      <c r="M15" s="74"/>
      <c r="N15" s="71" t="str">
        <f t="shared" si="0"/>
        <v/>
      </c>
      <c r="O15" s="72"/>
      <c r="P15" s="72"/>
      <c r="Q15" s="72"/>
      <c r="R15" s="72"/>
      <c r="S15" s="72"/>
      <c r="T15" s="72"/>
      <c r="U15" s="72"/>
      <c r="V15" s="72"/>
    </row>
    <row r="16" spans="1:22" ht="27.75" customHeight="1">
      <c r="A16" s="154"/>
      <c r="B16" s="155"/>
      <c r="C16" s="156"/>
      <c r="D16" s="157"/>
      <c r="E16" s="157"/>
      <c r="F16" s="158"/>
      <c r="G16" s="158"/>
      <c r="H16" s="159"/>
      <c r="I16" s="160"/>
      <c r="J16" s="73"/>
      <c r="K16" s="73"/>
      <c r="L16" s="73"/>
      <c r="M16" s="74"/>
      <c r="N16" s="71" t="str">
        <f t="shared" si="0"/>
        <v/>
      </c>
      <c r="O16" s="72"/>
      <c r="P16" s="72"/>
      <c r="Q16" s="72"/>
      <c r="R16" s="72"/>
      <c r="S16" s="72"/>
      <c r="T16" s="72"/>
      <c r="U16" s="72"/>
      <c r="V16" s="72"/>
    </row>
    <row r="17" spans="1:25" ht="27.75" customHeight="1">
      <c r="A17" s="154"/>
      <c r="B17" s="155"/>
      <c r="C17" s="156"/>
      <c r="D17" s="157"/>
      <c r="E17" s="157"/>
      <c r="F17" s="158"/>
      <c r="G17" s="158"/>
      <c r="H17" s="159"/>
      <c r="I17" s="160"/>
      <c r="J17" s="73"/>
      <c r="K17" s="73"/>
      <c r="L17" s="73"/>
      <c r="M17" s="74"/>
      <c r="N17" s="71" t="str">
        <f t="shared" si="0"/>
        <v/>
      </c>
      <c r="O17" s="72"/>
      <c r="P17" s="72"/>
      <c r="Q17" s="72"/>
      <c r="R17" s="72"/>
      <c r="S17" s="72"/>
      <c r="T17" s="72"/>
      <c r="U17" s="72"/>
      <c r="V17" s="72"/>
    </row>
    <row r="18" spans="1:25" ht="27.75" customHeight="1">
      <c r="A18" s="154"/>
      <c r="B18" s="155"/>
      <c r="C18" s="156"/>
      <c r="D18" s="157"/>
      <c r="E18" s="157"/>
      <c r="F18" s="158"/>
      <c r="G18" s="158"/>
      <c r="H18" s="159"/>
      <c r="I18" s="160"/>
      <c r="J18" s="73"/>
      <c r="K18" s="73"/>
      <c r="L18" s="73"/>
      <c r="M18" s="74"/>
      <c r="N18" s="71" t="str">
        <f t="shared" si="0"/>
        <v/>
      </c>
      <c r="O18" s="72"/>
      <c r="P18" s="72"/>
      <c r="Q18" s="72"/>
      <c r="R18" s="72"/>
      <c r="S18" s="72"/>
      <c r="T18" s="72"/>
      <c r="U18" s="72"/>
      <c r="V18" s="72"/>
    </row>
    <row r="19" spans="1:25" ht="27.75" customHeight="1">
      <c r="A19" s="154"/>
      <c r="B19" s="155"/>
      <c r="C19" s="156"/>
      <c r="D19" s="157"/>
      <c r="E19" s="157"/>
      <c r="F19" s="158"/>
      <c r="G19" s="158"/>
      <c r="H19" s="159"/>
      <c r="I19" s="160"/>
      <c r="J19" s="73"/>
      <c r="K19" s="73"/>
      <c r="L19" s="73"/>
      <c r="M19" s="74"/>
      <c r="N19" s="71" t="str">
        <f t="shared" si="0"/>
        <v/>
      </c>
      <c r="O19" s="72"/>
      <c r="P19" s="72"/>
      <c r="Q19" s="72"/>
      <c r="R19" s="72"/>
      <c r="S19" s="72"/>
      <c r="T19" s="72"/>
      <c r="U19" s="72"/>
      <c r="V19" s="72"/>
    </row>
    <row r="20" spans="1:25" ht="27.75" customHeight="1">
      <c r="A20" s="154"/>
      <c r="B20" s="155"/>
      <c r="C20" s="156"/>
      <c r="D20" s="157"/>
      <c r="E20" s="157"/>
      <c r="F20" s="158"/>
      <c r="G20" s="158"/>
      <c r="H20" s="159"/>
      <c r="I20" s="160"/>
      <c r="J20" s="73"/>
      <c r="K20" s="73"/>
      <c r="L20" s="73"/>
      <c r="M20" s="74"/>
      <c r="N20" s="71" t="str">
        <f t="shared" si="0"/>
        <v/>
      </c>
      <c r="O20" s="72"/>
      <c r="P20" s="72"/>
      <c r="Q20" s="72"/>
      <c r="R20" s="72"/>
      <c r="S20" s="72"/>
      <c r="T20" s="72"/>
      <c r="U20" s="72"/>
      <c r="V20" s="72"/>
    </row>
    <row r="21" spans="1:25" ht="27.75" customHeight="1">
      <c r="A21" s="154"/>
      <c r="B21" s="155"/>
      <c r="C21" s="156"/>
      <c r="D21" s="157"/>
      <c r="E21" s="157"/>
      <c r="F21" s="158"/>
      <c r="G21" s="158"/>
      <c r="H21" s="159"/>
      <c r="I21" s="160"/>
      <c r="J21" s="73"/>
      <c r="K21" s="73"/>
      <c r="L21" s="73"/>
      <c r="M21" s="74"/>
      <c r="N21" s="71" t="str">
        <f t="shared" si="0"/>
        <v/>
      </c>
      <c r="O21" s="75"/>
      <c r="P21" s="72"/>
      <c r="Q21" s="72"/>
      <c r="R21" s="72"/>
      <c r="S21" s="72"/>
      <c r="T21" s="72"/>
      <c r="U21" s="72"/>
      <c r="V21" s="76"/>
    </row>
    <row r="22" spans="1:25" ht="27.75" customHeight="1">
      <c r="A22" s="154"/>
      <c r="B22" s="155"/>
      <c r="C22" s="156"/>
      <c r="D22" s="157"/>
      <c r="E22" s="157"/>
      <c r="F22" s="158"/>
      <c r="G22" s="161"/>
      <c r="H22" s="159"/>
      <c r="I22" s="160"/>
      <c r="J22" s="73"/>
      <c r="K22" s="73"/>
      <c r="L22" s="73"/>
      <c r="M22" s="74"/>
      <c r="N22" s="71" t="str">
        <f t="shared" si="0"/>
        <v/>
      </c>
      <c r="O22" s="75"/>
      <c r="P22" s="72"/>
      <c r="Q22" s="72"/>
      <c r="R22" s="72"/>
      <c r="S22" s="72"/>
      <c r="T22" s="72"/>
      <c r="U22" s="72"/>
      <c r="V22" s="76"/>
    </row>
    <row r="23" spans="1:25" ht="27.75" customHeight="1">
      <c r="A23" s="154"/>
      <c r="B23" s="155"/>
      <c r="C23" s="156"/>
      <c r="D23" s="157"/>
      <c r="E23" s="157"/>
      <c r="F23" s="158"/>
      <c r="G23" s="158"/>
      <c r="H23" s="159"/>
      <c r="I23" s="160"/>
      <c r="J23" s="73"/>
      <c r="K23" s="73"/>
      <c r="L23" s="73"/>
      <c r="M23" s="74"/>
      <c r="N23" s="71" t="str">
        <f t="shared" si="0"/>
        <v/>
      </c>
      <c r="O23" s="75"/>
      <c r="P23" s="72"/>
      <c r="Q23" s="72"/>
      <c r="R23" s="72"/>
      <c r="S23" s="72"/>
      <c r="T23" s="72"/>
      <c r="U23" s="72"/>
      <c r="V23" s="76"/>
    </row>
    <row r="24" spans="1:25" ht="27.75" customHeight="1">
      <c r="A24" s="154"/>
      <c r="B24" s="155"/>
      <c r="C24" s="156"/>
      <c r="D24" s="157"/>
      <c r="E24" s="157"/>
      <c r="F24" s="158"/>
      <c r="G24" s="158"/>
      <c r="H24" s="159"/>
      <c r="I24" s="159"/>
      <c r="J24" s="73"/>
      <c r="K24" s="73"/>
      <c r="L24" s="73"/>
      <c r="M24" s="74"/>
      <c r="N24" s="71" t="str">
        <f t="shared" si="0"/>
        <v/>
      </c>
      <c r="O24" s="75"/>
      <c r="P24" s="72"/>
      <c r="Q24" s="72"/>
      <c r="R24" s="72"/>
      <c r="S24" s="72"/>
      <c r="T24" s="72"/>
      <c r="U24" s="72"/>
      <c r="V24" s="76"/>
    </row>
    <row r="25" spans="1:25" ht="27.75" customHeight="1">
      <c r="A25" s="162"/>
      <c r="B25" s="163"/>
      <c r="C25" s="164"/>
      <c r="D25" s="165"/>
      <c r="E25" s="165"/>
      <c r="F25" s="166"/>
      <c r="G25" s="166"/>
      <c r="H25" s="167"/>
      <c r="I25" s="168"/>
      <c r="J25" s="77"/>
      <c r="K25" s="77"/>
      <c r="L25" s="77"/>
      <c r="M25" s="78"/>
      <c r="N25" s="71" t="str">
        <f t="shared" si="0"/>
        <v/>
      </c>
      <c r="O25" s="72"/>
      <c r="P25" s="72"/>
      <c r="Q25" s="72"/>
      <c r="R25" s="72"/>
      <c r="S25" s="72"/>
      <c r="T25" s="72"/>
      <c r="U25" s="72"/>
      <c r="V25" s="79"/>
      <c r="W25" s="72"/>
      <c r="X25" s="72"/>
      <c r="Y25" s="72"/>
    </row>
    <row r="26" spans="1:25" ht="27.75" customHeight="1">
      <c r="A26" s="80" t="s">
        <v>58</v>
      </c>
      <c r="B26" s="81"/>
      <c r="C26" s="96"/>
      <c r="D26" s="82"/>
      <c r="E26" s="82">
        <f>SUM(E6:E25)</f>
        <v>0</v>
      </c>
      <c r="F26" s="83"/>
      <c r="G26" s="83"/>
      <c r="H26" s="83"/>
      <c r="I26" s="83"/>
      <c r="J26" s="83"/>
      <c r="K26" s="83"/>
      <c r="L26" s="83"/>
      <c r="M26" s="84"/>
      <c r="N26" s="71" t="str">
        <f t="shared" si="0"/>
        <v/>
      </c>
      <c r="O26" s="75"/>
      <c r="P26" s="72"/>
      <c r="Q26" s="72"/>
      <c r="R26" s="72"/>
      <c r="S26" s="72"/>
      <c r="T26" s="72"/>
      <c r="U26" s="72"/>
      <c r="V26" s="79"/>
      <c r="W26" s="72"/>
      <c r="X26" s="72"/>
      <c r="Y26" s="72"/>
    </row>
    <row r="27" spans="1:25" ht="27.75" customHeight="1">
      <c r="A27" s="169"/>
      <c r="B27" s="170"/>
      <c r="C27" s="171"/>
      <c r="D27" s="172"/>
      <c r="E27" s="172"/>
      <c r="F27" s="173"/>
      <c r="G27" s="173"/>
      <c r="H27" s="174"/>
      <c r="I27" s="175"/>
      <c r="J27" s="85"/>
      <c r="K27" s="85"/>
      <c r="L27" s="85"/>
      <c r="M27" s="86"/>
      <c r="N27" s="71" t="str">
        <f t="shared" si="0"/>
        <v/>
      </c>
      <c r="O27" s="72"/>
      <c r="P27" s="72"/>
      <c r="Q27" s="72"/>
      <c r="R27" s="72"/>
      <c r="S27" s="72"/>
      <c r="T27" s="72"/>
      <c r="U27" s="72"/>
      <c r="V27" s="72"/>
    </row>
    <row r="28" spans="1:25" ht="27.75" customHeight="1">
      <c r="A28" s="154"/>
      <c r="B28" s="155"/>
      <c r="C28" s="156"/>
      <c r="D28" s="157"/>
      <c r="E28" s="157"/>
      <c r="F28" s="158"/>
      <c r="G28" s="158"/>
      <c r="H28" s="159"/>
      <c r="I28" s="160"/>
      <c r="J28" s="73"/>
      <c r="K28" s="73"/>
      <c r="L28" s="73"/>
      <c r="M28" s="74"/>
      <c r="N28" s="71" t="str">
        <f t="shared" si="0"/>
        <v/>
      </c>
      <c r="O28" s="72"/>
      <c r="P28" s="72"/>
      <c r="Q28" s="72"/>
      <c r="R28" s="72"/>
      <c r="S28" s="72"/>
      <c r="T28" s="72"/>
      <c r="U28" s="72"/>
      <c r="V28" s="72"/>
    </row>
    <row r="29" spans="1:25" ht="27.75" customHeight="1">
      <c r="A29" s="154"/>
      <c r="B29" s="155"/>
      <c r="C29" s="156"/>
      <c r="D29" s="157"/>
      <c r="E29" s="157"/>
      <c r="F29" s="158"/>
      <c r="G29" s="158"/>
      <c r="H29" s="159"/>
      <c r="I29" s="160"/>
      <c r="J29" s="73"/>
      <c r="K29" s="73"/>
      <c r="L29" s="73"/>
      <c r="M29" s="74"/>
      <c r="N29" s="71" t="str">
        <f t="shared" si="0"/>
        <v/>
      </c>
      <c r="O29" s="72"/>
      <c r="P29" s="72"/>
      <c r="Q29" s="72"/>
      <c r="R29" s="72"/>
      <c r="S29" s="72"/>
      <c r="T29" s="72"/>
      <c r="U29" s="72"/>
      <c r="V29" s="72"/>
    </row>
    <row r="30" spans="1:25" ht="27.75" customHeight="1">
      <c r="A30" s="154"/>
      <c r="B30" s="155"/>
      <c r="C30" s="156"/>
      <c r="D30" s="157"/>
      <c r="E30" s="157"/>
      <c r="F30" s="158"/>
      <c r="G30" s="158"/>
      <c r="H30" s="159"/>
      <c r="I30" s="160"/>
      <c r="J30" s="73"/>
      <c r="K30" s="73"/>
      <c r="L30" s="73"/>
      <c r="M30" s="74"/>
      <c r="N30" s="71" t="str">
        <f t="shared" si="0"/>
        <v/>
      </c>
      <c r="O30" s="72"/>
      <c r="P30" s="72"/>
      <c r="Q30" s="72"/>
      <c r="R30" s="72"/>
      <c r="S30" s="72"/>
      <c r="T30" s="72"/>
      <c r="U30" s="72"/>
      <c r="V30" s="72"/>
    </row>
    <row r="31" spans="1:25" ht="27.75" customHeight="1">
      <c r="A31" s="154"/>
      <c r="B31" s="155"/>
      <c r="C31" s="156"/>
      <c r="D31" s="157"/>
      <c r="E31" s="157"/>
      <c r="F31" s="158"/>
      <c r="G31" s="158"/>
      <c r="H31" s="159"/>
      <c r="I31" s="160"/>
      <c r="J31" s="73"/>
      <c r="K31" s="73"/>
      <c r="L31" s="73"/>
      <c r="M31" s="74"/>
      <c r="N31" s="71" t="str">
        <f t="shared" si="0"/>
        <v/>
      </c>
      <c r="O31" s="72"/>
      <c r="P31" s="72"/>
      <c r="Q31" s="72"/>
      <c r="R31" s="72"/>
      <c r="S31" s="72"/>
      <c r="T31" s="72"/>
      <c r="U31" s="72"/>
      <c r="V31" s="72"/>
    </row>
    <row r="32" spans="1:25" ht="27.75" customHeight="1">
      <c r="A32" s="87" t="str">
        <f>IF(ISBLANK(C32)," ",27-COUNTBLANK($C$6:C32))</f>
        <v xml:space="preserve"> </v>
      </c>
      <c r="B32" s="88"/>
      <c r="C32" s="88"/>
      <c r="D32" s="89"/>
      <c r="E32" s="89"/>
      <c r="F32" s="73"/>
      <c r="G32" s="73"/>
      <c r="H32" s="73"/>
      <c r="I32" s="73"/>
      <c r="J32" s="73"/>
      <c r="K32" s="73"/>
      <c r="L32" s="73"/>
      <c r="M32" s="74"/>
      <c r="N32" s="71" t="str">
        <f t="shared" si="0"/>
        <v/>
      </c>
      <c r="O32" s="72"/>
      <c r="P32" s="72"/>
      <c r="Q32" s="72"/>
      <c r="R32" s="72"/>
      <c r="S32" s="72"/>
      <c r="T32" s="72"/>
      <c r="U32" s="72"/>
      <c r="V32" s="72"/>
    </row>
    <row r="33" spans="1:25" ht="27.75" customHeight="1">
      <c r="A33" s="87" t="str">
        <f>IF(ISBLANK(C33)," ",28-COUNTBLANK($C$6:C33))</f>
        <v xml:space="preserve"> </v>
      </c>
      <c r="B33" s="88"/>
      <c r="C33" s="88"/>
      <c r="D33" s="89"/>
      <c r="E33" s="89"/>
      <c r="F33" s="73"/>
      <c r="G33" s="73"/>
      <c r="H33" s="73"/>
      <c r="I33" s="73"/>
      <c r="J33" s="73"/>
      <c r="K33" s="73"/>
      <c r="L33" s="73"/>
      <c r="M33" s="74"/>
      <c r="N33" s="71" t="str">
        <f t="shared" si="0"/>
        <v/>
      </c>
      <c r="O33" s="72"/>
      <c r="P33" s="72"/>
      <c r="Q33" s="72"/>
      <c r="R33" s="72"/>
      <c r="S33" s="72"/>
      <c r="T33" s="72"/>
      <c r="U33" s="72"/>
      <c r="V33" s="72"/>
    </row>
    <row r="34" spans="1:25" ht="27.75" customHeight="1">
      <c r="A34" s="87" t="str">
        <f>IF(ISBLANK(C34)," ",29-COUNTBLANK($C$6:C34))</f>
        <v xml:space="preserve"> </v>
      </c>
      <c r="B34" s="88"/>
      <c r="C34" s="88"/>
      <c r="D34" s="89"/>
      <c r="E34" s="89"/>
      <c r="F34" s="73"/>
      <c r="G34" s="73"/>
      <c r="H34" s="73"/>
      <c r="I34" s="73"/>
      <c r="J34" s="73"/>
      <c r="K34" s="73"/>
      <c r="L34" s="73"/>
      <c r="M34" s="74"/>
      <c r="N34" s="71" t="str">
        <f t="shared" si="0"/>
        <v/>
      </c>
      <c r="O34" s="72"/>
      <c r="P34" s="72"/>
      <c r="Q34" s="72"/>
      <c r="R34" s="72"/>
      <c r="S34" s="72"/>
      <c r="T34" s="72"/>
      <c r="U34" s="72"/>
      <c r="V34" s="72"/>
    </row>
    <row r="35" spans="1:25" ht="27.75" customHeight="1">
      <c r="A35" s="87" t="str">
        <f>IF(ISBLANK(C35)," ",30-COUNTBLANK($C$6:C35))</f>
        <v xml:space="preserve"> </v>
      </c>
      <c r="B35" s="88"/>
      <c r="C35" s="88"/>
      <c r="D35" s="89"/>
      <c r="E35" s="89"/>
      <c r="F35" s="73"/>
      <c r="G35" s="73"/>
      <c r="H35" s="73"/>
      <c r="I35" s="73"/>
      <c r="J35" s="73"/>
      <c r="K35" s="73"/>
      <c r="L35" s="73"/>
      <c r="M35" s="74"/>
      <c r="N35" s="71" t="str">
        <f t="shared" si="0"/>
        <v/>
      </c>
      <c r="O35" s="72"/>
      <c r="P35" s="72"/>
      <c r="Q35" s="72"/>
      <c r="R35" s="72"/>
      <c r="S35" s="72"/>
      <c r="T35" s="72"/>
      <c r="U35" s="72"/>
      <c r="V35" s="72"/>
    </row>
    <row r="36" spans="1:25" ht="27.75" customHeight="1">
      <c r="A36" s="87" t="str">
        <f>IF(ISBLANK(C36)," ",31-COUNTBLANK($C$6:C36))</f>
        <v xml:space="preserve"> </v>
      </c>
      <c r="B36" s="88"/>
      <c r="C36" s="88"/>
      <c r="D36" s="89"/>
      <c r="E36" s="89"/>
      <c r="F36" s="73"/>
      <c r="G36" s="73"/>
      <c r="H36" s="73"/>
      <c r="I36" s="73"/>
      <c r="J36" s="73"/>
      <c r="K36" s="73"/>
      <c r="L36" s="73"/>
      <c r="M36" s="74"/>
      <c r="N36" s="71" t="str">
        <f t="shared" si="0"/>
        <v/>
      </c>
      <c r="O36" s="72"/>
      <c r="P36" s="72"/>
      <c r="Q36" s="72"/>
      <c r="R36" s="72"/>
      <c r="S36" s="72"/>
      <c r="T36" s="72"/>
      <c r="U36" s="72"/>
      <c r="V36" s="72"/>
    </row>
    <row r="37" spans="1:25" ht="27.75" customHeight="1">
      <c r="A37" s="87" t="str">
        <f>IF(ISBLANK(C37)," ",32-COUNTBLANK($C$6:C37))</f>
        <v xml:space="preserve"> </v>
      </c>
      <c r="B37" s="88"/>
      <c r="C37" s="88"/>
      <c r="D37" s="89"/>
      <c r="E37" s="89"/>
      <c r="F37" s="73"/>
      <c r="G37" s="73"/>
      <c r="H37" s="73"/>
      <c r="I37" s="73"/>
      <c r="J37" s="73"/>
      <c r="K37" s="73"/>
      <c r="L37" s="73"/>
      <c r="M37" s="74"/>
      <c r="N37" s="71" t="str">
        <f t="shared" si="0"/>
        <v/>
      </c>
      <c r="O37" s="72"/>
      <c r="P37" s="72"/>
      <c r="Q37" s="72"/>
      <c r="R37" s="72"/>
      <c r="S37" s="72"/>
      <c r="T37" s="72"/>
      <c r="U37" s="72"/>
      <c r="V37" s="72"/>
    </row>
    <row r="38" spans="1:25" ht="27.75" customHeight="1">
      <c r="A38" s="87" t="str">
        <f>IF(ISBLANK(C38)," ",33-COUNTBLANK($C$6:C38))</f>
        <v xml:space="preserve"> </v>
      </c>
      <c r="B38" s="88"/>
      <c r="C38" s="88"/>
      <c r="D38" s="89"/>
      <c r="E38" s="89"/>
      <c r="F38" s="73"/>
      <c r="G38" s="73"/>
      <c r="H38" s="73"/>
      <c r="I38" s="73"/>
      <c r="J38" s="73"/>
      <c r="K38" s="73"/>
      <c r="L38" s="73"/>
      <c r="M38" s="74"/>
      <c r="N38" s="71" t="str">
        <f t="shared" si="0"/>
        <v/>
      </c>
      <c r="O38" s="72"/>
      <c r="P38" s="72"/>
      <c r="Q38" s="72"/>
      <c r="R38" s="72"/>
      <c r="S38" s="72"/>
      <c r="T38" s="72"/>
      <c r="U38" s="72"/>
      <c r="V38" s="72"/>
    </row>
    <row r="39" spans="1:25" ht="27.75" customHeight="1">
      <c r="A39" s="87" t="str">
        <f>IF(ISBLANK(C39)," ",34-COUNTBLANK($C$6:C39))</f>
        <v xml:space="preserve"> </v>
      </c>
      <c r="B39" s="88"/>
      <c r="C39" s="88"/>
      <c r="D39" s="89"/>
      <c r="E39" s="89"/>
      <c r="F39" s="73"/>
      <c r="G39" s="73"/>
      <c r="H39" s="73"/>
      <c r="I39" s="73"/>
      <c r="J39" s="73"/>
      <c r="K39" s="73"/>
      <c r="L39" s="73"/>
      <c r="M39" s="74"/>
      <c r="N39" s="71" t="str">
        <f t="shared" si="0"/>
        <v/>
      </c>
      <c r="O39" s="72"/>
      <c r="P39" s="72"/>
      <c r="Q39" s="72"/>
      <c r="R39" s="72"/>
      <c r="S39" s="72"/>
      <c r="T39" s="72"/>
      <c r="U39" s="72"/>
      <c r="V39" s="72"/>
    </row>
    <row r="40" spans="1:25" ht="27.75" customHeight="1">
      <c r="A40" s="87" t="str">
        <f>IF(ISBLANK(C40)," ",35-COUNTBLANK($C$6:C40))</f>
        <v xml:space="preserve"> </v>
      </c>
      <c r="B40" s="88"/>
      <c r="C40" s="88"/>
      <c r="D40" s="89"/>
      <c r="E40" s="89"/>
      <c r="F40" s="73"/>
      <c r="G40" s="73"/>
      <c r="H40" s="73"/>
      <c r="I40" s="73"/>
      <c r="J40" s="73"/>
      <c r="K40" s="73"/>
      <c r="L40" s="73"/>
      <c r="M40" s="74"/>
      <c r="N40" s="71" t="str">
        <f t="shared" si="0"/>
        <v/>
      </c>
      <c r="O40" s="72"/>
      <c r="P40" s="72"/>
      <c r="Q40" s="72"/>
      <c r="R40" s="72"/>
      <c r="S40" s="72"/>
      <c r="T40" s="72"/>
      <c r="U40" s="72"/>
      <c r="V40" s="72"/>
    </row>
    <row r="41" spans="1:25" ht="27.75" customHeight="1">
      <c r="A41" s="87" t="str">
        <f>IF(ISBLANK(C41)," ",36-COUNTBLANK($C$6:C41))</f>
        <v xml:space="preserve"> </v>
      </c>
      <c r="B41" s="88"/>
      <c r="C41" s="88"/>
      <c r="D41" s="89"/>
      <c r="E41" s="89"/>
      <c r="F41" s="73"/>
      <c r="G41" s="73"/>
      <c r="H41" s="73"/>
      <c r="I41" s="73"/>
      <c r="J41" s="73"/>
      <c r="K41" s="73"/>
      <c r="L41" s="73"/>
      <c r="M41" s="74"/>
      <c r="N41" s="71" t="str">
        <f t="shared" si="0"/>
        <v/>
      </c>
      <c r="O41" s="72"/>
      <c r="P41" s="72"/>
      <c r="Q41" s="72"/>
      <c r="R41" s="72"/>
      <c r="S41" s="72"/>
      <c r="T41" s="72"/>
      <c r="U41" s="72"/>
      <c r="V41" s="72"/>
    </row>
    <row r="42" spans="1:25" ht="27.75" customHeight="1">
      <c r="A42" s="87" t="str">
        <f>IF(ISBLANK(C42)," ",37-COUNTBLANK($C$6:C42))</f>
        <v xml:space="preserve"> </v>
      </c>
      <c r="B42" s="88"/>
      <c r="C42" s="88"/>
      <c r="D42" s="89"/>
      <c r="E42" s="89"/>
      <c r="F42" s="73"/>
      <c r="G42" s="73"/>
      <c r="H42" s="73"/>
      <c r="I42" s="73"/>
      <c r="J42" s="73"/>
      <c r="K42" s="73"/>
      <c r="L42" s="73"/>
      <c r="M42" s="74"/>
      <c r="N42" s="71" t="str">
        <f t="shared" si="0"/>
        <v/>
      </c>
      <c r="O42" s="75"/>
      <c r="P42" s="72"/>
      <c r="Q42" s="72"/>
      <c r="R42" s="72"/>
      <c r="S42" s="72"/>
      <c r="T42" s="72"/>
      <c r="U42" s="72"/>
      <c r="V42" s="76"/>
    </row>
    <row r="43" spans="1:25" ht="27.75" customHeight="1">
      <c r="A43" s="87" t="str">
        <f>IF(ISBLANK(C43)," ",38-COUNTBLANK($C$6:C43))</f>
        <v xml:space="preserve"> </v>
      </c>
      <c r="B43" s="88"/>
      <c r="C43" s="88"/>
      <c r="D43" s="89"/>
      <c r="E43" s="89"/>
      <c r="F43" s="73"/>
      <c r="G43" s="73"/>
      <c r="H43" s="73"/>
      <c r="I43" s="73"/>
      <c r="J43" s="73"/>
      <c r="K43" s="73"/>
      <c r="L43" s="73"/>
      <c r="M43" s="74"/>
      <c r="N43" s="71" t="str">
        <f t="shared" si="0"/>
        <v/>
      </c>
      <c r="O43" s="75"/>
      <c r="P43" s="72"/>
      <c r="Q43" s="72"/>
      <c r="R43" s="72"/>
      <c r="S43" s="72"/>
      <c r="T43" s="72"/>
      <c r="U43" s="72"/>
      <c r="V43" s="76"/>
    </row>
    <row r="44" spans="1:25" ht="27.75" customHeight="1">
      <c r="A44" s="87" t="str">
        <f>IF(ISBLANK(C44)," ",39-COUNTBLANK($C$6:C44))</f>
        <v xml:space="preserve"> </v>
      </c>
      <c r="B44" s="88"/>
      <c r="C44" s="88"/>
      <c r="D44" s="89"/>
      <c r="E44" s="89"/>
      <c r="F44" s="73"/>
      <c r="G44" s="73"/>
      <c r="H44" s="73"/>
      <c r="I44" s="73"/>
      <c r="J44" s="73"/>
      <c r="K44" s="73"/>
      <c r="L44" s="73"/>
      <c r="M44" s="74"/>
      <c r="N44" s="71" t="str">
        <f t="shared" si="0"/>
        <v/>
      </c>
      <c r="O44" s="75"/>
      <c r="P44" s="72"/>
      <c r="Q44" s="72"/>
      <c r="R44" s="72"/>
      <c r="S44" s="72"/>
      <c r="T44" s="72"/>
      <c r="U44" s="72"/>
      <c r="V44" s="76"/>
    </row>
    <row r="45" spans="1:25" ht="27.75" customHeight="1">
      <c r="A45" s="87" t="str">
        <f>IF(ISBLANK(C45)," ",40-COUNTBLANK($C$6:C45))</f>
        <v xml:space="preserve"> </v>
      </c>
      <c r="B45" s="88"/>
      <c r="C45" s="88"/>
      <c r="D45" s="89"/>
      <c r="E45" s="89"/>
      <c r="F45" s="73"/>
      <c r="G45" s="73"/>
      <c r="H45" s="73"/>
      <c r="I45" s="73"/>
      <c r="J45" s="73"/>
      <c r="K45" s="73"/>
      <c r="L45" s="73"/>
      <c r="M45" s="74"/>
      <c r="N45" s="71" t="str">
        <f t="shared" si="0"/>
        <v/>
      </c>
      <c r="O45" s="75"/>
      <c r="P45" s="72"/>
      <c r="Q45" s="72"/>
      <c r="R45" s="72"/>
      <c r="S45" s="72"/>
      <c r="T45" s="72"/>
      <c r="U45" s="72"/>
      <c r="V45" s="76"/>
    </row>
    <row r="46" spans="1:25" ht="27.75" customHeight="1">
      <c r="A46" s="90" t="str">
        <f>IF(ISBLANK(C46)," ",41-COUNTBLANK($C$6:C46))</f>
        <v xml:space="preserve"> </v>
      </c>
      <c r="B46" s="91"/>
      <c r="C46" s="91"/>
      <c r="D46" s="92"/>
      <c r="E46" s="92"/>
      <c r="F46" s="77"/>
      <c r="G46" s="77"/>
      <c r="H46" s="77"/>
      <c r="I46" s="77"/>
      <c r="J46" s="77"/>
      <c r="K46" s="77"/>
      <c r="L46" s="77"/>
      <c r="M46" s="78"/>
      <c r="N46" s="71" t="str">
        <f t="shared" si="0"/>
        <v/>
      </c>
      <c r="O46" s="72"/>
      <c r="P46" s="72"/>
      <c r="Q46" s="72"/>
      <c r="R46" s="72"/>
      <c r="S46" s="72"/>
      <c r="T46" s="72"/>
      <c r="U46" s="72"/>
      <c r="V46" s="79"/>
      <c r="W46" s="72"/>
      <c r="X46" s="72"/>
      <c r="Y46" s="72"/>
    </row>
    <row r="47" spans="1:25" ht="27.75" customHeight="1">
      <c r="A47" s="80" t="s">
        <v>58</v>
      </c>
      <c r="B47" s="81"/>
      <c r="C47" s="96"/>
      <c r="D47" s="82"/>
      <c r="E47" s="82">
        <f>SUM(E27:E46)</f>
        <v>0</v>
      </c>
      <c r="F47" s="83"/>
      <c r="G47" s="83"/>
      <c r="H47" s="83"/>
      <c r="I47" s="83"/>
      <c r="J47" s="83"/>
      <c r="K47" s="83"/>
      <c r="L47" s="83"/>
      <c r="M47" s="84"/>
      <c r="N47" s="71" t="str">
        <f t="shared" si="0"/>
        <v/>
      </c>
      <c r="O47" s="75"/>
      <c r="P47" s="72"/>
      <c r="Q47" s="72"/>
      <c r="R47" s="72"/>
      <c r="S47" s="72"/>
      <c r="T47" s="72"/>
      <c r="U47" s="72"/>
      <c r="V47" s="79"/>
      <c r="W47" s="72"/>
      <c r="X47" s="72"/>
      <c r="Y47" s="72"/>
    </row>
    <row r="48" spans="1:25" ht="27.75" customHeight="1">
      <c r="A48" s="93" t="str">
        <f>IF(ISBLANK(C48)," ",43-COUNTBLANK($C$6:C48))</f>
        <v xml:space="preserve"> </v>
      </c>
      <c r="B48" s="94"/>
      <c r="C48" s="94"/>
      <c r="D48" s="95"/>
      <c r="E48" s="95"/>
      <c r="F48" s="85"/>
      <c r="G48" s="85"/>
      <c r="H48" s="85"/>
      <c r="I48" s="85"/>
      <c r="J48" s="85"/>
      <c r="K48" s="85"/>
      <c r="L48" s="85"/>
      <c r="M48" s="86"/>
      <c r="N48" s="71" t="str">
        <f t="shared" si="0"/>
        <v/>
      </c>
      <c r="O48" s="72"/>
      <c r="P48" s="72"/>
      <c r="Q48" s="72"/>
      <c r="R48" s="72"/>
      <c r="S48" s="72"/>
      <c r="T48" s="72"/>
      <c r="U48" s="72"/>
      <c r="V48" s="72"/>
    </row>
    <row r="49" spans="1:22" ht="27.75" customHeight="1">
      <c r="A49" s="87" t="str">
        <f>IF(ISBLANK(C49)," ",44-COUNTBLANK($C$6:C49))</f>
        <v xml:space="preserve"> </v>
      </c>
      <c r="B49" s="88"/>
      <c r="C49" s="88"/>
      <c r="D49" s="89"/>
      <c r="E49" s="89"/>
      <c r="F49" s="73"/>
      <c r="G49" s="73"/>
      <c r="H49" s="73"/>
      <c r="I49" s="73"/>
      <c r="J49" s="73"/>
      <c r="K49" s="73"/>
      <c r="L49" s="73"/>
      <c r="M49" s="74"/>
      <c r="N49" s="71" t="str">
        <f t="shared" si="0"/>
        <v/>
      </c>
      <c r="O49" s="72"/>
      <c r="P49" s="72"/>
      <c r="Q49" s="72"/>
      <c r="R49" s="72"/>
      <c r="S49" s="72"/>
      <c r="T49" s="72"/>
      <c r="U49" s="72"/>
      <c r="V49" s="72"/>
    </row>
    <row r="50" spans="1:22" ht="27.75" customHeight="1">
      <c r="A50" s="87" t="str">
        <f>IF(ISBLANK(C50)," ",45-COUNTBLANK($C$6:C50))</f>
        <v xml:space="preserve"> </v>
      </c>
      <c r="B50" s="88"/>
      <c r="C50" s="88"/>
      <c r="D50" s="89"/>
      <c r="E50" s="89"/>
      <c r="F50" s="73"/>
      <c r="G50" s="73"/>
      <c r="H50" s="73"/>
      <c r="I50" s="73"/>
      <c r="J50" s="73"/>
      <c r="K50" s="73"/>
      <c r="L50" s="73"/>
      <c r="M50" s="74"/>
      <c r="N50" s="71" t="str">
        <f t="shared" si="0"/>
        <v/>
      </c>
      <c r="O50" s="72"/>
      <c r="P50" s="72"/>
      <c r="Q50" s="72"/>
      <c r="R50" s="72"/>
      <c r="S50" s="72"/>
      <c r="T50" s="72"/>
      <c r="U50" s="72"/>
      <c r="V50" s="72"/>
    </row>
    <row r="51" spans="1:22" ht="27.75" customHeight="1">
      <c r="A51" s="87" t="str">
        <f>IF(ISBLANK(C51)," ",46-COUNTBLANK($C$6:C51))</f>
        <v xml:space="preserve"> </v>
      </c>
      <c r="B51" s="88"/>
      <c r="C51" s="88"/>
      <c r="D51" s="89"/>
      <c r="E51" s="89"/>
      <c r="F51" s="73"/>
      <c r="G51" s="73"/>
      <c r="H51" s="73"/>
      <c r="I51" s="73"/>
      <c r="J51" s="73"/>
      <c r="K51" s="73"/>
      <c r="L51" s="73"/>
      <c r="M51" s="74"/>
      <c r="N51" s="71" t="str">
        <f t="shared" si="0"/>
        <v/>
      </c>
      <c r="O51" s="72"/>
      <c r="P51" s="72"/>
      <c r="Q51" s="72"/>
      <c r="R51" s="72"/>
      <c r="S51" s="72"/>
      <c r="T51" s="72"/>
      <c r="U51" s="72"/>
      <c r="V51" s="72"/>
    </row>
    <row r="52" spans="1:22" ht="27.75" customHeight="1">
      <c r="A52" s="87" t="str">
        <f>IF(ISBLANK(C52)," ",47-COUNTBLANK($C$6:C52))</f>
        <v xml:space="preserve"> </v>
      </c>
      <c r="B52" s="88"/>
      <c r="C52" s="88"/>
      <c r="D52" s="89"/>
      <c r="E52" s="89"/>
      <c r="F52" s="73"/>
      <c r="G52" s="73"/>
      <c r="H52" s="73"/>
      <c r="I52" s="73"/>
      <c r="J52" s="73"/>
      <c r="K52" s="73"/>
      <c r="L52" s="73"/>
      <c r="M52" s="74"/>
      <c r="N52" s="71" t="str">
        <f t="shared" si="0"/>
        <v/>
      </c>
      <c r="O52" s="72"/>
      <c r="P52" s="72"/>
      <c r="Q52" s="72"/>
      <c r="R52" s="72"/>
      <c r="S52" s="72"/>
      <c r="T52" s="72"/>
      <c r="U52" s="72"/>
      <c r="V52" s="72"/>
    </row>
    <row r="53" spans="1:22" ht="27.75" customHeight="1">
      <c r="A53" s="87" t="str">
        <f>IF(ISBLANK(C53)," ",48-COUNTBLANK($C$6:C53))</f>
        <v xml:space="preserve"> </v>
      </c>
      <c r="B53" s="88"/>
      <c r="C53" s="88"/>
      <c r="D53" s="89"/>
      <c r="E53" s="89"/>
      <c r="F53" s="73"/>
      <c r="G53" s="73"/>
      <c r="H53" s="73"/>
      <c r="I53" s="73"/>
      <c r="J53" s="73"/>
      <c r="K53" s="73"/>
      <c r="L53" s="73"/>
      <c r="M53" s="74"/>
      <c r="N53" s="71" t="str">
        <f t="shared" si="0"/>
        <v/>
      </c>
      <c r="O53" s="72"/>
      <c r="P53" s="72"/>
      <c r="Q53" s="72"/>
      <c r="R53" s="72"/>
      <c r="S53" s="72"/>
      <c r="T53" s="72"/>
      <c r="U53" s="72"/>
      <c r="V53" s="72"/>
    </row>
    <row r="54" spans="1:22" ht="27.75" customHeight="1">
      <c r="A54" s="87" t="str">
        <f>IF(ISBLANK(C54)," ",49-COUNTBLANK($C$6:C54))</f>
        <v xml:space="preserve"> </v>
      </c>
      <c r="B54" s="88"/>
      <c r="C54" s="88"/>
      <c r="D54" s="89"/>
      <c r="E54" s="89"/>
      <c r="F54" s="73"/>
      <c r="G54" s="73"/>
      <c r="H54" s="73"/>
      <c r="I54" s="73"/>
      <c r="J54" s="73"/>
      <c r="K54" s="73"/>
      <c r="L54" s="73"/>
      <c r="M54" s="74"/>
      <c r="N54" s="71" t="str">
        <f t="shared" si="0"/>
        <v/>
      </c>
      <c r="O54" s="72"/>
      <c r="P54" s="72"/>
      <c r="Q54" s="72"/>
      <c r="R54" s="72"/>
      <c r="S54" s="72"/>
      <c r="T54" s="72"/>
      <c r="U54" s="72"/>
      <c r="V54" s="72"/>
    </row>
    <row r="55" spans="1:22" ht="27.75" customHeight="1">
      <c r="A55" s="87" t="str">
        <f>IF(ISBLANK(C55)," ",50-COUNTBLANK($C$6:C55))</f>
        <v xml:space="preserve"> </v>
      </c>
      <c r="B55" s="88"/>
      <c r="C55" s="88"/>
      <c r="D55" s="89"/>
      <c r="E55" s="89"/>
      <c r="F55" s="73"/>
      <c r="G55" s="73"/>
      <c r="H55" s="73"/>
      <c r="I55" s="73"/>
      <c r="J55" s="73"/>
      <c r="K55" s="73"/>
      <c r="L55" s="73"/>
      <c r="M55" s="74"/>
      <c r="N55" s="71" t="str">
        <f t="shared" si="0"/>
        <v/>
      </c>
      <c r="O55" s="72"/>
      <c r="P55" s="72"/>
      <c r="Q55" s="72"/>
      <c r="R55" s="72"/>
      <c r="S55" s="72"/>
      <c r="T55" s="72"/>
      <c r="U55" s="72"/>
      <c r="V55" s="72"/>
    </row>
    <row r="56" spans="1:22" ht="27.75" customHeight="1">
      <c r="A56" s="87" t="str">
        <f>IF(ISBLANK(C56)," ",51-COUNTBLANK($C$6:C56))</f>
        <v xml:space="preserve"> </v>
      </c>
      <c r="B56" s="88"/>
      <c r="C56" s="88"/>
      <c r="D56" s="89"/>
      <c r="E56" s="89"/>
      <c r="F56" s="73"/>
      <c r="G56" s="73"/>
      <c r="H56" s="73"/>
      <c r="I56" s="73"/>
      <c r="J56" s="73"/>
      <c r="K56" s="73"/>
      <c r="L56" s="73"/>
      <c r="M56" s="74"/>
      <c r="N56" s="71" t="str">
        <f t="shared" si="0"/>
        <v/>
      </c>
      <c r="O56" s="72"/>
      <c r="P56" s="72"/>
      <c r="Q56" s="72"/>
      <c r="R56" s="72"/>
      <c r="S56" s="72"/>
      <c r="T56" s="72"/>
      <c r="U56" s="72"/>
      <c r="V56" s="72"/>
    </row>
    <row r="57" spans="1:22" ht="27.75" customHeight="1">
      <c r="A57" s="87" t="str">
        <f>IF(ISBLANK(C57)," ",52-COUNTBLANK($C$6:C57))</f>
        <v xml:space="preserve"> </v>
      </c>
      <c r="B57" s="88"/>
      <c r="C57" s="88"/>
      <c r="D57" s="89"/>
      <c r="E57" s="89"/>
      <c r="F57" s="73"/>
      <c r="G57" s="73"/>
      <c r="H57" s="73"/>
      <c r="I57" s="73"/>
      <c r="J57" s="73"/>
      <c r="K57" s="73"/>
      <c r="L57" s="73"/>
      <c r="M57" s="74"/>
      <c r="N57" s="71" t="str">
        <f t="shared" si="0"/>
        <v/>
      </c>
      <c r="O57" s="72"/>
      <c r="P57" s="72"/>
      <c r="Q57" s="72"/>
      <c r="R57" s="72"/>
      <c r="S57" s="72"/>
      <c r="T57" s="72"/>
      <c r="U57" s="72"/>
      <c r="V57" s="72"/>
    </row>
    <row r="58" spans="1:22" ht="27.75" customHeight="1">
      <c r="A58" s="87" t="str">
        <f>IF(ISBLANK(C58)," ",53-COUNTBLANK($C$6:C58))</f>
        <v xml:space="preserve"> </v>
      </c>
      <c r="B58" s="88"/>
      <c r="C58" s="88"/>
      <c r="D58" s="89"/>
      <c r="E58" s="89"/>
      <c r="F58" s="73"/>
      <c r="G58" s="73"/>
      <c r="H58" s="73"/>
      <c r="I58" s="73"/>
      <c r="J58" s="73"/>
      <c r="K58" s="73"/>
      <c r="L58" s="73"/>
      <c r="M58" s="74"/>
      <c r="N58" s="71" t="str">
        <f t="shared" si="0"/>
        <v/>
      </c>
      <c r="O58" s="72"/>
      <c r="P58" s="72"/>
      <c r="Q58" s="72"/>
      <c r="R58" s="72"/>
      <c r="S58" s="72"/>
      <c r="T58" s="72"/>
      <c r="U58" s="72"/>
      <c r="V58" s="72"/>
    </row>
    <row r="59" spans="1:22" ht="27.75" customHeight="1">
      <c r="A59" s="87" t="str">
        <f>IF(ISBLANK(C59)," ",54-COUNTBLANK($C$6:C59))</f>
        <v xml:space="preserve"> </v>
      </c>
      <c r="B59" s="88"/>
      <c r="C59" s="88"/>
      <c r="D59" s="89"/>
      <c r="E59" s="89"/>
      <c r="F59" s="73"/>
      <c r="G59" s="73"/>
      <c r="H59" s="73"/>
      <c r="I59" s="73"/>
      <c r="J59" s="73"/>
      <c r="K59" s="73"/>
      <c r="L59" s="73"/>
      <c r="M59" s="74"/>
      <c r="N59" s="71" t="str">
        <f t="shared" si="0"/>
        <v/>
      </c>
      <c r="O59" s="72"/>
      <c r="P59" s="72"/>
      <c r="Q59" s="72"/>
      <c r="R59" s="72"/>
      <c r="S59" s="72"/>
      <c r="T59" s="72"/>
      <c r="U59" s="72"/>
      <c r="V59" s="72"/>
    </row>
    <row r="60" spans="1:22" ht="27.75" customHeight="1">
      <c r="A60" s="87" t="str">
        <f>IF(ISBLANK(C60)," ",55-COUNTBLANK($C$6:C60))</f>
        <v xml:space="preserve"> </v>
      </c>
      <c r="B60" s="88"/>
      <c r="C60" s="88"/>
      <c r="D60" s="89"/>
      <c r="E60" s="89"/>
      <c r="F60" s="73"/>
      <c r="G60" s="73"/>
      <c r="H60" s="73"/>
      <c r="I60" s="73"/>
      <c r="J60" s="73"/>
      <c r="K60" s="73"/>
      <c r="L60" s="73"/>
      <c r="M60" s="74"/>
      <c r="N60" s="71" t="str">
        <f t="shared" si="0"/>
        <v/>
      </c>
      <c r="O60" s="72"/>
      <c r="P60" s="72"/>
      <c r="Q60" s="72"/>
      <c r="R60" s="72"/>
      <c r="S60" s="72"/>
      <c r="T60" s="72"/>
      <c r="U60" s="72"/>
      <c r="V60" s="72"/>
    </row>
    <row r="61" spans="1:22" ht="27.75" customHeight="1">
      <c r="A61" s="87" t="str">
        <f>IF(ISBLANK(C61)," ",56-COUNTBLANK($C$6:C61))</f>
        <v xml:space="preserve"> </v>
      </c>
      <c r="B61" s="88"/>
      <c r="C61" s="88"/>
      <c r="D61" s="89"/>
      <c r="E61" s="89"/>
      <c r="F61" s="73"/>
      <c r="G61" s="73"/>
      <c r="H61" s="73"/>
      <c r="I61" s="73"/>
      <c r="J61" s="73"/>
      <c r="K61" s="73"/>
      <c r="L61" s="73"/>
      <c r="M61" s="74"/>
      <c r="N61" s="71" t="str">
        <f t="shared" si="0"/>
        <v/>
      </c>
      <c r="O61" s="72"/>
      <c r="P61" s="72"/>
      <c r="Q61" s="72"/>
      <c r="R61" s="72"/>
      <c r="S61" s="72"/>
      <c r="T61" s="72"/>
      <c r="U61" s="72"/>
      <c r="V61" s="72"/>
    </row>
    <row r="62" spans="1:22" ht="27.75" customHeight="1">
      <c r="A62" s="87" t="str">
        <f>IF(ISBLANK(C62)," ",57-COUNTBLANK($C$6:C62))</f>
        <v xml:space="preserve"> </v>
      </c>
      <c r="B62" s="88"/>
      <c r="C62" s="88"/>
      <c r="D62" s="89"/>
      <c r="E62" s="89"/>
      <c r="F62" s="73"/>
      <c r="G62" s="73"/>
      <c r="H62" s="73"/>
      <c r="I62" s="73"/>
      <c r="J62" s="73"/>
      <c r="K62" s="73"/>
      <c r="L62" s="73"/>
      <c r="M62" s="74"/>
      <c r="N62" s="71" t="str">
        <f t="shared" si="0"/>
        <v/>
      </c>
      <c r="O62" s="72"/>
      <c r="P62" s="72"/>
      <c r="Q62" s="72"/>
      <c r="R62" s="72"/>
      <c r="S62" s="72"/>
      <c r="T62" s="72"/>
      <c r="U62" s="72"/>
      <c r="V62" s="72"/>
    </row>
    <row r="63" spans="1:22" ht="27.75" customHeight="1">
      <c r="A63" s="87" t="str">
        <f>IF(ISBLANK(C63)," ",58-COUNTBLANK($C$6:C63))</f>
        <v xml:space="preserve"> </v>
      </c>
      <c r="B63" s="88"/>
      <c r="C63" s="88"/>
      <c r="D63" s="89"/>
      <c r="E63" s="89"/>
      <c r="F63" s="73"/>
      <c r="G63" s="73"/>
      <c r="H63" s="73"/>
      <c r="I63" s="73"/>
      <c r="J63" s="73"/>
      <c r="K63" s="73"/>
      <c r="L63" s="73"/>
      <c r="M63" s="74"/>
      <c r="N63" s="71" t="str">
        <f t="shared" si="0"/>
        <v/>
      </c>
      <c r="O63" s="75"/>
      <c r="P63" s="72"/>
      <c r="Q63" s="72"/>
      <c r="R63" s="72"/>
      <c r="S63" s="72"/>
      <c r="T63" s="72"/>
      <c r="U63" s="72"/>
      <c r="V63" s="76"/>
    </row>
    <row r="64" spans="1:22" ht="27.75" customHeight="1">
      <c r="A64" s="87" t="str">
        <f>IF(ISBLANK(C64)," ",59-COUNTBLANK($C$6:C64))</f>
        <v xml:space="preserve"> </v>
      </c>
      <c r="B64" s="88"/>
      <c r="C64" s="88"/>
      <c r="D64" s="89"/>
      <c r="E64" s="89"/>
      <c r="F64" s="73"/>
      <c r="G64" s="73"/>
      <c r="H64" s="73"/>
      <c r="I64" s="73"/>
      <c r="J64" s="73"/>
      <c r="K64" s="73"/>
      <c r="L64" s="73"/>
      <c r="M64" s="74"/>
      <c r="N64" s="71" t="str">
        <f t="shared" si="0"/>
        <v/>
      </c>
      <c r="O64" s="75"/>
      <c r="P64" s="72"/>
      <c r="Q64" s="72"/>
      <c r="R64" s="72"/>
      <c r="S64" s="72"/>
      <c r="T64" s="72"/>
      <c r="U64" s="72"/>
      <c r="V64" s="76"/>
    </row>
    <row r="65" spans="1:25" ht="27.75" customHeight="1">
      <c r="A65" s="87" t="str">
        <f>IF(ISBLANK(C65)," ",60-COUNTBLANK($C$6:C65))</f>
        <v xml:space="preserve"> </v>
      </c>
      <c r="B65" s="88"/>
      <c r="C65" s="88"/>
      <c r="D65" s="89"/>
      <c r="E65" s="89"/>
      <c r="F65" s="73"/>
      <c r="G65" s="73"/>
      <c r="H65" s="73"/>
      <c r="I65" s="73"/>
      <c r="J65" s="73"/>
      <c r="K65" s="73"/>
      <c r="L65" s="73"/>
      <c r="M65" s="74"/>
      <c r="N65" s="71" t="str">
        <f t="shared" si="0"/>
        <v/>
      </c>
      <c r="O65" s="75"/>
      <c r="P65" s="72"/>
      <c r="Q65" s="72"/>
      <c r="R65" s="72"/>
      <c r="S65" s="72"/>
      <c r="T65" s="72"/>
      <c r="U65" s="72"/>
      <c r="V65" s="76"/>
    </row>
    <row r="66" spans="1:25" ht="27.75" customHeight="1">
      <c r="A66" s="87" t="str">
        <f>IF(ISBLANK(C66)," ",61-COUNTBLANK($C$6:C66))</f>
        <v xml:space="preserve"> </v>
      </c>
      <c r="B66" s="88"/>
      <c r="C66" s="88"/>
      <c r="D66" s="89"/>
      <c r="E66" s="89"/>
      <c r="F66" s="73"/>
      <c r="G66" s="73"/>
      <c r="H66" s="73"/>
      <c r="I66" s="73"/>
      <c r="J66" s="73"/>
      <c r="K66" s="73"/>
      <c r="L66" s="73"/>
      <c r="M66" s="74"/>
      <c r="N66" s="71" t="str">
        <f t="shared" si="0"/>
        <v/>
      </c>
      <c r="O66" s="75"/>
      <c r="P66" s="72"/>
      <c r="Q66" s="72"/>
      <c r="R66" s="72"/>
      <c r="S66" s="72"/>
      <c r="T66" s="72"/>
      <c r="U66" s="72"/>
      <c r="V66" s="76"/>
    </row>
    <row r="67" spans="1:25" ht="27.75" customHeight="1">
      <c r="A67" s="87" t="str">
        <f>IF(ISBLANK(C67)," ",62-COUNTBLANK($C$6:C67))</f>
        <v xml:space="preserve"> </v>
      </c>
      <c r="B67" s="88"/>
      <c r="C67" s="88"/>
      <c r="D67" s="89"/>
      <c r="E67" s="89"/>
      <c r="F67" s="73"/>
      <c r="G67" s="73"/>
      <c r="H67" s="73"/>
      <c r="I67" s="73"/>
      <c r="J67" s="73"/>
      <c r="K67" s="73"/>
      <c r="L67" s="73"/>
      <c r="M67" s="74"/>
      <c r="N67" s="71" t="str">
        <f t="shared" si="0"/>
        <v/>
      </c>
      <c r="O67" s="72"/>
      <c r="P67" s="72"/>
      <c r="Q67" s="72"/>
      <c r="R67" s="72"/>
      <c r="S67" s="72"/>
      <c r="T67" s="72"/>
      <c r="U67" s="72"/>
      <c r="V67" s="79"/>
      <c r="W67" s="72"/>
      <c r="X67" s="72"/>
      <c r="Y67" s="72"/>
    </row>
    <row r="68" spans="1:25" ht="27.75" customHeight="1">
      <c r="A68" s="80" t="s">
        <v>58</v>
      </c>
      <c r="B68" s="81"/>
      <c r="C68" s="96"/>
      <c r="D68" s="82"/>
      <c r="E68" s="82">
        <f>SUM(E48:E67)</f>
        <v>0</v>
      </c>
      <c r="F68" s="83"/>
      <c r="G68" s="83"/>
      <c r="H68" s="83"/>
      <c r="I68" s="83"/>
      <c r="J68" s="83"/>
      <c r="K68" s="83"/>
      <c r="L68" s="83"/>
      <c r="M68" s="84"/>
      <c r="N68" s="71" t="str">
        <f t="shared" si="0"/>
        <v/>
      </c>
      <c r="O68" s="75"/>
      <c r="P68" s="72"/>
      <c r="Q68" s="72"/>
      <c r="R68" s="72"/>
      <c r="S68" s="72"/>
      <c r="T68" s="72"/>
      <c r="U68" s="72"/>
      <c r="V68" s="79"/>
      <c r="W68" s="72"/>
      <c r="X68" s="72"/>
      <c r="Y68" s="72"/>
    </row>
    <row r="69" spans="1:25" ht="27.75" customHeight="1">
      <c r="A69" s="93" t="str">
        <f>IF(ISBLANK(C69)," ",64-COUNTBLANK($C$6:C69))</f>
        <v xml:space="preserve"> </v>
      </c>
      <c r="B69" s="94"/>
      <c r="C69" s="94"/>
      <c r="D69" s="95"/>
      <c r="E69" s="95"/>
      <c r="F69" s="85"/>
      <c r="G69" s="85"/>
      <c r="H69" s="85"/>
      <c r="I69" s="85"/>
      <c r="J69" s="85"/>
      <c r="K69" s="85"/>
      <c r="L69" s="85"/>
      <c r="M69" s="86"/>
      <c r="N69" s="71" t="str">
        <f t="shared" si="0"/>
        <v/>
      </c>
      <c r="O69" s="72"/>
      <c r="P69" s="72"/>
      <c r="Q69" s="72"/>
      <c r="R69" s="72"/>
      <c r="S69" s="72"/>
      <c r="T69" s="72"/>
      <c r="U69" s="72"/>
      <c r="V69" s="72"/>
    </row>
    <row r="70" spans="1:25" ht="27.75" customHeight="1">
      <c r="A70" s="87" t="str">
        <f>IF(ISBLANK(C70)," ",65-COUNTBLANK($C$6:C70))</f>
        <v xml:space="preserve"> </v>
      </c>
      <c r="B70" s="88"/>
      <c r="C70" s="88"/>
      <c r="D70" s="89"/>
      <c r="E70" s="89"/>
      <c r="F70" s="73"/>
      <c r="G70" s="73"/>
      <c r="H70" s="73"/>
      <c r="I70" s="73"/>
      <c r="J70" s="73"/>
      <c r="K70" s="73"/>
      <c r="L70" s="73"/>
      <c r="M70" s="74"/>
      <c r="N70" s="71" t="str">
        <f t="shared" ref="N70:N133" si="1">CONCATENATE(C70,H70)</f>
        <v/>
      </c>
      <c r="O70" s="72"/>
      <c r="P70" s="72"/>
      <c r="Q70" s="72"/>
      <c r="R70" s="72"/>
      <c r="S70" s="72"/>
      <c r="T70" s="72"/>
      <c r="U70" s="72"/>
      <c r="V70" s="72"/>
    </row>
    <row r="71" spans="1:25" ht="27.75" customHeight="1">
      <c r="A71" s="87" t="str">
        <f>IF(ISBLANK(C71)," ",66-COUNTBLANK($C$6:C71))</f>
        <v xml:space="preserve"> </v>
      </c>
      <c r="B71" s="88"/>
      <c r="C71" s="88"/>
      <c r="D71" s="89"/>
      <c r="E71" s="89"/>
      <c r="F71" s="73"/>
      <c r="G71" s="73"/>
      <c r="H71" s="73"/>
      <c r="I71" s="73"/>
      <c r="J71" s="73"/>
      <c r="K71" s="73"/>
      <c r="L71" s="73"/>
      <c r="M71" s="74"/>
      <c r="N71" s="71" t="str">
        <f t="shared" si="1"/>
        <v/>
      </c>
      <c r="O71" s="72"/>
      <c r="P71" s="72"/>
      <c r="Q71" s="72"/>
      <c r="R71" s="72"/>
      <c r="S71" s="72"/>
      <c r="T71" s="72"/>
      <c r="U71" s="72"/>
      <c r="V71" s="72"/>
    </row>
    <row r="72" spans="1:25" ht="27.75" customHeight="1">
      <c r="A72" s="87" t="str">
        <f>IF(ISBLANK(C72)," ",67-COUNTBLANK($C$6:C72))</f>
        <v xml:space="preserve"> </v>
      </c>
      <c r="B72" s="88"/>
      <c r="C72" s="88"/>
      <c r="D72" s="89"/>
      <c r="E72" s="89"/>
      <c r="F72" s="73"/>
      <c r="G72" s="73"/>
      <c r="H72" s="73"/>
      <c r="I72" s="73"/>
      <c r="J72" s="73"/>
      <c r="K72" s="73"/>
      <c r="L72" s="73"/>
      <c r="M72" s="74"/>
      <c r="N72" s="71" t="str">
        <f t="shared" si="1"/>
        <v/>
      </c>
      <c r="O72" s="72"/>
      <c r="P72" s="72"/>
      <c r="Q72" s="72"/>
      <c r="R72" s="72"/>
      <c r="S72" s="72"/>
      <c r="T72" s="72"/>
      <c r="U72" s="72"/>
      <c r="V72" s="72"/>
    </row>
    <row r="73" spans="1:25" ht="27.75" customHeight="1">
      <c r="A73" s="87" t="str">
        <f>IF(ISBLANK(C73)," ",68-COUNTBLANK($C$6:C73))</f>
        <v xml:space="preserve"> </v>
      </c>
      <c r="B73" s="88"/>
      <c r="C73" s="88"/>
      <c r="D73" s="89"/>
      <c r="E73" s="89"/>
      <c r="F73" s="73"/>
      <c r="G73" s="73"/>
      <c r="H73" s="73"/>
      <c r="I73" s="73"/>
      <c r="J73" s="73"/>
      <c r="K73" s="73"/>
      <c r="L73" s="73"/>
      <c r="M73" s="74"/>
      <c r="N73" s="71" t="str">
        <f t="shared" si="1"/>
        <v/>
      </c>
      <c r="O73" s="72"/>
      <c r="P73" s="72"/>
      <c r="Q73" s="72"/>
      <c r="R73" s="72"/>
      <c r="S73" s="72"/>
      <c r="T73" s="72"/>
      <c r="U73" s="72"/>
      <c r="V73" s="72"/>
    </row>
    <row r="74" spans="1:25" ht="27.75" customHeight="1">
      <c r="A74" s="87" t="str">
        <f>IF(ISBLANK(C74)," ",69-COUNTBLANK($C$6:C74))</f>
        <v xml:space="preserve"> </v>
      </c>
      <c r="B74" s="88"/>
      <c r="C74" s="88"/>
      <c r="D74" s="89"/>
      <c r="E74" s="89"/>
      <c r="F74" s="73"/>
      <c r="G74" s="73"/>
      <c r="H74" s="73"/>
      <c r="I74" s="73"/>
      <c r="J74" s="73"/>
      <c r="K74" s="73"/>
      <c r="L74" s="73"/>
      <c r="M74" s="74"/>
      <c r="N74" s="71" t="str">
        <f t="shared" si="1"/>
        <v/>
      </c>
      <c r="O74" s="72"/>
      <c r="P74" s="72"/>
      <c r="Q74" s="72"/>
      <c r="R74" s="72"/>
      <c r="S74" s="72"/>
      <c r="T74" s="72"/>
      <c r="U74" s="72"/>
      <c r="V74" s="72"/>
    </row>
    <row r="75" spans="1:25" ht="27.75" customHeight="1">
      <c r="A75" s="87" t="str">
        <f>IF(ISBLANK(C75)," ",70-COUNTBLANK($C$6:C75))</f>
        <v xml:space="preserve"> </v>
      </c>
      <c r="B75" s="88"/>
      <c r="C75" s="88"/>
      <c r="D75" s="89"/>
      <c r="E75" s="89"/>
      <c r="F75" s="73"/>
      <c r="G75" s="73"/>
      <c r="H75" s="73"/>
      <c r="I75" s="73"/>
      <c r="J75" s="73"/>
      <c r="K75" s="73"/>
      <c r="L75" s="73"/>
      <c r="M75" s="74"/>
      <c r="N75" s="71" t="str">
        <f t="shared" si="1"/>
        <v/>
      </c>
      <c r="O75" s="72"/>
      <c r="P75" s="72"/>
      <c r="Q75" s="72"/>
      <c r="R75" s="72"/>
      <c r="S75" s="72"/>
      <c r="T75" s="72"/>
      <c r="U75" s="72"/>
      <c r="V75" s="72"/>
    </row>
    <row r="76" spans="1:25" ht="27.75" customHeight="1">
      <c r="A76" s="87" t="str">
        <f>IF(ISBLANK(C76)," ",71-COUNTBLANK($C$6:C76))</f>
        <v xml:space="preserve"> </v>
      </c>
      <c r="B76" s="88"/>
      <c r="C76" s="88"/>
      <c r="D76" s="89"/>
      <c r="E76" s="89"/>
      <c r="F76" s="73"/>
      <c r="G76" s="73"/>
      <c r="H76" s="73"/>
      <c r="I76" s="73"/>
      <c r="J76" s="73"/>
      <c r="K76" s="73"/>
      <c r="L76" s="73"/>
      <c r="M76" s="74"/>
      <c r="N76" s="71" t="str">
        <f t="shared" si="1"/>
        <v/>
      </c>
      <c r="O76" s="72"/>
      <c r="P76" s="72"/>
      <c r="Q76" s="72"/>
      <c r="R76" s="72"/>
      <c r="S76" s="72"/>
      <c r="T76" s="72"/>
      <c r="U76" s="72"/>
      <c r="V76" s="72"/>
    </row>
    <row r="77" spans="1:25" ht="27.75" customHeight="1">
      <c r="A77" s="87" t="str">
        <f>IF(ISBLANK(C77)," ",72-COUNTBLANK($C$6:C77))</f>
        <v xml:space="preserve"> </v>
      </c>
      <c r="B77" s="88"/>
      <c r="C77" s="88"/>
      <c r="D77" s="89"/>
      <c r="E77" s="89"/>
      <c r="F77" s="73"/>
      <c r="G77" s="73"/>
      <c r="H77" s="73"/>
      <c r="I77" s="73"/>
      <c r="J77" s="73"/>
      <c r="K77" s="73"/>
      <c r="L77" s="73"/>
      <c r="M77" s="74"/>
      <c r="N77" s="71" t="str">
        <f t="shared" si="1"/>
        <v/>
      </c>
      <c r="O77" s="72"/>
      <c r="P77" s="72"/>
      <c r="Q77" s="72"/>
      <c r="R77" s="72"/>
      <c r="S77" s="72"/>
      <c r="T77" s="72"/>
      <c r="U77" s="72"/>
      <c r="V77" s="72"/>
    </row>
    <row r="78" spans="1:25" ht="27.75" customHeight="1">
      <c r="A78" s="87" t="str">
        <f>IF(ISBLANK(C78)," ",73-COUNTBLANK($C$6:C78))</f>
        <v xml:space="preserve"> </v>
      </c>
      <c r="B78" s="88"/>
      <c r="C78" s="88"/>
      <c r="D78" s="89"/>
      <c r="E78" s="89"/>
      <c r="F78" s="73"/>
      <c r="G78" s="73"/>
      <c r="H78" s="73"/>
      <c r="I78" s="73"/>
      <c r="J78" s="73"/>
      <c r="K78" s="73"/>
      <c r="L78" s="73"/>
      <c r="M78" s="74"/>
      <c r="N78" s="71" t="str">
        <f t="shared" si="1"/>
        <v/>
      </c>
      <c r="O78" s="72"/>
      <c r="P78" s="72"/>
      <c r="Q78" s="72"/>
      <c r="R78" s="72"/>
      <c r="S78" s="72"/>
      <c r="T78" s="72"/>
      <c r="U78" s="72"/>
      <c r="V78" s="72"/>
    </row>
    <row r="79" spans="1:25" ht="27.75" customHeight="1">
      <c r="A79" s="87" t="str">
        <f>IF(ISBLANK(C79)," ",74-COUNTBLANK($C$6:C79))</f>
        <v xml:space="preserve"> </v>
      </c>
      <c r="B79" s="88"/>
      <c r="C79" s="88"/>
      <c r="D79" s="89"/>
      <c r="E79" s="89"/>
      <c r="F79" s="73"/>
      <c r="G79" s="73"/>
      <c r="H79" s="73"/>
      <c r="I79" s="73"/>
      <c r="J79" s="73"/>
      <c r="K79" s="73"/>
      <c r="L79" s="73"/>
      <c r="M79" s="74"/>
      <c r="N79" s="71" t="str">
        <f t="shared" si="1"/>
        <v/>
      </c>
      <c r="O79" s="72"/>
      <c r="P79" s="72"/>
      <c r="Q79" s="72"/>
      <c r="R79" s="72"/>
      <c r="S79" s="72"/>
      <c r="T79" s="72"/>
      <c r="U79" s="72"/>
      <c r="V79" s="72"/>
    </row>
    <row r="80" spans="1:25" ht="27.75" customHeight="1">
      <c r="A80" s="87" t="str">
        <f>IF(ISBLANK(C80)," ",75-COUNTBLANK($C$6:C80))</f>
        <v xml:space="preserve"> </v>
      </c>
      <c r="B80" s="88"/>
      <c r="C80" s="88"/>
      <c r="D80" s="89"/>
      <c r="E80" s="89"/>
      <c r="F80" s="73"/>
      <c r="G80" s="73"/>
      <c r="H80" s="73"/>
      <c r="I80" s="73"/>
      <c r="J80" s="73"/>
      <c r="K80" s="73"/>
      <c r="L80" s="73"/>
      <c r="M80" s="74"/>
      <c r="N80" s="71" t="str">
        <f t="shared" si="1"/>
        <v/>
      </c>
      <c r="O80" s="72"/>
      <c r="P80" s="72"/>
      <c r="Q80" s="72"/>
      <c r="R80" s="72"/>
      <c r="S80" s="72"/>
      <c r="T80" s="72"/>
      <c r="U80" s="72"/>
      <c r="V80" s="72"/>
    </row>
    <row r="81" spans="1:25" ht="27.75" customHeight="1">
      <c r="A81" s="87" t="str">
        <f>IF(ISBLANK(C81)," ",76-COUNTBLANK($C$6:C81))</f>
        <v xml:space="preserve"> </v>
      </c>
      <c r="B81" s="88"/>
      <c r="C81" s="88"/>
      <c r="D81" s="89"/>
      <c r="E81" s="89"/>
      <c r="F81" s="73"/>
      <c r="G81" s="73"/>
      <c r="H81" s="73"/>
      <c r="I81" s="73"/>
      <c r="J81" s="73"/>
      <c r="K81" s="73"/>
      <c r="L81" s="73"/>
      <c r="M81" s="74"/>
      <c r="N81" s="71" t="str">
        <f t="shared" si="1"/>
        <v/>
      </c>
      <c r="O81" s="72"/>
      <c r="P81" s="72"/>
      <c r="Q81" s="72"/>
      <c r="R81" s="72"/>
      <c r="S81" s="72"/>
      <c r="T81" s="72"/>
      <c r="U81" s="72"/>
      <c r="V81" s="72"/>
    </row>
    <row r="82" spans="1:25" ht="27.75" customHeight="1">
      <c r="A82" s="87" t="str">
        <f>IF(ISBLANK(C82)," ",77-COUNTBLANK($C$6:C82))</f>
        <v xml:space="preserve"> </v>
      </c>
      <c r="B82" s="88"/>
      <c r="C82" s="88"/>
      <c r="D82" s="89"/>
      <c r="E82" s="89"/>
      <c r="F82" s="73"/>
      <c r="G82" s="73"/>
      <c r="H82" s="73"/>
      <c r="I82" s="73"/>
      <c r="J82" s="73"/>
      <c r="K82" s="73"/>
      <c r="L82" s="73"/>
      <c r="M82" s="74"/>
      <c r="N82" s="71" t="str">
        <f t="shared" si="1"/>
        <v/>
      </c>
      <c r="O82" s="72"/>
      <c r="P82" s="72"/>
      <c r="Q82" s="72"/>
      <c r="R82" s="72"/>
      <c r="S82" s="72"/>
      <c r="T82" s="72"/>
      <c r="U82" s="72"/>
      <c r="V82" s="72"/>
    </row>
    <row r="83" spans="1:25" ht="27.75" customHeight="1">
      <c r="A83" s="87" t="str">
        <f>IF(ISBLANK(C83)," ",78-COUNTBLANK($C$6:C83))</f>
        <v xml:space="preserve"> </v>
      </c>
      <c r="B83" s="88"/>
      <c r="C83" s="88"/>
      <c r="D83" s="89"/>
      <c r="E83" s="89"/>
      <c r="F83" s="73"/>
      <c r="G83" s="73"/>
      <c r="H83" s="73"/>
      <c r="I83" s="73"/>
      <c r="J83" s="73"/>
      <c r="K83" s="73"/>
      <c r="L83" s="73"/>
      <c r="M83" s="74"/>
      <c r="N83" s="71" t="str">
        <f t="shared" si="1"/>
        <v/>
      </c>
      <c r="O83" s="72"/>
      <c r="P83" s="72"/>
      <c r="Q83" s="72"/>
      <c r="R83" s="72"/>
      <c r="S83" s="72"/>
      <c r="T83" s="72"/>
      <c r="U83" s="72"/>
      <c r="V83" s="72"/>
    </row>
    <row r="84" spans="1:25" ht="27.75" customHeight="1">
      <c r="A84" s="87" t="str">
        <f>IF(ISBLANK(C84)," ",79-COUNTBLANK($C$6:C84))</f>
        <v xml:space="preserve"> </v>
      </c>
      <c r="B84" s="88"/>
      <c r="C84" s="88"/>
      <c r="D84" s="89"/>
      <c r="E84" s="89"/>
      <c r="F84" s="73"/>
      <c r="G84" s="73"/>
      <c r="H84" s="73"/>
      <c r="I84" s="73"/>
      <c r="J84" s="73"/>
      <c r="K84" s="73"/>
      <c r="L84" s="73"/>
      <c r="M84" s="74"/>
      <c r="N84" s="71" t="str">
        <f t="shared" si="1"/>
        <v/>
      </c>
      <c r="O84" s="75"/>
      <c r="P84" s="72"/>
      <c r="Q84" s="72"/>
      <c r="R84" s="72"/>
      <c r="S84" s="72"/>
      <c r="T84" s="72"/>
      <c r="U84" s="72"/>
      <c r="V84" s="76"/>
    </row>
    <row r="85" spans="1:25" ht="27.75" customHeight="1">
      <c r="A85" s="87" t="str">
        <f>IF(ISBLANK(C85)," ",80-COUNTBLANK($C$6:C85))</f>
        <v xml:space="preserve"> </v>
      </c>
      <c r="B85" s="88"/>
      <c r="C85" s="88"/>
      <c r="D85" s="89"/>
      <c r="E85" s="89"/>
      <c r="F85" s="73"/>
      <c r="G85" s="73"/>
      <c r="H85" s="73"/>
      <c r="I85" s="73"/>
      <c r="J85" s="73"/>
      <c r="K85" s="73"/>
      <c r="L85" s="73"/>
      <c r="M85" s="74"/>
      <c r="N85" s="71" t="str">
        <f t="shared" si="1"/>
        <v/>
      </c>
      <c r="O85" s="75"/>
      <c r="P85" s="72"/>
      <c r="Q85" s="72"/>
      <c r="R85" s="72"/>
      <c r="S85" s="72"/>
      <c r="T85" s="72"/>
      <c r="U85" s="72"/>
      <c r="V85" s="76"/>
    </row>
    <row r="86" spans="1:25" ht="27.75" customHeight="1">
      <c r="A86" s="87" t="str">
        <f>IF(ISBLANK(C86)," ",81-COUNTBLANK($C$6:C86))</f>
        <v xml:space="preserve"> </v>
      </c>
      <c r="B86" s="88"/>
      <c r="C86" s="88"/>
      <c r="D86" s="89"/>
      <c r="E86" s="89"/>
      <c r="F86" s="73"/>
      <c r="G86" s="73"/>
      <c r="H86" s="73"/>
      <c r="I86" s="73"/>
      <c r="J86" s="73"/>
      <c r="K86" s="73"/>
      <c r="L86" s="73"/>
      <c r="M86" s="74"/>
      <c r="N86" s="71" t="str">
        <f t="shared" si="1"/>
        <v/>
      </c>
      <c r="O86" s="75"/>
      <c r="P86" s="72"/>
      <c r="Q86" s="72"/>
      <c r="R86" s="72"/>
      <c r="S86" s="72"/>
      <c r="T86" s="72"/>
      <c r="U86" s="72"/>
      <c r="V86" s="76"/>
    </row>
    <row r="87" spans="1:25" ht="27.75" customHeight="1">
      <c r="A87" s="87" t="str">
        <f>IF(ISBLANK(C87)," ",82-COUNTBLANK($C$6:C87))</f>
        <v xml:space="preserve"> </v>
      </c>
      <c r="B87" s="88"/>
      <c r="C87" s="88"/>
      <c r="D87" s="89"/>
      <c r="E87" s="89"/>
      <c r="F87" s="73"/>
      <c r="G87" s="73"/>
      <c r="H87" s="73"/>
      <c r="I87" s="73"/>
      <c r="J87" s="73"/>
      <c r="K87" s="73"/>
      <c r="L87" s="73"/>
      <c r="M87" s="74"/>
      <c r="N87" s="71" t="str">
        <f t="shared" si="1"/>
        <v/>
      </c>
      <c r="O87" s="75"/>
      <c r="P87" s="72"/>
      <c r="Q87" s="72"/>
      <c r="R87" s="72"/>
      <c r="S87" s="72"/>
      <c r="T87" s="72"/>
      <c r="U87" s="72"/>
      <c r="V87" s="76"/>
    </row>
    <row r="88" spans="1:25" ht="27.75" customHeight="1">
      <c r="A88" s="87" t="str">
        <f>IF(ISBLANK(C88)," ",83-COUNTBLANK($C$6:C88))</f>
        <v xml:space="preserve"> </v>
      </c>
      <c r="B88" s="88"/>
      <c r="C88" s="88"/>
      <c r="D88" s="89"/>
      <c r="E88" s="89"/>
      <c r="F88" s="73"/>
      <c r="G88" s="73"/>
      <c r="H88" s="73"/>
      <c r="I88" s="73"/>
      <c r="J88" s="73"/>
      <c r="K88" s="73"/>
      <c r="L88" s="73"/>
      <c r="M88" s="74"/>
      <c r="N88" s="71" t="str">
        <f t="shared" si="1"/>
        <v/>
      </c>
      <c r="O88" s="72"/>
      <c r="P88" s="72"/>
      <c r="Q88" s="72"/>
      <c r="R88" s="72"/>
      <c r="S88" s="72"/>
      <c r="T88" s="72"/>
      <c r="U88" s="72"/>
      <c r="V88" s="79"/>
      <c r="W88" s="72"/>
      <c r="X88" s="72"/>
      <c r="Y88" s="72"/>
    </row>
    <row r="89" spans="1:25" ht="27.75" customHeight="1">
      <c r="A89" s="80" t="s">
        <v>58</v>
      </c>
      <c r="B89" s="81"/>
      <c r="C89" s="96"/>
      <c r="D89" s="82"/>
      <c r="E89" s="82">
        <f>SUM(E69:E88)</f>
        <v>0</v>
      </c>
      <c r="F89" s="83"/>
      <c r="G89" s="83"/>
      <c r="H89" s="83"/>
      <c r="I89" s="83"/>
      <c r="J89" s="83"/>
      <c r="K89" s="83"/>
      <c r="L89" s="83"/>
      <c r="M89" s="84"/>
      <c r="N89" s="71" t="str">
        <f t="shared" si="1"/>
        <v/>
      </c>
      <c r="O89" s="75"/>
      <c r="P89" s="72"/>
      <c r="Q89" s="72"/>
      <c r="R89" s="72"/>
      <c r="S89" s="72"/>
      <c r="T89" s="72"/>
      <c r="U89" s="72"/>
      <c r="V89" s="79"/>
      <c r="W89" s="72"/>
      <c r="X89" s="72"/>
      <c r="Y89" s="72"/>
    </row>
    <row r="90" spans="1:25" ht="27.75" customHeight="1">
      <c r="A90" s="93" t="str">
        <f>IF(ISBLANK(C90)," ",85-COUNTBLANK($C$6:C90))</f>
        <v xml:space="preserve"> </v>
      </c>
      <c r="B90" s="94"/>
      <c r="C90" s="94"/>
      <c r="D90" s="95"/>
      <c r="E90" s="95"/>
      <c r="F90" s="85"/>
      <c r="G90" s="85"/>
      <c r="H90" s="85"/>
      <c r="I90" s="85"/>
      <c r="J90" s="85"/>
      <c r="K90" s="85"/>
      <c r="L90" s="85"/>
      <c r="M90" s="86"/>
      <c r="N90" s="71" t="str">
        <f t="shared" si="1"/>
        <v/>
      </c>
      <c r="O90" s="72"/>
      <c r="P90" s="72"/>
      <c r="Q90" s="72"/>
      <c r="R90" s="72"/>
      <c r="S90" s="72"/>
      <c r="T90" s="72"/>
      <c r="U90" s="72"/>
      <c r="V90" s="72"/>
    </row>
    <row r="91" spans="1:25" ht="27.75" customHeight="1">
      <c r="A91" s="87" t="str">
        <f>IF(ISBLANK(C91)," ",86-COUNTBLANK($C$6:C91))</f>
        <v xml:space="preserve"> </v>
      </c>
      <c r="B91" s="88"/>
      <c r="C91" s="88"/>
      <c r="D91" s="89"/>
      <c r="E91" s="89"/>
      <c r="F91" s="73"/>
      <c r="G91" s="73"/>
      <c r="H91" s="73"/>
      <c r="I91" s="73"/>
      <c r="J91" s="73"/>
      <c r="K91" s="73"/>
      <c r="L91" s="73"/>
      <c r="M91" s="74"/>
      <c r="N91" s="71" t="str">
        <f t="shared" si="1"/>
        <v/>
      </c>
      <c r="O91" s="72"/>
      <c r="P91" s="72"/>
      <c r="Q91" s="72"/>
      <c r="R91" s="72"/>
      <c r="S91" s="72"/>
      <c r="T91" s="72"/>
      <c r="U91" s="72"/>
      <c r="V91" s="72"/>
    </row>
    <row r="92" spans="1:25" ht="27.75" customHeight="1">
      <c r="A92" s="87" t="str">
        <f>IF(ISBLANK(C92)," ",87-COUNTBLANK($C$6:C92))</f>
        <v xml:space="preserve"> </v>
      </c>
      <c r="B92" s="88"/>
      <c r="C92" s="88"/>
      <c r="D92" s="89"/>
      <c r="E92" s="89"/>
      <c r="F92" s="73"/>
      <c r="G92" s="73"/>
      <c r="H92" s="73"/>
      <c r="I92" s="73"/>
      <c r="J92" s="73"/>
      <c r="K92" s="73"/>
      <c r="L92" s="73"/>
      <c r="M92" s="74"/>
      <c r="N92" s="71" t="str">
        <f t="shared" si="1"/>
        <v/>
      </c>
      <c r="O92" s="72"/>
      <c r="P92" s="72"/>
      <c r="Q92" s="72"/>
      <c r="R92" s="72"/>
      <c r="S92" s="72"/>
      <c r="T92" s="72"/>
      <c r="U92" s="72"/>
      <c r="V92" s="72"/>
    </row>
    <row r="93" spans="1:25" ht="27.75" customHeight="1">
      <c r="A93" s="87" t="str">
        <f>IF(ISBLANK(C93)," ",88-COUNTBLANK($C$6:C93))</f>
        <v xml:space="preserve"> </v>
      </c>
      <c r="B93" s="88"/>
      <c r="C93" s="88"/>
      <c r="D93" s="89"/>
      <c r="E93" s="89"/>
      <c r="F93" s="73"/>
      <c r="G93" s="73"/>
      <c r="H93" s="73"/>
      <c r="I93" s="73"/>
      <c r="J93" s="73"/>
      <c r="K93" s="73"/>
      <c r="L93" s="73"/>
      <c r="M93" s="74"/>
      <c r="N93" s="71" t="str">
        <f t="shared" si="1"/>
        <v/>
      </c>
      <c r="O93" s="72"/>
      <c r="P93" s="72"/>
      <c r="Q93" s="72"/>
      <c r="R93" s="72"/>
      <c r="S93" s="72"/>
      <c r="T93" s="72"/>
      <c r="U93" s="72"/>
      <c r="V93" s="72"/>
    </row>
    <row r="94" spans="1:25" ht="27.75" customHeight="1">
      <c r="A94" s="87" t="str">
        <f>IF(ISBLANK(C94)," ",89-COUNTBLANK($C$6:C94))</f>
        <v xml:space="preserve"> </v>
      </c>
      <c r="B94" s="88"/>
      <c r="C94" s="88"/>
      <c r="D94" s="89"/>
      <c r="E94" s="89"/>
      <c r="F94" s="73"/>
      <c r="G94" s="73"/>
      <c r="H94" s="73"/>
      <c r="I94" s="73"/>
      <c r="J94" s="73"/>
      <c r="K94" s="73"/>
      <c r="L94" s="73"/>
      <c r="M94" s="74"/>
      <c r="N94" s="71" t="str">
        <f t="shared" si="1"/>
        <v/>
      </c>
      <c r="O94" s="72"/>
      <c r="P94" s="72"/>
      <c r="Q94" s="72"/>
      <c r="R94" s="72"/>
      <c r="S94" s="72"/>
      <c r="T94" s="72"/>
      <c r="U94" s="72"/>
      <c r="V94" s="72"/>
    </row>
    <row r="95" spans="1:25" ht="27.75" customHeight="1">
      <c r="A95" s="87" t="str">
        <f>IF(ISBLANK(C95)," ",90-COUNTBLANK($C$6:C95))</f>
        <v xml:space="preserve"> </v>
      </c>
      <c r="B95" s="88"/>
      <c r="C95" s="88"/>
      <c r="D95" s="89"/>
      <c r="E95" s="89"/>
      <c r="F95" s="73"/>
      <c r="G95" s="73"/>
      <c r="H95" s="73"/>
      <c r="I95" s="73"/>
      <c r="J95" s="73"/>
      <c r="K95" s="73"/>
      <c r="L95" s="73"/>
      <c r="M95" s="74"/>
      <c r="N95" s="71" t="str">
        <f t="shared" si="1"/>
        <v/>
      </c>
      <c r="O95" s="72"/>
      <c r="P95" s="72"/>
      <c r="Q95" s="72"/>
      <c r="R95" s="72"/>
      <c r="S95" s="72"/>
      <c r="T95" s="72"/>
      <c r="U95" s="72"/>
      <c r="V95" s="72"/>
    </row>
    <row r="96" spans="1:25" ht="27.75" customHeight="1">
      <c r="A96" s="87" t="str">
        <f>IF(ISBLANK(C96)," ",91-COUNTBLANK($C$6:C96))</f>
        <v xml:space="preserve"> </v>
      </c>
      <c r="B96" s="88"/>
      <c r="C96" s="88"/>
      <c r="D96" s="89"/>
      <c r="E96" s="89"/>
      <c r="F96" s="73"/>
      <c r="G96" s="73"/>
      <c r="H96" s="73"/>
      <c r="I96" s="73"/>
      <c r="J96" s="73"/>
      <c r="K96" s="73"/>
      <c r="L96" s="73"/>
      <c r="M96" s="74"/>
      <c r="N96" s="71" t="str">
        <f t="shared" si="1"/>
        <v/>
      </c>
      <c r="O96" s="72"/>
      <c r="P96" s="72"/>
      <c r="Q96" s="72"/>
      <c r="R96" s="72"/>
      <c r="S96" s="72"/>
      <c r="T96" s="72"/>
      <c r="U96" s="72"/>
      <c r="V96" s="72"/>
    </row>
    <row r="97" spans="1:25" ht="27.75" customHeight="1">
      <c r="A97" s="87" t="str">
        <f>IF(ISBLANK(C97)," ",92-COUNTBLANK($C$6:C97))</f>
        <v xml:space="preserve"> </v>
      </c>
      <c r="B97" s="88"/>
      <c r="C97" s="88"/>
      <c r="D97" s="89"/>
      <c r="E97" s="89"/>
      <c r="F97" s="73"/>
      <c r="G97" s="73"/>
      <c r="H97" s="73"/>
      <c r="I97" s="73"/>
      <c r="J97" s="73"/>
      <c r="K97" s="73"/>
      <c r="L97" s="73"/>
      <c r="M97" s="74"/>
      <c r="N97" s="71" t="str">
        <f t="shared" si="1"/>
        <v/>
      </c>
      <c r="O97" s="72"/>
      <c r="P97" s="72"/>
      <c r="Q97" s="72"/>
      <c r="R97" s="72"/>
      <c r="S97" s="72"/>
      <c r="T97" s="72"/>
      <c r="U97" s="72"/>
      <c r="V97" s="72"/>
    </row>
    <row r="98" spans="1:25" ht="27.75" customHeight="1">
      <c r="A98" s="87" t="str">
        <f>IF(ISBLANK(C98)," ",93-COUNTBLANK($C$6:C98))</f>
        <v xml:space="preserve"> </v>
      </c>
      <c r="B98" s="88"/>
      <c r="C98" s="88"/>
      <c r="D98" s="89"/>
      <c r="E98" s="89"/>
      <c r="F98" s="73"/>
      <c r="G98" s="73"/>
      <c r="H98" s="73"/>
      <c r="I98" s="73"/>
      <c r="J98" s="73"/>
      <c r="K98" s="73"/>
      <c r="L98" s="73"/>
      <c r="M98" s="74"/>
      <c r="N98" s="71" t="str">
        <f t="shared" si="1"/>
        <v/>
      </c>
      <c r="O98" s="72"/>
      <c r="P98" s="72"/>
      <c r="Q98" s="72"/>
      <c r="R98" s="72"/>
      <c r="S98" s="72"/>
      <c r="T98" s="72"/>
      <c r="U98" s="72"/>
      <c r="V98" s="72"/>
    </row>
    <row r="99" spans="1:25" ht="27.75" customHeight="1">
      <c r="A99" s="87" t="str">
        <f>IF(ISBLANK(C99)," ",94-COUNTBLANK($C$6:C99))</f>
        <v xml:space="preserve"> </v>
      </c>
      <c r="B99" s="88"/>
      <c r="C99" s="88"/>
      <c r="D99" s="89"/>
      <c r="E99" s="89"/>
      <c r="F99" s="73"/>
      <c r="G99" s="73"/>
      <c r="H99" s="73"/>
      <c r="I99" s="73"/>
      <c r="J99" s="73"/>
      <c r="K99" s="73"/>
      <c r="L99" s="73"/>
      <c r="M99" s="74"/>
      <c r="N99" s="71" t="str">
        <f t="shared" si="1"/>
        <v/>
      </c>
      <c r="O99" s="72"/>
      <c r="P99" s="72"/>
      <c r="Q99" s="72"/>
      <c r="R99" s="72"/>
      <c r="S99" s="72"/>
      <c r="T99" s="72"/>
      <c r="U99" s="72"/>
      <c r="V99" s="72"/>
    </row>
    <row r="100" spans="1:25" ht="27.75" customHeight="1">
      <c r="A100" s="87" t="str">
        <f>IF(ISBLANK(C100)," ",95-COUNTBLANK($C$6:C100))</f>
        <v xml:space="preserve"> </v>
      </c>
      <c r="B100" s="88"/>
      <c r="C100" s="88"/>
      <c r="D100" s="89"/>
      <c r="E100" s="89"/>
      <c r="F100" s="73"/>
      <c r="G100" s="73"/>
      <c r="H100" s="73"/>
      <c r="I100" s="73"/>
      <c r="J100" s="73"/>
      <c r="K100" s="73"/>
      <c r="L100" s="73"/>
      <c r="M100" s="74"/>
      <c r="N100" s="71" t="str">
        <f t="shared" si="1"/>
        <v/>
      </c>
      <c r="O100" s="72"/>
      <c r="P100" s="72"/>
      <c r="Q100" s="72"/>
      <c r="R100" s="72"/>
      <c r="S100" s="72"/>
      <c r="T100" s="72"/>
      <c r="U100" s="72"/>
      <c r="V100" s="72"/>
    </row>
    <row r="101" spans="1:25" ht="27.75" customHeight="1">
      <c r="A101" s="87" t="str">
        <f>IF(ISBLANK(C101)," ",96-COUNTBLANK($C$6:C101))</f>
        <v xml:space="preserve"> </v>
      </c>
      <c r="B101" s="88"/>
      <c r="C101" s="88"/>
      <c r="D101" s="89"/>
      <c r="E101" s="89"/>
      <c r="F101" s="73"/>
      <c r="G101" s="73"/>
      <c r="H101" s="73"/>
      <c r="I101" s="73"/>
      <c r="J101" s="73"/>
      <c r="K101" s="73"/>
      <c r="L101" s="73"/>
      <c r="M101" s="74"/>
      <c r="N101" s="71" t="str">
        <f t="shared" si="1"/>
        <v/>
      </c>
      <c r="O101" s="72"/>
      <c r="P101" s="72"/>
      <c r="Q101" s="72"/>
      <c r="R101" s="72"/>
      <c r="S101" s="72"/>
      <c r="T101" s="72"/>
      <c r="U101" s="72"/>
      <c r="V101" s="72"/>
    </row>
    <row r="102" spans="1:25" ht="27.75" customHeight="1">
      <c r="A102" s="87" t="str">
        <f>IF(ISBLANK(C102)," ",97-COUNTBLANK($C$6:C102))</f>
        <v xml:space="preserve"> </v>
      </c>
      <c r="B102" s="88"/>
      <c r="C102" s="88"/>
      <c r="D102" s="89"/>
      <c r="E102" s="89"/>
      <c r="F102" s="73"/>
      <c r="G102" s="73"/>
      <c r="H102" s="73"/>
      <c r="I102" s="73"/>
      <c r="J102" s="73"/>
      <c r="K102" s="73"/>
      <c r="L102" s="73"/>
      <c r="M102" s="74"/>
      <c r="N102" s="71" t="str">
        <f t="shared" si="1"/>
        <v/>
      </c>
      <c r="O102" s="72"/>
      <c r="P102" s="72"/>
      <c r="Q102" s="72"/>
      <c r="R102" s="72"/>
      <c r="S102" s="72"/>
      <c r="T102" s="72"/>
      <c r="U102" s="72"/>
      <c r="V102" s="72"/>
    </row>
    <row r="103" spans="1:25" ht="27.75" customHeight="1">
      <c r="A103" s="87" t="str">
        <f>IF(ISBLANK(C103)," ",98-COUNTBLANK($C$6:C103))</f>
        <v xml:space="preserve"> </v>
      </c>
      <c r="B103" s="88"/>
      <c r="C103" s="88"/>
      <c r="D103" s="89"/>
      <c r="E103" s="89"/>
      <c r="F103" s="73"/>
      <c r="G103" s="73"/>
      <c r="H103" s="73"/>
      <c r="I103" s="73"/>
      <c r="J103" s="73"/>
      <c r="K103" s="73"/>
      <c r="L103" s="73"/>
      <c r="M103" s="74"/>
      <c r="N103" s="71" t="str">
        <f t="shared" si="1"/>
        <v/>
      </c>
      <c r="O103" s="72"/>
      <c r="P103" s="72"/>
      <c r="Q103" s="72"/>
      <c r="R103" s="72"/>
      <c r="S103" s="72"/>
      <c r="T103" s="72"/>
      <c r="U103" s="72"/>
      <c r="V103" s="72"/>
    </row>
    <row r="104" spans="1:25" ht="27.75" customHeight="1">
      <c r="A104" s="87" t="str">
        <f>IF(ISBLANK(C104)," ",99-COUNTBLANK($C$6:C104))</f>
        <v xml:space="preserve"> </v>
      </c>
      <c r="B104" s="88"/>
      <c r="C104" s="88"/>
      <c r="D104" s="89"/>
      <c r="E104" s="89"/>
      <c r="F104" s="73"/>
      <c r="G104" s="73"/>
      <c r="H104" s="73"/>
      <c r="I104" s="73"/>
      <c r="J104" s="73"/>
      <c r="K104" s="73"/>
      <c r="L104" s="73"/>
      <c r="M104" s="74"/>
      <c r="N104" s="71" t="str">
        <f t="shared" si="1"/>
        <v/>
      </c>
      <c r="O104" s="72"/>
      <c r="P104" s="72"/>
      <c r="Q104" s="72"/>
      <c r="R104" s="72"/>
      <c r="S104" s="72"/>
      <c r="T104" s="72"/>
      <c r="U104" s="72"/>
      <c r="V104" s="72"/>
    </row>
    <row r="105" spans="1:25" ht="27.75" customHeight="1">
      <c r="A105" s="87" t="str">
        <f>IF(ISBLANK(C105)," ",100-COUNTBLANK($C$6:C105))</f>
        <v xml:space="preserve"> </v>
      </c>
      <c r="B105" s="88"/>
      <c r="C105" s="88"/>
      <c r="D105" s="89"/>
      <c r="E105" s="89"/>
      <c r="F105" s="73"/>
      <c r="G105" s="73"/>
      <c r="H105" s="73"/>
      <c r="I105" s="73"/>
      <c r="J105" s="73"/>
      <c r="K105" s="73"/>
      <c r="L105" s="73"/>
      <c r="M105" s="74"/>
      <c r="N105" s="71" t="str">
        <f t="shared" si="1"/>
        <v/>
      </c>
      <c r="O105" s="75"/>
      <c r="P105" s="72"/>
      <c r="Q105" s="72"/>
      <c r="R105" s="72"/>
      <c r="S105" s="72"/>
      <c r="T105" s="72"/>
      <c r="U105" s="72"/>
      <c r="V105" s="76"/>
    </row>
    <row r="106" spans="1:25" ht="27.75" customHeight="1">
      <c r="A106" s="87" t="str">
        <f>IF(ISBLANK(C106)," ",101-COUNTBLANK($C$6:C106))</f>
        <v xml:space="preserve"> </v>
      </c>
      <c r="B106" s="88"/>
      <c r="C106" s="88"/>
      <c r="D106" s="89"/>
      <c r="E106" s="89"/>
      <c r="F106" s="73"/>
      <c r="G106" s="73"/>
      <c r="H106" s="73"/>
      <c r="I106" s="73"/>
      <c r="J106" s="73"/>
      <c r="K106" s="73"/>
      <c r="L106" s="73"/>
      <c r="M106" s="74"/>
      <c r="N106" s="71" t="str">
        <f t="shared" si="1"/>
        <v/>
      </c>
      <c r="O106" s="75"/>
      <c r="P106" s="72"/>
      <c r="Q106" s="72"/>
      <c r="R106" s="72"/>
      <c r="S106" s="72"/>
      <c r="T106" s="72"/>
      <c r="U106" s="72"/>
      <c r="V106" s="76"/>
    </row>
    <row r="107" spans="1:25" ht="27.75" customHeight="1">
      <c r="A107" s="87" t="str">
        <f>IF(ISBLANK(C107)," ",102-COUNTBLANK($C$6:C107))</f>
        <v xml:space="preserve"> </v>
      </c>
      <c r="B107" s="88"/>
      <c r="C107" s="88"/>
      <c r="D107" s="89"/>
      <c r="E107" s="89"/>
      <c r="F107" s="73"/>
      <c r="G107" s="73"/>
      <c r="H107" s="73"/>
      <c r="I107" s="73"/>
      <c r="J107" s="73"/>
      <c r="K107" s="73"/>
      <c r="L107" s="73"/>
      <c r="M107" s="74"/>
      <c r="N107" s="71" t="str">
        <f t="shared" si="1"/>
        <v/>
      </c>
      <c r="O107" s="75"/>
      <c r="P107" s="72"/>
      <c r="Q107" s="72"/>
      <c r="R107" s="72"/>
      <c r="S107" s="72"/>
      <c r="T107" s="72"/>
      <c r="U107" s="72"/>
      <c r="V107" s="76"/>
    </row>
    <row r="108" spans="1:25" ht="27.75" customHeight="1">
      <c r="A108" s="87" t="str">
        <f>IF(ISBLANK(C108)," ",103-COUNTBLANK($C$6:C108))</f>
        <v xml:space="preserve"> </v>
      </c>
      <c r="B108" s="88"/>
      <c r="C108" s="88"/>
      <c r="D108" s="89"/>
      <c r="E108" s="89"/>
      <c r="F108" s="73"/>
      <c r="G108" s="73"/>
      <c r="H108" s="73"/>
      <c r="I108" s="73"/>
      <c r="J108" s="73"/>
      <c r="K108" s="73"/>
      <c r="L108" s="73"/>
      <c r="M108" s="74"/>
      <c r="N108" s="71" t="str">
        <f t="shared" si="1"/>
        <v/>
      </c>
      <c r="O108" s="75"/>
      <c r="P108" s="72"/>
      <c r="Q108" s="72"/>
      <c r="R108" s="72"/>
      <c r="S108" s="72"/>
      <c r="T108" s="72"/>
      <c r="U108" s="72"/>
      <c r="V108" s="76"/>
    </row>
    <row r="109" spans="1:25" ht="27.75" customHeight="1">
      <c r="A109" s="87" t="str">
        <f>IF(ISBLANK(C109)," ",104-COUNTBLANK($C$6:C109))</f>
        <v xml:space="preserve"> </v>
      </c>
      <c r="B109" s="88"/>
      <c r="C109" s="88"/>
      <c r="D109" s="89"/>
      <c r="E109" s="89"/>
      <c r="F109" s="73"/>
      <c r="G109" s="73"/>
      <c r="H109" s="73"/>
      <c r="I109" s="73"/>
      <c r="J109" s="73"/>
      <c r="K109" s="73"/>
      <c r="L109" s="73"/>
      <c r="M109" s="74"/>
      <c r="N109" s="71" t="str">
        <f t="shared" si="1"/>
        <v/>
      </c>
      <c r="O109" s="72"/>
      <c r="P109" s="72"/>
      <c r="Q109" s="72"/>
      <c r="R109" s="72"/>
      <c r="S109" s="72"/>
      <c r="T109" s="72"/>
      <c r="U109" s="72"/>
      <c r="V109" s="79"/>
      <c r="W109" s="72"/>
      <c r="X109" s="72"/>
      <c r="Y109" s="72"/>
    </row>
    <row r="110" spans="1:25" ht="27.75" customHeight="1">
      <c r="A110" s="80" t="s">
        <v>58</v>
      </c>
      <c r="B110" s="81"/>
      <c r="C110" s="96"/>
      <c r="D110" s="82"/>
      <c r="E110" s="82">
        <f>SUM(E90:E109)</f>
        <v>0</v>
      </c>
      <c r="F110" s="83"/>
      <c r="G110" s="83"/>
      <c r="H110" s="83"/>
      <c r="I110" s="83"/>
      <c r="J110" s="83"/>
      <c r="K110" s="83"/>
      <c r="L110" s="83"/>
      <c r="M110" s="84"/>
      <c r="N110" s="71" t="str">
        <f t="shared" si="1"/>
        <v/>
      </c>
      <c r="O110" s="75"/>
      <c r="P110" s="72"/>
      <c r="Q110" s="72"/>
      <c r="R110" s="72"/>
      <c r="S110" s="72"/>
      <c r="T110" s="72"/>
      <c r="U110" s="72"/>
      <c r="V110" s="79"/>
      <c r="W110" s="72"/>
      <c r="X110" s="72"/>
      <c r="Y110" s="72"/>
    </row>
    <row r="111" spans="1:25" ht="27.75" customHeight="1">
      <c r="A111" s="93" t="str">
        <f>IF(ISBLANK(C111)," ",106-COUNTBLANK($C$6:C111))</f>
        <v xml:space="preserve"> </v>
      </c>
      <c r="B111" s="94"/>
      <c r="C111" s="94"/>
      <c r="D111" s="95"/>
      <c r="E111" s="95"/>
      <c r="F111" s="85"/>
      <c r="G111" s="85"/>
      <c r="H111" s="85"/>
      <c r="I111" s="85"/>
      <c r="J111" s="85"/>
      <c r="K111" s="85"/>
      <c r="L111" s="85"/>
      <c r="M111" s="86"/>
      <c r="N111" s="71" t="str">
        <f t="shared" si="1"/>
        <v/>
      </c>
      <c r="O111" s="72"/>
      <c r="P111" s="72"/>
      <c r="Q111" s="72"/>
      <c r="R111" s="72"/>
      <c r="S111" s="72"/>
      <c r="T111" s="72"/>
      <c r="U111" s="72"/>
      <c r="V111" s="72"/>
    </row>
    <row r="112" spans="1:25" ht="27.75" customHeight="1">
      <c r="A112" s="87" t="str">
        <f>IF(ISBLANK(C112)," ",107-COUNTBLANK($C$6:C112))</f>
        <v xml:space="preserve"> </v>
      </c>
      <c r="B112" s="88"/>
      <c r="C112" s="88"/>
      <c r="D112" s="89"/>
      <c r="E112" s="89"/>
      <c r="F112" s="73"/>
      <c r="G112" s="73"/>
      <c r="H112" s="73"/>
      <c r="I112" s="73"/>
      <c r="J112" s="73"/>
      <c r="K112" s="73"/>
      <c r="L112" s="73"/>
      <c r="M112" s="74"/>
      <c r="N112" s="71" t="str">
        <f t="shared" si="1"/>
        <v/>
      </c>
      <c r="O112" s="72"/>
      <c r="P112" s="72"/>
      <c r="Q112" s="72"/>
      <c r="R112" s="72"/>
      <c r="S112" s="72"/>
      <c r="T112" s="72"/>
      <c r="U112" s="72"/>
      <c r="V112" s="72"/>
    </row>
    <row r="113" spans="1:22" ht="27.75" customHeight="1">
      <c r="A113" s="87" t="str">
        <f>IF(ISBLANK(C113)," ",108-COUNTBLANK($C$6:C113))</f>
        <v xml:space="preserve"> </v>
      </c>
      <c r="B113" s="88"/>
      <c r="C113" s="88"/>
      <c r="D113" s="89"/>
      <c r="E113" s="89"/>
      <c r="F113" s="73"/>
      <c r="G113" s="73"/>
      <c r="H113" s="73"/>
      <c r="I113" s="73"/>
      <c r="J113" s="73"/>
      <c r="K113" s="73"/>
      <c r="L113" s="73"/>
      <c r="M113" s="74"/>
      <c r="N113" s="71" t="str">
        <f t="shared" si="1"/>
        <v/>
      </c>
      <c r="O113" s="72"/>
      <c r="P113" s="72"/>
      <c r="Q113" s="72"/>
      <c r="R113" s="72"/>
      <c r="S113" s="72"/>
      <c r="T113" s="72"/>
      <c r="U113" s="72"/>
      <c r="V113" s="72"/>
    </row>
    <row r="114" spans="1:22" ht="27.75" customHeight="1">
      <c r="A114" s="87" t="str">
        <f>IF(ISBLANK(C114)," ",109-COUNTBLANK($C$6:C114))</f>
        <v xml:space="preserve"> </v>
      </c>
      <c r="B114" s="88"/>
      <c r="C114" s="88"/>
      <c r="D114" s="89"/>
      <c r="E114" s="89"/>
      <c r="F114" s="73"/>
      <c r="G114" s="73"/>
      <c r="H114" s="73"/>
      <c r="I114" s="73"/>
      <c r="J114" s="73"/>
      <c r="K114" s="73"/>
      <c r="L114" s="73"/>
      <c r="M114" s="74"/>
      <c r="N114" s="71" t="str">
        <f t="shared" si="1"/>
        <v/>
      </c>
      <c r="O114" s="72"/>
      <c r="P114" s="72"/>
      <c r="Q114" s="72"/>
      <c r="R114" s="72"/>
      <c r="S114" s="72"/>
      <c r="T114" s="72"/>
      <c r="U114" s="72"/>
      <c r="V114" s="72"/>
    </row>
    <row r="115" spans="1:22" ht="27.75" customHeight="1">
      <c r="A115" s="87" t="str">
        <f>IF(ISBLANK(C115)," ",110-COUNTBLANK($C$6:C115))</f>
        <v xml:space="preserve"> </v>
      </c>
      <c r="B115" s="88"/>
      <c r="C115" s="88"/>
      <c r="D115" s="89"/>
      <c r="E115" s="89"/>
      <c r="F115" s="73"/>
      <c r="G115" s="73"/>
      <c r="H115" s="73"/>
      <c r="I115" s="73"/>
      <c r="J115" s="73"/>
      <c r="K115" s="73"/>
      <c r="L115" s="73"/>
      <c r="M115" s="74"/>
      <c r="N115" s="71" t="str">
        <f t="shared" si="1"/>
        <v/>
      </c>
      <c r="O115" s="72"/>
      <c r="P115" s="72"/>
      <c r="Q115" s="72"/>
      <c r="R115" s="72"/>
      <c r="S115" s="72"/>
      <c r="T115" s="72"/>
      <c r="U115" s="72"/>
      <c r="V115" s="72"/>
    </row>
    <row r="116" spans="1:22" ht="27.75" customHeight="1">
      <c r="A116" s="87" t="str">
        <f>IF(ISBLANK(C116)," ",111-COUNTBLANK($C$6:C116))</f>
        <v xml:space="preserve"> </v>
      </c>
      <c r="B116" s="88"/>
      <c r="C116" s="88"/>
      <c r="D116" s="89"/>
      <c r="E116" s="89"/>
      <c r="F116" s="73"/>
      <c r="G116" s="73"/>
      <c r="H116" s="73"/>
      <c r="I116" s="73"/>
      <c r="J116" s="73"/>
      <c r="K116" s="73"/>
      <c r="L116" s="73"/>
      <c r="M116" s="74"/>
      <c r="N116" s="71" t="str">
        <f t="shared" si="1"/>
        <v/>
      </c>
      <c r="O116" s="72"/>
      <c r="P116" s="72"/>
      <c r="Q116" s="72"/>
      <c r="R116" s="72"/>
      <c r="S116" s="72"/>
      <c r="T116" s="72"/>
      <c r="U116" s="72"/>
      <c r="V116" s="72"/>
    </row>
    <row r="117" spans="1:22" ht="27.75" customHeight="1">
      <c r="A117" s="87" t="str">
        <f>IF(ISBLANK(C117)," ",112-COUNTBLANK($C$6:C117))</f>
        <v xml:space="preserve"> </v>
      </c>
      <c r="B117" s="88"/>
      <c r="C117" s="88"/>
      <c r="D117" s="89"/>
      <c r="E117" s="89"/>
      <c r="F117" s="73"/>
      <c r="G117" s="73"/>
      <c r="H117" s="73"/>
      <c r="I117" s="73"/>
      <c r="J117" s="73"/>
      <c r="K117" s="73"/>
      <c r="L117" s="73"/>
      <c r="M117" s="74"/>
      <c r="N117" s="71" t="str">
        <f t="shared" si="1"/>
        <v/>
      </c>
      <c r="O117" s="72"/>
      <c r="P117" s="72"/>
      <c r="Q117" s="72"/>
      <c r="R117" s="72"/>
      <c r="S117" s="72"/>
      <c r="T117" s="72"/>
      <c r="U117" s="72"/>
      <c r="V117" s="72"/>
    </row>
    <row r="118" spans="1:22" ht="27.75" customHeight="1">
      <c r="A118" s="87" t="str">
        <f>IF(ISBLANK(C118)," ",113-COUNTBLANK($C$6:C118))</f>
        <v xml:space="preserve"> </v>
      </c>
      <c r="B118" s="88"/>
      <c r="C118" s="88"/>
      <c r="D118" s="89"/>
      <c r="E118" s="89"/>
      <c r="F118" s="73"/>
      <c r="G118" s="73"/>
      <c r="H118" s="73"/>
      <c r="I118" s="73"/>
      <c r="J118" s="73"/>
      <c r="K118" s="73"/>
      <c r="L118" s="73"/>
      <c r="M118" s="74"/>
      <c r="N118" s="71" t="str">
        <f t="shared" si="1"/>
        <v/>
      </c>
      <c r="O118" s="72"/>
      <c r="P118" s="72"/>
      <c r="Q118" s="72"/>
      <c r="R118" s="72"/>
      <c r="S118" s="72"/>
      <c r="T118" s="72"/>
      <c r="U118" s="72"/>
      <c r="V118" s="72"/>
    </row>
    <row r="119" spans="1:22" ht="27.75" customHeight="1">
      <c r="A119" s="87" t="str">
        <f>IF(ISBLANK(C119)," ",114-COUNTBLANK($C$6:C119))</f>
        <v xml:space="preserve"> </v>
      </c>
      <c r="B119" s="88"/>
      <c r="C119" s="88"/>
      <c r="D119" s="89"/>
      <c r="E119" s="89"/>
      <c r="F119" s="73"/>
      <c r="G119" s="73"/>
      <c r="H119" s="73"/>
      <c r="I119" s="73"/>
      <c r="J119" s="73"/>
      <c r="K119" s="73"/>
      <c r="L119" s="73"/>
      <c r="M119" s="74"/>
      <c r="N119" s="71" t="str">
        <f t="shared" si="1"/>
        <v/>
      </c>
      <c r="O119" s="72"/>
      <c r="P119" s="72"/>
      <c r="Q119" s="72"/>
      <c r="R119" s="72"/>
      <c r="S119" s="72"/>
      <c r="T119" s="72"/>
      <c r="U119" s="72"/>
      <c r="V119" s="72"/>
    </row>
    <row r="120" spans="1:22" ht="27.75" customHeight="1">
      <c r="A120" s="87" t="str">
        <f>IF(ISBLANK(C120)," ",115-COUNTBLANK($C$6:C120))</f>
        <v xml:space="preserve"> </v>
      </c>
      <c r="B120" s="88"/>
      <c r="C120" s="88"/>
      <c r="D120" s="89"/>
      <c r="E120" s="89"/>
      <c r="F120" s="73"/>
      <c r="G120" s="73"/>
      <c r="H120" s="73"/>
      <c r="I120" s="73"/>
      <c r="J120" s="73"/>
      <c r="K120" s="73"/>
      <c r="L120" s="73"/>
      <c r="M120" s="74"/>
      <c r="N120" s="71" t="str">
        <f t="shared" si="1"/>
        <v/>
      </c>
      <c r="O120" s="72"/>
      <c r="P120" s="72"/>
      <c r="Q120" s="72"/>
      <c r="R120" s="72"/>
      <c r="S120" s="72"/>
      <c r="T120" s="72"/>
      <c r="U120" s="72"/>
      <c r="V120" s="72"/>
    </row>
    <row r="121" spans="1:22" ht="27.75" customHeight="1">
      <c r="A121" s="87" t="str">
        <f>IF(ISBLANK(C121)," ",116-COUNTBLANK($C$6:C121))</f>
        <v xml:space="preserve"> </v>
      </c>
      <c r="B121" s="88"/>
      <c r="C121" s="88"/>
      <c r="D121" s="89"/>
      <c r="E121" s="89"/>
      <c r="F121" s="73"/>
      <c r="G121" s="73"/>
      <c r="H121" s="73"/>
      <c r="I121" s="73"/>
      <c r="J121" s="73"/>
      <c r="K121" s="73"/>
      <c r="L121" s="73"/>
      <c r="M121" s="74"/>
      <c r="N121" s="71" t="str">
        <f t="shared" si="1"/>
        <v/>
      </c>
      <c r="O121" s="72"/>
      <c r="P121" s="72"/>
      <c r="Q121" s="72"/>
      <c r="R121" s="72"/>
      <c r="S121" s="72"/>
      <c r="T121" s="72"/>
      <c r="U121" s="72"/>
      <c r="V121" s="72"/>
    </row>
    <row r="122" spans="1:22" ht="27.75" customHeight="1">
      <c r="A122" s="87" t="str">
        <f>IF(ISBLANK(C122)," ",117-COUNTBLANK($C$6:C122))</f>
        <v xml:space="preserve"> </v>
      </c>
      <c r="B122" s="88"/>
      <c r="C122" s="88"/>
      <c r="D122" s="89"/>
      <c r="E122" s="89"/>
      <c r="F122" s="73"/>
      <c r="G122" s="73"/>
      <c r="H122" s="73"/>
      <c r="I122" s="73"/>
      <c r="J122" s="73"/>
      <c r="K122" s="73"/>
      <c r="L122" s="73"/>
      <c r="M122" s="74"/>
      <c r="N122" s="71" t="str">
        <f t="shared" si="1"/>
        <v/>
      </c>
      <c r="O122" s="72"/>
      <c r="P122" s="72"/>
      <c r="Q122" s="72"/>
      <c r="R122" s="72"/>
      <c r="S122" s="72"/>
      <c r="T122" s="72"/>
      <c r="U122" s="72"/>
      <c r="V122" s="72"/>
    </row>
    <row r="123" spans="1:22" ht="27.75" customHeight="1">
      <c r="A123" s="87" t="str">
        <f>IF(ISBLANK(C123)," ",118-COUNTBLANK($C$6:C123))</f>
        <v xml:space="preserve"> </v>
      </c>
      <c r="B123" s="88"/>
      <c r="C123" s="88"/>
      <c r="D123" s="89"/>
      <c r="E123" s="89"/>
      <c r="F123" s="73"/>
      <c r="G123" s="73"/>
      <c r="H123" s="73"/>
      <c r="I123" s="73"/>
      <c r="J123" s="73"/>
      <c r="K123" s="73"/>
      <c r="L123" s="73"/>
      <c r="M123" s="74"/>
      <c r="N123" s="71" t="str">
        <f t="shared" si="1"/>
        <v/>
      </c>
      <c r="O123" s="72"/>
      <c r="P123" s="72"/>
      <c r="Q123" s="72"/>
      <c r="R123" s="72"/>
      <c r="S123" s="72"/>
      <c r="T123" s="72"/>
      <c r="U123" s="72"/>
      <c r="V123" s="72"/>
    </row>
    <row r="124" spans="1:22" ht="27.75" customHeight="1">
      <c r="A124" s="87" t="str">
        <f>IF(ISBLANK(C124)," ",119-COUNTBLANK($C$6:C124))</f>
        <v xml:space="preserve"> </v>
      </c>
      <c r="B124" s="88"/>
      <c r="C124" s="88"/>
      <c r="D124" s="89"/>
      <c r="E124" s="89"/>
      <c r="F124" s="73"/>
      <c r="G124" s="73"/>
      <c r="H124" s="73"/>
      <c r="I124" s="73"/>
      <c r="J124" s="73"/>
      <c r="K124" s="73"/>
      <c r="L124" s="73"/>
      <c r="M124" s="74"/>
      <c r="N124" s="71" t="str">
        <f t="shared" si="1"/>
        <v/>
      </c>
      <c r="O124" s="72"/>
      <c r="P124" s="72"/>
      <c r="Q124" s="72"/>
      <c r="R124" s="72"/>
      <c r="S124" s="72"/>
      <c r="T124" s="72"/>
      <c r="U124" s="72"/>
      <c r="V124" s="72"/>
    </row>
    <row r="125" spans="1:22" ht="27.75" customHeight="1">
      <c r="A125" s="87" t="str">
        <f>IF(ISBLANK(C125)," ",120-COUNTBLANK($C$6:C125))</f>
        <v xml:space="preserve"> </v>
      </c>
      <c r="B125" s="88"/>
      <c r="C125" s="88"/>
      <c r="D125" s="89"/>
      <c r="E125" s="89"/>
      <c r="F125" s="73"/>
      <c r="G125" s="73"/>
      <c r="H125" s="73"/>
      <c r="I125" s="73"/>
      <c r="J125" s="73"/>
      <c r="K125" s="73"/>
      <c r="L125" s="73"/>
      <c r="M125" s="74"/>
      <c r="N125" s="71" t="str">
        <f t="shared" si="1"/>
        <v/>
      </c>
      <c r="O125" s="72"/>
      <c r="P125" s="72"/>
      <c r="Q125" s="72"/>
      <c r="R125" s="72"/>
      <c r="S125" s="72"/>
      <c r="T125" s="72"/>
      <c r="U125" s="72"/>
      <c r="V125" s="72"/>
    </row>
    <row r="126" spans="1:22" ht="27.75" customHeight="1">
      <c r="A126" s="87" t="str">
        <f>IF(ISBLANK(C126)," ",121-COUNTBLANK($C$6:C126))</f>
        <v xml:space="preserve"> </v>
      </c>
      <c r="B126" s="88"/>
      <c r="C126" s="88"/>
      <c r="D126" s="89"/>
      <c r="E126" s="89"/>
      <c r="F126" s="73"/>
      <c r="G126" s="73"/>
      <c r="H126" s="73"/>
      <c r="I126" s="73"/>
      <c r="J126" s="73"/>
      <c r="K126" s="73"/>
      <c r="L126" s="73"/>
      <c r="M126" s="74"/>
      <c r="N126" s="71" t="str">
        <f t="shared" si="1"/>
        <v/>
      </c>
      <c r="O126" s="75"/>
      <c r="P126" s="72"/>
      <c r="Q126" s="72"/>
      <c r="R126" s="72"/>
      <c r="S126" s="72"/>
      <c r="T126" s="72"/>
      <c r="U126" s="72"/>
      <c r="V126" s="76"/>
    </row>
    <row r="127" spans="1:22" ht="27.75" customHeight="1">
      <c r="A127" s="87" t="str">
        <f>IF(ISBLANK(C127)," ",122-COUNTBLANK($C$6:C127))</f>
        <v xml:space="preserve"> </v>
      </c>
      <c r="B127" s="88"/>
      <c r="C127" s="88"/>
      <c r="D127" s="89"/>
      <c r="E127" s="89"/>
      <c r="F127" s="73"/>
      <c r="G127" s="73"/>
      <c r="H127" s="73"/>
      <c r="I127" s="73"/>
      <c r="J127" s="73"/>
      <c r="K127" s="73"/>
      <c r="L127" s="73"/>
      <c r="M127" s="74"/>
      <c r="N127" s="71" t="str">
        <f t="shared" si="1"/>
        <v/>
      </c>
      <c r="O127" s="75"/>
      <c r="P127" s="72"/>
      <c r="Q127" s="72"/>
      <c r="R127" s="72"/>
      <c r="S127" s="72"/>
      <c r="T127" s="72"/>
      <c r="U127" s="72"/>
      <c r="V127" s="76"/>
    </row>
    <row r="128" spans="1:22" ht="27.75" customHeight="1">
      <c r="A128" s="87" t="str">
        <f>IF(ISBLANK(C128)," ",123-COUNTBLANK($C$6:C128))</f>
        <v xml:space="preserve"> </v>
      </c>
      <c r="B128" s="88"/>
      <c r="C128" s="88"/>
      <c r="D128" s="89"/>
      <c r="E128" s="89"/>
      <c r="F128" s="73"/>
      <c r="G128" s="73"/>
      <c r="H128" s="73"/>
      <c r="I128" s="73"/>
      <c r="J128" s="73"/>
      <c r="K128" s="73"/>
      <c r="L128" s="73"/>
      <c r="M128" s="74"/>
      <c r="N128" s="71" t="str">
        <f t="shared" si="1"/>
        <v/>
      </c>
      <c r="O128" s="75"/>
      <c r="P128" s="72"/>
      <c r="Q128" s="72"/>
      <c r="R128" s="72"/>
      <c r="S128" s="72"/>
      <c r="T128" s="72"/>
      <c r="U128" s="72"/>
      <c r="V128" s="76"/>
    </row>
    <row r="129" spans="1:25" ht="27.75" customHeight="1">
      <c r="A129" s="87" t="str">
        <f>IF(ISBLANK(C129)," ",124-COUNTBLANK($C$6:C129))</f>
        <v xml:space="preserve"> </v>
      </c>
      <c r="B129" s="88"/>
      <c r="C129" s="88"/>
      <c r="D129" s="89"/>
      <c r="E129" s="89"/>
      <c r="F129" s="73"/>
      <c r="G129" s="73"/>
      <c r="H129" s="73"/>
      <c r="I129" s="73"/>
      <c r="J129" s="73"/>
      <c r="K129" s="73"/>
      <c r="L129" s="73"/>
      <c r="M129" s="74"/>
      <c r="N129" s="71" t="str">
        <f t="shared" si="1"/>
        <v/>
      </c>
      <c r="O129" s="75"/>
      <c r="P129" s="72"/>
      <c r="Q129" s="72"/>
      <c r="R129" s="72"/>
      <c r="S129" s="72"/>
      <c r="T129" s="72"/>
      <c r="U129" s="72"/>
      <c r="V129" s="76"/>
    </row>
    <row r="130" spans="1:25" ht="27.75" customHeight="1">
      <c r="A130" s="87" t="str">
        <f>IF(ISBLANK(C130)," ",125-COUNTBLANK($C$6:C130))</f>
        <v xml:space="preserve"> </v>
      </c>
      <c r="B130" s="88"/>
      <c r="C130" s="88"/>
      <c r="D130" s="89"/>
      <c r="E130" s="89"/>
      <c r="F130" s="73"/>
      <c r="G130" s="73"/>
      <c r="H130" s="73"/>
      <c r="I130" s="73"/>
      <c r="J130" s="73"/>
      <c r="K130" s="73"/>
      <c r="L130" s="73"/>
      <c r="M130" s="74"/>
      <c r="N130" s="71" t="str">
        <f t="shared" si="1"/>
        <v/>
      </c>
      <c r="O130" s="72"/>
      <c r="P130" s="72"/>
      <c r="Q130" s="72"/>
      <c r="R130" s="72"/>
      <c r="S130" s="72"/>
      <c r="T130" s="72"/>
      <c r="U130" s="72"/>
      <c r="V130" s="79"/>
      <c r="W130" s="72"/>
      <c r="X130" s="72"/>
      <c r="Y130" s="72"/>
    </row>
    <row r="131" spans="1:25" ht="27.75" customHeight="1">
      <c r="A131" s="80" t="s">
        <v>58</v>
      </c>
      <c r="B131" s="81"/>
      <c r="C131" s="96"/>
      <c r="D131" s="82"/>
      <c r="E131" s="82">
        <f>SUM(E111:E130)</f>
        <v>0</v>
      </c>
      <c r="F131" s="83"/>
      <c r="G131" s="83"/>
      <c r="H131" s="83"/>
      <c r="I131" s="83"/>
      <c r="J131" s="83"/>
      <c r="K131" s="83"/>
      <c r="L131" s="83"/>
      <c r="M131" s="84"/>
      <c r="N131" s="71" t="str">
        <f t="shared" si="1"/>
        <v/>
      </c>
      <c r="O131" s="75"/>
      <c r="P131" s="72"/>
      <c r="Q131" s="72"/>
      <c r="R131" s="72"/>
      <c r="S131" s="72"/>
      <c r="T131" s="72"/>
      <c r="U131" s="72"/>
      <c r="V131" s="79"/>
      <c r="W131" s="72"/>
      <c r="X131" s="72"/>
      <c r="Y131" s="72"/>
    </row>
    <row r="132" spans="1:25" ht="27.75" customHeight="1">
      <c r="A132" s="93" t="str">
        <f>IF(ISBLANK(C132)," ",127-COUNTBLANK($C$6:C132))</f>
        <v xml:space="preserve"> </v>
      </c>
      <c r="B132" s="94"/>
      <c r="C132" s="94"/>
      <c r="D132" s="95"/>
      <c r="E132" s="95"/>
      <c r="F132" s="85"/>
      <c r="G132" s="85"/>
      <c r="H132" s="85"/>
      <c r="I132" s="85"/>
      <c r="J132" s="85"/>
      <c r="K132" s="85"/>
      <c r="L132" s="85"/>
      <c r="M132" s="86"/>
      <c r="N132" s="71" t="str">
        <f t="shared" si="1"/>
        <v/>
      </c>
      <c r="O132" s="72"/>
      <c r="P132" s="72"/>
      <c r="Q132" s="72"/>
      <c r="R132" s="72"/>
      <c r="S132" s="72"/>
      <c r="T132" s="72"/>
      <c r="U132" s="72"/>
      <c r="V132" s="72"/>
    </row>
    <row r="133" spans="1:25" ht="27.75" customHeight="1">
      <c r="A133" s="87" t="str">
        <f>IF(ISBLANK(C133)," ",128-COUNTBLANK($C$6:C133))</f>
        <v xml:space="preserve"> </v>
      </c>
      <c r="B133" s="88"/>
      <c r="C133" s="88"/>
      <c r="D133" s="89"/>
      <c r="E133" s="89"/>
      <c r="F133" s="73"/>
      <c r="G133" s="73"/>
      <c r="H133" s="73"/>
      <c r="I133" s="73"/>
      <c r="J133" s="73"/>
      <c r="K133" s="73"/>
      <c r="L133" s="73"/>
      <c r="M133" s="74"/>
      <c r="N133" s="71" t="str">
        <f t="shared" si="1"/>
        <v/>
      </c>
      <c r="O133" s="72"/>
      <c r="P133" s="72"/>
      <c r="Q133" s="72"/>
      <c r="R133" s="72"/>
      <c r="S133" s="72"/>
      <c r="T133" s="72"/>
      <c r="U133" s="72"/>
      <c r="V133" s="72"/>
    </row>
    <row r="134" spans="1:25" ht="27.75" customHeight="1">
      <c r="A134" s="87" t="str">
        <f>IF(ISBLANK(C134)," ",129-COUNTBLANK($C$6:C134))</f>
        <v xml:space="preserve"> </v>
      </c>
      <c r="B134" s="88"/>
      <c r="C134" s="88"/>
      <c r="D134" s="89"/>
      <c r="E134" s="89"/>
      <c r="F134" s="73"/>
      <c r="G134" s="73"/>
      <c r="H134" s="73"/>
      <c r="I134" s="73"/>
      <c r="J134" s="73"/>
      <c r="K134" s="73"/>
      <c r="L134" s="73"/>
      <c r="M134" s="74"/>
      <c r="N134" s="71" t="str">
        <f t="shared" ref="N134:N197" si="2">CONCATENATE(C134,H134)</f>
        <v/>
      </c>
      <c r="O134" s="72"/>
      <c r="P134" s="72"/>
      <c r="Q134" s="72"/>
      <c r="R134" s="72"/>
      <c r="S134" s="72"/>
      <c r="T134" s="72"/>
      <c r="U134" s="72"/>
      <c r="V134" s="72"/>
    </row>
    <row r="135" spans="1:25" ht="27.75" customHeight="1">
      <c r="A135" s="87" t="str">
        <f>IF(ISBLANK(C135)," ",130-COUNTBLANK($C$6:C135))</f>
        <v xml:space="preserve"> </v>
      </c>
      <c r="B135" s="88"/>
      <c r="C135" s="88"/>
      <c r="D135" s="89"/>
      <c r="E135" s="89"/>
      <c r="F135" s="73"/>
      <c r="G135" s="73"/>
      <c r="H135" s="73"/>
      <c r="I135" s="73"/>
      <c r="J135" s="73"/>
      <c r="K135" s="73"/>
      <c r="L135" s="73"/>
      <c r="M135" s="74"/>
      <c r="N135" s="71" t="str">
        <f t="shared" si="2"/>
        <v/>
      </c>
      <c r="O135" s="72"/>
      <c r="P135" s="72"/>
      <c r="Q135" s="72"/>
      <c r="R135" s="72"/>
      <c r="S135" s="72"/>
      <c r="T135" s="72"/>
      <c r="U135" s="72"/>
      <c r="V135" s="72"/>
    </row>
    <row r="136" spans="1:25" ht="27.75" customHeight="1">
      <c r="A136" s="87" t="str">
        <f>IF(ISBLANK(C136)," ",131-COUNTBLANK($C$6:C136))</f>
        <v xml:space="preserve"> </v>
      </c>
      <c r="B136" s="88"/>
      <c r="C136" s="88"/>
      <c r="D136" s="89"/>
      <c r="E136" s="89"/>
      <c r="F136" s="73"/>
      <c r="G136" s="73"/>
      <c r="H136" s="73"/>
      <c r="I136" s="73"/>
      <c r="J136" s="73"/>
      <c r="K136" s="73"/>
      <c r="L136" s="73"/>
      <c r="M136" s="74"/>
      <c r="N136" s="71" t="str">
        <f t="shared" si="2"/>
        <v/>
      </c>
      <c r="O136" s="72"/>
      <c r="P136" s="72"/>
      <c r="Q136" s="72"/>
      <c r="R136" s="72"/>
      <c r="S136" s="72"/>
      <c r="T136" s="72"/>
      <c r="U136" s="72"/>
      <c r="V136" s="72"/>
    </row>
    <row r="137" spans="1:25" ht="27.75" customHeight="1">
      <c r="A137" s="87" t="str">
        <f>IF(ISBLANK(C137)," ",132-COUNTBLANK($C$6:C137))</f>
        <v xml:space="preserve"> </v>
      </c>
      <c r="B137" s="88"/>
      <c r="C137" s="88"/>
      <c r="D137" s="89"/>
      <c r="E137" s="89"/>
      <c r="F137" s="73"/>
      <c r="G137" s="73"/>
      <c r="H137" s="73"/>
      <c r="I137" s="73"/>
      <c r="J137" s="73"/>
      <c r="K137" s="73"/>
      <c r="L137" s="73"/>
      <c r="M137" s="74"/>
      <c r="N137" s="71" t="str">
        <f t="shared" si="2"/>
        <v/>
      </c>
      <c r="O137" s="72"/>
      <c r="P137" s="72"/>
      <c r="Q137" s="72"/>
      <c r="R137" s="72"/>
      <c r="S137" s="72"/>
      <c r="T137" s="72"/>
      <c r="U137" s="72"/>
      <c r="V137" s="72"/>
    </row>
    <row r="138" spans="1:25" ht="27.75" customHeight="1">
      <c r="A138" s="87" t="str">
        <f>IF(ISBLANK(C138)," ",133-COUNTBLANK($C$6:C138))</f>
        <v xml:space="preserve"> </v>
      </c>
      <c r="B138" s="88"/>
      <c r="C138" s="88"/>
      <c r="D138" s="89"/>
      <c r="E138" s="89"/>
      <c r="F138" s="73"/>
      <c r="G138" s="73"/>
      <c r="H138" s="73"/>
      <c r="I138" s="73"/>
      <c r="J138" s="73"/>
      <c r="K138" s="73"/>
      <c r="L138" s="73"/>
      <c r="M138" s="74"/>
      <c r="N138" s="71" t="str">
        <f t="shared" si="2"/>
        <v/>
      </c>
      <c r="O138" s="72"/>
      <c r="P138" s="72"/>
      <c r="Q138" s="72"/>
      <c r="R138" s="72"/>
      <c r="S138" s="72"/>
      <c r="T138" s="72"/>
      <c r="U138" s="72"/>
      <c r="V138" s="72"/>
    </row>
    <row r="139" spans="1:25" ht="27.75" customHeight="1">
      <c r="A139" s="87" t="str">
        <f>IF(ISBLANK(C139)," ",134-COUNTBLANK($C$6:C139))</f>
        <v xml:space="preserve"> </v>
      </c>
      <c r="B139" s="88"/>
      <c r="C139" s="88"/>
      <c r="D139" s="89"/>
      <c r="E139" s="89"/>
      <c r="F139" s="73"/>
      <c r="G139" s="73"/>
      <c r="H139" s="73"/>
      <c r="I139" s="73"/>
      <c r="J139" s="73"/>
      <c r="K139" s="73"/>
      <c r="L139" s="73"/>
      <c r="M139" s="74"/>
      <c r="N139" s="71" t="str">
        <f t="shared" si="2"/>
        <v/>
      </c>
      <c r="O139" s="72"/>
      <c r="P139" s="72"/>
      <c r="Q139" s="72"/>
      <c r="R139" s="72"/>
      <c r="S139" s="72"/>
      <c r="T139" s="72"/>
      <c r="U139" s="72"/>
      <c r="V139" s="72"/>
    </row>
    <row r="140" spans="1:25" ht="27.75" customHeight="1">
      <c r="A140" s="87" t="str">
        <f>IF(ISBLANK(C140)," ",135-COUNTBLANK($C$6:C140))</f>
        <v xml:space="preserve"> </v>
      </c>
      <c r="B140" s="88"/>
      <c r="C140" s="88"/>
      <c r="D140" s="89"/>
      <c r="E140" s="89"/>
      <c r="F140" s="73"/>
      <c r="G140" s="73"/>
      <c r="H140" s="73"/>
      <c r="I140" s="73"/>
      <c r="J140" s="73"/>
      <c r="K140" s="73"/>
      <c r="L140" s="73"/>
      <c r="M140" s="74"/>
      <c r="N140" s="71" t="str">
        <f t="shared" si="2"/>
        <v/>
      </c>
      <c r="O140" s="72"/>
      <c r="P140" s="72"/>
      <c r="Q140" s="72"/>
      <c r="R140" s="72"/>
      <c r="S140" s="72"/>
      <c r="T140" s="72"/>
      <c r="U140" s="72"/>
      <c r="V140" s="72"/>
    </row>
    <row r="141" spans="1:25" ht="27.75" customHeight="1">
      <c r="A141" s="87" t="str">
        <f>IF(ISBLANK(C141)," ",136-COUNTBLANK($C$6:C141))</f>
        <v xml:space="preserve"> </v>
      </c>
      <c r="B141" s="88"/>
      <c r="C141" s="88"/>
      <c r="D141" s="89"/>
      <c r="E141" s="89"/>
      <c r="F141" s="73"/>
      <c r="G141" s="73"/>
      <c r="H141" s="73"/>
      <c r="I141" s="73"/>
      <c r="J141" s="73"/>
      <c r="K141" s="73"/>
      <c r="L141" s="73"/>
      <c r="M141" s="74"/>
      <c r="N141" s="71" t="str">
        <f t="shared" si="2"/>
        <v/>
      </c>
      <c r="O141" s="72"/>
      <c r="P141" s="72"/>
      <c r="Q141" s="72"/>
      <c r="R141" s="72"/>
      <c r="S141" s="72"/>
      <c r="T141" s="72"/>
      <c r="U141" s="72"/>
      <c r="V141" s="72"/>
    </row>
    <row r="142" spans="1:25" ht="27.75" customHeight="1">
      <c r="A142" s="87" t="str">
        <f>IF(ISBLANK(C142)," ",137-COUNTBLANK($C$6:C142))</f>
        <v xml:space="preserve"> </v>
      </c>
      <c r="B142" s="88"/>
      <c r="C142" s="88"/>
      <c r="D142" s="89"/>
      <c r="E142" s="89"/>
      <c r="F142" s="73"/>
      <c r="G142" s="73"/>
      <c r="H142" s="73"/>
      <c r="I142" s="73"/>
      <c r="J142" s="73"/>
      <c r="K142" s="73"/>
      <c r="L142" s="73"/>
      <c r="M142" s="74"/>
      <c r="N142" s="71" t="str">
        <f t="shared" si="2"/>
        <v/>
      </c>
      <c r="O142" s="72"/>
      <c r="P142" s="72"/>
      <c r="Q142" s="72"/>
      <c r="R142" s="72"/>
      <c r="S142" s="72"/>
      <c r="T142" s="72"/>
      <c r="U142" s="72"/>
      <c r="V142" s="72"/>
    </row>
    <row r="143" spans="1:25" ht="27.75" customHeight="1">
      <c r="A143" s="87" t="str">
        <f>IF(ISBLANK(C143)," ",138-COUNTBLANK($C$6:C143))</f>
        <v xml:space="preserve"> </v>
      </c>
      <c r="B143" s="88"/>
      <c r="C143" s="88"/>
      <c r="D143" s="89"/>
      <c r="E143" s="89"/>
      <c r="F143" s="73"/>
      <c r="G143" s="73"/>
      <c r="H143" s="73"/>
      <c r="I143" s="73"/>
      <c r="J143" s="73"/>
      <c r="K143" s="73"/>
      <c r="L143" s="73"/>
      <c r="M143" s="74"/>
      <c r="N143" s="71" t="str">
        <f t="shared" si="2"/>
        <v/>
      </c>
      <c r="O143" s="72"/>
      <c r="P143" s="72"/>
      <c r="Q143" s="72"/>
      <c r="R143" s="72"/>
      <c r="S143" s="72"/>
      <c r="T143" s="72"/>
      <c r="U143" s="72"/>
      <c r="V143" s="72"/>
    </row>
    <row r="144" spans="1:25" ht="27.75" customHeight="1">
      <c r="A144" s="87" t="str">
        <f>IF(ISBLANK(C144)," ",139-COUNTBLANK($C$6:C144))</f>
        <v xml:space="preserve"> </v>
      </c>
      <c r="B144" s="88"/>
      <c r="C144" s="88"/>
      <c r="D144" s="89"/>
      <c r="E144" s="89"/>
      <c r="F144" s="73"/>
      <c r="G144" s="73"/>
      <c r="H144" s="73"/>
      <c r="I144" s="73"/>
      <c r="J144" s="73"/>
      <c r="K144" s="73"/>
      <c r="L144" s="73"/>
      <c r="M144" s="74"/>
      <c r="N144" s="71" t="str">
        <f t="shared" si="2"/>
        <v/>
      </c>
      <c r="O144" s="72"/>
      <c r="P144" s="72"/>
      <c r="Q144" s="72"/>
      <c r="R144" s="72"/>
      <c r="S144" s="72"/>
      <c r="T144" s="72"/>
      <c r="U144" s="72"/>
      <c r="V144" s="72"/>
    </row>
    <row r="145" spans="1:25" ht="27.75" customHeight="1">
      <c r="A145" s="87" t="str">
        <f>IF(ISBLANK(C145)," ",140-COUNTBLANK($C$6:C145))</f>
        <v xml:space="preserve"> </v>
      </c>
      <c r="B145" s="88"/>
      <c r="C145" s="88"/>
      <c r="D145" s="89"/>
      <c r="E145" s="89"/>
      <c r="F145" s="73"/>
      <c r="G145" s="73"/>
      <c r="H145" s="73"/>
      <c r="I145" s="73"/>
      <c r="J145" s="73"/>
      <c r="K145" s="73"/>
      <c r="L145" s="73"/>
      <c r="M145" s="74"/>
      <c r="N145" s="71" t="str">
        <f t="shared" si="2"/>
        <v/>
      </c>
      <c r="O145" s="72"/>
      <c r="P145" s="72"/>
      <c r="Q145" s="72"/>
      <c r="R145" s="72"/>
      <c r="S145" s="72"/>
      <c r="T145" s="72"/>
      <c r="U145" s="72"/>
      <c r="V145" s="72"/>
    </row>
    <row r="146" spans="1:25" ht="27.75" customHeight="1">
      <c r="A146" s="87" t="str">
        <f>IF(ISBLANK(C146)," ",141-COUNTBLANK($C$6:C146))</f>
        <v xml:space="preserve"> </v>
      </c>
      <c r="B146" s="88"/>
      <c r="C146" s="88"/>
      <c r="D146" s="89"/>
      <c r="E146" s="89"/>
      <c r="F146" s="73"/>
      <c r="G146" s="73"/>
      <c r="H146" s="73"/>
      <c r="I146" s="73"/>
      <c r="J146" s="73"/>
      <c r="K146" s="73"/>
      <c r="L146" s="73"/>
      <c r="M146" s="74"/>
      <c r="N146" s="71" t="str">
        <f t="shared" si="2"/>
        <v/>
      </c>
      <c r="O146" s="72"/>
      <c r="P146" s="72"/>
      <c r="Q146" s="72"/>
      <c r="R146" s="72"/>
      <c r="S146" s="72"/>
      <c r="T146" s="72"/>
      <c r="U146" s="72"/>
      <c r="V146" s="72"/>
    </row>
    <row r="147" spans="1:25" ht="27.75" customHeight="1">
      <c r="A147" s="87" t="str">
        <f>IF(ISBLANK(C147)," ",142-COUNTBLANK($C$6:C147))</f>
        <v xml:space="preserve"> </v>
      </c>
      <c r="B147" s="88"/>
      <c r="C147" s="88"/>
      <c r="D147" s="89"/>
      <c r="E147" s="89"/>
      <c r="F147" s="73"/>
      <c r="G147" s="73"/>
      <c r="H147" s="73"/>
      <c r="I147" s="73"/>
      <c r="J147" s="73"/>
      <c r="K147" s="73"/>
      <c r="L147" s="73"/>
      <c r="M147" s="74"/>
      <c r="N147" s="71" t="str">
        <f t="shared" si="2"/>
        <v/>
      </c>
      <c r="O147" s="75"/>
      <c r="P147" s="72"/>
      <c r="Q147" s="72"/>
      <c r="R147" s="72"/>
      <c r="S147" s="72"/>
      <c r="T147" s="72"/>
      <c r="U147" s="72"/>
      <c r="V147" s="76"/>
    </row>
    <row r="148" spans="1:25" ht="27.75" customHeight="1">
      <c r="A148" s="87" t="str">
        <f>IF(ISBLANK(C148)," ",143-COUNTBLANK($C$6:C148))</f>
        <v xml:space="preserve"> </v>
      </c>
      <c r="B148" s="88"/>
      <c r="C148" s="88"/>
      <c r="D148" s="89"/>
      <c r="E148" s="89"/>
      <c r="F148" s="73"/>
      <c r="G148" s="73"/>
      <c r="H148" s="73"/>
      <c r="I148" s="73"/>
      <c r="J148" s="73"/>
      <c r="K148" s="73"/>
      <c r="L148" s="73"/>
      <c r="M148" s="74"/>
      <c r="N148" s="71" t="str">
        <f t="shared" si="2"/>
        <v/>
      </c>
      <c r="O148" s="75"/>
      <c r="P148" s="72"/>
      <c r="Q148" s="72"/>
      <c r="R148" s="72"/>
      <c r="S148" s="72"/>
      <c r="T148" s="72"/>
      <c r="U148" s="72"/>
      <c r="V148" s="76"/>
    </row>
    <row r="149" spans="1:25" ht="27.75" customHeight="1">
      <c r="A149" s="87" t="str">
        <f>IF(ISBLANK(C149)," ",144-COUNTBLANK($C$6:C149))</f>
        <v xml:space="preserve"> </v>
      </c>
      <c r="B149" s="88"/>
      <c r="C149" s="88"/>
      <c r="D149" s="89"/>
      <c r="E149" s="89"/>
      <c r="F149" s="73"/>
      <c r="G149" s="73"/>
      <c r="H149" s="73"/>
      <c r="I149" s="73"/>
      <c r="J149" s="73"/>
      <c r="K149" s="73"/>
      <c r="L149" s="73"/>
      <c r="M149" s="74"/>
      <c r="N149" s="71" t="str">
        <f t="shared" si="2"/>
        <v/>
      </c>
      <c r="O149" s="75"/>
      <c r="P149" s="72"/>
      <c r="Q149" s="72"/>
      <c r="R149" s="72"/>
      <c r="S149" s="72"/>
      <c r="T149" s="72"/>
      <c r="U149" s="72"/>
      <c r="V149" s="76"/>
    </row>
    <row r="150" spans="1:25" ht="27.75" customHeight="1">
      <c r="A150" s="87" t="str">
        <f>IF(ISBLANK(C150)," ",145-COUNTBLANK($C$6:C150))</f>
        <v xml:space="preserve"> </v>
      </c>
      <c r="B150" s="88"/>
      <c r="C150" s="88"/>
      <c r="D150" s="89"/>
      <c r="E150" s="89"/>
      <c r="F150" s="73"/>
      <c r="G150" s="73"/>
      <c r="H150" s="73"/>
      <c r="I150" s="73"/>
      <c r="J150" s="73"/>
      <c r="K150" s="73"/>
      <c r="L150" s="73"/>
      <c r="M150" s="74"/>
      <c r="N150" s="71" t="str">
        <f t="shared" si="2"/>
        <v/>
      </c>
      <c r="O150" s="75"/>
      <c r="P150" s="72"/>
      <c r="Q150" s="72"/>
      <c r="R150" s="72"/>
      <c r="S150" s="72"/>
      <c r="T150" s="72"/>
      <c r="U150" s="72"/>
      <c r="V150" s="76"/>
    </row>
    <row r="151" spans="1:25" ht="27.75" customHeight="1">
      <c r="A151" s="87" t="str">
        <f>IF(ISBLANK(C151)," ",146-COUNTBLANK($C$6:C151))</f>
        <v xml:space="preserve"> </v>
      </c>
      <c r="B151" s="88"/>
      <c r="C151" s="88"/>
      <c r="D151" s="89"/>
      <c r="E151" s="89"/>
      <c r="F151" s="73"/>
      <c r="G151" s="73"/>
      <c r="H151" s="73"/>
      <c r="I151" s="73"/>
      <c r="J151" s="73"/>
      <c r="K151" s="73"/>
      <c r="L151" s="73"/>
      <c r="M151" s="74"/>
      <c r="N151" s="71" t="str">
        <f t="shared" si="2"/>
        <v/>
      </c>
      <c r="O151" s="72"/>
      <c r="P151" s="72"/>
      <c r="Q151" s="72"/>
      <c r="R151" s="72"/>
      <c r="S151" s="72"/>
      <c r="T151" s="72"/>
      <c r="U151" s="72"/>
      <c r="V151" s="79"/>
      <c r="W151" s="72"/>
      <c r="X151" s="72"/>
      <c r="Y151" s="72"/>
    </row>
    <row r="152" spans="1:25" ht="27.75" customHeight="1">
      <c r="A152" s="80" t="s">
        <v>58</v>
      </c>
      <c r="B152" s="81"/>
      <c r="C152" s="96"/>
      <c r="D152" s="82"/>
      <c r="E152" s="82">
        <f>SUM(E132:E151)</f>
        <v>0</v>
      </c>
      <c r="F152" s="83"/>
      <c r="G152" s="83"/>
      <c r="H152" s="83"/>
      <c r="I152" s="83"/>
      <c r="J152" s="83"/>
      <c r="K152" s="83"/>
      <c r="L152" s="83"/>
      <c r="M152" s="84"/>
      <c r="N152" s="71" t="str">
        <f t="shared" si="2"/>
        <v/>
      </c>
      <c r="O152" s="75"/>
      <c r="P152" s="72"/>
      <c r="Q152" s="72"/>
      <c r="R152" s="72"/>
      <c r="S152" s="72"/>
      <c r="T152" s="72"/>
      <c r="U152" s="72"/>
      <c r="V152" s="79"/>
      <c r="W152" s="72"/>
      <c r="X152" s="72"/>
      <c r="Y152" s="72"/>
    </row>
    <row r="153" spans="1:25" ht="27.75" customHeight="1">
      <c r="A153" s="93" t="str">
        <f>IF(ISBLANK(C153)," ",148-COUNTBLANK($C$6:C153))</f>
        <v xml:space="preserve"> </v>
      </c>
      <c r="B153" s="94"/>
      <c r="C153" s="94"/>
      <c r="D153" s="95"/>
      <c r="E153" s="95"/>
      <c r="F153" s="85"/>
      <c r="G153" s="85"/>
      <c r="H153" s="85"/>
      <c r="I153" s="85"/>
      <c r="J153" s="85"/>
      <c r="K153" s="85"/>
      <c r="L153" s="85"/>
      <c r="M153" s="86"/>
      <c r="N153" s="71" t="str">
        <f t="shared" si="2"/>
        <v/>
      </c>
      <c r="O153" s="72"/>
      <c r="P153" s="72"/>
      <c r="Q153" s="72"/>
      <c r="R153" s="72"/>
      <c r="S153" s="72"/>
      <c r="T153" s="72"/>
      <c r="U153" s="72"/>
      <c r="V153" s="72"/>
    </row>
    <row r="154" spans="1:25" ht="27.75" customHeight="1">
      <c r="A154" s="87" t="str">
        <f>IF(ISBLANK(C154)," ",149-COUNTBLANK($C$6:C154))</f>
        <v xml:space="preserve"> </v>
      </c>
      <c r="B154" s="88"/>
      <c r="C154" s="88"/>
      <c r="D154" s="89"/>
      <c r="E154" s="89"/>
      <c r="F154" s="73"/>
      <c r="G154" s="73"/>
      <c r="H154" s="73"/>
      <c r="I154" s="73"/>
      <c r="J154" s="73"/>
      <c r="K154" s="73"/>
      <c r="L154" s="73"/>
      <c r="M154" s="74"/>
      <c r="N154" s="71" t="str">
        <f t="shared" si="2"/>
        <v/>
      </c>
      <c r="O154" s="72"/>
      <c r="P154" s="72"/>
      <c r="Q154" s="72"/>
      <c r="R154" s="72"/>
      <c r="S154" s="72"/>
      <c r="T154" s="72"/>
      <c r="U154" s="72"/>
      <c r="V154" s="72"/>
    </row>
    <row r="155" spans="1:25" ht="27.75" customHeight="1">
      <c r="A155" s="87" t="str">
        <f>IF(ISBLANK(C155)," ",150-COUNTBLANK($C$6:C155))</f>
        <v xml:space="preserve"> </v>
      </c>
      <c r="B155" s="88"/>
      <c r="C155" s="88"/>
      <c r="D155" s="89"/>
      <c r="E155" s="89"/>
      <c r="F155" s="73"/>
      <c r="G155" s="73"/>
      <c r="H155" s="73"/>
      <c r="I155" s="73"/>
      <c r="J155" s="73"/>
      <c r="K155" s="73"/>
      <c r="L155" s="73"/>
      <c r="M155" s="74"/>
      <c r="N155" s="71" t="str">
        <f t="shared" si="2"/>
        <v/>
      </c>
      <c r="O155" s="72"/>
      <c r="P155" s="72"/>
      <c r="Q155" s="72"/>
      <c r="R155" s="72"/>
      <c r="S155" s="72"/>
      <c r="T155" s="72"/>
      <c r="U155" s="72"/>
      <c r="V155" s="72"/>
    </row>
    <row r="156" spans="1:25" ht="27.75" customHeight="1">
      <c r="A156" s="87" t="str">
        <f>IF(ISBLANK(C156)," ",151-COUNTBLANK($C$6:C156))</f>
        <v xml:space="preserve"> </v>
      </c>
      <c r="B156" s="88"/>
      <c r="C156" s="88"/>
      <c r="D156" s="89"/>
      <c r="E156" s="89"/>
      <c r="F156" s="73"/>
      <c r="G156" s="73"/>
      <c r="H156" s="73"/>
      <c r="I156" s="73"/>
      <c r="J156" s="73"/>
      <c r="K156" s="73"/>
      <c r="L156" s="73"/>
      <c r="M156" s="74"/>
      <c r="N156" s="71" t="str">
        <f t="shared" si="2"/>
        <v/>
      </c>
      <c r="O156" s="72"/>
      <c r="P156" s="72"/>
      <c r="Q156" s="72"/>
      <c r="R156" s="72"/>
      <c r="S156" s="72"/>
      <c r="T156" s="72"/>
      <c r="U156" s="72"/>
      <c r="V156" s="72"/>
    </row>
    <row r="157" spans="1:25" ht="27.75" customHeight="1">
      <c r="A157" s="87" t="str">
        <f>IF(ISBLANK(C157)," ",152-COUNTBLANK($C$6:C157))</f>
        <v xml:space="preserve"> </v>
      </c>
      <c r="B157" s="88"/>
      <c r="C157" s="88"/>
      <c r="D157" s="89"/>
      <c r="E157" s="89"/>
      <c r="F157" s="73"/>
      <c r="G157" s="73"/>
      <c r="H157" s="73"/>
      <c r="I157" s="73"/>
      <c r="J157" s="73"/>
      <c r="K157" s="73"/>
      <c r="L157" s="73"/>
      <c r="M157" s="74"/>
      <c r="N157" s="71" t="str">
        <f t="shared" si="2"/>
        <v/>
      </c>
      <c r="O157" s="72"/>
      <c r="P157" s="72"/>
      <c r="Q157" s="72"/>
      <c r="R157" s="72"/>
      <c r="S157" s="72"/>
      <c r="T157" s="72"/>
      <c r="U157" s="72"/>
      <c r="V157" s="72"/>
    </row>
    <row r="158" spans="1:25" ht="27.75" customHeight="1">
      <c r="A158" s="87" t="str">
        <f>IF(ISBLANK(C158)," ",153-COUNTBLANK($C$6:C158))</f>
        <v xml:space="preserve"> </v>
      </c>
      <c r="B158" s="88"/>
      <c r="C158" s="88"/>
      <c r="D158" s="89"/>
      <c r="E158" s="89"/>
      <c r="F158" s="73"/>
      <c r="G158" s="73"/>
      <c r="H158" s="73"/>
      <c r="I158" s="73"/>
      <c r="J158" s="73"/>
      <c r="K158" s="73"/>
      <c r="L158" s="73"/>
      <c r="M158" s="74"/>
      <c r="N158" s="71" t="str">
        <f t="shared" si="2"/>
        <v/>
      </c>
      <c r="O158" s="72"/>
      <c r="P158" s="72"/>
      <c r="Q158" s="72"/>
      <c r="R158" s="72"/>
      <c r="S158" s="72"/>
      <c r="T158" s="72"/>
      <c r="U158" s="72"/>
      <c r="V158" s="72"/>
    </row>
    <row r="159" spans="1:25" ht="27.75" customHeight="1">
      <c r="A159" s="87" t="str">
        <f>IF(ISBLANK(C159)," ",154-COUNTBLANK($C$6:C159))</f>
        <v xml:space="preserve"> </v>
      </c>
      <c r="B159" s="88"/>
      <c r="C159" s="88"/>
      <c r="D159" s="89"/>
      <c r="E159" s="89"/>
      <c r="F159" s="73"/>
      <c r="G159" s="73"/>
      <c r="H159" s="73"/>
      <c r="I159" s="73"/>
      <c r="J159" s="73"/>
      <c r="K159" s="73"/>
      <c r="L159" s="73"/>
      <c r="M159" s="74"/>
      <c r="N159" s="71" t="str">
        <f t="shared" si="2"/>
        <v/>
      </c>
      <c r="O159" s="72"/>
      <c r="P159" s="72"/>
      <c r="Q159" s="72"/>
      <c r="R159" s="72"/>
      <c r="S159" s="72"/>
      <c r="T159" s="72"/>
      <c r="U159" s="72"/>
      <c r="V159" s="72"/>
    </row>
    <row r="160" spans="1:25" ht="27.75" customHeight="1">
      <c r="A160" s="87" t="str">
        <f>IF(ISBLANK(C160)," ",155-COUNTBLANK($C$6:C160))</f>
        <v xml:space="preserve"> </v>
      </c>
      <c r="B160" s="88"/>
      <c r="C160" s="88"/>
      <c r="D160" s="89"/>
      <c r="E160" s="89"/>
      <c r="F160" s="73"/>
      <c r="G160" s="73"/>
      <c r="H160" s="73"/>
      <c r="I160" s="73"/>
      <c r="J160" s="73"/>
      <c r="K160" s="73"/>
      <c r="L160" s="73"/>
      <c r="M160" s="74"/>
      <c r="N160" s="71" t="str">
        <f t="shared" si="2"/>
        <v/>
      </c>
      <c r="O160" s="72"/>
      <c r="P160" s="72"/>
      <c r="Q160" s="72"/>
      <c r="R160" s="72"/>
      <c r="S160" s="72"/>
      <c r="T160" s="72"/>
      <c r="U160" s="72"/>
      <c r="V160" s="72"/>
    </row>
    <row r="161" spans="1:25" ht="27.75" customHeight="1">
      <c r="A161" s="87" t="str">
        <f>IF(ISBLANK(C161)," ",156-COUNTBLANK($C$6:C161))</f>
        <v xml:space="preserve"> </v>
      </c>
      <c r="B161" s="88"/>
      <c r="C161" s="88"/>
      <c r="D161" s="89"/>
      <c r="E161" s="89"/>
      <c r="F161" s="73"/>
      <c r="G161" s="73"/>
      <c r="H161" s="73"/>
      <c r="I161" s="73"/>
      <c r="J161" s="73"/>
      <c r="K161" s="73"/>
      <c r="L161" s="73"/>
      <c r="M161" s="74"/>
      <c r="N161" s="71" t="str">
        <f t="shared" si="2"/>
        <v/>
      </c>
      <c r="O161" s="72"/>
      <c r="P161" s="72"/>
      <c r="Q161" s="72"/>
      <c r="R161" s="72"/>
      <c r="S161" s="72"/>
      <c r="T161" s="72"/>
      <c r="U161" s="72"/>
      <c r="V161" s="72"/>
    </row>
    <row r="162" spans="1:25" ht="27.75" customHeight="1">
      <c r="A162" s="87" t="str">
        <f>IF(ISBLANK(C162)," ",157-COUNTBLANK($C$6:C162))</f>
        <v xml:space="preserve"> </v>
      </c>
      <c r="B162" s="88"/>
      <c r="C162" s="88"/>
      <c r="D162" s="89"/>
      <c r="E162" s="89"/>
      <c r="F162" s="73"/>
      <c r="G162" s="73"/>
      <c r="H162" s="73"/>
      <c r="I162" s="73"/>
      <c r="J162" s="73"/>
      <c r="K162" s="73"/>
      <c r="L162" s="73"/>
      <c r="M162" s="74"/>
      <c r="N162" s="71" t="str">
        <f t="shared" si="2"/>
        <v/>
      </c>
      <c r="O162" s="72"/>
      <c r="P162" s="72"/>
      <c r="Q162" s="72"/>
      <c r="R162" s="72"/>
      <c r="S162" s="72"/>
      <c r="T162" s="72"/>
      <c r="U162" s="72"/>
      <c r="V162" s="72"/>
    </row>
    <row r="163" spans="1:25" ht="27.75" customHeight="1">
      <c r="A163" s="87" t="str">
        <f>IF(ISBLANK(C163)," ",158-COUNTBLANK($C$6:C163))</f>
        <v xml:space="preserve"> </v>
      </c>
      <c r="B163" s="88"/>
      <c r="C163" s="88"/>
      <c r="D163" s="89"/>
      <c r="E163" s="89"/>
      <c r="F163" s="73"/>
      <c r="G163" s="73"/>
      <c r="H163" s="73"/>
      <c r="I163" s="73"/>
      <c r="J163" s="73"/>
      <c r="K163" s="73"/>
      <c r="L163" s="73"/>
      <c r="M163" s="74"/>
      <c r="N163" s="71" t="str">
        <f t="shared" si="2"/>
        <v/>
      </c>
      <c r="O163" s="72"/>
      <c r="P163" s="72"/>
      <c r="Q163" s="72"/>
      <c r="R163" s="72"/>
      <c r="S163" s="72"/>
      <c r="T163" s="72"/>
      <c r="U163" s="72"/>
      <c r="V163" s="72"/>
    </row>
    <row r="164" spans="1:25" ht="27.75" customHeight="1">
      <c r="A164" s="87" t="str">
        <f>IF(ISBLANK(C164)," ",159-COUNTBLANK($C$6:C164))</f>
        <v xml:space="preserve"> </v>
      </c>
      <c r="B164" s="88"/>
      <c r="C164" s="88"/>
      <c r="D164" s="89"/>
      <c r="E164" s="89"/>
      <c r="F164" s="73"/>
      <c r="G164" s="73"/>
      <c r="H164" s="73"/>
      <c r="I164" s="73"/>
      <c r="J164" s="73"/>
      <c r="K164" s="73"/>
      <c r="L164" s="73"/>
      <c r="M164" s="74"/>
      <c r="N164" s="71" t="str">
        <f t="shared" si="2"/>
        <v/>
      </c>
      <c r="O164" s="72"/>
      <c r="P164" s="72"/>
      <c r="Q164" s="72"/>
      <c r="R164" s="72"/>
      <c r="S164" s="72"/>
      <c r="T164" s="72"/>
      <c r="U164" s="72"/>
      <c r="V164" s="72"/>
    </row>
    <row r="165" spans="1:25" ht="27.75" customHeight="1">
      <c r="A165" s="87" t="str">
        <f>IF(ISBLANK(C165)," ",160-COUNTBLANK($C$6:C165))</f>
        <v xml:space="preserve"> </v>
      </c>
      <c r="B165" s="88"/>
      <c r="C165" s="88"/>
      <c r="D165" s="89"/>
      <c r="E165" s="89"/>
      <c r="F165" s="73"/>
      <c r="G165" s="73"/>
      <c r="H165" s="73"/>
      <c r="I165" s="73"/>
      <c r="J165" s="73"/>
      <c r="K165" s="73"/>
      <c r="L165" s="73"/>
      <c r="M165" s="74"/>
      <c r="N165" s="71" t="str">
        <f t="shared" si="2"/>
        <v/>
      </c>
      <c r="O165" s="72"/>
      <c r="P165" s="72"/>
      <c r="Q165" s="72"/>
      <c r="R165" s="72"/>
      <c r="S165" s="72"/>
      <c r="T165" s="72"/>
      <c r="U165" s="72"/>
      <c r="V165" s="72"/>
    </row>
    <row r="166" spans="1:25" ht="27.75" customHeight="1">
      <c r="A166" s="87" t="str">
        <f>IF(ISBLANK(C166)," ",161-COUNTBLANK($C$6:C166))</f>
        <v xml:space="preserve"> </v>
      </c>
      <c r="B166" s="88"/>
      <c r="C166" s="88"/>
      <c r="D166" s="89"/>
      <c r="E166" s="89"/>
      <c r="F166" s="73"/>
      <c r="G166" s="73"/>
      <c r="H166" s="73"/>
      <c r="I166" s="73"/>
      <c r="J166" s="73"/>
      <c r="K166" s="73"/>
      <c r="L166" s="73"/>
      <c r="M166" s="74"/>
      <c r="N166" s="71" t="str">
        <f t="shared" si="2"/>
        <v/>
      </c>
      <c r="O166" s="72"/>
      <c r="P166" s="72"/>
      <c r="Q166" s="72"/>
      <c r="R166" s="72"/>
      <c r="S166" s="72"/>
      <c r="T166" s="72"/>
      <c r="U166" s="72"/>
      <c r="V166" s="72"/>
    </row>
    <row r="167" spans="1:25" ht="27.75" customHeight="1">
      <c r="A167" s="87" t="str">
        <f>IF(ISBLANK(C167)," ",162-COUNTBLANK($C$6:C167))</f>
        <v xml:space="preserve"> </v>
      </c>
      <c r="B167" s="88"/>
      <c r="C167" s="88"/>
      <c r="D167" s="89"/>
      <c r="E167" s="89"/>
      <c r="F167" s="73"/>
      <c r="G167" s="73"/>
      <c r="H167" s="73"/>
      <c r="I167" s="73"/>
      <c r="J167" s="73"/>
      <c r="K167" s="73"/>
      <c r="L167" s="73"/>
      <c r="M167" s="74"/>
      <c r="N167" s="71" t="str">
        <f t="shared" si="2"/>
        <v/>
      </c>
      <c r="O167" s="72"/>
      <c r="P167" s="72"/>
      <c r="Q167" s="72"/>
      <c r="R167" s="72"/>
      <c r="S167" s="72"/>
      <c r="T167" s="72"/>
      <c r="U167" s="72"/>
      <c r="V167" s="72"/>
    </row>
    <row r="168" spans="1:25" ht="27.75" customHeight="1">
      <c r="A168" s="87" t="str">
        <f>IF(ISBLANK(C168)," ",163-COUNTBLANK($C$6:C168))</f>
        <v xml:space="preserve"> </v>
      </c>
      <c r="B168" s="88"/>
      <c r="C168" s="88"/>
      <c r="D168" s="89"/>
      <c r="E168" s="89"/>
      <c r="F168" s="73"/>
      <c r="G168" s="73"/>
      <c r="H168" s="73"/>
      <c r="I168" s="73"/>
      <c r="J168" s="73"/>
      <c r="K168" s="73"/>
      <c r="L168" s="73"/>
      <c r="M168" s="74"/>
      <c r="N168" s="71" t="str">
        <f t="shared" si="2"/>
        <v/>
      </c>
      <c r="O168" s="75"/>
      <c r="P168" s="72"/>
      <c r="Q168" s="72"/>
      <c r="R168" s="72"/>
      <c r="S168" s="72"/>
      <c r="T168" s="72"/>
      <c r="U168" s="72"/>
      <c r="V168" s="76"/>
    </row>
    <row r="169" spans="1:25" ht="27.75" customHeight="1">
      <c r="A169" s="87" t="str">
        <f>IF(ISBLANK(C169)," ",164-COUNTBLANK($C$6:C169))</f>
        <v xml:space="preserve"> </v>
      </c>
      <c r="B169" s="88"/>
      <c r="C169" s="88"/>
      <c r="D169" s="89"/>
      <c r="E169" s="89"/>
      <c r="F169" s="73"/>
      <c r="G169" s="73"/>
      <c r="H169" s="73"/>
      <c r="I169" s="73"/>
      <c r="J169" s="73"/>
      <c r="K169" s="73"/>
      <c r="L169" s="73"/>
      <c r="M169" s="74"/>
      <c r="N169" s="71" t="str">
        <f t="shared" si="2"/>
        <v/>
      </c>
      <c r="O169" s="75"/>
      <c r="P169" s="72"/>
      <c r="Q169" s="72"/>
      <c r="R169" s="72"/>
      <c r="S169" s="72"/>
      <c r="T169" s="72"/>
      <c r="U169" s="72"/>
      <c r="V169" s="76"/>
    </row>
    <row r="170" spans="1:25" ht="27.75" customHeight="1">
      <c r="A170" s="87" t="str">
        <f>IF(ISBLANK(C170)," ",165-COUNTBLANK($C$6:C170))</f>
        <v xml:space="preserve"> </v>
      </c>
      <c r="B170" s="88"/>
      <c r="C170" s="88"/>
      <c r="D170" s="89"/>
      <c r="E170" s="89"/>
      <c r="F170" s="73"/>
      <c r="G170" s="73"/>
      <c r="H170" s="73"/>
      <c r="I170" s="73"/>
      <c r="J170" s="73"/>
      <c r="K170" s="73"/>
      <c r="L170" s="73"/>
      <c r="M170" s="74"/>
      <c r="N170" s="71" t="str">
        <f t="shared" si="2"/>
        <v/>
      </c>
      <c r="O170" s="75"/>
      <c r="P170" s="72"/>
      <c r="Q170" s="72"/>
      <c r="R170" s="72"/>
      <c r="S170" s="72"/>
      <c r="T170" s="72"/>
      <c r="U170" s="72"/>
      <c r="V170" s="76"/>
    </row>
    <row r="171" spans="1:25" ht="27.75" customHeight="1">
      <c r="A171" s="87" t="str">
        <f>IF(ISBLANK(C171)," ",166-COUNTBLANK($C$6:C171))</f>
        <v xml:space="preserve"> </v>
      </c>
      <c r="B171" s="88"/>
      <c r="C171" s="88"/>
      <c r="D171" s="89"/>
      <c r="E171" s="89"/>
      <c r="F171" s="73"/>
      <c r="G171" s="73"/>
      <c r="H171" s="73"/>
      <c r="I171" s="73"/>
      <c r="J171" s="73"/>
      <c r="K171" s="73"/>
      <c r="L171" s="73"/>
      <c r="M171" s="74"/>
      <c r="N171" s="71" t="str">
        <f t="shared" si="2"/>
        <v/>
      </c>
      <c r="O171" s="75"/>
      <c r="P171" s="72"/>
      <c r="Q171" s="72"/>
      <c r="R171" s="72"/>
      <c r="S171" s="72"/>
      <c r="T171" s="72"/>
      <c r="U171" s="72"/>
      <c r="V171" s="76"/>
    </row>
    <row r="172" spans="1:25" ht="27.75" customHeight="1">
      <c r="A172" s="87" t="str">
        <f>IF(ISBLANK(C172)," ",167-COUNTBLANK($C$6:C172))</f>
        <v xml:space="preserve"> </v>
      </c>
      <c r="B172" s="88"/>
      <c r="C172" s="88"/>
      <c r="D172" s="89"/>
      <c r="E172" s="89"/>
      <c r="F172" s="73"/>
      <c r="G172" s="73"/>
      <c r="H172" s="73"/>
      <c r="I172" s="73"/>
      <c r="J172" s="73"/>
      <c r="K172" s="73"/>
      <c r="L172" s="73"/>
      <c r="M172" s="74"/>
      <c r="N172" s="71" t="str">
        <f t="shared" si="2"/>
        <v/>
      </c>
      <c r="O172" s="72"/>
      <c r="P172" s="72"/>
      <c r="Q172" s="72"/>
      <c r="R172" s="72"/>
      <c r="S172" s="72"/>
      <c r="T172" s="72"/>
      <c r="U172" s="72"/>
      <c r="V172" s="79"/>
      <c r="W172" s="72"/>
      <c r="X172" s="72"/>
      <c r="Y172" s="72"/>
    </row>
    <row r="173" spans="1:25" ht="27.75" customHeight="1">
      <c r="A173" s="80" t="s">
        <v>58</v>
      </c>
      <c r="B173" s="81"/>
      <c r="C173" s="96"/>
      <c r="D173" s="82"/>
      <c r="E173" s="82">
        <f>SUM(E153:E172)</f>
        <v>0</v>
      </c>
      <c r="F173" s="83"/>
      <c r="G173" s="83"/>
      <c r="H173" s="83"/>
      <c r="I173" s="83"/>
      <c r="J173" s="83"/>
      <c r="K173" s="83"/>
      <c r="L173" s="83"/>
      <c r="M173" s="84"/>
      <c r="N173" s="71" t="str">
        <f t="shared" si="2"/>
        <v/>
      </c>
      <c r="O173" s="75"/>
      <c r="P173" s="72"/>
      <c r="Q173" s="72"/>
      <c r="R173" s="72"/>
      <c r="S173" s="72"/>
      <c r="T173" s="72"/>
      <c r="U173" s="72"/>
      <c r="V173" s="79"/>
      <c r="W173" s="72"/>
      <c r="X173" s="72"/>
      <c r="Y173" s="72"/>
    </row>
    <row r="174" spans="1:25" ht="27.75" customHeight="1">
      <c r="A174" s="93" t="str">
        <f>IF(ISBLANK(C174)," ",169-COUNTBLANK($C$6:C174))</f>
        <v xml:space="preserve"> </v>
      </c>
      <c r="B174" s="94"/>
      <c r="C174" s="94"/>
      <c r="D174" s="95"/>
      <c r="E174" s="95"/>
      <c r="F174" s="85"/>
      <c r="G174" s="85"/>
      <c r="H174" s="85"/>
      <c r="I174" s="85"/>
      <c r="J174" s="85"/>
      <c r="K174" s="85"/>
      <c r="L174" s="85"/>
      <c r="M174" s="86"/>
      <c r="N174" s="71" t="str">
        <f t="shared" si="2"/>
        <v/>
      </c>
      <c r="O174" s="72"/>
      <c r="P174" s="72"/>
      <c r="Q174" s="72"/>
      <c r="R174" s="72"/>
      <c r="S174" s="72"/>
      <c r="T174" s="72"/>
      <c r="U174" s="72"/>
      <c r="V174" s="72"/>
    </row>
    <row r="175" spans="1:25" ht="27.75" customHeight="1">
      <c r="A175" s="87" t="str">
        <f>IF(ISBLANK(C175)," ",170-COUNTBLANK($C$6:C175))</f>
        <v xml:space="preserve"> </v>
      </c>
      <c r="B175" s="88"/>
      <c r="C175" s="88"/>
      <c r="D175" s="89"/>
      <c r="E175" s="89"/>
      <c r="F175" s="73"/>
      <c r="G175" s="73"/>
      <c r="H175" s="73"/>
      <c r="I175" s="73"/>
      <c r="J175" s="73"/>
      <c r="K175" s="73"/>
      <c r="L175" s="73"/>
      <c r="M175" s="74"/>
      <c r="N175" s="71" t="str">
        <f t="shared" si="2"/>
        <v/>
      </c>
      <c r="O175" s="72"/>
      <c r="P175" s="72"/>
      <c r="Q175" s="72"/>
      <c r="R175" s="72"/>
      <c r="S175" s="72"/>
      <c r="T175" s="72"/>
      <c r="U175" s="72"/>
      <c r="V175" s="72"/>
    </row>
    <row r="176" spans="1:25" ht="27.75" customHeight="1">
      <c r="A176" s="87" t="str">
        <f>IF(ISBLANK(C176)," ",171-COUNTBLANK($C$6:C176))</f>
        <v xml:space="preserve"> </v>
      </c>
      <c r="B176" s="88"/>
      <c r="C176" s="88"/>
      <c r="D176" s="89"/>
      <c r="E176" s="89"/>
      <c r="F176" s="73"/>
      <c r="G176" s="73"/>
      <c r="H176" s="73"/>
      <c r="I176" s="73"/>
      <c r="J176" s="73"/>
      <c r="K176" s="73"/>
      <c r="L176" s="73"/>
      <c r="M176" s="74"/>
      <c r="N176" s="71" t="str">
        <f t="shared" si="2"/>
        <v/>
      </c>
      <c r="O176" s="72"/>
      <c r="P176" s="72"/>
      <c r="Q176" s="72"/>
      <c r="R176" s="72"/>
      <c r="S176" s="72"/>
      <c r="T176" s="72"/>
      <c r="U176" s="72"/>
      <c r="V176" s="72"/>
    </row>
    <row r="177" spans="1:22" ht="27.75" customHeight="1">
      <c r="A177" s="87" t="str">
        <f>IF(ISBLANK(C177)," ",172-COUNTBLANK($C$6:C177))</f>
        <v xml:space="preserve"> </v>
      </c>
      <c r="B177" s="88"/>
      <c r="C177" s="88"/>
      <c r="D177" s="89"/>
      <c r="E177" s="89"/>
      <c r="F177" s="73"/>
      <c r="G177" s="73"/>
      <c r="H177" s="73"/>
      <c r="I177" s="73"/>
      <c r="J177" s="73"/>
      <c r="K177" s="73"/>
      <c r="L177" s="73"/>
      <c r="M177" s="74"/>
      <c r="N177" s="71" t="str">
        <f t="shared" si="2"/>
        <v/>
      </c>
      <c r="O177" s="72"/>
      <c r="P177" s="72"/>
      <c r="Q177" s="72"/>
      <c r="R177" s="72"/>
      <c r="S177" s="72"/>
      <c r="T177" s="72"/>
      <c r="U177" s="72"/>
      <c r="V177" s="72"/>
    </row>
    <row r="178" spans="1:22" ht="27.75" customHeight="1">
      <c r="A178" s="87" t="str">
        <f>IF(ISBLANK(C178)," ",173-COUNTBLANK($C$6:C178))</f>
        <v xml:space="preserve"> </v>
      </c>
      <c r="B178" s="88"/>
      <c r="C178" s="88"/>
      <c r="D178" s="89"/>
      <c r="E178" s="89"/>
      <c r="F178" s="73"/>
      <c r="G178" s="73"/>
      <c r="H178" s="73"/>
      <c r="I178" s="73"/>
      <c r="J178" s="73"/>
      <c r="K178" s="73"/>
      <c r="L178" s="73"/>
      <c r="M178" s="74"/>
      <c r="N178" s="71" t="str">
        <f t="shared" si="2"/>
        <v/>
      </c>
      <c r="O178" s="72"/>
      <c r="P178" s="72"/>
      <c r="Q178" s="72"/>
      <c r="R178" s="72"/>
      <c r="S178" s="72"/>
      <c r="T178" s="72"/>
      <c r="U178" s="72"/>
      <c r="V178" s="72"/>
    </row>
    <row r="179" spans="1:22" ht="27.75" customHeight="1">
      <c r="A179" s="87" t="str">
        <f>IF(ISBLANK(C179)," ",174-COUNTBLANK($C$6:C179))</f>
        <v xml:space="preserve"> </v>
      </c>
      <c r="B179" s="88"/>
      <c r="C179" s="88"/>
      <c r="D179" s="89"/>
      <c r="E179" s="89"/>
      <c r="F179" s="73"/>
      <c r="G179" s="73"/>
      <c r="H179" s="73"/>
      <c r="I179" s="73"/>
      <c r="J179" s="73"/>
      <c r="K179" s="73"/>
      <c r="L179" s="73"/>
      <c r="M179" s="74"/>
      <c r="N179" s="71" t="str">
        <f t="shared" si="2"/>
        <v/>
      </c>
      <c r="O179" s="72"/>
      <c r="P179" s="72"/>
      <c r="Q179" s="72"/>
      <c r="R179" s="72"/>
      <c r="S179" s="72"/>
      <c r="T179" s="72"/>
      <c r="U179" s="72"/>
      <c r="V179" s="72"/>
    </row>
    <row r="180" spans="1:22" ht="27.75" customHeight="1">
      <c r="A180" s="87" t="str">
        <f>IF(ISBLANK(C180)," ",175-COUNTBLANK($C$6:C180))</f>
        <v xml:space="preserve"> </v>
      </c>
      <c r="B180" s="88"/>
      <c r="C180" s="88"/>
      <c r="D180" s="89"/>
      <c r="E180" s="89"/>
      <c r="F180" s="73"/>
      <c r="G180" s="73"/>
      <c r="H180" s="73"/>
      <c r="I180" s="73"/>
      <c r="J180" s="73"/>
      <c r="K180" s="73"/>
      <c r="L180" s="73"/>
      <c r="M180" s="74"/>
      <c r="N180" s="71" t="str">
        <f t="shared" si="2"/>
        <v/>
      </c>
      <c r="O180" s="72"/>
      <c r="P180" s="72"/>
      <c r="Q180" s="72"/>
      <c r="R180" s="72"/>
      <c r="S180" s="72"/>
      <c r="T180" s="72"/>
      <c r="U180" s="72"/>
      <c r="V180" s="72"/>
    </row>
    <row r="181" spans="1:22" ht="27.75" customHeight="1">
      <c r="A181" s="87" t="str">
        <f>IF(ISBLANK(C181)," ",176-COUNTBLANK($C$6:C181))</f>
        <v xml:space="preserve"> </v>
      </c>
      <c r="B181" s="88"/>
      <c r="C181" s="88"/>
      <c r="D181" s="89"/>
      <c r="E181" s="89"/>
      <c r="F181" s="73"/>
      <c r="G181" s="73"/>
      <c r="H181" s="73"/>
      <c r="I181" s="73"/>
      <c r="J181" s="73"/>
      <c r="K181" s="73"/>
      <c r="L181" s="73"/>
      <c r="M181" s="74"/>
      <c r="N181" s="71" t="str">
        <f t="shared" si="2"/>
        <v/>
      </c>
      <c r="O181" s="72"/>
      <c r="P181" s="72"/>
      <c r="Q181" s="72"/>
      <c r="R181" s="72"/>
      <c r="S181" s="72"/>
      <c r="T181" s="72"/>
      <c r="U181" s="72"/>
      <c r="V181" s="72"/>
    </row>
    <row r="182" spans="1:22" ht="27.75" customHeight="1">
      <c r="A182" s="87" t="str">
        <f>IF(ISBLANK(C182)," ",177-COUNTBLANK($C$6:C182))</f>
        <v xml:space="preserve"> </v>
      </c>
      <c r="B182" s="88"/>
      <c r="C182" s="88"/>
      <c r="D182" s="89"/>
      <c r="E182" s="89"/>
      <c r="F182" s="73"/>
      <c r="G182" s="73"/>
      <c r="H182" s="73"/>
      <c r="I182" s="73"/>
      <c r="J182" s="73"/>
      <c r="K182" s="73"/>
      <c r="L182" s="73"/>
      <c r="M182" s="74"/>
      <c r="N182" s="71" t="str">
        <f t="shared" si="2"/>
        <v/>
      </c>
      <c r="O182" s="72"/>
      <c r="P182" s="72"/>
      <c r="Q182" s="72"/>
      <c r="R182" s="72"/>
      <c r="S182" s="72"/>
      <c r="T182" s="72"/>
      <c r="U182" s="72"/>
      <c r="V182" s="72"/>
    </row>
    <row r="183" spans="1:22" ht="27.75" customHeight="1">
      <c r="A183" s="87" t="str">
        <f>IF(ISBLANK(C183)," ",178-COUNTBLANK($C$6:C183))</f>
        <v xml:space="preserve"> </v>
      </c>
      <c r="B183" s="88"/>
      <c r="C183" s="88"/>
      <c r="D183" s="89"/>
      <c r="E183" s="89"/>
      <c r="F183" s="73"/>
      <c r="G183" s="73"/>
      <c r="H183" s="73"/>
      <c r="I183" s="73"/>
      <c r="J183" s="73"/>
      <c r="K183" s="73"/>
      <c r="L183" s="73"/>
      <c r="M183" s="74"/>
      <c r="N183" s="71" t="str">
        <f t="shared" si="2"/>
        <v/>
      </c>
      <c r="O183" s="72"/>
      <c r="P183" s="72"/>
      <c r="Q183" s="72"/>
      <c r="R183" s="72"/>
      <c r="S183" s="72"/>
      <c r="T183" s="72"/>
      <c r="U183" s="72"/>
      <c r="V183" s="72"/>
    </row>
    <row r="184" spans="1:22" ht="27.75" customHeight="1">
      <c r="A184" s="87" t="str">
        <f>IF(ISBLANK(C184)," ",179-COUNTBLANK($C$6:C184))</f>
        <v xml:space="preserve"> </v>
      </c>
      <c r="B184" s="88"/>
      <c r="C184" s="88"/>
      <c r="D184" s="89"/>
      <c r="E184" s="89"/>
      <c r="F184" s="73"/>
      <c r="G184" s="73"/>
      <c r="H184" s="73"/>
      <c r="I184" s="73"/>
      <c r="J184" s="73"/>
      <c r="K184" s="73"/>
      <c r="L184" s="73"/>
      <c r="M184" s="74"/>
      <c r="N184" s="71" t="str">
        <f t="shared" si="2"/>
        <v/>
      </c>
      <c r="O184" s="72"/>
      <c r="P184" s="72"/>
      <c r="Q184" s="72"/>
      <c r="R184" s="72"/>
      <c r="S184" s="72"/>
      <c r="T184" s="72"/>
      <c r="U184" s="72"/>
      <c r="V184" s="72"/>
    </row>
    <row r="185" spans="1:22" ht="27.75" customHeight="1">
      <c r="A185" s="87" t="str">
        <f>IF(ISBLANK(C185)," ",180-COUNTBLANK($C$6:C185))</f>
        <v xml:space="preserve"> </v>
      </c>
      <c r="B185" s="88"/>
      <c r="C185" s="88"/>
      <c r="D185" s="89"/>
      <c r="E185" s="89"/>
      <c r="F185" s="73"/>
      <c r="G185" s="73"/>
      <c r="H185" s="73"/>
      <c r="I185" s="73"/>
      <c r="J185" s="73"/>
      <c r="K185" s="73"/>
      <c r="L185" s="73"/>
      <c r="M185" s="74"/>
      <c r="N185" s="71" t="str">
        <f t="shared" si="2"/>
        <v/>
      </c>
      <c r="O185" s="72"/>
      <c r="P185" s="72"/>
      <c r="Q185" s="72"/>
      <c r="R185" s="72"/>
      <c r="S185" s="72"/>
      <c r="T185" s="72"/>
      <c r="U185" s="72"/>
      <c r="V185" s="72"/>
    </row>
    <row r="186" spans="1:22" ht="27.75" customHeight="1">
      <c r="A186" s="87" t="str">
        <f>IF(ISBLANK(C186)," ",181-COUNTBLANK($C$6:C186))</f>
        <v xml:space="preserve"> </v>
      </c>
      <c r="B186" s="88"/>
      <c r="C186" s="88"/>
      <c r="D186" s="89"/>
      <c r="E186" s="89"/>
      <c r="F186" s="73"/>
      <c r="G186" s="73"/>
      <c r="H186" s="73"/>
      <c r="I186" s="73"/>
      <c r="J186" s="73"/>
      <c r="K186" s="73"/>
      <c r="L186" s="73"/>
      <c r="M186" s="74"/>
      <c r="N186" s="71" t="str">
        <f t="shared" si="2"/>
        <v/>
      </c>
      <c r="O186" s="72"/>
      <c r="P186" s="72"/>
      <c r="Q186" s="72"/>
      <c r="R186" s="72"/>
      <c r="S186" s="72"/>
      <c r="T186" s="72"/>
      <c r="U186" s="72"/>
      <c r="V186" s="72"/>
    </row>
    <row r="187" spans="1:22" ht="27.75" customHeight="1">
      <c r="A187" s="87" t="str">
        <f>IF(ISBLANK(C187)," ",182-COUNTBLANK($C$6:C187))</f>
        <v xml:space="preserve"> </v>
      </c>
      <c r="B187" s="88"/>
      <c r="C187" s="88"/>
      <c r="D187" s="89"/>
      <c r="E187" s="89"/>
      <c r="F187" s="73"/>
      <c r="G187" s="73"/>
      <c r="H187" s="73"/>
      <c r="I187" s="73"/>
      <c r="J187" s="73"/>
      <c r="K187" s="73"/>
      <c r="L187" s="73"/>
      <c r="M187" s="74"/>
      <c r="N187" s="71" t="str">
        <f t="shared" si="2"/>
        <v/>
      </c>
      <c r="O187" s="72"/>
      <c r="P187" s="72"/>
      <c r="Q187" s="72"/>
      <c r="R187" s="72"/>
      <c r="S187" s="72"/>
      <c r="T187" s="72"/>
      <c r="U187" s="72"/>
      <c r="V187" s="72"/>
    </row>
    <row r="188" spans="1:22" ht="27.75" customHeight="1">
      <c r="A188" s="87" t="str">
        <f>IF(ISBLANK(C188)," ",183-COUNTBLANK($C$6:C188))</f>
        <v xml:space="preserve"> </v>
      </c>
      <c r="B188" s="88"/>
      <c r="C188" s="88"/>
      <c r="D188" s="89"/>
      <c r="E188" s="89"/>
      <c r="F188" s="73"/>
      <c r="G188" s="73"/>
      <c r="H188" s="73"/>
      <c r="I188" s="73"/>
      <c r="J188" s="73"/>
      <c r="K188" s="73"/>
      <c r="L188" s="73"/>
      <c r="M188" s="74"/>
      <c r="N188" s="71" t="str">
        <f t="shared" si="2"/>
        <v/>
      </c>
      <c r="O188" s="72"/>
      <c r="P188" s="72"/>
      <c r="Q188" s="72"/>
      <c r="R188" s="72"/>
      <c r="S188" s="72"/>
      <c r="T188" s="72"/>
      <c r="U188" s="72"/>
      <c r="V188" s="72"/>
    </row>
    <row r="189" spans="1:22" ht="27.75" customHeight="1">
      <c r="A189" s="87" t="str">
        <f>IF(ISBLANK(C189)," ",184-COUNTBLANK($C$6:C189))</f>
        <v xml:space="preserve"> </v>
      </c>
      <c r="B189" s="88"/>
      <c r="C189" s="88"/>
      <c r="D189" s="89"/>
      <c r="E189" s="89"/>
      <c r="F189" s="73"/>
      <c r="G189" s="73"/>
      <c r="H189" s="73"/>
      <c r="I189" s="73"/>
      <c r="J189" s="73"/>
      <c r="K189" s="73"/>
      <c r="L189" s="73"/>
      <c r="M189" s="74"/>
      <c r="N189" s="71" t="str">
        <f t="shared" si="2"/>
        <v/>
      </c>
      <c r="O189" s="75"/>
      <c r="P189" s="72"/>
      <c r="Q189" s="72"/>
      <c r="R189" s="72"/>
      <c r="S189" s="72"/>
      <c r="T189" s="72"/>
      <c r="U189" s="72"/>
      <c r="V189" s="76"/>
    </row>
    <row r="190" spans="1:22" ht="27.75" customHeight="1">
      <c r="A190" s="87" t="str">
        <f>IF(ISBLANK(C190)," ",185-COUNTBLANK($C$6:C190))</f>
        <v xml:space="preserve"> </v>
      </c>
      <c r="B190" s="88"/>
      <c r="C190" s="88"/>
      <c r="D190" s="89"/>
      <c r="E190" s="89"/>
      <c r="F190" s="73"/>
      <c r="G190" s="73"/>
      <c r="H190" s="73"/>
      <c r="I190" s="73"/>
      <c r="J190" s="73"/>
      <c r="K190" s="73"/>
      <c r="L190" s="73"/>
      <c r="M190" s="74"/>
      <c r="N190" s="71" t="str">
        <f t="shared" si="2"/>
        <v/>
      </c>
      <c r="O190" s="75"/>
      <c r="P190" s="72"/>
      <c r="Q190" s="72"/>
      <c r="R190" s="72"/>
      <c r="S190" s="72"/>
      <c r="T190" s="72"/>
      <c r="U190" s="72"/>
      <c r="V190" s="76"/>
    </row>
    <row r="191" spans="1:22" ht="27.75" customHeight="1">
      <c r="A191" s="87" t="str">
        <f>IF(ISBLANK(C191)," ",186-COUNTBLANK($C$6:C191))</f>
        <v xml:space="preserve"> </v>
      </c>
      <c r="B191" s="88"/>
      <c r="C191" s="88"/>
      <c r="D191" s="89"/>
      <c r="E191" s="89"/>
      <c r="F191" s="73"/>
      <c r="G191" s="73"/>
      <c r="H191" s="73"/>
      <c r="I191" s="73"/>
      <c r="J191" s="73"/>
      <c r="K191" s="73"/>
      <c r="L191" s="73"/>
      <c r="M191" s="74"/>
      <c r="N191" s="71" t="str">
        <f t="shared" si="2"/>
        <v/>
      </c>
      <c r="O191" s="75"/>
      <c r="P191" s="72"/>
      <c r="Q191" s="72"/>
      <c r="R191" s="72"/>
      <c r="S191" s="72"/>
      <c r="T191" s="72"/>
      <c r="U191" s="72"/>
      <c r="V191" s="76"/>
    </row>
    <row r="192" spans="1:22" ht="27.75" customHeight="1">
      <c r="A192" s="87" t="str">
        <f>IF(ISBLANK(C192)," ",187-COUNTBLANK($C$6:C192))</f>
        <v xml:space="preserve"> </v>
      </c>
      <c r="B192" s="88"/>
      <c r="C192" s="88"/>
      <c r="D192" s="89"/>
      <c r="E192" s="89"/>
      <c r="F192" s="73"/>
      <c r="G192" s="73"/>
      <c r="H192" s="73"/>
      <c r="I192" s="73"/>
      <c r="J192" s="73"/>
      <c r="K192" s="73"/>
      <c r="L192" s="73"/>
      <c r="M192" s="74"/>
      <c r="N192" s="71" t="str">
        <f t="shared" si="2"/>
        <v/>
      </c>
      <c r="O192" s="75"/>
      <c r="P192" s="72"/>
      <c r="Q192" s="72"/>
      <c r="R192" s="72"/>
      <c r="S192" s="72"/>
      <c r="T192" s="72"/>
      <c r="U192" s="72"/>
      <c r="V192" s="76"/>
    </row>
    <row r="193" spans="1:25" ht="27.75" customHeight="1">
      <c r="A193" s="87" t="str">
        <f>IF(ISBLANK(C193)," ",188-COUNTBLANK($C$6:C193))</f>
        <v xml:space="preserve"> </v>
      </c>
      <c r="B193" s="88"/>
      <c r="C193" s="88"/>
      <c r="D193" s="89"/>
      <c r="E193" s="89"/>
      <c r="F193" s="73"/>
      <c r="G193" s="73"/>
      <c r="H193" s="73"/>
      <c r="I193" s="73"/>
      <c r="J193" s="73"/>
      <c r="K193" s="73"/>
      <c r="L193" s="73"/>
      <c r="M193" s="74"/>
      <c r="N193" s="71" t="str">
        <f t="shared" si="2"/>
        <v/>
      </c>
      <c r="O193" s="72"/>
      <c r="P193" s="72"/>
      <c r="Q193" s="72"/>
      <c r="R193" s="72"/>
      <c r="S193" s="72"/>
      <c r="T193" s="72"/>
      <c r="U193" s="72"/>
      <c r="V193" s="79"/>
      <c r="W193" s="72"/>
      <c r="X193" s="72"/>
      <c r="Y193" s="72"/>
    </row>
    <row r="194" spans="1:25" ht="27.75" customHeight="1">
      <c r="A194" s="80" t="s">
        <v>58</v>
      </c>
      <c r="B194" s="81"/>
      <c r="C194" s="96"/>
      <c r="D194" s="82"/>
      <c r="E194" s="82">
        <f>SUM(E174:E193)</f>
        <v>0</v>
      </c>
      <c r="F194" s="83"/>
      <c r="G194" s="83"/>
      <c r="H194" s="83"/>
      <c r="I194" s="83"/>
      <c r="J194" s="83"/>
      <c r="K194" s="83"/>
      <c r="L194" s="83"/>
      <c r="M194" s="84"/>
      <c r="N194" s="71" t="str">
        <f t="shared" si="2"/>
        <v/>
      </c>
      <c r="O194" s="75"/>
      <c r="P194" s="72"/>
      <c r="Q194" s="72"/>
      <c r="R194" s="72"/>
      <c r="S194" s="72"/>
      <c r="T194" s="72"/>
      <c r="U194" s="72"/>
      <c r="V194" s="79"/>
      <c r="W194" s="72"/>
      <c r="X194" s="72"/>
      <c r="Y194" s="72"/>
    </row>
    <row r="195" spans="1:25" ht="27.75" customHeight="1">
      <c r="A195" s="93" t="str">
        <f>IF(ISBLANK(C195)," ",190-COUNTBLANK($C$6:C195))</f>
        <v xml:space="preserve"> </v>
      </c>
      <c r="B195" s="94"/>
      <c r="C195" s="94"/>
      <c r="D195" s="95"/>
      <c r="E195" s="95"/>
      <c r="F195" s="85"/>
      <c r="G195" s="85"/>
      <c r="H195" s="85"/>
      <c r="I195" s="85"/>
      <c r="J195" s="85"/>
      <c r="K195" s="85"/>
      <c r="L195" s="85"/>
      <c r="M195" s="86"/>
      <c r="N195" s="71" t="str">
        <f t="shared" si="2"/>
        <v/>
      </c>
      <c r="O195" s="72"/>
      <c r="P195" s="72"/>
      <c r="Q195" s="72"/>
      <c r="R195" s="72"/>
      <c r="S195" s="72"/>
      <c r="T195" s="72"/>
      <c r="U195" s="72"/>
      <c r="V195" s="72"/>
    </row>
    <row r="196" spans="1:25" ht="27.75" customHeight="1">
      <c r="A196" s="87" t="str">
        <f>IF(ISBLANK(C196)," ",191-COUNTBLANK($C$6:C196))</f>
        <v xml:space="preserve"> </v>
      </c>
      <c r="B196" s="88"/>
      <c r="C196" s="88"/>
      <c r="D196" s="89"/>
      <c r="E196" s="89"/>
      <c r="F196" s="73"/>
      <c r="G196" s="73"/>
      <c r="H196" s="73"/>
      <c r="I196" s="73"/>
      <c r="J196" s="73"/>
      <c r="K196" s="73"/>
      <c r="L196" s="73"/>
      <c r="M196" s="74"/>
      <c r="N196" s="71" t="str">
        <f t="shared" si="2"/>
        <v/>
      </c>
      <c r="O196" s="72"/>
      <c r="P196" s="72"/>
      <c r="Q196" s="72"/>
      <c r="R196" s="72"/>
      <c r="S196" s="72"/>
      <c r="T196" s="72"/>
      <c r="U196" s="72"/>
      <c r="V196" s="72"/>
    </row>
    <row r="197" spans="1:25" ht="27.75" customHeight="1">
      <c r="A197" s="87" t="str">
        <f>IF(ISBLANK(C197)," ",192-COUNTBLANK($C$6:C197))</f>
        <v xml:space="preserve"> </v>
      </c>
      <c r="B197" s="88"/>
      <c r="C197" s="88"/>
      <c r="D197" s="89"/>
      <c r="E197" s="89"/>
      <c r="F197" s="73"/>
      <c r="G197" s="73"/>
      <c r="H197" s="73"/>
      <c r="I197" s="73"/>
      <c r="J197" s="73"/>
      <c r="K197" s="73"/>
      <c r="L197" s="73"/>
      <c r="M197" s="74"/>
      <c r="N197" s="71" t="str">
        <f t="shared" si="2"/>
        <v/>
      </c>
      <c r="O197" s="72"/>
      <c r="P197" s="72"/>
      <c r="Q197" s="72"/>
      <c r="R197" s="72"/>
      <c r="S197" s="72"/>
      <c r="T197" s="72"/>
      <c r="U197" s="72"/>
      <c r="V197" s="72"/>
    </row>
    <row r="198" spans="1:25" ht="27.75" customHeight="1">
      <c r="A198" s="87" t="str">
        <f>IF(ISBLANK(C198)," ",193-COUNTBLANK($C$6:C198))</f>
        <v xml:space="preserve"> </v>
      </c>
      <c r="B198" s="88"/>
      <c r="C198" s="88"/>
      <c r="D198" s="89"/>
      <c r="E198" s="89"/>
      <c r="F198" s="73"/>
      <c r="G198" s="73"/>
      <c r="H198" s="73"/>
      <c r="I198" s="73"/>
      <c r="J198" s="73"/>
      <c r="K198" s="73"/>
      <c r="L198" s="73"/>
      <c r="M198" s="74"/>
      <c r="N198" s="71" t="str">
        <f t="shared" ref="N198:N261" si="3">CONCATENATE(C198,H198)</f>
        <v/>
      </c>
      <c r="O198" s="72"/>
      <c r="P198" s="72"/>
      <c r="Q198" s="72"/>
      <c r="R198" s="72"/>
      <c r="S198" s="72"/>
      <c r="T198" s="72"/>
      <c r="U198" s="72"/>
      <c r="V198" s="72"/>
    </row>
    <row r="199" spans="1:25" ht="27.75" customHeight="1">
      <c r="A199" s="87" t="str">
        <f>IF(ISBLANK(C199)," ",194-COUNTBLANK($C$6:C199))</f>
        <v xml:space="preserve"> </v>
      </c>
      <c r="B199" s="88"/>
      <c r="C199" s="88"/>
      <c r="D199" s="89"/>
      <c r="E199" s="89"/>
      <c r="F199" s="73"/>
      <c r="G199" s="73"/>
      <c r="H199" s="73"/>
      <c r="I199" s="73"/>
      <c r="J199" s="73"/>
      <c r="K199" s="73"/>
      <c r="L199" s="73"/>
      <c r="M199" s="74"/>
      <c r="N199" s="71" t="str">
        <f t="shared" si="3"/>
        <v/>
      </c>
      <c r="O199" s="72"/>
      <c r="P199" s="72"/>
      <c r="Q199" s="72"/>
      <c r="R199" s="72"/>
      <c r="S199" s="72"/>
      <c r="T199" s="72"/>
      <c r="U199" s="72"/>
      <c r="V199" s="72"/>
    </row>
    <row r="200" spans="1:25" ht="27.75" customHeight="1">
      <c r="A200" s="87" t="str">
        <f>IF(ISBLANK(C200)," ",195-COUNTBLANK($C$6:C200))</f>
        <v xml:space="preserve"> </v>
      </c>
      <c r="B200" s="88"/>
      <c r="C200" s="88"/>
      <c r="D200" s="89"/>
      <c r="E200" s="89"/>
      <c r="F200" s="73"/>
      <c r="G200" s="73"/>
      <c r="H200" s="73"/>
      <c r="I200" s="73"/>
      <c r="J200" s="73"/>
      <c r="K200" s="73"/>
      <c r="L200" s="73"/>
      <c r="M200" s="74"/>
      <c r="N200" s="71" t="str">
        <f t="shared" si="3"/>
        <v/>
      </c>
      <c r="O200" s="72"/>
      <c r="P200" s="72"/>
      <c r="Q200" s="72"/>
      <c r="R200" s="72"/>
      <c r="S200" s="72"/>
      <c r="T200" s="72"/>
      <c r="U200" s="72"/>
      <c r="V200" s="72"/>
    </row>
    <row r="201" spans="1:25" ht="27.75" customHeight="1">
      <c r="A201" s="87" t="str">
        <f>IF(ISBLANK(C201)," ",196-COUNTBLANK($C$6:C201))</f>
        <v xml:space="preserve"> </v>
      </c>
      <c r="B201" s="88"/>
      <c r="C201" s="88"/>
      <c r="D201" s="89"/>
      <c r="E201" s="89"/>
      <c r="F201" s="73"/>
      <c r="G201" s="73"/>
      <c r="H201" s="73"/>
      <c r="I201" s="73"/>
      <c r="J201" s="73"/>
      <c r="K201" s="73"/>
      <c r="L201" s="73"/>
      <c r="M201" s="74"/>
      <c r="N201" s="71" t="str">
        <f t="shared" si="3"/>
        <v/>
      </c>
      <c r="O201" s="72"/>
      <c r="P201" s="72"/>
      <c r="Q201" s="72"/>
      <c r="R201" s="72"/>
      <c r="S201" s="72"/>
      <c r="T201" s="72"/>
      <c r="U201" s="72"/>
      <c r="V201" s="72"/>
    </row>
    <row r="202" spans="1:25" ht="27.75" customHeight="1">
      <c r="A202" s="87" t="str">
        <f>IF(ISBLANK(C202)," ",197-COUNTBLANK($C$6:C202))</f>
        <v xml:space="preserve"> </v>
      </c>
      <c r="B202" s="88"/>
      <c r="C202" s="88"/>
      <c r="D202" s="89"/>
      <c r="E202" s="89"/>
      <c r="F202" s="73"/>
      <c r="G202" s="73"/>
      <c r="H202" s="73"/>
      <c r="I202" s="73"/>
      <c r="J202" s="73"/>
      <c r="K202" s="73"/>
      <c r="L202" s="73"/>
      <c r="M202" s="74"/>
      <c r="N202" s="71" t="str">
        <f t="shared" si="3"/>
        <v/>
      </c>
      <c r="O202" s="72"/>
      <c r="P202" s="72"/>
      <c r="Q202" s="72"/>
      <c r="R202" s="72"/>
      <c r="S202" s="72"/>
      <c r="T202" s="72"/>
      <c r="U202" s="72"/>
      <c r="V202" s="72"/>
    </row>
    <row r="203" spans="1:25" ht="27.75" customHeight="1">
      <c r="A203" s="87" t="str">
        <f>IF(ISBLANK(C203)," ",198-COUNTBLANK($C$6:C203))</f>
        <v xml:space="preserve"> </v>
      </c>
      <c r="B203" s="88"/>
      <c r="C203" s="88"/>
      <c r="D203" s="89"/>
      <c r="E203" s="89"/>
      <c r="F203" s="73"/>
      <c r="G203" s="73"/>
      <c r="H203" s="73"/>
      <c r="I203" s="73"/>
      <c r="J203" s="73"/>
      <c r="K203" s="73"/>
      <c r="L203" s="73"/>
      <c r="M203" s="74"/>
      <c r="N203" s="71" t="str">
        <f t="shared" si="3"/>
        <v/>
      </c>
      <c r="O203" s="72"/>
      <c r="P203" s="72"/>
      <c r="Q203" s="72"/>
      <c r="R203" s="72"/>
      <c r="S203" s="72"/>
      <c r="T203" s="72"/>
      <c r="U203" s="72"/>
      <c r="V203" s="72"/>
    </row>
    <row r="204" spans="1:25" ht="27.75" customHeight="1">
      <c r="A204" s="87" t="str">
        <f>IF(ISBLANK(C204)," ",199-COUNTBLANK($C$6:C204))</f>
        <v xml:space="preserve"> </v>
      </c>
      <c r="B204" s="88"/>
      <c r="C204" s="88"/>
      <c r="D204" s="89"/>
      <c r="E204" s="89"/>
      <c r="F204" s="73"/>
      <c r="G204" s="73"/>
      <c r="H204" s="73"/>
      <c r="I204" s="73"/>
      <c r="J204" s="73"/>
      <c r="K204" s="73"/>
      <c r="L204" s="73"/>
      <c r="M204" s="74"/>
      <c r="N204" s="71" t="str">
        <f t="shared" si="3"/>
        <v/>
      </c>
      <c r="O204" s="72"/>
      <c r="P204" s="72"/>
      <c r="Q204" s="72"/>
      <c r="R204" s="72"/>
      <c r="S204" s="72"/>
      <c r="T204" s="72"/>
      <c r="U204" s="72"/>
      <c r="V204" s="72"/>
    </row>
    <row r="205" spans="1:25" ht="27.75" customHeight="1">
      <c r="A205" s="87" t="str">
        <f>IF(ISBLANK(C205)," ",200-COUNTBLANK($C$6:C205))</f>
        <v xml:space="preserve"> </v>
      </c>
      <c r="B205" s="88"/>
      <c r="C205" s="88"/>
      <c r="D205" s="89"/>
      <c r="E205" s="89"/>
      <c r="F205" s="73"/>
      <c r="G205" s="73"/>
      <c r="H205" s="73"/>
      <c r="I205" s="73"/>
      <c r="J205" s="73"/>
      <c r="K205" s="73"/>
      <c r="L205" s="73"/>
      <c r="M205" s="74"/>
      <c r="N205" s="71" t="str">
        <f t="shared" si="3"/>
        <v/>
      </c>
      <c r="O205" s="72"/>
      <c r="P205" s="72"/>
      <c r="Q205" s="72"/>
      <c r="R205" s="72"/>
      <c r="S205" s="72"/>
      <c r="T205" s="72"/>
      <c r="U205" s="72"/>
      <c r="V205" s="72"/>
    </row>
    <row r="206" spans="1:25" ht="27.75" customHeight="1">
      <c r="A206" s="87" t="str">
        <f>IF(ISBLANK(C206)," ",201-COUNTBLANK($C$6:C206))</f>
        <v xml:space="preserve"> </v>
      </c>
      <c r="B206" s="88"/>
      <c r="C206" s="88"/>
      <c r="D206" s="89"/>
      <c r="E206" s="89"/>
      <c r="F206" s="73"/>
      <c r="G206" s="73"/>
      <c r="H206" s="73"/>
      <c r="I206" s="73"/>
      <c r="J206" s="73"/>
      <c r="K206" s="73"/>
      <c r="L206" s="73"/>
      <c r="M206" s="74"/>
      <c r="N206" s="71" t="str">
        <f t="shared" si="3"/>
        <v/>
      </c>
      <c r="O206" s="72"/>
      <c r="P206" s="72"/>
      <c r="Q206" s="72"/>
      <c r="R206" s="72"/>
      <c r="S206" s="72"/>
      <c r="T206" s="72"/>
      <c r="U206" s="72"/>
      <c r="V206" s="72"/>
    </row>
    <row r="207" spans="1:25" ht="27.75" customHeight="1">
      <c r="A207" s="87" t="str">
        <f>IF(ISBLANK(C207)," ",202-COUNTBLANK($C$6:C207))</f>
        <v xml:space="preserve"> </v>
      </c>
      <c r="B207" s="88"/>
      <c r="C207" s="88"/>
      <c r="D207" s="89"/>
      <c r="E207" s="89"/>
      <c r="F207" s="73"/>
      <c r="G207" s="73"/>
      <c r="H207" s="73"/>
      <c r="I207" s="73"/>
      <c r="J207" s="73"/>
      <c r="K207" s="73"/>
      <c r="L207" s="73"/>
      <c r="M207" s="74"/>
      <c r="N207" s="71" t="str">
        <f t="shared" si="3"/>
        <v/>
      </c>
      <c r="O207" s="72"/>
      <c r="P207" s="72"/>
      <c r="Q207" s="72"/>
      <c r="R207" s="72"/>
      <c r="S207" s="72"/>
      <c r="T207" s="72"/>
      <c r="U207" s="72"/>
      <c r="V207" s="72"/>
    </row>
    <row r="208" spans="1:25" ht="27.75" customHeight="1">
      <c r="A208" s="87" t="str">
        <f>IF(ISBLANK(C208)," ",203-COUNTBLANK($C$6:C208))</f>
        <v xml:space="preserve"> </v>
      </c>
      <c r="B208" s="88"/>
      <c r="C208" s="88"/>
      <c r="D208" s="89"/>
      <c r="E208" s="89"/>
      <c r="F208" s="73"/>
      <c r="G208" s="73"/>
      <c r="H208" s="73"/>
      <c r="I208" s="73"/>
      <c r="J208" s="73"/>
      <c r="K208" s="73"/>
      <c r="L208" s="73"/>
      <c r="M208" s="74"/>
      <c r="N208" s="71" t="str">
        <f t="shared" si="3"/>
        <v/>
      </c>
      <c r="O208" s="72"/>
      <c r="P208" s="72"/>
      <c r="Q208" s="72"/>
      <c r="R208" s="72"/>
      <c r="S208" s="72"/>
      <c r="T208" s="72"/>
      <c r="U208" s="72"/>
      <c r="V208" s="72"/>
    </row>
    <row r="209" spans="1:25" ht="27.75" customHeight="1">
      <c r="A209" s="87" t="str">
        <f>IF(ISBLANK(C209)," ",204-COUNTBLANK($C$6:C209))</f>
        <v xml:space="preserve"> </v>
      </c>
      <c r="B209" s="88"/>
      <c r="C209" s="88"/>
      <c r="D209" s="89"/>
      <c r="E209" s="89"/>
      <c r="F209" s="73"/>
      <c r="G209" s="73"/>
      <c r="H209" s="73"/>
      <c r="I209" s="73"/>
      <c r="J209" s="73"/>
      <c r="K209" s="73"/>
      <c r="L209" s="73"/>
      <c r="M209" s="74"/>
      <c r="N209" s="71" t="str">
        <f t="shared" si="3"/>
        <v/>
      </c>
      <c r="O209" s="72"/>
      <c r="P209" s="72"/>
      <c r="Q209" s="72"/>
      <c r="R209" s="72"/>
      <c r="S209" s="72"/>
      <c r="T209" s="72"/>
      <c r="U209" s="72"/>
      <c r="V209" s="72"/>
    </row>
    <row r="210" spans="1:25" ht="27.75" customHeight="1">
      <c r="A210" s="87" t="str">
        <f>IF(ISBLANK(C210)," ",205-COUNTBLANK($C$6:C210))</f>
        <v xml:space="preserve"> </v>
      </c>
      <c r="B210" s="88"/>
      <c r="C210" s="88"/>
      <c r="D210" s="89"/>
      <c r="E210" s="89"/>
      <c r="F210" s="73"/>
      <c r="G210" s="73"/>
      <c r="H210" s="73"/>
      <c r="I210" s="73"/>
      <c r="J210" s="73"/>
      <c r="K210" s="73"/>
      <c r="L210" s="73"/>
      <c r="M210" s="74"/>
      <c r="N210" s="71" t="str">
        <f t="shared" si="3"/>
        <v/>
      </c>
      <c r="O210" s="75"/>
      <c r="P210" s="72"/>
      <c r="Q210" s="72"/>
      <c r="R210" s="72"/>
      <c r="S210" s="72"/>
      <c r="T210" s="72"/>
      <c r="U210" s="72"/>
      <c r="V210" s="76"/>
    </row>
    <row r="211" spans="1:25" ht="27.75" customHeight="1">
      <c r="A211" s="87" t="str">
        <f>IF(ISBLANK(C211)," ",206-COUNTBLANK($C$6:C211))</f>
        <v xml:space="preserve"> </v>
      </c>
      <c r="B211" s="88"/>
      <c r="C211" s="88"/>
      <c r="D211" s="89"/>
      <c r="E211" s="89"/>
      <c r="F211" s="73"/>
      <c r="G211" s="73"/>
      <c r="H211" s="73"/>
      <c r="I211" s="73"/>
      <c r="J211" s="73"/>
      <c r="K211" s="73"/>
      <c r="L211" s="73"/>
      <c r="M211" s="74"/>
      <c r="N211" s="71" t="str">
        <f t="shared" si="3"/>
        <v/>
      </c>
      <c r="O211" s="75"/>
      <c r="P211" s="72"/>
      <c r="Q211" s="72"/>
      <c r="R211" s="72"/>
      <c r="S211" s="72"/>
      <c r="T211" s="72"/>
      <c r="U211" s="72"/>
      <c r="V211" s="76"/>
    </row>
    <row r="212" spans="1:25" ht="27.75" customHeight="1">
      <c r="A212" s="87" t="str">
        <f>IF(ISBLANK(C212)," ",207-COUNTBLANK($C$6:C212))</f>
        <v xml:space="preserve"> </v>
      </c>
      <c r="B212" s="88"/>
      <c r="C212" s="88"/>
      <c r="D212" s="89"/>
      <c r="E212" s="89"/>
      <c r="F212" s="73"/>
      <c r="G212" s="73"/>
      <c r="H212" s="73"/>
      <c r="I212" s="73"/>
      <c r="J212" s="73"/>
      <c r="K212" s="73"/>
      <c r="L212" s="73"/>
      <c r="M212" s="74"/>
      <c r="N212" s="71" t="str">
        <f t="shared" si="3"/>
        <v/>
      </c>
      <c r="O212" s="75"/>
      <c r="P212" s="72"/>
      <c r="Q212" s="72"/>
      <c r="R212" s="72"/>
      <c r="S212" s="72"/>
      <c r="T212" s="72"/>
      <c r="U212" s="72"/>
      <c r="V212" s="76"/>
    </row>
    <row r="213" spans="1:25" ht="27.75" customHeight="1">
      <c r="A213" s="87" t="str">
        <f>IF(ISBLANK(C213)," ",208-COUNTBLANK($C$6:C213))</f>
        <v xml:space="preserve"> </v>
      </c>
      <c r="B213" s="88"/>
      <c r="C213" s="88"/>
      <c r="D213" s="89"/>
      <c r="E213" s="89"/>
      <c r="F213" s="73"/>
      <c r="G213" s="73"/>
      <c r="H213" s="73"/>
      <c r="I213" s="73"/>
      <c r="J213" s="73"/>
      <c r="K213" s="73"/>
      <c r="L213" s="73"/>
      <c r="M213" s="74"/>
      <c r="N213" s="71" t="str">
        <f t="shared" si="3"/>
        <v/>
      </c>
      <c r="O213" s="75"/>
      <c r="P213" s="72"/>
      <c r="Q213" s="72"/>
      <c r="R213" s="72"/>
      <c r="S213" s="72"/>
      <c r="T213" s="72"/>
      <c r="U213" s="72"/>
      <c r="V213" s="76"/>
    </row>
    <row r="214" spans="1:25" ht="27.75" customHeight="1">
      <c r="A214" s="87" t="str">
        <f>IF(ISBLANK(C214)," ",209-COUNTBLANK($C$6:C214))</f>
        <v xml:space="preserve"> </v>
      </c>
      <c r="B214" s="88"/>
      <c r="C214" s="88"/>
      <c r="D214" s="89"/>
      <c r="E214" s="89"/>
      <c r="F214" s="73"/>
      <c r="G214" s="73"/>
      <c r="H214" s="73"/>
      <c r="I214" s="73"/>
      <c r="J214" s="73"/>
      <c r="K214" s="73"/>
      <c r="L214" s="73"/>
      <c r="M214" s="74"/>
      <c r="N214" s="71" t="str">
        <f t="shared" si="3"/>
        <v/>
      </c>
      <c r="O214" s="72"/>
      <c r="P214" s="72"/>
      <c r="Q214" s="72"/>
      <c r="R214" s="72"/>
      <c r="S214" s="72"/>
      <c r="T214" s="72"/>
      <c r="U214" s="72"/>
      <c r="V214" s="79"/>
      <c r="W214" s="72"/>
      <c r="X214" s="72"/>
      <c r="Y214" s="72"/>
    </row>
    <row r="215" spans="1:25" ht="27.75" customHeight="1">
      <c r="A215" s="80" t="s">
        <v>58</v>
      </c>
      <c r="B215" s="81"/>
      <c r="C215" s="96"/>
      <c r="D215" s="82"/>
      <c r="E215" s="82">
        <f>SUM(E195:E214)</f>
        <v>0</v>
      </c>
      <c r="F215" s="83"/>
      <c r="G215" s="83"/>
      <c r="H215" s="83"/>
      <c r="I215" s="83"/>
      <c r="J215" s="83"/>
      <c r="K215" s="83"/>
      <c r="L215" s="83"/>
      <c r="M215" s="84"/>
      <c r="N215" s="71" t="str">
        <f t="shared" si="3"/>
        <v/>
      </c>
      <c r="O215" s="75"/>
      <c r="P215" s="72"/>
      <c r="Q215" s="72"/>
      <c r="R215" s="72"/>
      <c r="S215" s="72"/>
      <c r="T215" s="72"/>
      <c r="U215" s="72"/>
      <c r="V215" s="79"/>
      <c r="W215" s="72"/>
      <c r="X215" s="72"/>
      <c r="Y215" s="72"/>
    </row>
    <row r="216" spans="1:25" ht="27.75" customHeight="1">
      <c r="A216" s="93" t="str">
        <f>IF(ISBLANK(C216)," ",211-COUNTBLANK($C$6:C216))</f>
        <v xml:space="preserve"> </v>
      </c>
      <c r="B216" s="94"/>
      <c r="C216" s="94"/>
      <c r="D216" s="95"/>
      <c r="E216" s="95"/>
      <c r="F216" s="85"/>
      <c r="G216" s="85"/>
      <c r="H216" s="85"/>
      <c r="I216" s="85"/>
      <c r="J216" s="85"/>
      <c r="K216" s="85"/>
      <c r="L216" s="85"/>
      <c r="M216" s="86"/>
      <c r="N216" s="71" t="str">
        <f t="shared" si="3"/>
        <v/>
      </c>
      <c r="O216" s="72"/>
      <c r="P216" s="72"/>
      <c r="Q216" s="72"/>
      <c r="R216" s="72"/>
      <c r="S216" s="72"/>
      <c r="T216" s="72"/>
      <c r="U216" s="72"/>
      <c r="V216" s="72"/>
    </row>
    <row r="217" spans="1:25" ht="27.75" customHeight="1">
      <c r="A217" s="87" t="str">
        <f>IF(ISBLANK(C217)," ",212-COUNTBLANK($C$6:C217))</f>
        <v xml:space="preserve"> </v>
      </c>
      <c r="B217" s="88"/>
      <c r="C217" s="88"/>
      <c r="D217" s="89"/>
      <c r="E217" s="89"/>
      <c r="F217" s="73"/>
      <c r="G217" s="73"/>
      <c r="H217" s="73"/>
      <c r="I217" s="73"/>
      <c r="J217" s="73"/>
      <c r="K217" s="73"/>
      <c r="L217" s="73"/>
      <c r="M217" s="74"/>
      <c r="N217" s="71" t="str">
        <f t="shared" si="3"/>
        <v/>
      </c>
      <c r="O217" s="72"/>
      <c r="P217" s="72"/>
      <c r="Q217" s="72"/>
      <c r="R217" s="72"/>
      <c r="S217" s="72"/>
      <c r="T217" s="72"/>
      <c r="U217" s="72"/>
      <c r="V217" s="72"/>
    </row>
    <row r="218" spans="1:25" ht="27.75" customHeight="1">
      <c r="A218" s="87" t="str">
        <f>IF(ISBLANK(C218)," ",213-COUNTBLANK($C$6:C218))</f>
        <v xml:space="preserve"> </v>
      </c>
      <c r="B218" s="88"/>
      <c r="C218" s="88"/>
      <c r="D218" s="89"/>
      <c r="E218" s="89"/>
      <c r="F218" s="73"/>
      <c r="G218" s="73"/>
      <c r="H218" s="73"/>
      <c r="I218" s="73"/>
      <c r="J218" s="73"/>
      <c r="K218" s="73"/>
      <c r="L218" s="73"/>
      <c r="M218" s="74"/>
      <c r="N218" s="71" t="str">
        <f t="shared" si="3"/>
        <v/>
      </c>
      <c r="O218" s="72"/>
      <c r="P218" s="72"/>
      <c r="Q218" s="72"/>
      <c r="R218" s="72"/>
      <c r="S218" s="72"/>
      <c r="T218" s="72"/>
      <c r="U218" s="72"/>
      <c r="V218" s="72"/>
    </row>
    <row r="219" spans="1:25" ht="27.75" customHeight="1">
      <c r="A219" s="87" t="str">
        <f>IF(ISBLANK(C219)," ",214-COUNTBLANK($C$6:C219))</f>
        <v xml:space="preserve"> </v>
      </c>
      <c r="B219" s="88"/>
      <c r="C219" s="88"/>
      <c r="D219" s="89"/>
      <c r="E219" s="89"/>
      <c r="F219" s="73"/>
      <c r="G219" s="73"/>
      <c r="H219" s="73"/>
      <c r="I219" s="73"/>
      <c r="J219" s="73"/>
      <c r="K219" s="73"/>
      <c r="L219" s="73"/>
      <c r="M219" s="74"/>
      <c r="N219" s="71" t="str">
        <f t="shared" si="3"/>
        <v/>
      </c>
      <c r="O219" s="72"/>
      <c r="P219" s="72"/>
      <c r="Q219" s="72"/>
      <c r="R219" s="72"/>
      <c r="S219" s="72"/>
      <c r="T219" s="72"/>
      <c r="U219" s="72"/>
      <c r="V219" s="72"/>
    </row>
    <row r="220" spans="1:25" ht="27.75" customHeight="1">
      <c r="A220" s="87" t="str">
        <f>IF(ISBLANK(C220)," ",215-COUNTBLANK($C$6:C220))</f>
        <v xml:space="preserve"> </v>
      </c>
      <c r="B220" s="88"/>
      <c r="C220" s="88"/>
      <c r="D220" s="89"/>
      <c r="E220" s="89"/>
      <c r="F220" s="73"/>
      <c r="G220" s="73"/>
      <c r="H220" s="73"/>
      <c r="I220" s="73"/>
      <c r="J220" s="73"/>
      <c r="K220" s="73"/>
      <c r="L220" s="73"/>
      <c r="M220" s="74"/>
      <c r="N220" s="71" t="str">
        <f t="shared" si="3"/>
        <v/>
      </c>
      <c r="O220" s="72"/>
      <c r="P220" s="72"/>
      <c r="Q220" s="72"/>
      <c r="R220" s="72"/>
      <c r="S220" s="72"/>
      <c r="T220" s="72"/>
      <c r="U220" s="72"/>
      <c r="V220" s="72"/>
    </row>
    <row r="221" spans="1:25" ht="27.75" customHeight="1">
      <c r="A221" s="87" t="str">
        <f>IF(ISBLANK(C221)," ",216-COUNTBLANK($C$6:C221))</f>
        <v xml:space="preserve"> </v>
      </c>
      <c r="B221" s="88"/>
      <c r="C221" s="88"/>
      <c r="D221" s="89"/>
      <c r="E221" s="89"/>
      <c r="F221" s="73"/>
      <c r="G221" s="73"/>
      <c r="H221" s="73"/>
      <c r="I221" s="73"/>
      <c r="J221" s="73"/>
      <c r="K221" s="73"/>
      <c r="L221" s="73"/>
      <c r="M221" s="74"/>
      <c r="N221" s="71" t="str">
        <f t="shared" si="3"/>
        <v/>
      </c>
      <c r="O221" s="72"/>
      <c r="P221" s="72"/>
      <c r="Q221" s="72"/>
      <c r="R221" s="72"/>
      <c r="S221" s="72"/>
      <c r="T221" s="72"/>
      <c r="U221" s="72"/>
      <c r="V221" s="72"/>
    </row>
    <row r="222" spans="1:25" ht="27.75" customHeight="1">
      <c r="A222" s="87" t="str">
        <f>IF(ISBLANK(C222)," ",217-COUNTBLANK($C$6:C222))</f>
        <v xml:space="preserve"> </v>
      </c>
      <c r="B222" s="88"/>
      <c r="C222" s="88"/>
      <c r="D222" s="89"/>
      <c r="E222" s="89"/>
      <c r="F222" s="73"/>
      <c r="G222" s="73"/>
      <c r="H222" s="73"/>
      <c r="I222" s="73"/>
      <c r="J222" s="73"/>
      <c r="K222" s="73"/>
      <c r="L222" s="73"/>
      <c r="M222" s="74"/>
      <c r="N222" s="71" t="str">
        <f t="shared" si="3"/>
        <v/>
      </c>
      <c r="O222" s="72"/>
      <c r="P222" s="72"/>
      <c r="Q222" s="72"/>
      <c r="R222" s="72"/>
      <c r="S222" s="72"/>
      <c r="T222" s="72"/>
      <c r="U222" s="72"/>
      <c r="V222" s="72"/>
    </row>
    <row r="223" spans="1:25" ht="27.75" customHeight="1">
      <c r="A223" s="87" t="str">
        <f>IF(ISBLANK(C223)," ",218-COUNTBLANK($C$6:C223))</f>
        <v xml:space="preserve"> </v>
      </c>
      <c r="B223" s="88"/>
      <c r="C223" s="88"/>
      <c r="D223" s="89"/>
      <c r="E223" s="89"/>
      <c r="F223" s="73"/>
      <c r="G223" s="73"/>
      <c r="H223" s="73"/>
      <c r="I223" s="73"/>
      <c r="J223" s="73"/>
      <c r="K223" s="73"/>
      <c r="L223" s="73"/>
      <c r="M223" s="74"/>
      <c r="N223" s="71" t="str">
        <f t="shared" si="3"/>
        <v/>
      </c>
      <c r="O223" s="72"/>
      <c r="P223" s="72"/>
      <c r="Q223" s="72"/>
      <c r="R223" s="72"/>
      <c r="S223" s="72"/>
      <c r="T223" s="72"/>
      <c r="U223" s="72"/>
      <c r="V223" s="72"/>
    </row>
    <row r="224" spans="1:25" ht="27.75" customHeight="1">
      <c r="A224" s="87" t="str">
        <f>IF(ISBLANK(C224)," ",219-COUNTBLANK($C$6:C224))</f>
        <v xml:space="preserve"> </v>
      </c>
      <c r="B224" s="88"/>
      <c r="C224" s="88"/>
      <c r="D224" s="89"/>
      <c r="E224" s="89"/>
      <c r="F224" s="73"/>
      <c r="G224" s="73"/>
      <c r="H224" s="73"/>
      <c r="I224" s="73"/>
      <c r="J224" s="73"/>
      <c r="K224" s="73"/>
      <c r="L224" s="73"/>
      <c r="M224" s="74"/>
      <c r="N224" s="71" t="str">
        <f t="shared" si="3"/>
        <v/>
      </c>
      <c r="O224" s="72"/>
      <c r="P224" s="72"/>
      <c r="Q224" s="72"/>
      <c r="R224" s="72"/>
      <c r="S224" s="72"/>
      <c r="T224" s="72"/>
      <c r="U224" s="72"/>
      <c r="V224" s="72"/>
    </row>
    <row r="225" spans="1:25" ht="27.75" customHeight="1">
      <c r="A225" s="87" t="str">
        <f>IF(ISBLANK(C225)," ",220-COUNTBLANK($C$6:C225))</f>
        <v xml:space="preserve"> </v>
      </c>
      <c r="B225" s="88"/>
      <c r="C225" s="88"/>
      <c r="D225" s="89"/>
      <c r="E225" s="89"/>
      <c r="F225" s="73"/>
      <c r="G225" s="73"/>
      <c r="H225" s="73"/>
      <c r="I225" s="73"/>
      <c r="J225" s="73"/>
      <c r="K225" s="73"/>
      <c r="L225" s="73"/>
      <c r="M225" s="74"/>
      <c r="N225" s="71" t="str">
        <f t="shared" si="3"/>
        <v/>
      </c>
      <c r="O225" s="72"/>
      <c r="P225" s="72"/>
      <c r="Q225" s="72"/>
      <c r="R225" s="72"/>
      <c r="S225" s="72"/>
      <c r="T225" s="72"/>
      <c r="U225" s="72"/>
      <c r="V225" s="72"/>
    </row>
    <row r="226" spans="1:25" ht="27.75" customHeight="1">
      <c r="A226" s="87" t="str">
        <f>IF(ISBLANK(C226)," ",221-COUNTBLANK($C$6:C226))</f>
        <v xml:space="preserve"> </v>
      </c>
      <c r="B226" s="88"/>
      <c r="C226" s="88"/>
      <c r="D226" s="89"/>
      <c r="E226" s="89"/>
      <c r="F226" s="73"/>
      <c r="G226" s="73"/>
      <c r="H226" s="73"/>
      <c r="I226" s="73"/>
      <c r="J226" s="73"/>
      <c r="K226" s="73"/>
      <c r="L226" s="73"/>
      <c r="M226" s="74"/>
      <c r="N226" s="71" t="str">
        <f t="shared" si="3"/>
        <v/>
      </c>
      <c r="O226" s="72"/>
      <c r="P226" s="72"/>
      <c r="Q226" s="72"/>
      <c r="R226" s="72"/>
      <c r="S226" s="72"/>
      <c r="T226" s="72"/>
      <c r="U226" s="72"/>
      <c r="V226" s="72"/>
    </row>
    <row r="227" spans="1:25" ht="27.75" customHeight="1">
      <c r="A227" s="87" t="str">
        <f>IF(ISBLANK(C227)," ",222-COUNTBLANK($C$6:C227))</f>
        <v xml:space="preserve"> </v>
      </c>
      <c r="B227" s="88"/>
      <c r="C227" s="88"/>
      <c r="D227" s="89"/>
      <c r="E227" s="89"/>
      <c r="F227" s="73"/>
      <c r="G227" s="73"/>
      <c r="H227" s="73"/>
      <c r="I227" s="73"/>
      <c r="J227" s="73"/>
      <c r="K227" s="73"/>
      <c r="L227" s="73"/>
      <c r="M227" s="74"/>
      <c r="N227" s="71" t="str">
        <f t="shared" si="3"/>
        <v/>
      </c>
      <c r="O227" s="72"/>
      <c r="P227" s="72"/>
      <c r="Q227" s="72"/>
      <c r="R227" s="72"/>
      <c r="S227" s="72"/>
      <c r="T227" s="72"/>
      <c r="U227" s="72"/>
      <c r="V227" s="72"/>
    </row>
    <row r="228" spans="1:25" ht="27.75" customHeight="1">
      <c r="A228" s="87" t="str">
        <f>IF(ISBLANK(C228)," ",223-COUNTBLANK($C$6:C228))</f>
        <v xml:space="preserve"> </v>
      </c>
      <c r="B228" s="88"/>
      <c r="C228" s="88"/>
      <c r="D228" s="89"/>
      <c r="E228" s="89"/>
      <c r="F228" s="73"/>
      <c r="G228" s="73"/>
      <c r="H228" s="73"/>
      <c r="I228" s="73"/>
      <c r="J228" s="73"/>
      <c r="K228" s="73"/>
      <c r="L228" s="73"/>
      <c r="M228" s="74"/>
      <c r="N228" s="71" t="str">
        <f t="shared" si="3"/>
        <v/>
      </c>
      <c r="O228" s="72"/>
      <c r="P228" s="72"/>
      <c r="Q228" s="72"/>
      <c r="R228" s="72"/>
      <c r="S228" s="72"/>
      <c r="T228" s="72"/>
      <c r="U228" s="72"/>
      <c r="V228" s="72"/>
    </row>
    <row r="229" spans="1:25" ht="27.75" customHeight="1">
      <c r="A229" s="87" t="str">
        <f>IF(ISBLANK(C229)," ",224-COUNTBLANK($C$6:C229))</f>
        <v xml:space="preserve"> </v>
      </c>
      <c r="B229" s="88"/>
      <c r="C229" s="88"/>
      <c r="D229" s="89"/>
      <c r="E229" s="89"/>
      <c r="F229" s="73"/>
      <c r="G229" s="73"/>
      <c r="H229" s="73"/>
      <c r="I229" s="73"/>
      <c r="J229" s="73"/>
      <c r="K229" s="73"/>
      <c r="L229" s="73"/>
      <c r="M229" s="74"/>
      <c r="N229" s="71" t="str">
        <f t="shared" si="3"/>
        <v/>
      </c>
      <c r="O229" s="72"/>
      <c r="P229" s="72"/>
      <c r="Q229" s="72"/>
      <c r="R229" s="72"/>
      <c r="S229" s="72"/>
      <c r="T229" s="72"/>
      <c r="U229" s="72"/>
      <c r="V229" s="72"/>
    </row>
    <row r="230" spans="1:25" ht="27.75" customHeight="1">
      <c r="A230" s="87" t="str">
        <f>IF(ISBLANK(C230)," ",225-COUNTBLANK($C$6:C230))</f>
        <v xml:space="preserve"> </v>
      </c>
      <c r="B230" s="88"/>
      <c r="C230" s="88"/>
      <c r="D230" s="89"/>
      <c r="E230" s="89"/>
      <c r="F230" s="73"/>
      <c r="G230" s="73"/>
      <c r="H230" s="73"/>
      <c r="I230" s="73"/>
      <c r="J230" s="73"/>
      <c r="K230" s="73"/>
      <c r="L230" s="73"/>
      <c r="M230" s="74"/>
      <c r="N230" s="71" t="str">
        <f t="shared" si="3"/>
        <v/>
      </c>
      <c r="O230" s="72"/>
      <c r="P230" s="72"/>
      <c r="Q230" s="72"/>
      <c r="R230" s="72"/>
      <c r="S230" s="72"/>
      <c r="T230" s="72"/>
      <c r="U230" s="72"/>
      <c r="V230" s="72"/>
    </row>
    <row r="231" spans="1:25" ht="27.75" customHeight="1">
      <c r="A231" s="87" t="str">
        <f>IF(ISBLANK(C231)," ",226-COUNTBLANK($C$6:C231))</f>
        <v xml:space="preserve"> </v>
      </c>
      <c r="B231" s="88"/>
      <c r="C231" s="88"/>
      <c r="D231" s="89"/>
      <c r="E231" s="89"/>
      <c r="F231" s="73"/>
      <c r="G231" s="73"/>
      <c r="H231" s="73"/>
      <c r="I231" s="73"/>
      <c r="J231" s="73"/>
      <c r="K231" s="73"/>
      <c r="L231" s="73"/>
      <c r="M231" s="74"/>
      <c r="N231" s="71" t="str">
        <f t="shared" si="3"/>
        <v/>
      </c>
      <c r="O231" s="75"/>
      <c r="P231" s="72"/>
      <c r="Q231" s="72"/>
      <c r="R231" s="72"/>
      <c r="S231" s="72"/>
      <c r="T231" s="72"/>
      <c r="U231" s="72"/>
      <c r="V231" s="76"/>
    </row>
    <row r="232" spans="1:25" ht="27.75" customHeight="1">
      <c r="A232" s="87" t="str">
        <f>IF(ISBLANK(C232)," ",227-COUNTBLANK($C$6:C232))</f>
        <v xml:space="preserve"> </v>
      </c>
      <c r="B232" s="88"/>
      <c r="C232" s="88"/>
      <c r="D232" s="89"/>
      <c r="E232" s="89"/>
      <c r="F232" s="73"/>
      <c r="G232" s="73"/>
      <c r="H232" s="73"/>
      <c r="I232" s="73"/>
      <c r="J232" s="73"/>
      <c r="K232" s="73"/>
      <c r="L232" s="73"/>
      <c r="M232" s="74"/>
      <c r="N232" s="71" t="str">
        <f t="shared" si="3"/>
        <v/>
      </c>
      <c r="O232" s="75"/>
      <c r="P232" s="72"/>
      <c r="Q232" s="72"/>
      <c r="R232" s="72"/>
      <c r="S232" s="72"/>
      <c r="T232" s="72"/>
      <c r="U232" s="72"/>
      <c r="V232" s="76"/>
    </row>
    <row r="233" spans="1:25" ht="27.75" customHeight="1">
      <c r="A233" s="87" t="str">
        <f>IF(ISBLANK(C233)," ",228-COUNTBLANK($C$6:C233))</f>
        <v xml:space="preserve"> </v>
      </c>
      <c r="B233" s="88"/>
      <c r="C233" s="88"/>
      <c r="D233" s="89"/>
      <c r="E233" s="89"/>
      <c r="F233" s="73"/>
      <c r="G233" s="73"/>
      <c r="H233" s="73"/>
      <c r="I233" s="73"/>
      <c r="J233" s="73"/>
      <c r="K233" s="73"/>
      <c r="L233" s="73"/>
      <c r="M233" s="74"/>
      <c r="N233" s="71" t="str">
        <f t="shared" si="3"/>
        <v/>
      </c>
      <c r="O233" s="75"/>
      <c r="P233" s="72"/>
      <c r="Q233" s="72"/>
      <c r="R233" s="72"/>
      <c r="S233" s="72"/>
      <c r="T233" s="72"/>
      <c r="U233" s="72"/>
      <c r="V233" s="76"/>
    </row>
    <row r="234" spans="1:25" ht="27.75" customHeight="1">
      <c r="A234" s="87" t="str">
        <f>IF(ISBLANK(C234)," ",229-COUNTBLANK($C$6:C234))</f>
        <v xml:space="preserve"> </v>
      </c>
      <c r="B234" s="88"/>
      <c r="C234" s="88"/>
      <c r="D234" s="89"/>
      <c r="E234" s="89"/>
      <c r="F234" s="73"/>
      <c r="G234" s="73"/>
      <c r="H234" s="73"/>
      <c r="I234" s="73"/>
      <c r="J234" s="73"/>
      <c r="K234" s="73"/>
      <c r="L234" s="73"/>
      <c r="M234" s="74"/>
      <c r="N234" s="71" t="str">
        <f t="shared" si="3"/>
        <v/>
      </c>
      <c r="O234" s="75"/>
      <c r="P234" s="72"/>
      <c r="Q234" s="72"/>
      <c r="R234" s="72"/>
      <c r="S234" s="72"/>
      <c r="T234" s="72"/>
      <c r="U234" s="72"/>
      <c r="V234" s="76"/>
    </row>
    <row r="235" spans="1:25" ht="27.75" customHeight="1">
      <c r="A235" s="87" t="str">
        <f>IF(ISBLANK(C235)," ",230-COUNTBLANK($C$6:C235))</f>
        <v xml:space="preserve"> </v>
      </c>
      <c r="B235" s="88"/>
      <c r="C235" s="88"/>
      <c r="D235" s="89"/>
      <c r="E235" s="89"/>
      <c r="F235" s="73"/>
      <c r="G235" s="73"/>
      <c r="H235" s="73"/>
      <c r="I235" s="73"/>
      <c r="J235" s="73"/>
      <c r="K235" s="73"/>
      <c r="L235" s="73"/>
      <c r="M235" s="74"/>
      <c r="N235" s="71" t="str">
        <f t="shared" si="3"/>
        <v/>
      </c>
      <c r="O235" s="72"/>
      <c r="P235" s="72"/>
      <c r="Q235" s="72"/>
      <c r="R235" s="72"/>
      <c r="S235" s="72"/>
      <c r="T235" s="72"/>
      <c r="U235" s="72"/>
      <c r="V235" s="79"/>
      <c r="W235" s="72"/>
      <c r="X235" s="72"/>
      <c r="Y235" s="72"/>
    </row>
    <row r="236" spans="1:25" ht="27.75" customHeight="1">
      <c r="A236" s="80" t="s">
        <v>58</v>
      </c>
      <c r="B236" s="81"/>
      <c r="C236" s="96"/>
      <c r="D236" s="82"/>
      <c r="E236" s="82">
        <f>SUM(E216:E235)</f>
        <v>0</v>
      </c>
      <c r="F236" s="83"/>
      <c r="G236" s="83"/>
      <c r="H236" s="83"/>
      <c r="I236" s="83"/>
      <c r="J236" s="83"/>
      <c r="K236" s="83"/>
      <c r="L236" s="83"/>
      <c r="M236" s="84"/>
      <c r="N236" s="71" t="str">
        <f t="shared" si="3"/>
        <v/>
      </c>
      <c r="O236" s="75"/>
      <c r="P236" s="72"/>
      <c r="Q236" s="72"/>
      <c r="R236" s="72"/>
      <c r="S236" s="72"/>
      <c r="T236" s="72"/>
      <c r="U236" s="72"/>
      <c r="V236" s="79"/>
      <c r="W236" s="72"/>
      <c r="X236" s="72"/>
      <c r="Y236" s="72"/>
    </row>
    <row r="237" spans="1:25" ht="27.75" customHeight="1">
      <c r="A237" s="93" t="str">
        <f>IF(ISBLANK(C237)," ",232-COUNTBLANK($C$6:C237))</f>
        <v xml:space="preserve"> </v>
      </c>
      <c r="B237" s="94"/>
      <c r="C237" s="94"/>
      <c r="D237" s="95"/>
      <c r="E237" s="95"/>
      <c r="F237" s="85"/>
      <c r="G237" s="85"/>
      <c r="H237" s="85"/>
      <c r="I237" s="85"/>
      <c r="J237" s="85"/>
      <c r="K237" s="85"/>
      <c r="L237" s="85"/>
      <c r="M237" s="86"/>
      <c r="N237" s="71" t="str">
        <f t="shared" si="3"/>
        <v/>
      </c>
      <c r="O237" s="72"/>
      <c r="P237" s="72"/>
      <c r="Q237" s="72"/>
      <c r="R237" s="72"/>
      <c r="S237" s="72"/>
      <c r="T237" s="72"/>
      <c r="U237" s="72"/>
      <c r="V237" s="72"/>
    </row>
    <row r="238" spans="1:25" ht="27.75" customHeight="1">
      <c r="A238" s="87" t="str">
        <f>IF(ISBLANK(C238)," ",233-COUNTBLANK($C$6:C238))</f>
        <v xml:space="preserve"> </v>
      </c>
      <c r="B238" s="88"/>
      <c r="C238" s="88"/>
      <c r="D238" s="89"/>
      <c r="E238" s="89"/>
      <c r="F238" s="73"/>
      <c r="G238" s="73"/>
      <c r="H238" s="73"/>
      <c r="I238" s="73"/>
      <c r="J238" s="73"/>
      <c r="K238" s="73"/>
      <c r="L238" s="73"/>
      <c r="M238" s="74"/>
      <c r="N238" s="71" t="str">
        <f t="shared" si="3"/>
        <v/>
      </c>
      <c r="O238" s="72"/>
      <c r="P238" s="72"/>
      <c r="Q238" s="72"/>
      <c r="R238" s="72"/>
      <c r="S238" s="72"/>
      <c r="T238" s="72"/>
      <c r="U238" s="72"/>
      <c r="V238" s="72"/>
    </row>
    <row r="239" spans="1:25" ht="27.75" customHeight="1">
      <c r="A239" s="87" t="str">
        <f>IF(ISBLANK(C239)," ",234-COUNTBLANK($C$6:C239))</f>
        <v xml:space="preserve"> </v>
      </c>
      <c r="B239" s="88"/>
      <c r="C239" s="88"/>
      <c r="D239" s="89"/>
      <c r="E239" s="89"/>
      <c r="F239" s="73"/>
      <c r="G239" s="73"/>
      <c r="H239" s="73"/>
      <c r="I239" s="73"/>
      <c r="J239" s="73"/>
      <c r="K239" s="73"/>
      <c r="L239" s="73"/>
      <c r="M239" s="74"/>
      <c r="N239" s="71" t="str">
        <f t="shared" si="3"/>
        <v/>
      </c>
      <c r="O239" s="72"/>
      <c r="P239" s="72"/>
      <c r="Q239" s="72"/>
      <c r="R239" s="72"/>
      <c r="S239" s="72"/>
      <c r="T239" s="72"/>
      <c r="U239" s="72"/>
      <c r="V239" s="72"/>
    </row>
    <row r="240" spans="1:25" ht="27.75" customHeight="1">
      <c r="A240" s="87" t="str">
        <f>IF(ISBLANK(C240)," ",235-COUNTBLANK($C$6:C240))</f>
        <v xml:space="preserve"> </v>
      </c>
      <c r="B240" s="88"/>
      <c r="C240" s="88"/>
      <c r="D240" s="89"/>
      <c r="E240" s="89"/>
      <c r="F240" s="73"/>
      <c r="G240" s="73"/>
      <c r="H240" s="73"/>
      <c r="I240" s="73"/>
      <c r="J240" s="73"/>
      <c r="K240" s="73"/>
      <c r="L240" s="73"/>
      <c r="M240" s="74"/>
      <c r="N240" s="71" t="str">
        <f t="shared" si="3"/>
        <v/>
      </c>
      <c r="O240" s="72"/>
      <c r="P240" s="72"/>
      <c r="Q240" s="72"/>
      <c r="R240" s="72"/>
      <c r="S240" s="72"/>
      <c r="T240" s="72"/>
      <c r="U240" s="72"/>
      <c r="V240" s="72"/>
    </row>
    <row r="241" spans="1:25" ht="27.75" customHeight="1">
      <c r="A241" s="87" t="str">
        <f>IF(ISBLANK(C241)," ",236-COUNTBLANK($C$6:C241))</f>
        <v xml:space="preserve"> </v>
      </c>
      <c r="B241" s="88"/>
      <c r="C241" s="88"/>
      <c r="D241" s="89"/>
      <c r="E241" s="89"/>
      <c r="F241" s="73"/>
      <c r="G241" s="73"/>
      <c r="H241" s="73"/>
      <c r="I241" s="73"/>
      <c r="J241" s="73"/>
      <c r="K241" s="73"/>
      <c r="L241" s="73"/>
      <c r="M241" s="74"/>
      <c r="N241" s="71" t="str">
        <f t="shared" si="3"/>
        <v/>
      </c>
      <c r="O241" s="72"/>
      <c r="P241" s="72"/>
      <c r="Q241" s="72"/>
      <c r="R241" s="72"/>
      <c r="S241" s="72"/>
      <c r="T241" s="72"/>
      <c r="U241" s="72"/>
      <c r="V241" s="72"/>
    </row>
    <row r="242" spans="1:25" ht="27.75" customHeight="1">
      <c r="A242" s="87" t="str">
        <f>IF(ISBLANK(C242)," ",237-COUNTBLANK($C$6:C242))</f>
        <v xml:space="preserve"> </v>
      </c>
      <c r="B242" s="88"/>
      <c r="C242" s="88"/>
      <c r="D242" s="89"/>
      <c r="E242" s="89"/>
      <c r="F242" s="73"/>
      <c r="G242" s="73"/>
      <c r="H242" s="73"/>
      <c r="I242" s="73"/>
      <c r="J242" s="73"/>
      <c r="K242" s="73"/>
      <c r="L242" s="73"/>
      <c r="M242" s="74"/>
      <c r="N242" s="71" t="str">
        <f t="shared" si="3"/>
        <v/>
      </c>
      <c r="O242" s="72"/>
      <c r="P242" s="72"/>
      <c r="Q242" s="72"/>
      <c r="R242" s="72"/>
      <c r="S242" s="72"/>
      <c r="T242" s="72"/>
      <c r="U242" s="72"/>
      <c r="V242" s="72"/>
    </row>
    <row r="243" spans="1:25" ht="27.75" customHeight="1">
      <c r="A243" s="87" t="str">
        <f>IF(ISBLANK(C243)," ",238-COUNTBLANK($C$6:C243))</f>
        <v xml:space="preserve"> </v>
      </c>
      <c r="B243" s="88"/>
      <c r="C243" s="88"/>
      <c r="D243" s="89"/>
      <c r="E243" s="89"/>
      <c r="F243" s="73"/>
      <c r="G243" s="73"/>
      <c r="H243" s="73"/>
      <c r="I243" s="73"/>
      <c r="J243" s="73"/>
      <c r="K243" s="73"/>
      <c r="L243" s="73"/>
      <c r="M243" s="74"/>
      <c r="N243" s="71" t="str">
        <f t="shared" si="3"/>
        <v/>
      </c>
      <c r="O243" s="72"/>
      <c r="P243" s="72"/>
      <c r="Q243" s="72"/>
      <c r="R243" s="72"/>
      <c r="S243" s="72"/>
      <c r="T243" s="72"/>
      <c r="U243" s="72"/>
      <c r="V243" s="72"/>
    </row>
    <row r="244" spans="1:25" ht="27.75" customHeight="1">
      <c r="A244" s="87" t="str">
        <f>IF(ISBLANK(C244)," ",239-COUNTBLANK($C$6:C244))</f>
        <v xml:space="preserve"> </v>
      </c>
      <c r="B244" s="88"/>
      <c r="C244" s="88"/>
      <c r="D244" s="89"/>
      <c r="E244" s="89"/>
      <c r="F244" s="73"/>
      <c r="G244" s="73"/>
      <c r="H244" s="73"/>
      <c r="I244" s="73"/>
      <c r="J244" s="73"/>
      <c r="K244" s="73"/>
      <c r="L244" s="73"/>
      <c r="M244" s="74"/>
      <c r="N244" s="71" t="str">
        <f t="shared" si="3"/>
        <v/>
      </c>
      <c r="O244" s="72"/>
      <c r="P244" s="72"/>
      <c r="Q244" s="72"/>
      <c r="R244" s="72"/>
      <c r="S244" s="72"/>
      <c r="T244" s="72"/>
      <c r="U244" s="72"/>
      <c r="V244" s="72"/>
    </row>
    <row r="245" spans="1:25" ht="27.75" customHeight="1">
      <c r="A245" s="87" t="str">
        <f>IF(ISBLANK(C245)," ",240-COUNTBLANK($C$6:C245))</f>
        <v xml:space="preserve"> </v>
      </c>
      <c r="B245" s="88"/>
      <c r="C245" s="88"/>
      <c r="D245" s="89"/>
      <c r="E245" s="89"/>
      <c r="F245" s="73"/>
      <c r="G245" s="73"/>
      <c r="H245" s="73"/>
      <c r="I245" s="73"/>
      <c r="J245" s="73"/>
      <c r="K245" s="73"/>
      <c r="L245" s="73"/>
      <c r="M245" s="74"/>
      <c r="N245" s="71" t="str">
        <f t="shared" si="3"/>
        <v/>
      </c>
      <c r="O245" s="72"/>
      <c r="P245" s="72"/>
      <c r="Q245" s="72"/>
      <c r="R245" s="72"/>
      <c r="S245" s="72"/>
      <c r="T245" s="72"/>
      <c r="U245" s="72"/>
      <c r="V245" s="72"/>
    </row>
    <row r="246" spans="1:25" ht="27.75" customHeight="1">
      <c r="A246" s="87" t="str">
        <f>IF(ISBLANK(C246)," ",241-COUNTBLANK($C$6:C246))</f>
        <v xml:space="preserve"> </v>
      </c>
      <c r="B246" s="88"/>
      <c r="C246" s="88"/>
      <c r="D246" s="89"/>
      <c r="E246" s="89"/>
      <c r="F246" s="73"/>
      <c r="G246" s="73"/>
      <c r="H246" s="73"/>
      <c r="I246" s="73"/>
      <c r="J246" s="73"/>
      <c r="K246" s="73"/>
      <c r="L246" s="73"/>
      <c r="M246" s="74"/>
      <c r="N246" s="71" t="str">
        <f t="shared" si="3"/>
        <v/>
      </c>
      <c r="O246" s="72"/>
      <c r="P246" s="72"/>
      <c r="Q246" s="72"/>
      <c r="R246" s="72"/>
      <c r="S246" s="72"/>
      <c r="T246" s="72"/>
      <c r="U246" s="72"/>
      <c r="V246" s="72"/>
    </row>
    <row r="247" spans="1:25" ht="27.75" customHeight="1">
      <c r="A247" s="87" t="str">
        <f>IF(ISBLANK(C247)," ",242-COUNTBLANK($C$6:C247))</f>
        <v xml:space="preserve"> </v>
      </c>
      <c r="B247" s="88"/>
      <c r="C247" s="88"/>
      <c r="D247" s="89"/>
      <c r="E247" s="89"/>
      <c r="F247" s="73"/>
      <c r="G247" s="73"/>
      <c r="H247" s="73"/>
      <c r="I247" s="73"/>
      <c r="J247" s="73"/>
      <c r="K247" s="73"/>
      <c r="L247" s="73"/>
      <c r="M247" s="74"/>
      <c r="N247" s="71" t="str">
        <f t="shared" si="3"/>
        <v/>
      </c>
      <c r="O247" s="72"/>
      <c r="P247" s="72"/>
      <c r="Q247" s="72"/>
      <c r="R247" s="72"/>
      <c r="S247" s="72"/>
      <c r="T247" s="72"/>
      <c r="U247" s="72"/>
      <c r="V247" s="72"/>
    </row>
    <row r="248" spans="1:25" ht="27.75" customHeight="1">
      <c r="A248" s="87" t="str">
        <f>IF(ISBLANK(C248)," ",243-COUNTBLANK($C$6:C248))</f>
        <v xml:space="preserve"> </v>
      </c>
      <c r="B248" s="88"/>
      <c r="C248" s="88"/>
      <c r="D248" s="89"/>
      <c r="E248" s="89"/>
      <c r="F248" s="73"/>
      <c r="G248" s="73"/>
      <c r="H248" s="73"/>
      <c r="I248" s="73"/>
      <c r="J248" s="73"/>
      <c r="K248" s="73"/>
      <c r="L248" s="73"/>
      <c r="M248" s="74"/>
      <c r="N248" s="71" t="str">
        <f t="shared" si="3"/>
        <v/>
      </c>
      <c r="O248" s="72"/>
      <c r="P248" s="72"/>
      <c r="Q248" s="72"/>
      <c r="R248" s="72"/>
      <c r="S248" s="72"/>
      <c r="T248" s="72"/>
      <c r="U248" s="72"/>
      <c r="V248" s="72"/>
    </row>
    <row r="249" spans="1:25" ht="27.75" customHeight="1">
      <c r="A249" s="87" t="str">
        <f>IF(ISBLANK(C249)," ",244-COUNTBLANK($C$6:C249))</f>
        <v xml:space="preserve"> </v>
      </c>
      <c r="B249" s="88"/>
      <c r="C249" s="88"/>
      <c r="D249" s="89"/>
      <c r="E249" s="89"/>
      <c r="F249" s="73"/>
      <c r="G249" s="73"/>
      <c r="H249" s="73"/>
      <c r="I249" s="73"/>
      <c r="J249" s="73"/>
      <c r="K249" s="73"/>
      <c r="L249" s="73"/>
      <c r="M249" s="74"/>
      <c r="N249" s="71" t="str">
        <f t="shared" si="3"/>
        <v/>
      </c>
      <c r="O249" s="72"/>
      <c r="P249" s="72"/>
      <c r="Q249" s="72"/>
      <c r="R249" s="72"/>
      <c r="S249" s="72"/>
      <c r="T249" s="72"/>
      <c r="U249" s="72"/>
      <c r="V249" s="72"/>
    </row>
    <row r="250" spans="1:25" ht="27.75" customHeight="1">
      <c r="A250" s="87" t="str">
        <f>IF(ISBLANK(C250)," ",245-COUNTBLANK($C$6:C250))</f>
        <v xml:space="preserve"> </v>
      </c>
      <c r="B250" s="88"/>
      <c r="C250" s="88"/>
      <c r="D250" s="89"/>
      <c r="E250" s="89"/>
      <c r="F250" s="73"/>
      <c r="G250" s="73"/>
      <c r="H250" s="73"/>
      <c r="I250" s="73"/>
      <c r="J250" s="73"/>
      <c r="K250" s="73"/>
      <c r="L250" s="73"/>
      <c r="M250" s="74"/>
      <c r="N250" s="71" t="str">
        <f t="shared" si="3"/>
        <v/>
      </c>
      <c r="O250" s="72"/>
      <c r="P250" s="72"/>
      <c r="Q250" s="72"/>
      <c r="R250" s="72"/>
      <c r="S250" s="72"/>
      <c r="T250" s="72"/>
      <c r="U250" s="72"/>
      <c r="V250" s="72"/>
    </row>
    <row r="251" spans="1:25" ht="27.75" customHeight="1">
      <c r="A251" s="87" t="str">
        <f>IF(ISBLANK(C251)," ",246-COUNTBLANK($C$6:C251))</f>
        <v xml:space="preserve"> </v>
      </c>
      <c r="B251" s="88"/>
      <c r="C251" s="88"/>
      <c r="D251" s="89"/>
      <c r="E251" s="89"/>
      <c r="F251" s="73"/>
      <c r="G251" s="73"/>
      <c r="H251" s="73"/>
      <c r="I251" s="73"/>
      <c r="J251" s="73"/>
      <c r="K251" s="73"/>
      <c r="L251" s="73"/>
      <c r="M251" s="74"/>
      <c r="N251" s="71" t="str">
        <f t="shared" si="3"/>
        <v/>
      </c>
      <c r="O251" s="72"/>
      <c r="P251" s="72"/>
      <c r="Q251" s="72"/>
      <c r="R251" s="72"/>
      <c r="S251" s="72"/>
      <c r="T251" s="72"/>
      <c r="U251" s="72"/>
      <c r="V251" s="72"/>
    </row>
    <row r="252" spans="1:25" ht="27.75" customHeight="1">
      <c r="A252" s="87" t="str">
        <f>IF(ISBLANK(C252)," ",247-COUNTBLANK($C$6:C252))</f>
        <v xml:space="preserve"> </v>
      </c>
      <c r="B252" s="88"/>
      <c r="C252" s="88"/>
      <c r="D252" s="89"/>
      <c r="E252" s="89"/>
      <c r="F252" s="73"/>
      <c r="G252" s="73"/>
      <c r="H252" s="73"/>
      <c r="I252" s="73"/>
      <c r="J252" s="73"/>
      <c r="K252" s="73"/>
      <c r="L252" s="73"/>
      <c r="M252" s="74"/>
      <c r="N252" s="71" t="str">
        <f t="shared" si="3"/>
        <v/>
      </c>
      <c r="O252" s="75"/>
      <c r="P252" s="72"/>
      <c r="Q252" s="72"/>
      <c r="R252" s="72"/>
      <c r="S252" s="72"/>
      <c r="T252" s="72"/>
      <c r="U252" s="72"/>
      <c r="V252" s="76"/>
    </row>
    <row r="253" spans="1:25" ht="27.75" customHeight="1">
      <c r="A253" s="87" t="str">
        <f>IF(ISBLANK(C253)," ",248-COUNTBLANK($C$6:C253))</f>
        <v xml:space="preserve"> </v>
      </c>
      <c r="B253" s="88"/>
      <c r="C253" s="88"/>
      <c r="D253" s="89"/>
      <c r="E253" s="89"/>
      <c r="F253" s="73"/>
      <c r="G253" s="73"/>
      <c r="H253" s="73"/>
      <c r="I253" s="73"/>
      <c r="J253" s="73"/>
      <c r="K253" s="73"/>
      <c r="L253" s="73"/>
      <c r="M253" s="74"/>
      <c r="N253" s="71" t="str">
        <f t="shared" si="3"/>
        <v/>
      </c>
      <c r="O253" s="75"/>
      <c r="P253" s="72"/>
      <c r="Q253" s="72"/>
      <c r="R253" s="72"/>
      <c r="S253" s="72"/>
      <c r="T253" s="72"/>
      <c r="U253" s="72"/>
      <c r="V253" s="76"/>
    </row>
    <row r="254" spans="1:25" ht="27.75" customHeight="1">
      <c r="A254" s="87" t="str">
        <f>IF(ISBLANK(C254)," ",249-COUNTBLANK($C$6:C254))</f>
        <v xml:space="preserve"> </v>
      </c>
      <c r="B254" s="88"/>
      <c r="C254" s="88"/>
      <c r="D254" s="89"/>
      <c r="E254" s="89"/>
      <c r="F254" s="73"/>
      <c r="G254" s="73"/>
      <c r="H254" s="73"/>
      <c r="I254" s="73"/>
      <c r="J254" s="73"/>
      <c r="K254" s="73"/>
      <c r="L254" s="73"/>
      <c r="M254" s="74"/>
      <c r="N254" s="71" t="str">
        <f t="shared" si="3"/>
        <v/>
      </c>
      <c r="O254" s="75"/>
      <c r="P254" s="72"/>
      <c r="Q254" s="72"/>
      <c r="R254" s="72"/>
      <c r="S254" s="72"/>
      <c r="T254" s="72"/>
      <c r="U254" s="72"/>
      <c r="V254" s="76"/>
    </row>
    <row r="255" spans="1:25" ht="27.75" customHeight="1">
      <c r="A255" s="87" t="str">
        <f>IF(ISBLANK(C255)," ",250-COUNTBLANK($C$6:C255))</f>
        <v xml:space="preserve"> </v>
      </c>
      <c r="B255" s="88"/>
      <c r="C255" s="88"/>
      <c r="D255" s="89"/>
      <c r="E255" s="89"/>
      <c r="F255" s="73"/>
      <c r="G255" s="73"/>
      <c r="H255" s="73"/>
      <c r="I255" s="73"/>
      <c r="J255" s="73"/>
      <c r="K255" s="73"/>
      <c r="L255" s="73"/>
      <c r="M255" s="74"/>
      <c r="N255" s="71" t="str">
        <f t="shared" si="3"/>
        <v/>
      </c>
      <c r="O255" s="75"/>
      <c r="P255" s="72"/>
      <c r="Q255" s="72"/>
      <c r="R255" s="72"/>
      <c r="S255" s="72"/>
      <c r="T255" s="72"/>
      <c r="U255" s="72"/>
      <c r="V255" s="76"/>
    </row>
    <row r="256" spans="1:25" ht="27.75" customHeight="1">
      <c r="A256" s="87" t="str">
        <f>IF(ISBLANK(C256)," ",251-COUNTBLANK($C$6:C256))</f>
        <v xml:space="preserve"> </v>
      </c>
      <c r="B256" s="88"/>
      <c r="C256" s="88"/>
      <c r="D256" s="89"/>
      <c r="E256" s="89"/>
      <c r="F256" s="73"/>
      <c r="G256" s="73"/>
      <c r="H256" s="73"/>
      <c r="I256" s="73"/>
      <c r="J256" s="73"/>
      <c r="K256" s="73"/>
      <c r="L256" s="73"/>
      <c r="M256" s="74"/>
      <c r="N256" s="71" t="str">
        <f t="shared" si="3"/>
        <v/>
      </c>
      <c r="O256" s="72"/>
      <c r="P256" s="72"/>
      <c r="Q256" s="72"/>
      <c r="R256" s="72"/>
      <c r="S256" s="72"/>
      <c r="T256" s="72"/>
      <c r="U256" s="72"/>
      <c r="V256" s="79"/>
      <c r="W256" s="72"/>
      <c r="X256" s="72"/>
      <c r="Y256" s="72"/>
    </row>
    <row r="257" spans="1:25" ht="27.75" customHeight="1">
      <c r="A257" s="80" t="s">
        <v>58</v>
      </c>
      <c r="B257" s="81"/>
      <c r="C257" s="96"/>
      <c r="D257" s="82"/>
      <c r="E257" s="82">
        <f>SUM(E237:E256)</f>
        <v>0</v>
      </c>
      <c r="F257" s="83"/>
      <c r="G257" s="83"/>
      <c r="H257" s="83"/>
      <c r="I257" s="83"/>
      <c r="J257" s="83"/>
      <c r="K257" s="83"/>
      <c r="L257" s="83"/>
      <c r="M257" s="84"/>
      <c r="N257" s="71" t="str">
        <f t="shared" si="3"/>
        <v/>
      </c>
      <c r="O257" s="75"/>
      <c r="P257" s="72"/>
      <c r="Q257" s="72"/>
      <c r="R257" s="72"/>
      <c r="S257" s="72"/>
      <c r="T257" s="72"/>
      <c r="U257" s="72"/>
      <c r="V257" s="79"/>
      <c r="W257" s="72"/>
      <c r="X257" s="72"/>
      <c r="Y257" s="72"/>
    </row>
    <row r="258" spans="1:25" ht="27.75" customHeight="1">
      <c r="A258" s="93" t="str">
        <f>IF(ISBLANK(C258)," ",253-COUNTBLANK($C$6:C258))</f>
        <v xml:space="preserve"> </v>
      </c>
      <c r="B258" s="94"/>
      <c r="C258" s="94"/>
      <c r="D258" s="95"/>
      <c r="E258" s="95"/>
      <c r="F258" s="85"/>
      <c r="G258" s="85"/>
      <c r="H258" s="85"/>
      <c r="I258" s="85"/>
      <c r="J258" s="85"/>
      <c r="K258" s="85"/>
      <c r="L258" s="85"/>
      <c r="M258" s="86"/>
      <c r="N258" s="71" t="str">
        <f t="shared" si="3"/>
        <v/>
      </c>
      <c r="O258" s="72"/>
      <c r="P258" s="72"/>
      <c r="Q258" s="72"/>
      <c r="R258" s="72"/>
      <c r="S258" s="72"/>
      <c r="T258" s="72"/>
      <c r="U258" s="72"/>
      <c r="V258" s="72"/>
    </row>
    <row r="259" spans="1:25" ht="27.75" customHeight="1">
      <c r="A259" s="87" t="str">
        <f>IF(ISBLANK(C259)," ",254-COUNTBLANK($C$6:C259))</f>
        <v xml:space="preserve"> </v>
      </c>
      <c r="B259" s="88"/>
      <c r="C259" s="88"/>
      <c r="D259" s="89"/>
      <c r="E259" s="89"/>
      <c r="F259" s="73"/>
      <c r="G259" s="73"/>
      <c r="H259" s="73"/>
      <c r="I259" s="73"/>
      <c r="J259" s="73"/>
      <c r="K259" s="73"/>
      <c r="L259" s="73"/>
      <c r="M259" s="74"/>
      <c r="N259" s="71" t="str">
        <f t="shared" si="3"/>
        <v/>
      </c>
      <c r="O259" s="72"/>
      <c r="P259" s="72"/>
      <c r="Q259" s="72"/>
      <c r="R259" s="72"/>
      <c r="S259" s="72"/>
      <c r="T259" s="72"/>
      <c r="U259" s="72"/>
      <c r="V259" s="72"/>
    </row>
    <row r="260" spans="1:25" ht="27.75" customHeight="1">
      <c r="A260" s="87" t="str">
        <f>IF(ISBLANK(C260)," ",255-COUNTBLANK($C$6:C260))</f>
        <v xml:space="preserve"> </v>
      </c>
      <c r="B260" s="88"/>
      <c r="C260" s="88"/>
      <c r="D260" s="89"/>
      <c r="E260" s="89"/>
      <c r="F260" s="73"/>
      <c r="G260" s="73"/>
      <c r="H260" s="73"/>
      <c r="I260" s="73"/>
      <c r="J260" s="73"/>
      <c r="K260" s="73"/>
      <c r="L260" s="73"/>
      <c r="M260" s="74"/>
      <c r="N260" s="71" t="str">
        <f t="shared" si="3"/>
        <v/>
      </c>
      <c r="O260" s="72"/>
      <c r="P260" s="72"/>
      <c r="Q260" s="72"/>
      <c r="R260" s="72"/>
      <c r="S260" s="72"/>
      <c r="T260" s="72"/>
      <c r="U260" s="72"/>
      <c r="V260" s="72"/>
    </row>
    <row r="261" spans="1:25" ht="27.75" customHeight="1">
      <c r="A261" s="87" t="str">
        <f>IF(ISBLANK(C261)," ",256-COUNTBLANK($C$6:C261))</f>
        <v xml:space="preserve"> </v>
      </c>
      <c r="B261" s="88"/>
      <c r="C261" s="88"/>
      <c r="D261" s="89"/>
      <c r="E261" s="89"/>
      <c r="F261" s="73"/>
      <c r="G261" s="73"/>
      <c r="H261" s="73"/>
      <c r="I261" s="73"/>
      <c r="J261" s="73"/>
      <c r="K261" s="73"/>
      <c r="L261" s="73"/>
      <c r="M261" s="74"/>
      <c r="N261" s="71" t="str">
        <f t="shared" si="3"/>
        <v/>
      </c>
      <c r="O261" s="72"/>
      <c r="P261" s="72"/>
      <c r="Q261" s="72"/>
      <c r="R261" s="72"/>
      <c r="S261" s="72"/>
      <c r="T261" s="72"/>
      <c r="U261" s="72"/>
      <c r="V261" s="72"/>
    </row>
    <row r="262" spans="1:25" ht="27.75" customHeight="1">
      <c r="A262" s="87" t="str">
        <f>IF(ISBLANK(C262)," ",257-COUNTBLANK($C$6:C262))</f>
        <v xml:space="preserve"> </v>
      </c>
      <c r="B262" s="88"/>
      <c r="C262" s="88"/>
      <c r="D262" s="89"/>
      <c r="E262" s="89"/>
      <c r="F262" s="73"/>
      <c r="G262" s="73"/>
      <c r="H262" s="73"/>
      <c r="I262" s="73"/>
      <c r="J262" s="73"/>
      <c r="K262" s="73"/>
      <c r="L262" s="73"/>
      <c r="M262" s="74"/>
      <c r="N262" s="71" t="str">
        <f t="shared" ref="N262:N325" si="4">CONCATENATE(C262,H262)</f>
        <v/>
      </c>
      <c r="O262" s="72"/>
      <c r="P262" s="72"/>
      <c r="Q262" s="72"/>
      <c r="R262" s="72"/>
      <c r="S262" s="72"/>
      <c r="T262" s="72"/>
      <c r="U262" s="72"/>
      <c r="V262" s="72"/>
    </row>
    <row r="263" spans="1:25" ht="27.75" customHeight="1">
      <c r="A263" s="87" t="str">
        <f>IF(ISBLANK(C263)," ",258-COUNTBLANK($C$6:C263))</f>
        <v xml:space="preserve"> </v>
      </c>
      <c r="B263" s="88"/>
      <c r="C263" s="88"/>
      <c r="D263" s="89"/>
      <c r="E263" s="89"/>
      <c r="F263" s="73"/>
      <c r="G263" s="73"/>
      <c r="H263" s="73"/>
      <c r="I263" s="73"/>
      <c r="J263" s="73"/>
      <c r="K263" s="73"/>
      <c r="L263" s="73"/>
      <c r="M263" s="74"/>
      <c r="N263" s="71" t="str">
        <f t="shared" si="4"/>
        <v/>
      </c>
      <c r="O263" s="72"/>
      <c r="P263" s="72"/>
      <c r="Q263" s="72"/>
      <c r="R263" s="72"/>
      <c r="S263" s="72"/>
      <c r="T263" s="72"/>
      <c r="U263" s="72"/>
      <c r="V263" s="72"/>
    </row>
    <row r="264" spans="1:25" ht="27.75" customHeight="1">
      <c r="A264" s="87" t="str">
        <f>IF(ISBLANK(C264)," ",259-COUNTBLANK($C$6:C264))</f>
        <v xml:space="preserve"> </v>
      </c>
      <c r="B264" s="88"/>
      <c r="C264" s="88"/>
      <c r="D264" s="89"/>
      <c r="E264" s="89"/>
      <c r="F264" s="73"/>
      <c r="G264" s="73"/>
      <c r="H264" s="73"/>
      <c r="I264" s="73"/>
      <c r="J264" s="73"/>
      <c r="K264" s="73"/>
      <c r="L264" s="73"/>
      <c r="M264" s="74"/>
      <c r="N264" s="71" t="str">
        <f t="shared" si="4"/>
        <v/>
      </c>
      <c r="O264" s="72"/>
      <c r="P264" s="72"/>
      <c r="Q264" s="72"/>
      <c r="R264" s="72"/>
      <c r="S264" s="72"/>
      <c r="T264" s="72"/>
      <c r="U264" s="72"/>
      <c r="V264" s="72"/>
    </row>
    <row r="265" spans="1:25" ht="27.75" customHeight="1">
      <c r="A265" s="87" t="str">
        <f>IF(ISBLANK(C265)," ",260-COUNTBLANK($C$6:C265))</f>
        <v xml:space="preserve"> </v>
      </c>
      <c r="B265" s="88"/>
      <c r="C265" s="88"/>
      <c r="D265" s="89"/>
      <c r="E265" s="89"/>
      <c r="F265" s="73"/>
      <c r="G265" s="73"/>
      <c r="H265" s="73"/>
      <c r="I265" s="73"/>
      <c r="J265" s="73"/>
      <c r="K265" s="73"/>
      <c r="L265" s="73"/>
      <c r="M265" s="74"/>
      <c r="N265" s="71" t="str">
        <f t="shared" si="4"/>
        <v/>
      </c>
      <c r="O265" s="72"/>
      <c r="P265" s="72"/>
      <c r="Q265" s="72"/>
      <c r="R265" s="72"/>
      <c r="S265" s="72"/>
      <c r="T265" s="72"/>
      <c r="U265" s="72"/>
      <c r="V265" s="72"/>
    </row>
    <row r="266" spans="1:25" ht="27.75" customHeight="1">
      <c r="A266" s="87" t="str">
        <f>IF(ISBLANK(C266)," ",261-COUNTBLANK($C$6:C266))</f>
        <v xml:space="preserve"> </v>
      </c>
      <c r="B266" s="88"/>
      <c r="C266" s="88"/>
      <c r="D266" s="89"/>
      <c r="E266" s="89"/>
      <c r="F266" s="73"/>
      <c r="G266" s="73"/>
      <c r="H266" s="73"/>
      <c r="I266" s="73"/>
      <c r="J266" s="73"/>
      <c r="K266" s="73"/>
      <c r="L266" s="73"/>
      <c r="M266" s="74"/>
      <c r="N266" s="71" t="str">
        <f t="shared" si="4"/>
        <v/>
      </c>
      <c r="O266" s="72"/>
      <c r="P266" s="72"/>
      <c r="Q266" s="72"/>
      <c r="R266" s="72"/>
      <c r="S266" s="72"/>
      <c r="T266" s="72"/>
      <c r="U266" s="72"/>
      <c r="V266" s="72"/>
    </row>
    <row r="267" spans="1:25" ht="27.75" customHeight="1">
      <c r="A267" s="87" t="str">
        <f>IF(ISBLANK(C267)," ",262-COUNTBLANK($C$6:C267))</f>
        <v xml:space="preserve"> </v>
      </c>
      <c r="B267" s="88"/>
      <c r="C267" s="88"/>
      <c r="D267" s="89"/>
      <c r="E267" s="89"/>
      <c r="F267" s="73"/>
      <c r="G267" s="73"/>
      <c r="H267" s="73"/>
      <c r="I267" s="73"/>
      <c r="J267" s="73"/>
      <c r="K267" s="73"/>
      <c r="L267" s="73"/>
      <c r="M267" s="74"/>
      <c r="N267" s="71" t="str">
        <f t="shared" si="4"/>
        <v/>
      </c>
      <c r="O267" s="72"/>
      <c r="P267" s="72"/>
      <c r="Q267" s="72"/>
      <c r="R267" s="72"/>
      <c r="S267" s="72"/>
      <c r="T267" s="72"/>
      <c r="U267" s="72"/>
      <c r="V267" s="72"/>
    </row>
    <row r="268" spans="1:25" ht="27.75" customHeight="1">
      <c r="A268" s="87" t="str">
        <f>IF(ISBLANK(C268)," ",263-COUNTBLANK($C$6:C268))</f>
        <v xml:space="preserve"> </v>
      </c>
      <c r="B268" s="88"/>
      <c r="C268" s="88"/>
      <c r="D268" s="89"/>
      <c r="E268" s="89"/>
      <c r="F268" s="73"/>
      <c r="G268" s="73"/>
      <c r="H268" s="73"/>
      <c r="I268" s="73"/>
      <c r="J268" s="73"/>
      <c r="K268" s="73"/>
      <c r="L268" s="73"/>
      <c r="M268" s="74"/>
      <c r="N268" s="71" t="str">
        <f t="shared" si="4"/>
        <v/>
      </c>
      <c r="O268" s="72"/>
      <c r="P268" s="72"/>
      <c r="Q268" s="72"/>
      <c r="R268" s="72"/>
      <c r="S268" s="72"/>
      <c r="T268" s="72"/>
      <c r="U268" s="72"/>
      <c r="V268" s="72"/>
    </row>
    <row r="269" spans="1:25" ht="27.75" customHeight="1">
      <c r="A269" s="87" t="str">
        <f>IF(ISBLANK(C269)," ",264-COUNTBLANK($C$6:C269))</f>
        <v xml:space="preserve"> </v>
      </c>
      <c r="B269" s="88"/>
      <c r="C269" s="88"/>
      <c r="D269" s="89"/>
      <c r="E269" s="89"/>
      <c r="F269" s="73"/>
      <c r="G269" s="73"/>
      <c r="H269" s="73"/>
      <c r="I269" s="73"/>
      <c r="J269" s="73"/>
      <c r="K269" s="73"/>
      <c r="L269" s="73"/>
      <c r="M269" s="74"/>
      <c r="N269" s="71" t="str">
        <f t="shared" si="4"/>
        <v/>
      </c>
      <c r="O269" s="72"/>
      <c r="P269" s="72"/>
      <c r="Q269" s="72"/>
      <c r="R269" s="72"/>
      <c r="S269" s="72"/>
      <c r="T269" s="72"/>
      <c r="U269" s="72"/>
      <c r="V269" s="72"/>
    </row>
    <row r="270" spans="1:25" ht="27.75" customHeight="1">
      <c r="A270" s="87" t="str">
        <f>IF(ISBLANK(C270)," ",265-COUNTBLANK($C$6:C270))</f>
        <v xml:space="preserve"> </v>
      </c>
      <c r="B270" s="88"/>
      <c r="C270" s="88"/>
      <c r="D270" s="89"/>
      <c r="E270" s="89"/>
      <c r="F270" s="73"/>
      <c r="G270" s="73"/>
      <c r="H270" s="73"/>
      <c r="I270" s="73"/>
      <c r="J270" s="73"/>
      <c r="K270" s="73"/>
      <c r="L270" s="73"/>
      <c r="M270" s="74"/>
      <c r="N270" s="71" t="str">
        <f t="shared" si="4"/>
        <v/>
      </c>
      <c r="O270" s="72"/>
      <c r="P270" s="72"/>
      <c r="Q270" s="72"/>
      <c r="R270" s="72"/>
      <c r="S270" s="72"/>
      <c r="T270" s="72"/>
      <c r="U270" s="72"/>
      <c r="V270" s="72"/>
    </row>
    <row r="271" spans="1:25" ht="27.75" customHeight="1">
      <c r="A271" s="87" t="str">
        <f>IF(ISBLANK(C271)," ",266-COUNTBLANK($C$6:C271))</f>
        <v xml:space="preserve"> </v>
      </c>
      <c r="B271" s="88"/>
      <c r="C271" s="88"/>
      <c r="D271" s="89"/>
      <c r="E271" s="89"/>
      <c r="F271" s="73"/>
      <c r="G271" s="73"/>
      <c r="H271" s="73"/>
      <c r="I271" s="73"/>
      <c r="J271" s="73"/>
      <c r="K271" s="73"/>
      <c r="L271" s="73"/>
      <c r="M271" s="74"/>
      <c r="N271" s="71" t="str">
        <f t="shared" si="4"/>
        <v/>
      </c>
      <c r="O271" s="72"/>
      <c r="P271" s="72"/>
      <c r="Q271" s="72"/>
      <c r="R271" s="72"/>
      <c r="S271" s="72"/>
      <c r="T271" s="72"/>
      <c r="U271" s="72"/>
      <c r="V271" s="72"/>
    </row>
    <row r="272" spans="1:25" ht="27.75" customHeight="1">
      <c r="A272" s="87" t="str">
        <f>IF(ISBLANK(C272)," ",267-COUNTBLANK($C$6:C272))</f>
        <v xml:space="preserve"> </v>
      </c>
      <c r="B272" s="88"/>
      <c r="C272" s="88"/>
      <c r="D272" s="89"/>
      <c r="E272" s="89"/>
      <c r="F272" s="73"/>
      <c r="G272" s="73"/>
      <c r="H272" s="73"/>
      <c r="I272" s="73"/>
      <c r="J272" s="73"/>
      <c r="K272" s="73"/>
      <c r="L272" s="73"/>
      <c r="M272" s="74"/>
      <c r="N272" s="71" t="str">
        <f t="shared" si="4"/>
        <v/>
      </c>
      <c r="O272" s="72"/>
      <c r="P272" s="72"/>
      <c r="Q272" s="72"/>
      <c r="R272" s="72"/>
      <c r="S272" s="72"/>
      <c r="T272" s="72"/>
      <c r="U272" s="72"/>
      <c r="V272" s="72"/>
    </row>
    <row r="273" spans="1:25" ht="27.75" customHeight="1">
      <c r="A273" s="87" t="str">
        <f>IF(ISBLANK(C273)," ",268-COUNTBLANK($C$6:C273))</f>
        <v xml:space="preserve"> </v>
      </c>
      <c r="B273" s="88"/>
      <c r="C273" s="88"/>
      <c r="D273" s="89"/>
      <c r="E273" s="89"/>
      <c r="F273" s="73"/>
      <c r="G273" s="73"/>
      <c r="H273" s="73"/>
      <c r="I273" s="73"/>
      <c r="J273" s="73"/>
      <c r="K273" s="73"/>
      <c r="L273" s="73"/>
      <c r="M273" s="74"/>
      <c r="N273" s="71" t="str">
        <f t="shared" si="4"/>
        <v/>
      </c>
      <c r="O273" s="75"/>
      <c r="P273" s="72"/>
      <c r="Q273" s="72"/>
      <c r="R273" s="72"/>
      <c r="S273" s="72"/>
      <c r="T273" s="72"/>
      <c r="U273" s="72"/>
      <c r="V273" s="76"/>
    </row>
    <row r="274" spans="1:25" ht="27.75" customHeight="1">
      <c r="A274" s="87" t="str">
        <f>IF(ISBLANK(C274)," ",269-COUNTBLANK($C$6:C274))</f>
        <v xml:space="preserve"> </v>
      </c>
      <c r="B274" s="88"/>
      <c r="C274" s="88"/>
      <c r="D274" s="89"/>
      <c r="E274" s="89"/>
      <c r="F274" s="73"/>
      <c r="G274" s="73"/>
      <c r="H274" s="73"/>
      <c r="I274" s="73"/>
      <c r="J274" s="73"/>
      <c r="K274" s="73"/>
      <c r="L274" s="73"/>
      <c r="M274" s="74"/>
      <c r="N274" s="71" t="str">
        <f t="shared" si="4"/>
        <v/>
      </c>
      <c r="O274" s="75"/>
      <c r="P274" s="72"/>
      <c r="Q274" s="72"/>
      <c r="R274" s="72"/>
      <c r="S274" s="72"/>
      <c r="T274" s="72"/>
      <c r="U274" s="72"/>
      <c r="V274" s="76"/>
    </row>
    <row r="275" spans="1:25" ht="27.75" customHeight="1">
      <c r="A275" s="87" t="str">
        <f>IF(ISBLANK(C275)," ",270-COUNTBLANK($C$6:C275))</f>
        <v xml:space="preserve"> </v>
      </c>
      <c r="B275" s="88"/>
      <c r="C275" s="88"/>
      <c r="D275" s="89"/>
      <c r="E275" s="89"/>
      <c r="F275" s="73"/>
      <c r="G275" s="73"/>
      <c r="H275" s="73"/>
      <c r="I275" s="73"/>
      <c r="J275" s="73"/>
      <c r="K275" s="73"/>
      <c r="L275" s="73"/>
      <c r="M275" s="74"/>
      <c r="N275" s="71" t="str">
        <f t="shared" si="4"/>
        <v/>
      </c>
      <c r="O275" s="75"/>
      <c r="P275" s="72"/>
      <c r="Q275" s="72"/>
      <c r="R275" s="72"/>
      <c r="S275" s="72"/>
      <c r="T275" s="72"/>
      <c r="U275" s="72"/>
      <c r="V275" s="76"/>
    </row>
    <row r="276" spans="1:25" ht="27.75" customHeight="1">
      <c r="A276" s="87" t="str">
        <f>IF(ISBLANK(C276)," ",271-COUNTBLANK($C$6:C276))</f>
        <v xml:space="preserve"> </v>
      </c>
      <c r="B276" s="88"/>
      <c r="C276" s="88"/>
      <c r="D276" s="89"/>
      <c r="E276" s="89"/>
      <c r="F276" s="73"/>
      <c r="G276" s="73"/>
      <c r="H276" s="73"/>
      <c r="I276" s="73"/>
      <c r="J276" s="73"/>
      <c r="K276" s="73"/>
      <c r="L276" s="73"/>
      <c r="M276" s="74"/>
      <c r="N276" s="71" t="str">
        <f t="shared" si="4"/>
        <v/>
      </c>
      <c r="O276" s="75"/>
      <c r="P276" s="72"/>
      <c r="Q276" s="72"/>
      <c r="R276" s="72"/>
      <c r="S276" s="72"/>
      <c r="T276" s="72"/>
      <c r="U276" s="72"/>
      <c r="V276" s="76"/>
    </row>
    <row r="277" spans="1:25" ht="27.75" customHeight="1">
      <c r="A277" s="87" t="str">
        <f>IF(ISBLANK(C277)," ",272-COUNTBLANK($C$6:C277))</f>
        <v xml:space="preserve"> </v>
      </c>
      <c r="B277" s="88"/>
      <c r="C277" s="88"/>
      <c r="D277" s="89"/>
      <c r="E277" s="89"/>
      <c r="F277" s="73"/>
      <c r="G277" s="73"/>
      <c r="H277" s="73"/>
      <c r="I277" s="73"/>
      <c r="J277" s="73"/>
      <c r="K277" s="73"/>
      <c r="L277" s="73"/>
      <c r="M277" s="74"/>
      <c r="N277" s="71" t="str">
        <f t="shared" si="4"/>
        <v/>
      </c>
      <c r="O277" s="72"/>
      <c r="P277" s="72"/>
      <c r="Q277" s="72"/>
      <c r="R277" s="72"/>
      <c r="S277" s="72"/>
      <c r="T277" s="72"/>
      <c r="U277" s="72"/>
      <c r="V277" s="79"/>
      <c r="W277" s="72"/>
      <c r="X277" s="72"/>
      <c r="Y277" s="72"/>
    </row>
    <row r="278" spans="1:25" ht="27.75" customHeight="1">
      <c r="A278" s="80" t="s">
        <v>58</v>
      </c>
      <c r="B278" s="81"/>
      <c r="C278" s="96"/>
      <c r="D278" s="82"/>
      <c r="E278" s="82">
        <f>SUM(E258:E277)</f>
        <v>0</v>
      </c>
      <c r="F278" s="83"/>
      <c r="G278" s="83"/>
      <c r="H278" s="83"/>
      <c r="I278" s="83"/>
      <c r="J278" s="83"/>
      <c r="K278" s="83"/>
      <c r="L278" s="83"/>
      <c r="M278" s="84"/>
      <c r="N278" s="71" t="str">
        <f t="shared" si="4"/>
        <v/>
      </c>
      <c r="O278" s="75"/>
      <c r="P278" s="72"/>
      <c r="Q278" s="72"/>
      <c r="R278" s="72"/>
      <c r="S278" s="72"/>
      <c r="T278" s="72"/>
      <c r="U278" s="72"/>
      <c r="V278" s="79"/>
      <c r="W278" s="72"/>
      <c r="X278" s="72"/>
      <c r="Y278" s="72"/>
    </row>
    <row r="279" spans="1:25" ht="27.75" customHeight="1">
      <c r="A279" s="93" t="str">
        <f>IF(ISBLANK(C279)," ",274-COUNTBLANK($C$6:C279))</f>
        <v xml:space="preserve"> </v>
      </c>
      <c r="B279" s="94"/>
      <c r="C279" s="94"/>
      <c r="D279" s="95"/>
      <c r="E279" s="95"/>
      <c r="F279" s="85"/>
      <c r="G279" s="85"/>
      <c r="H279" s="85"/>
      <c r="I279" s="85"/>
      <c r="J279" s="85"/>
      <c r="K279" s="85"/>
      <c r="L279" s="85"/>
      <c r="M279" s="86"/>
      <c r="N279" s="71" t="str">
        <f t="shared" si="4"/>
        <v/>
      </c>
      <c r="O279" s="72"/>
      <c r="P279" s="72"/>
      <c r="Q279" s="72"/>
      <c r="R279" s="72"/>
      <c r="S279" s="72"/>
      <c r="T279" s="72"/>
      <c r="U279" s="72"/>
      <c r="V279" s="72"/>
    </row>
    <row r="280" spans="1:25" ht="27.75" customHeight="1">
      <c r="A280" s="87" t="str">
        <f>IF(ISBLANK(C280)," ",275-COUNTBLANK($C$6:C280))</f>
        <v xml:space="preserve"> </v>
      </c>
      <c r="B280" s="88"/>
      <c r="C280" s="88"/>
      <c r="D280" s="89"/>
      <c r="E280" s="89"/>
      <c r="F280" s="73"/>
      <c r="G280" s="73"/>
      <c r="H280" s="73"/>
      <c r="I280" s="73"/>
      <c r="J280" s="73"/>
      <c r="K280" s="73"/>
      <c r="L280" s="73"/>
      <c r="M280" s="74"/>
      <c r="N280" s="71" t="str">
        <f t="shared" si="4"/>
        <v/>
      </c>
      <c r="O280" s="72"/>
      <c r="P280" s="72"/>
      <c r="Q280" s="72"/>
      <c r="R280" s="72"/>
      <c r="S280" s="72"/>
      <c r="T280" s="72"/>
      <c r="U280" s="72"/>
      <c r="V280" s="72"/>
    </row>
    <row r="281" spans="1:25" ht="27.75" customHeight="1">
      <c r="A281" s="87" t="str">
        <f>IF(ISBLANK(C281)," ",276-COUNTBLANK($C$6:C281))</f>
        <v xml:space="preserve"> </v>
      </c>
      <c r="B281" s="88"/>
      <c r="C281" s="88"/>
      <c r="D281" s="89"/>
      <c r="E281" s="89"/>
      <c r="F281" s="73"/>
      <c r="G281" s="73"/>
      <c r="H281" s="73"/>
      <c r="I281" s="73"/>
      <c r="J281" s="73"/>
      <c r="K281" s="73"/>
      <c r="L281" s="73"/>
      <c r="M281" s="74"/>
      <c r="N281" s="71" t="str">
        <f t="shared" si="4"/>
        <v/>
      </c>
      <c r="O281" s="72"/>
      <c r="P281" s="72"/>
      <c r="Q281" s="72"/>
      <c r="R281" s="72"/>
      <c r="S281" s="72"/>
      <c r="T281" s="72"/>
      <c r="U281" s="72"/>
      <c r="V281" s="72"/>
    </row>
    <row r="282" spans="1:25" ht="27.75" customHeight="1">
      <c r="A282" s="87" t="str">
        <f>IF(ISBLANK(C282)," ",277-COUNTBLANK($C$6:C282))</f>
        <v xml:space="preserve"> </v>
      </c>
      <c r="B282" s="88"/>
      <c r="C282" s="88"/>
      <c r="D282" s="89"/>
      <c r="E282" s="89"/>
      <c r="F282" s="73"/>
      <c r="G282" s="73"/>
      <c r="H282" s="73"/>
      <c r="I282" s="73"/>
      <c r="J282" s="73"/>
      <c r="K282" s="73"/>
      <c r="L282" s="73"/>
      <c r="M282" s="74"/>
      <c r="N282" s="71" t="str">
        <f t="shared" si="4"/>
        <v/>
      </c>
      <c r="O282" s="72"/>
      <c r="P282" s="72"/>
      <c r="Q282" s="72"/>
      <c r="R282" s="72"/>
      <c r="S282" s="72"/>
      <c r="T282" s="72"/>
      <c r="U282" s="72"/>
      <c r="V282" s="72"/>
    </row>
    <row r="283" spans="1:25" ht="27.75" customHeight="1">
      <c r="A283" s="87" t="str">
        <f>IF(ISBLANK(C283)," ",278-COUNTBLANK($C$6:C283))</f>
        <v xml:space="preserve"> </v>
      </c>
      <c r="B283" s="88"/>
      <c r="C283" s="88"/>
      <c r="D283" s="89"/>
      <c r="E283" s="89"/>
      <c r="F283" s="73"/>
      <c r="G283" s="73"/>
      <c r="H283" s="73"/>
      <c r="I283" s="73"/>
      <c r="J283" s="73"/>
      <c r="K283" s="73"/>
      <c r="L283" s="73"/>
      <c r="M283" s="74"/>
      <c r="N283" s="71" t="str">
        <f t="shared" si="4"/>
        <v/>
      </c>
      <c r="O283" s="72"/>
      <c r="P283" s="72"/>
      <c r="Q283" s="72"/>
      <c r="R283" s="72"/>
      <c r="S283" s="72"/>
      <c r="T283" s="72"/>
      <c r="U283" s="72"/>
      <c r="V283" s="72"/>
    </row>
    <row r="284" spans="1:25" ht="27.75" customHeight="1">
      <c r="A284" s="87" t="str">
        <f>IF(ISBLANK(C284)," ",279-COUNTBLANK($C$6:C284))</f>
        <v xml:space="preserve"> </v>
      </c>
      <c r="B284" s="88"/>
      <c r="C284" s="88"/>
      <c r="D284" s="89"/>
      <c r="E284" s="89"/>
      <c r="F284" s="73"/>
      <c r="G284" s="73"/>
      <c r="H284" s="73"/>
      <c r="I284" s="73"/>
      <c r="J284" s="73"/>
      <c r="K284" s="73"/>
      <c r="L284" s="73"/>
      <c r="M284" s="74"/>
      <c r="N284" s="71" t="str">
        <f t="shared" si="4"/>
        <v/>
      </c>
      <c r="O284" s="72"/>
      <c r="P284" s="72"/>
      <c r="Q284" s="72"/>
      <c r="R284" s="72"/>
      <c r="S284" s="72"/>
      <c r="T284" s="72"/>
      <c r="U284" s="72"/>
      <c r="V284" s="72"/>
    </row>
    <row r="285" spans="1:25" ht="27.75" customHeight="1">
      <c r="A285" s="87" t="str">
        <f>IF(ISBLANK(C285)," ",280-COUNTBLANK($C$6:C285))</f>
        <v xml:space="preserve"> </v>
      </c>
      <c r="B285" s="88"/>
      <c r="C285" s="88"/>
      <c r="D285" s="89"/>
      <c r="E285" s="89"/>
      <c r="F285" s="73"/>
      <c r="G285" s="73"/>
      <c r="H285" s="73"/>
      <c r="I285" s="73"/>
      <c r="J285" s="73"/>
      <c r="K285" s="73"/>
      <c r="L285" s="73"/>
      <c r="M285" s="74"/>
      <c r="N285" s="71" t="str">
        <f t="shared" si="4"/>
        <v/>
      </c>
      <c r="O285" s="72"/>
      <c r="P285" s="72"/>
      <c r="Q285" s="72"/>
      <c r="R285" s="72"/>
      <c r="S285" s="72"/>
      <c r="T285" s="72"/>
      <c r="U285" s="72"/>
      <c r="V285" s="72"/>
    </row>
    <row r="286" spans="1:25" ht="27.75" customHeight="1">
      <c r="A286" s="87" t="str">
        <f>IF(ISBLANK(C286)," ",281-COUNTBLANK($C$6:C286))</f>
        <v xml:space="preserve"> </v>
      </c>
      <c r="B286" s="88"/>
      <c r="C286" s="88"/>
      <c r="D286" s="89"/>
      <c r="E286" s="89"/>
      <c r="F286" s="73"/>
      <c r="G286" s="73"/>
      <c r="H286" s="73"/>
      <c r="I286" s="73"/>
      <c r="J286" s="73"/>
      <c r="K286" s="73"/>
      <c r="L286" s="73"/>
      <c r="M286" s="74"/>
      <c r="N286" s="71" t="str">
        <f t="shared" si="4"/>
        <v/>
      </c>
      <c r="O286" s="72"/>
      <c r="P286" s="72"/>
      <c r="Q286" s="72"/>
      <c r="R286" s="72"/>
      <c r="S286" s="72"/>
      <c r="T286" s="72"/>
      <c r="U286" s="72"/>
      <c r="V286" s="72"/>
    </row>
    <row r="287" spans="1:25" ht="27.75" customHeight="1">
      <c r="A287" s="87" t="str">
        <f>IF(ISBLANK(C287)," ",282-COUNTBLANK($C$6:C287))</f>
        <v xml:space="preserve"> </v>
      </c>
      <c r="B287" s="88"/>
      <c r="C287" s="88"/>
      <c r="D287" s="89"/>
      <c r="E287" s="89"/>
      <c r="F287" s="73"/>
      <c r="G287" s="73"/>
      <c r="H287" s="73"/>
      <c r="I287" s="73"/>
      <c r="J287" s="73"/>
      <c r="K287" s="73"/>
      <c r="L287" s="73"/>
      <c r="M287" s="74"/>
      <c r="N287" s="71" t="str">
        <f t="shared" si="4"/>
        <v/>
      </c>
      <c r="O287" s="72"/>
      <c r="P287" s="72"/>
      <c r="Q287" s="72"/>
      <c r="R287" s="72"/>
      <c r="S287" s="72"/>
      <c r="T287" s="72"/>
      <c r="U287" s="72"/>
      <c r="V287" s="72"/>
    </row>
    <row r="288" spans="1:25" ht="27.75" customHeight="1">
      <c r="A288" s="87" t="str">
        <f>IF(ISBLANK(C288)," ",283-COUNTBLANK($C$6:C288))</f>
        <v xml:space="preserve"> </v>
      </c>
      <c r="B288" s="88"/>
      <c r="C288" s="88"/>
      <c r="D288" s="89"/>
      <c r="E288" s="89"/>
      <c r="F288" s="73"/>
      <c r="G288" s="73"/>
      <c r="H288" s="73"/>
      <c r="I288" s="73"/>
      <c r="J288" s="73"/>
      <c r="K288" s="73"/>
      <c r="L288" s="73"/>
      <c r="M288" s="74"/>
      <c r="N288" s="71" t="str">
        <f t="shared" si="4"/>
        <v/>
      </c>
      <c r="O288" s="72"/>
      <c r="P288" s="72"/>
      <c r="Q288" s="72"/>
      <c r="R288" s="72"/>
      <c r="S288" s="72"/>
      <c r="T288" s="72"/>
      <c r="U288" s="72"/>
      <c r="V288" s="72"/>
    </row>
    <row r="289" spans="1:25" ht="27.75" customHeight="1">
      <c r="A289" s="87" t="str">
        <f>IF(ISBLANK(C289)," ",284-COUNTBLANK($C$6:C289))</f>
        <v xml:space="preserve"> </v>
      </c>
      <c r="B289" s="88"/>
      <c r="C289" s="88"/>
      <c r="D289" s="89"/>
      <c r="E289" s="89"/>
      <c r="F289" s="73"/>
      <c r="G289" s="73"/>
      <c r="H289" s="73"/>
      <c r="I289" s="73"/>
      <c r="J289" s="73"/>
      <c r="K289" s="73"/>
      <c r="L289" s="73"/>
      <c r="M289" s="74"/>
      <c r="N289" s="71" t="str">
        <f t="shared" si="4"/>
        <v/>
      </c>
      <c r="O289" s="72"/>
      <c r="P289" s="72"/>
      <c r="Q289" s="72"/>
      <c r="R289" s="72"/>
      <c r="S289" s="72"/>
      <c r="T289" s="72"/>
      <c r="U289" s="72"/>
      <c r="V289" s="72"/>
    </row>
    <row r="290" spans="1:25" ht="27.75" customHeight="1">
      <c r="A290" s="87" t="str">
        <f>IF(ISBLANK(C290)," ",285-COUNTBLANK($C$6:C290))</f>
        <v xml:space="preserve"> </v>
      </c>
      <c r="B290" s="88"/>
      <c r="C290" s="88"/>
      <c r="D290" s="89"/>
      <c r="E290" s="89"/>
      <c r="F290" s="73"/>
      <c r="G290" s="73"/>
      <c r="H290" s="73"/>
      <c r="I290" s="73"/>
      <c r="J290" s="73"/>
      <c r="K290" s="73"/>
      <c r="L290" s="73"/>
      <c r="M290" s="74"/>
      <c r="N290" s="71" t="str">
        <f t="shared" si="4"/>
        <v/>
      </c>
      <c r="O290" s="72"/>
      <c r="P290" s="72"/>
      <c r="Q290" s="72"/>
      <c r="R290" s="72"/>
      <c r="S290" s="72"/>
      <c r="T290" s="72"/>
      <c r="U290" s="72"/>
      <c r="V290" s="72"/>
    </row>
    <row r="291" spans="1:25" ht="27.75" customHeight="1">
      <c r="A291" s="87" t="str">
        <f>IF(ISBLANK(C291)," ",286-COUNTBLANK($C$6:C291))</f>
        <v xml:space="preserve"> </v>
      </c>
      <c r="B291" s="88"/>
      <c r="C291" s="88"/>
      <c r="D291" s="89"/>
      <c r="E291" s="89"/>
      <c r="F291" s="73"/>
      <c r="G291" s="73"/>
      <c r="H291" s="73"/>
      <c r="I291" s="73"/>
      <c r="J291" s="73"/>
      <c r="K291" s="73"/>
      <c r="L291" s="73"/>
      <c r="M291" s="74"/>
      <c r="N291" s="71" t="str">
        <f t="shared" si="4"/>
        <v/>
      </c>
      <c r="O291" s="72"/>
      <c r="P291" s="72"/>
      <c r="Q291" s="72"/>
      <c r="R291" s="72"/>
      <c r="S291" s="72"/>
      <c r="T291" s="72"/>
      <c r="U291" s="72"/>
      <c r="V291" s="72"/>
    </row>
    <row r="292" spans="1:25" ht="27.75" customHeight="1">
      <c r="A292" s="87" t="str">
        <f>IF(ISBLANK(C292)," ",287-COUNTBLANK($C$6:C292))</f>
        <v xml:space="preserve"> </v>
      </c>
      <c r="B292" s="88"/>
      <c r="C292" s="88"/>
      <c r="D292" s="89"/>
      <c r="E292" s="89"/>
      <c r="F292" s="73"/>
      <c r="G292" s="73"/>
      <c r="H292" s="73"/>
      <c r="I292" s="73"/>
      <c r="J292" s="73"/>
      <c r="K292" s="73"/>
      <c r="L292" s="73"/>
      <c r="M292" s="74"/>
      <c r="N292" s="71" t="str">
        <f t="shared" si="4"/>
        <v/>
      </c>
      <c r="O292" s="72"/>
      <c r="P292" s="72"/>
      <c r="Q292" s="72"/>
      <c r="R292" s="72"/>
      <c r="S292" s="72"/>
      <c r="T292" s="72"/>
      <c r="U292" s="72"/>
      <c r="V292" s="72"/>
    </row>
    <row r="293" spans="1:25" ht="27.75" customHeight="1">
      <c r="A293" s="87" t="str">
        <f>IF(ISBLANK(C293)," ",288-COUNTBLANK($C$6:C293))</f>
        <v xml:space="preserve"> </v>
      </c>
      <c r="B293" s="88"/>
      <c r="C293" s="88"/>
      <c r="D293" s="89"/>
      <c r="E293" s="89"/>
      <c r="F293" s="73"/>
      <c r="G293" s="73"/>
      <c r="H293" s="73"/>
      <c r="I293" s="73"/>
      <c r="J293" s="73"/>
      <c r="K293" s="73"/>
      <c r="L293" s="73"/>
      <c r="M293" s="74"/>
      <c r="N293" s="71" t="str">
        <f t="shared" si="4"/>
        <v/>
      </c>
      <c r="O293" s="72"/>
      <c r="P293" s="72"/>
      <c r="Q293" s="72"/>
      <c r="R293" s="72"/>
      <c r="S293" s="72"/>
      <c r="T293" s="72"/>
      <c r="U293" s="72"/>
      <c r="V293" s="72"/>
    </row>
    <row r="294" spans="1:25" ht="27.75" customHeight="1">
      <c r="A294" s="87" t="str">
        <f>IF(ISBLANK(C294)," ",289-COUNTBLANK($C$6:C294))</f>
        <v xml:space="preserve"> </v>
      </c>
      <c r="B294" s="88"/>
      <c r="C294" s="88"/>
      <c r="D294" s="89"/>
      <c r="E294" s="89"/>
      <c r="F294" s="73"/>
      <c r="G294" s="73"/>
      <c r="H294" s="73"/>
      <c r="I294" s="73"/>
      <c r="J294" s="73"/>
      <c r="K294" s="73"/>
      <c r="L294" s="73"/>
      <c r="M294" s="74"/>
      <c r="N294" s="71" t="str">
        <f t="shared" si="4"/>
        <v/>
      </c>
      <c r="O294" s="75"/>
      <c r="P294" s="72"/>
      <c r="Q294" s="72"/>
      <c r="R294" s="72"/>
      <c r="S294" s="72"/>
      <c r="T294" s="72"/>
      <c r="U294" s="72"/>
      <c r="V294" s="76"/>
    </row>
    <row r="295" spans="1:25" ht="27.75" customHeight="1">
      <c r="A295" s="87" t="str">
        <f>IF(ISBLANK(C295)," ",290-COUNTBLANK($C$6:C295))</f>
        <v xml:space="preserve"> </v>
      </c>
      <c r="B295" s="88"/>
      <c r="C295" s="88"/>
      <c r="D295" s="89"/>
      <c r="E295" s="89"/>
      <c r="F295" s="73"/>
      <c r="G295" s="73"/>
      <c r="H295" s="73"/>
      <c r="I295" s="73"/>
      <c r="J295" s="73"/>
      <c r="K295" s="73"/>
      <c r="L295" s="73"/>
      <c r="M295" s="74"/>
      <c r="N295" s="71" t="str">
        <f t="shared" si="4"/>
        <v/>
      </c>
      <c r="O295" s="75"/>
      <c r="P295" s="72"/>
      <c r="Q295" s="72"/>
      <c r="R295" s="72"/>
      <c r="S295" s="72"/>
      <c r="T295" s="72"/>
      <c r="U295" s="72"/>
      <c r="V295" s="76"/>
    </row>
    <row r="296" spans="1:25" ht="27.75" customHeight="1">
      <c r="A296" s="87" t="str">
        <f>IF(ISBLANK(C296)," ",291-COUNTBLANK($C$6:C296))</f>
        <v xml:space="preserve"> </v>
      </c>
      <c r="B296" s="88"/>
      <c r="C296" s="88"/>
      <c r="D296" s="89"/>
      <c r="E296" s="89"/>
      <c r="F296" s="73"/>
      <c r="G296" s="73"/>
      <c r="H296" s="73"/>
      <c r="I296" s="73"/>
      <c r="J296" s="73"/>
      <c r="K296" s="73"/>
      <c r="L296" s="73"/>
      <c r="M296" s="74"/>
      <c r="N296" s="71" t="str">
        <f t="shared" si="4"/>
        <v/>
      </c>
      <c r="O296" s="75"/>
      <c r="P296" s="72"/>
      <c r="Q296" s="72"/>
      <c r="R296" s="72"/>
      <c r="S296" s="72"/>
      <c r="T296" s="72"/>
      <c r="U296" s="72"/>
      <c r="V296" s="76"/>
    </row>
    <row r="297" spans="1:25" ht="27.75" customHeight="1">
      <c r="A297" s="87" t="str">
        <f>IF(ISBLANK(C297)," ",292-COUNTBLANK($C$6:C297))</f>
        <v xml:space="preserve"> </v>
      </c>
      <c r="B297" s="88"/>
      <c r="C297" s="88"/>
      <c r="D297" s="89"/>
      <c r="E297" s="89"/>
      <c r="F297" s="73"/>
      <c r="G297" s="73"/>
      <c r="H297" s="73"/>
      <c r="I297" s="73"/>
      <c r="J297" s="73"/>
      <c r="K297" s="73"/>
      <c r="L297" s="73"/>
      <c r="M297" s="74"/>
      <c r="N297" s="71" t="str">
        <f t="shared" si="4"/>
        <v/>
      </c>
      <c r="O297" s="75"/>
      <c r="P297" s="72"/>
      <c r="Q297" s="72"/>
      <c r="R297" s="72"/>
      <c r="S297" s="72"/>
      <c r="T297" s="72"/>
      <c r="U297" s="72"/>
      <c r="V297" s="76"/>
    </row>
    <row r="298" spans="1:25" ht="27.75" customHeight="1">
      <c r="A298" s="87" t="str">
        <f>IF(ISBLANK(C298)," ",293-COUNTBLANK($C$6:C298))</f>
        <v xml:space="preserve"> </v>
      </c>
      <c r="B298" s="88"/>
      <c r="C298" s="88"/>
      <c r="D298" s="89"/>
      <c r="E298" s="89"/>
      <c r="F298" s="73"/>
      <c r="G298" s="73"/>
      <c r="H298" s="73"/>
      <c r="I298" s="73"/>
      <c r="J298" s="73"/>
      <c r="K298" s="73"/>
      <c r="L298" s="73"/>
      <c r="M298" s="74"/>
      <c r="N298" s="71" t="str">
        <f t="shared" si="4"/>
        <v/>
      </c>
      <c r="O298" s="72"/>
      <c r="P298" s="72"/>
      <c r="Q298" s="72"/>
      <c r="R298" s="72"/>
      <c r="S298" s="72"/>
      <c r="T298" s="72"/>
      <c r="U298" s="72"/>
      <c r="V298" s="79"/>
      <c r="W298" s="72"/>
      <c r="X298" s="72"/>
      <c r="Y298" s="72"/>
    </row>
    <row r="299" spans="1:25" ht="27.75" customHeight="1">
      <c r="A299" s="80" t="s">
        <v>58</v>
      </c>
      <c r="B299" s="81"/>
      <c r="C299" s="96"/>
      <c r="D299" s="82"/>
      <c r="E299" s="82">
        <f>SUM(E279:E298)</f>
        <v>0</v>
      </c>
      <c r="F299" s="83"/>
      <c r="G299" s="83"/>
      <c r="H299" s="83"/>
      <c r="I299" s="83"/>
      <c r="J299" s="83"/>
      <c r="K299" s="83"/>
      <c r="L299" s="83"/>
      <c r="M299" s="84"/>
      <c r="N299" s="71" t="str">
        <f t="shared" si="4"/>
        <v/>
      </c>
      <c r="O299" s="75"/>
      <c r="P299" s="72"/>
      <c r="Q299" s="72"/>
      <c r="R299" s="72"/>
      <c r="S299" s="72"/>
      <c r="T299" s="72"/>
      <c r="U299" s="72"/>
      <c r="V299" s="79"/>
      <c r="W299" s="72"/>
      <c r="X299" s="72"/>
      <c r="Y299" s="72"/>
    </row>
    <row r="300" spans="1:25" ht="27.75" customHeight="1">
      <c r="A300" s="93" t="str">
        <f>IF(ISBLANK(C300)," ",295-COUNTBLANK($C$6:C300))</f>
        <v xml:space="preserve"> </v>
      </c>
      <c r="B300" s="94"/>
      <c r="C300" s="94"/>
      <c r="D300" s="95"/>
      <c r="E300" s="95"/>
      <c r="F300" s="85"/>
      <c r="G300" s="85"/>
      <c r="H300" s="85"/>
      <c r="I300" s="85"/>
      <c r="J300" s="85"/>
      <c r="K300" s="85"/>
      <c r="L300" s="85"/>
      <c r="M300" s="86"/>
      <c r="N300" s="71" t="str">
        <f t="shared" si="4"/>
        <v/>
      </c>
      <c r="O300" s="72"/>
      <c r="P300" s="72"/>
      <c r="Q300" s="72"/>
      <c r="R300" s="72"/>
      <c r="S300" s="72"/>
      <c r="T300" s="72"/>
      <c r="U300" s="72"/>
      <c r="V300" s="72"/>
    </row>
    <row r="301" spans="1:25" ht="27.75" customHeight="1">
      <c r="A301" s="87" t="str">
        <f>IF(ISBLANK(C301)," ",296-COUNTBLANK($C$6:C301))</f>
        <v xml:space="preserve"> </v>
      </c>
      <c r="B301" s="88"/>
      <c r="C301" s="88"/>
      <c r="D301" s="89"/>
      <c r="E301" s="89"/>
      <c r="F301" s="73"/>
      <c r="G301" s="73"/>
      <c r="H301" s="73"/>
      <c r="I301" s="73"/>
      <c r="J301" s="73"/>
      <c r="K301" s="73"/>
      <c r="L301" s="73"/>
      <c r="M301" s="74"/>
      <c r="N301" s="71" t="str">
        <f t="shared" si="4"/>
        <v/>
      </c>
      <c r="O301" s="72"/>
      <c r="P301" s="72"/>
      <c r="Q301" s="72"/>
      <c r="R301" s="72"/>
      <c r="S301" s="72"/>
      <c r="T301" s="72"/>
      <c r="U301" s="72"/>
      <c r="V301" s="72"/>
    </row>
    <row r="302" spans="1:25" ht="27.75" customHeight="1">
      <c r="A302" s="87" t="str">
        <f>IF(ISBLANK(C302)," ",297-COUNTBLANK($C$6:C302))</f>
        <v xml:space="preserve"> </v>
      </c>
      <c r="B302" s="88"/>
      <c r="C302" s="88"/>
      <c r="D302" s="89"/>
      <c r="E302" s="89"/>
      <c r="F302" s="73"/>
      <c r="G302" s="73"/>
      <c r="H302" s="73"/>
      <c r="I302" s="73"/>
      <c r="J302" s="73"/>
      <c r="K302" s="73"/>
      <c r="L302" s="73"/>
      <c r="M302" s="74"/>
      <c r="N302" s="71" t="str">
        <f t="shared" si="4"/>
        <v/>
      </c>
      <c r="O302" s="72"/>
      <c r="P302" s="72"/>
      <c r="Q302" s="72"/>
      <c r="R302" s="72"/>
      <c r="S302" s="72"/>
      <c r="T302" s="72"/>
      <c r="U302" s="72"/>
      <c r="V302" s="72"/>
    </row>
    <row r="303" spans="1:25" ht="27.75" customHeight="1">
      <c r="A303" s="87" t="str">
        <f>IF(ISBLANK(C303)," ",298-COUNTBLANK($C$6:C303))</f>
        <v xml:space="preserve"> </v>
      </c>
      <c r="B303" s="88"/>
      <c r="C303" s="88"/>
      <c r="D303" s="89"/>
      <c r="E303" s="89"/>
      <c r="F303" s="73"/>
      <c r="G303" s="73"/>
      <c r="H303" s="73"/>
      <c r="I303" s="73"/>
      <c r="J303" s="73"/>
      <c r="K303" s="73"/>
      <c r="L303" s="73"/>
      <c r="M303" s="74"/>
      <c r="N303" s="71" t="str">
        <f t="shared" si="4"/>
        <v/>
      </c>
      <c r="O303" s="72"/>
      <c r="P303" s="72"/>
      <c r="Q303" s="72"/>
      <c r="R303" s="72"/>
      <c r="S303" s="72"/>
      <c r="T303" s="72"/>
      <c r="U303" s="72"/>
      <c r="V303" s="72"/>
    </row>
    <row r="304" spans="1:25" ht="27.75" customHeight="1">
      <c r="A304" s="87" t="str">
        <f>IF(ISBLANK(C304)," ",299-COUNTBLANK($C$6:C304))</f>
        <v xml:space="preserve"> </v>
      </c>
      <c r="B304" s="88"/>
      <c r="C304" s="88"/>
      <c r="D304" s="89"/>
      <c r="E304" s="89"/>
      <c r="F304" s="73"/>
      <c r="G304" s="73"/>
      <c r="H304" s="73"/>
      <c r="I304" s="73"/>
      <c r="J304" s="73"/>
      <c r="K304" s="73"/>
      <c r="L304" s="73"/>
      <c r="M304" s="74"/>
      <c r="N304" s="71" t="str">
        <f t="shared" si="4"/>
        <v/>
      </c>
      <c r="O304" s="72"/>
      <c r="P304" s="72"/>
      <c r="Q304" s="72"/>
      <c r="R304" s="72"/>
      <c r="S304" s="72"/>
      <c r="T304" s="72"/>
      <c r="U304" s="72"/>
      <c r="V304" s="72"/>
    </row>
    <row r="305" spans="1:25" ht="27.75" customHeight="1">
      <c r="A305" s="87" t="str">
        <f>IF(ISBLANK(C305)," ",300-COUNTBLANK($C$6:C305))</f>
        <v xml:space="preserve"> </v>
      </c>
      <c r="B305" s="88"/>
      <c r="C305" s="88"/>
      <c r="D305" s="89"/>
      <c r="E305" s="89"/>
      <c r="F305" s="73"/>
      <c r="G305" s="73"/>
      <c r="H305" s="73"/>
      <c r="I305" s="73"/>
      <c r="J305" s="73"/>
      <c r="K305" s="73"/>
      <c r="L305" s="73"/>
      <c r="M305" s="74"/>
      <c r="N305" s="71" t="str">
        <f t="shared" si="4"/>
        <v/>
      </c>
      <c r="O305" s="72"/>
      <c r="P305" s="72"/>
      <c r="Q305" s="72"/>
      <c r="R305" s="72"/>
      <c r="S305" s="72"/>
      <c r="T305" s="72"/>
      <c r="U305" s="72"/>
      <c r="V305" s="72"/>
    </row>
    <row r="306" spans="1:25" ht="27.75" customHeight="1">
      <c r="A306" s="87" t="str">
        <f>IF(ISBLANK(C306)," ",301-COUNTBLANK($C$6:C306))</f>
        <v xml:space="preserve"> </v>
      </c>
      <c r="B306" s="88"/>
      <c r="C306" s="88"/>
      <c r="D306" s="89"/>
      <c r="E306" s="89"/>
      <c r="F306" s="73"/>
      <c r="G306" s="73"/>
      <c r="H306" s="73"/>
      <c r="I306" s="73"/>
      <c r="J306" s="73"/>
      <c r="K306" s="73"/>
      <c r="L306" s="73"/>
      <c r="M306" s="74"/>
      <c r="N306" s="71" t="str">
        <f t="shared" si="4"/>
        <v/>
      </c>
      <c r="O306" s="72"/>
      <c r="P306" s="72"/>
      <c r="Q306" s="72"/>
      <c r="R306" s="72"/>
      <c r="S306" s="72"/>
      <c r="T306" s="72"/>
      <c r="U306" s="72"/>
      <c r="V306" s="72"/>
    </row>
    <row r="307" spans="1:25" ht="27.75" customHeight="1">
      <c r="A307" s="87" t="str">
        <f>IF(ISBLANK(C307)," ",302-COUNTBLANK($C$6:C307))</f>
        <v xml:space="preserve"> </v>
      </c>
      <c r="B307" s="88"/>
      <c r="C307" s="88"/>
      <c r="D307" s="89"/>
      <c r="E307" s="89"/>
      <c r="F307" s="73"/>
      <c r="G307" s="73"/>
      <c r="H307" s="73"/>
      <c r="I307" s="73"/>
      <c r="J307" s="73"/>
      <c r="K307" s="73"/>
      <c r="L307" s="73"/>
      <c r="M307" s="74"/>
      <c r="N307" s="71" t="str">
        <f t="shared" si="4"/>
        <v/>
      </c>
      <c r="O307" s="72"/>
      <c r="P307" s="72"/>
      <c r="Q307" s="72"/>
      <c r="R307" s="72"/>
      <c r="S307" s="72"/>
      <c r="T307" s="72"/>
      <c r="U307" s="72"/>
      <c r="V307" s="72"/>
    </row>
    <row r="308" spans="1:25" ht="27.75" customHeight="1">
      <c r="A308" s="87" t="str">
        <f>IF(ISBLANK(C308)," ",303-COUNTBLANK($C$6:C308))</f>
        <v xml:space="preserve"> </v>
      </c>
      <c r="B308" s="88"/>
      <c r="C308" s="88"/>
      <c r="D308" s="89"/>
      <c r="E308" s="89"/>
      <c r="F308" s="73"/>
      <c r="G308" s="73"/>
      <c r="H308" s="73"/>
      <c r="I308" s="73"/>
      <c r="J308" s="73"/>
      <c r="K308" s="73"/>
      <c r="L308" s="73"/>
      <c r="M308" s="74"/>
      <c r="N308" s="71" t="str">
        <f t="shared" si="4"/>
        <v/>
      </c>
      <c r="O308" s="72"/>
      <c r="P308" s="72"/>
      <c r="Q308" s="72"/>
      <c r="R308" s="72"/>
      <c r="S308" s="72"/>
      <c r="T308" s="72"/>
      <c r="U308" s="72"/>
      <c r="V308" s="72"/>
    </row>
    <row r="309" spans="1:25" ht="27.75" customHeight="1">
      <c r="A309" s="87" t="str">
        <f>IF(ISBLANK(C309)," ",304-COUNTBLANK($C$6:C309))</f>
        <v xml:space="preserve"> </v>
      </c>
      <c r="B309" s="88"/>
      <c r="C309" s="88"/>
      <c r="D309" s="89"/>
      <c r="E309" s="89"/>
      <c r="F309" s="73"/>
      <c r="G309" s="73"/>
      <c r="H309" s="73"/>
      <c r="I309" s="73"/>
      <c r="J309" s="73"/>
      <c r="K309" s="73"/>
      <c r="L309" s="73"/>
      <c r="M309" s="74"/>
      <c r="N309" s="71" t="str">
        <f t="shared" si="4"/>
        <v/>
      </c>
      <c r="O309" s="72"/>
      <c r="P309" s="72"/>
      <c r="Q309" s="72"/>
      <c r="R309" s="72"/>
      <c r="S309" s="72"/>
      <c r="T309" s="72"/>
      <c r="U309" s="72"/>
      <c r="V309" s="72"/>
    </row>
    <row r="310" spans="1:25" ht="27.75" customHeight="1">
      <c r="A310" s="87" t="str">
        <f>IF(ISBLANK(C310)," ",305-COUNTBLANK($C$6:C310))</f>
        <v xml:space="preserve"> </v>
      </c>
      <c r="B310" s="88"/>
      <c r="C310" s="88"/>
      <c r="D310" s="89"/>
      <c r="E310" s="89"/>
      <c r="F310" s="73"/>
      <c r="G310" s="73"/>
      <c r="H310" s="73"/>
      <c r="I310" s="73"/>
      <c r="J310" s="73"/>
      <c r="K310" s="73"/>
      <c r="L310" s="73"/>
      <c r="M310" s="74"/>
      <c r="N310" s="71" t="str">
        <f t="shared" si="4"/>
        <v/>
      </c>
      <c r="O310" s="72"/>
      <c r="P310" s="72"/>
      <c r="Q310" s="72"/>
      <c r="R310" s="72"/>
      <c r="S310" s="72"/>
      <c r="T310" s="72"/>
      <c r="U310" s="72"/>
      <c r="V310" s="72"/>
    </row>
    <row r="311" spans="1:25" ht="27.75" customHeight="1">
      <c r="A311" s="87" t="str">
        <f>IF(ISBLANK(C311)," ",306-COUNTBLANK($C$6:C311))</f>
        <v xml:space="preserve"> </v>
      </c>
      <c r="B311" s="88"/>
      <c r="C311" s="88"/>
      <c r="D311" s="89"/>
      <c r="E311" s="89"/>
      <c r="F311" s="73"/>
      <c r="G311" s="73"/>
      <c r="H311" s="73"/>
      <c r="I311" s="73"/>
      <c r="J311" s="73"/>
      <c r="K311" s="73"/>
      <c r="L311" s="73"/>
      <c r="M311" s="74"/>
      <c r="N311" s="71" t="str">
        <f t="shared" si="4"/>
        <v/>
      </c>
      <c r="O311" s="72"/>
      <c r="P311" s="72"/>
      <c r="Q311" s="72"/>
      <c r="R311" s="72"/>
      <c r="S311" s="72"/>
      <c r="T311" s="72"/>
      <c r="U311" s="72"/>
      <c r="V311" s="72"/>
    </row>
    <row r="312" spans="1:25" ht="27.75" customHeight="1">
      <c r="A312" s="87" t="str">
        <f>IF(ISBLANK(C312)," ",307-COUNTBLANK($C$6:C312))</f>
        <v xml:space="preserve"> </v>
      </c>
      <c r="B312" s="88"/>
      <c r="C312" s="88"/>
      <c r="D312" s="89"/>
      <c r="E312" s="89"/>
      <c r="F312" s="73"/>
      <c r="G312" s="73"/>
      <c r="H312" s="73"/>
      <c r="I312" s="73"/>
      <c r="J312" s="73"/>
      <c r="K312" s="73"/>
      <c r="L312" s="73"/>
      <c r="M312" s="74"/>
      <c r="N312" s="71" t="str">
        <f t="shared" si="4"/>
        <v/>
      </c>
      <c r="O312" s="72"/>
      <c r="P312" s="72"/>
      <c r="Q312" s="72"/>
      <c r="R312" s="72"/>
      <c r="S312" s="72"/>
      <c r="T312" s="72"/>
      <c r="U312" s="72"/>
      <c r="V312" s="72"/>
    </row>
    <row r="313" spans="1:25" ht="27.75" customHeight="1">
      <c r="A313" s="87" t="str">
        <f>IF(ISBLANK(C313)," ",308-COUNTBLANK($C$6:C313))</f>
        <v xml:space="preserve"> </v>
      </c>
      <c r="B313" s="88"/>
      <c r="C313" s="88"/>
      <c r="D313" s="89"/>
      <c r="E313" s="89"/>
      <c r="F313" s="73"/>
      <c r="G313" s="73"/>
      <c r="H313" s="73"/>
      <c r="I313" s="73"/>
      <c r="J313" s="73"/>
      <c r="K313" s="73"/>
      <c r="L313" s="73"/>
      <c r="M313" s="74"/>
      <c r="N313" s="71" t="str">
        <f t="shared" si="4"/>
        <v/>
      </c>
      <c r="O313" s="72"/>
      <c r="P313" s="72"/>
      <c r="Q313" s="72"/>
      <c r="R313" s="72"/>
      <c r="S313" s="72"/>
      <c r="T313" s="72"/>
      <c r="U313" s="72"/>
      <c r="V313" s="72"/>
    </row>
    <row r="314" spans="1:25" ht="27.75" customHeight="1">
      <c r="A314" s="87" t="str">
        <f>IF(ISBLANK(C314)," ",309-COUNTBLANK($C$6:C314))</f>
        <v xml:space="preserve"> </v>
      </c>
      <c r="B314" s="88"/>
      <c r="C314" s="88"/>
      <c r="D314" s="89"/>
      <c r="E314" s="89"/>
      <c r="F314" s="73"/>
      <c r="G314" s="73"/>
      <c r="H314" s="73"/>
      <c r="I314" s="73"/>
      <c r="J314" s="73"/>
      <c r="K314" s="73"/>
      <c r="L314" s="73"/>
      <c r="M314" s="74"/>
      <c r="N314" s="71" t="str">
        <f t="shared" si="4"/>
        <v/>
      </c>
      <c r="O314" s="72"/>
      <c r="P314" s="72"/>
      <c r="Q314" s="72"/>
      <c r="R314" s="72"/>
      <c r="S314" s="72"/>
      <c r="T314" s="72"/>
      <c r="U314" s="72"/>
      <c r="V314" s="72"/>
    </row>
    <row r="315" spans="1:25" ht="27.75" customHeight="1">
      <c r="A315" s="87" t="str">
        <f>IF(ISBLANK(C315)," ",310-COUNTBLANK($C$6:C315))</f>
        <v xml:space="preserve"> </v>
      </c>
      <c r="B315" s="88"/>
      <c r="C315" s="88"/>
      <c r="D315" s="89"/>
      <c r="E315" s="89"/>
      <c r="F315" s="73"/>
      <c r="G315" s="73"/>
      <c r="H315" s="73"/>
      <c r="I315" s="73"/>
      <c r="J315" s="73"/>
      <c r="K315" s="73"/>
      <c r="L315" s="73"/>
      <c r="M315" s="74"/>
      <c r="N315" s="71" t="str">
        <f t="shared" si="4"/>
        <v/>
      </c>
      <c r="O315" s="75"/>
      <c r="P315" s="72"/>
      <c r="Q315" s="72"/>
      <c r="R315" s="72"/>
      <c r="S315" s="72"/>
      <c r="T315" s="72"/>
      <c r="U315" s="72"/>
      <c r="V315" s="76"/>
    </row>
    <row r="316" spans="1:25" ht="27.75" customHeight="1">
      <c r="A316" s="87" t="str">
        <f>IF(ISBLANK(C316)," ",311-COUNTBLANK($C$6:C316))</f>
        <v xml:space="preserve"> </v>
      </c>
      <c r="B316" s="88"/>
      <c r="C316" s="88"/>
      <c r="D316" s="89"/>
      <c r="E316" s="89"/>
      <c r="F316" s="73"/>
      <c r="G316" s="73"/>
      <c r="H316" s="73"/>
      <c r="I316" s="73"/>
      <c r="J316" s="73"/>
      <c r="K316" s="73"/>
      <c r="L316" s="73"/>
      <c r="M316" s="74"/>
      <c r="N316" s="71" t="str">
        <f t="shared" si="4"/>
        <v/>
      </c>
      <c r="O316" s="75"/>
      <c r="P316" s="72"/>
      <c r="Q316" s="72"/>
      <c r="R316" s="72"/>
      <c r="S316" s="72"/>
      <c r="T316" s="72"/>
      <c r="U316" s="72"/>
      <c r="V316" s="76"/>
    </row>
    <row r="317" spans="1:25" ht="27.75" customHeight="1">
      <c r="A317" s="87" t="str">
        <f>IF(ISBLANK(C317)," ",312-COUNTBLANK($C$6:C317))</f>
        <v xml:space="preserve"> </v>
      </c>
      <c r="B317" s="88"/>
      <c r="C317" s="88"/>
      <c r="D317" s="89"/>
      <c r="E317" s="89"/>
      <c r="F317" s="73"/>
      <c r="G317" s="73"/>
      <c r="H317" s="73"/>
      <c r="I317" s="73"/>
      <c r="J317" s="73"/>
      <c r="K317" s="73"/>
      <c r="L317" s="73"/>
      <c r="M317" s="74"/>
      <c r="N317" s="71" t="str">
        <f t="shared" si="4"/>
        <v/>
      </c>
      <c r="O317" s="75"/>
      <c r="P317" s="72"/>
      <c r="Q317" s="72"/>
      <c r="R317" s="72"/>
      <c r="S317" s="72"/>
      <c r="T317" s="72"/>
      <c r="U317" s="72"/>
      <c r="V317" s="76"/>
    </row>
    <row r="318" spans="1:25" ht="27.75" customHeight="1">
      <c r="A318" s="87" t="str">
        <f>IF(ISBLANK(C318)," ",313-COUNTBLANK($C$6:C318))</f>
        <v xml:space="preserve"> </v>
      </c>
      <c r="B318" s="88"/>
      <c r="C318" s="88"/>
      <c r="D318" s="89"/>
      <c r="E318" s="89"/>
      <c r="F318" s="73"/>
      <c r="G318" s="73"/>
      <c r="H318" s="73"/>
      <c r="I318" s="73"/>
      <c r="J318" s="73"/>
      <c r="K318" s="73"/>
      <c r="L318" s="73"/>
      <c r="M318" s="74"/>
      <c r="N318" s="71" t="str">
        <f t="shared" si="4"/>
        <v/>
      </c>
      <c r="O318" s="75"/>
      <c r="P318" s="72"/>
      <c r="Q318" s="72"/>
      <c r="R318" s="72"/>
      <c r="S318" s="72"/>
      <c r="T318" s="72"/>
      <c r="U318" s="72"/>
      <c r="V318" s="76"/>
    </row>
    <row r="319" spans="1:25" ht="27.75" customHeight="1">
      <c r="A319" s="87" t="str">
        <f>IF(ISBLANK(C319)," ",314-COUNTBLANK($C$6:C319))</f>
        <v xml:space="preserve"> </v>
      </c>
      <c r="B319" s="88"/>
      <c r="C319" s="88"/>
      <c r="D319" s="89"/>
      <c r="E319" s="89"/>
      <c r="F319" s="73"/>
      <c r="G319" s="73"/>
      <c r="H319" s="73"/>
      <c r="I319" s="73"/>
      <c r="J319" s="73"/>
      <c r="K319" s="73"/>
      <c r="L319" s="73"/>
      <c r="M319" s="74"/>
      <c r="N319" s="71" t="str">
        <f t="shared" si="4"/>
        <v/>
      </c>
      <c r="O319" s="72"/>
      <c r="P319" s="72"/>
      <c r="Q319" s="72"/>
      <c r="R319" s="72"/>
      <c r="S319" s="72"/>
      <c r="T319" s="72"/>
      <c r="U319" s="72"/>
      <c r="V319" s="79"/>
      <c r="W319" s="72"/>
      <c r="X319" s="72"/>
      <c r="Y319" s="72"/>
    </row>
    <row r="320" spans="1:25" ht="27.75" customHeight="1">
      <c r="A320" s="80" t="s">
        <v>58</v>
      </c>
      <c r="B320" s="81"/>
      <c r="C320" s="96"/>
      <c r="D320" s="82"/>
      <c r="E320" s="82">
        <f>SUM(E300:E319)</f>
        <v>0</v>
      </c>
      <c r="F320" s="83"/>
      <c r="G320" s="83"/>
      <c r="H320" s="83"/>
      <c r="I320" s="83"/>
      <c r="J320" s="83"/>
      <c r="K320" s="83"/>
      <c r="L320" s="83"/>
      <c r="M320" s="84"/>
      <c r="N320" s="71" t="str">
        <f t="shared" si="4"/>
        <v/>
      </c>
      <c r="O320" s="75"/>
      <c r="P320" s="72"/>
      <c r="Q320" s="72"/>
      <c r="R320" s="72"/>
      <c r="S320" s="72"/>
      <c r="T320" s="72"/>
      <c r="U320" s="72"/>
      <c r="V320" s="79"/>
      <c r="W320" s="72"/>
      <c r="X320" s="72"/>
      <c r="Y320" s="72"/>
    </row>
    <row r="321" spans="1:22" ht="27.75" customHeight="1">
      <c r="A321" s="93" t="str">
        <f>IF(ISBLANK(C321)," ",316-COUNTBLANK($C$6:C321))</f>
        <v xml:space="preserve"> </v>
      </c>
      <c r="B321" s="94"/>
      <c r="C321" s="94"/>
      <c r="D321" s="95"/>
      <c r="E321" s="95"/>
      <c r="F321" s="85"/>
      <c r="G321" s="85"/>
      <c r="H321" s="85"/>
      <c r="I321" s="85"/>
      <c r="J321" s="85"/>
      <c r="K321" s="85"/>
      <c r="L321" s="85"/>
      <c r="M321" s="86"/>
      <c r="N321" s="71" t="str">
        <f t="shared" si="4"/>
        <v/>
      </c>
      <c r="O321" s="72"/>
      <c r="P321" s="72"/>
      <c r="Q321" s="72"/>
      <c r="R321" s="72"/>
      <c r="S321" s="72"/>
      <c r="T321" s="72"/>
      <c r="U321" s="72"/>
      <c r="V321" s="72"/>
    </row>
    <row r="322" spans="1:22" ht="27.75" customHeight="1">
      <c r="A322" s="87" t="str">
        <f>IF(ISBLANK(C322)," ",317-COUNTBLANK($C$6:C322))</f>
        <v xml:space="preserve"> </v>
      </c>
      <c r="B322" s="88"/>
      <c r="C322" s="88"/>
      <c r="D322" s="89"/>
      <c r="E322" s="89"/>
      <c r="F322" s="73"/>
      <c r="G322" s="73"/>
      <c r="H322" s="73"/>
      <c r="I322" s="73"/>
      <c r="J322" s="73"/>
      <c r="K322" s="73"/>
      <c r="L322" s="73"/>
      <c r="M322" s="74"/>
      <c r="N322" s="71" t="str">
        <f t="shared" si="4"/>
        <v/>
      </c>
      <c r="O322" s="72"/>
      <c r="P322" s="72"/>
      <c r="Q322" s="72"/>
      <c r="R322" s="72"/>
      <c r="S322" s="72"/>
      <c r="T322" s="72"/>
      <c r="U322" s="72"/>
      <c r="V322" s="72"/>
    </row>
    <row r="323" spans="1:22" ht="27.75" customHeight="1">
      <c r="A323" s="87" t="str">
        <f>IF(ISBLANK(C323)," ",318-COUNTBLANK($C$6:C323))</f>
        <v xml:space="preserve"> </v>
      </c>
      <c r="B323" s="88"/>
      <c r="C323" s="88"/>
      <c r="D323" s="89"/>
      <c r="E323" s="89"/>
      <c r="F323" s="73"/>
      <c r="G323" s="73"/>
      <c r="H323" s="73"/>
      <c r="I323" s="73"/>
      <c r="J323" s="73"/>
      <c r="K323" s="73"/>
      <c r="L323" s="73"/>
      <c r="M323" s="74"/>
      <c r="N323" s="71" t="str">
        <f t="shared" si="4"/>
        <v/>
      </c>
      <c r="O323" s="72"/>
      <c r="P323" s="72"/>
      <c r="Q323" s="72"/>
      <c r="R323" s="72"/>
      <c r="S323" s="72"/>
      <c r="T323" s="72"/>
      <c r="U323" s="72"/>
      <c r="V323" s="72"/>
    </row>
    <row r="324" spans="1:22" ht="27.75" customHeight="1">
      <c r="A324" s="87" t="str">
        <f>IF(ISBLANK(C324)," ",319-COUNTBLANK($C$6:C324))</f>
        <v xml:space="preserve"> </v>
      </c>
      <c r="B324" s="88"/>
      <c r="C324" s="88"/>
      <c r="D324" s="89"/>
      <c r="E324" s="89"/>
      <c r="F324" s="73"/>
      <c r="G324" s="73"/>
      <c r="H324" s="73"/>
      <c r="I324" s="73"/>
      <c r="J324" s="73"/>
      <c r="K324" s="73"/>
      <c r="L324" s="73"/>
      <c r="M324" s="74"/>
      <c r="N324" s="71" t="str">
        <f t="shared" si="4"/>
        <v/>
      </c>
      <c r="O324" s="72"/>
      <c r="P324" s="72"/>
      <c r="Q324" s="72"/>
      <c r="R324" s="72"/>
      <c r="S324" s="72"/>
      <c r="T324" s="72"/>
      <c r="U324" s="72"/>
      <c r="V324" s="72"/>
    </row>
    <row r="325" spans="1:22" ht="27.75" customHeight="1">
      <c r="A325" s="87" t="str">
        <f>IF(ISBLANK(C325)," ",320-COUNTBLANK($C$6:C325))</f>
        <v xml:space="preserve"> </v>
      </c>
      <c r="B325" s="88"/>
      <c r="C325" s="88"/>
      <c r="D325" s="89"/>
      <c r="E325" s="89"/>
      <c r="F325" s="73"/>
      <c r="G325" s="73"/>
      <c r="H325" s="73"/>
      <c r="I325" s="73"/>
      <c r="J325" s="73"/>
      <c r="K325" s="73"/>
      <c r="L325" s="73"/>
      <c r="M325" s="74"/>
      <c r="N325" s="71" t="str">
        <f t="shared" si="4"/>
        <v/>
      </c>
      <c r="O325" s="72"/>
      <c r="P325" s="72"/>
      <c r="Q325" s="72"/>
      <c r="R325" s="72"/>
      <c r="S325" s="72"/>
      <c r="T325" s="72"/>
      <c r="U325" s="72"/>
      <c r="V325" s="72"/>
    </row>
    <row r="326" spans="1:22" ht="27.75" customHeight="1">
      <c r="A326" s="87" t="str">
        <f>IF(ISBLANK(C326)," ",321-COUNTBLANK($C$6:C326))</f>
        <v xml:space="preserve"> </v>
      </c>
      <c r="B326" s="88"/>
      <c r="C326" s="88"/>
      <c r="D326" s="89"/>
      <c r="E326" s="89"/>
      <c r="F326" s="73"/>
      <c r="G326" s="73"/>
      <c r="H326" s="73"/>
      <c r="I326" s="73"/>
      <c r="J326" s="73"/>
      <c r="K326" s="73"/>
      <c r="L326" s="73"/>
      <c r="M326" s="74"/>
      <c r="N326" s="71" t="str">
        <f t="shared" ref="N326:N389" si="5">CONCATENATE(C326,H326)</f>
        <v/>
      </c>
      <c r="O326" s="72"/>
      <c r="P326" s="72"/>
      <c r="Q326" s="72"/>
      <c r="R326" s="72"/>
      <c r="S326" s="72"/>
      <c r="T326" s="72"/>
      <c r="U326" s="72"/>
      <c r="V326" s="72"/>
    </row>
    <row r="327" spans="1:22" ht="27.75" customHeight="1">
      <c r="A327" s="87" t="str">
        <f>IF(ISBLANK(C327)," ",322-COUNTBLANK($C$6:C327))</f>
        <v xml:space="preserve"> </v>
      </c>
      <c r="B327" s="88"/>
      <c r="C327" s="88"/>
      <c r="D327" s="89"/>
      <c r="E327" s="89"/>
      <c r="F327" s="73"/>
      <c r="G327" s="73"/>
      <c r="H327" s="73"/>
      <c r="I327" s="73"/>
      <c r="J327" s="73"/>
      <c r="K327" s="73"/>
      <c r="L327" s="73"/>
      <c r="M327" s="74"/>
      <c r="N327" s="71" t="str">
        <f t="shared" si="5"/>
        <v/>
      </c>
      <c r="O327" s="72"/>
      <c r="P327" s="72"/>
      <c r="Q327" s="72"/>
      <c r="R327" s="72"/>
      <c r="S327" s="72"/>
      <c r="T327" s="72"/>
      <c r="U327" s="72"/>
      <c r="V327" s="72"/>
    </row>
    <row r="328" spans="1:22" ht="27.75" customHeight="1">
      <c r="A328" s="87" t="str">
        <f>IF(ISBLANK(C328)," ",323-COUNTBLANK($C$6:C328))</f>
        <v xml:space="preserve"> </v>
      </c>
      <c r="B328" s="88"/>
      <c r="C328" s="88"/>
      <c r="D328" s="89"/>
      <c r="E328" s="89"/>
      <c r="F328" s="73"/>
      <c r="G328" s="73"/>
      <c r="H328" s="73"/>
      <c r="I328" s="73"/>
      <c r="J328" s="73"/>
      <c r="K328" s="73"/>
      <c r="L328" s="73"/>
      <c r="M328" s="74"/>
      <c r="N328" s="71" t="str">
        <f t="shared" si="5"/>
        <v/>
      </c>
      <c r="O328" s="72"/>
      <c r="P328" s="72"/>
      <c r="Q328" s="72"/>
      <c r="R328" s="72"/>
      <c r="S328" s="72"/>
      <c r="T328" s="72"/>
      <c r="U328" s="72"/>
      <c r="V328" s="72"/>
    </row>
    <row r="329" spans="1:22" ht="27.75" customHeight="1">
      <c r="A329" s="87" t="str">
        <f>IF(ISBLANK(C329)," ",324-COUNTBLANK($C$6:C329))</f>
        <v xml:space="preserve"> </v>
      </c>
      <c r="B329" s="88"/>
      <c r="C329" s="88"/>
      <c r="D329" s="89"/>
      <c r="E329" s="89"/>
      <c r="F329" s="73"/>
      <c r="G329" s="73"/>
      <c r="H329" s="73"/>
      <c r="I329" s="73"/>
      <c r="J329" s="73"/>
      <c r="K329" s="73"/>
      <c r="L329" s="73"/>
      <c r="M329" s="74"/>
      <c r="N329" s="71" t="str">
        <f t="shared" si="5"/>
        <v/>
      </c>
      <c r="O329" s="72"/>
      <c r="P329" s="72"/>
      <c r="Q329" s="72"/>
      <c r="R329" s="72"/>
      <c r="S329" s="72"/>
      <c r="T329" s="72"/>
      <c r="U329" s="72"/>
      <c r="V329" s="72"/>
    </row>
    <row r="330" spans="1:22" ht="27.75" customHeight="1">
      <c r="A330" s="87" t="str">
        <f>IF(ISBLANK(C330)," ",325-COUNTBLANK($C$6:C330))</f>
        <v xml:space="preserve"> </v>
      </c>
      <c r="B330" s="88"/>
      <c r="C330" s="88"/>
      <c r="D330" s="89"/>
      <c r="E330" s="89"/>
      <c r="F330" s="73"/>
      <c r="G330" s="73"/>
      <c r="H330" s="73"/>
      <c r="I330" s="73"/>
      <c r="J330" s="73"/>
      <c r="K330" s="73"/>
      <c r="L330" s="73"/>
      <c r="M330" s="74"/>
      <c r="N330" s="71" t="str">
        <f t="shared" si="5"/>
        <v/>
      </c>
      <c r="O330" s="72"/>
      <c r="P330" s="72"/>
      <c r="Q330" s="72"/>
      <c r="R330" s="72"/>
      <c r="S330" s="72"/>
      <c r="T330" s="72"/>
      <c r="U330" s="72"/>
      <c r="V330" s="72"/>
    </row>
    <row r="331" spans="1:22" ht="27.75" customHeight="1">
      <c r="A331" s="87" t="str">
        <f>IF(ISBLANK(C331)," ",326-COUNTBLANK($C$6:C331))</f>
        <v xml:space="preserve"> </v>
      </c>
      <c r="B331" s="88"/>
      <c r="C331" s="88"/>
      <c r="D331" s="89"/>
      <c r="E331" s="89"/>
      <c r="F331" s="73"/>
      <c r="G331" s="73"/>
      <c r="H331" s="73"/>
      <c r="I331" s="73"/>
      <c r="J331" s="73"/>
      <c r="K331" s="73"/>
      <c r="L331" s="73"/>
      <c r="M331" s="74"/>
      <c r="N331" s="71" t="str">
        <f t="shared" si="5"/>
        <v/>
      </c>
      <c r="O331" s="72"/>
      <c r="P331" s="72"/>
      <c r="Q331" s="72"/>
      <c r="R331" s="72"/>
      <c r="S331" s="72"/>
      <c r="T331" s="72"/>
      <c r="U331" s="72"/>
      <c r="V331" s="72"/>
    </row>
    <row r="332" spans="1:22" ht="27.75" customHeight="1">
      <c r="A332" s="87" t="str">
        <f>IF(ISBLANK(C332)," ",327-COUNTBLANK($C$6:C332))</f>
        <v xml:space="preserve"> </v>
      </c>
      <c r="B332" s="88"/>
      <c r="C332" s="88"/>
      <c r="D332" s="89"/>
      <c r="E332" s="89"/>
      <c r="F332" s="73"/>
      <c r="G332" s="73"/>
      <c r="H332" s="73"/>
      <c r="I332" s="73"/>
      <c r="J332" s="73"/>
      <c r="K332" s="73"/>
      <c r="L332" s="73"/>
      <c r="M332" s="74"/>
      <c r="N332" s="71" t="str">
        <f t="shared" si="5"/>
        <v/>
      </c>
      <c r="O332" s="72"/>
      <c r="P332" s="72"/>
      <c r="Q332" s="72"/>
      <c r="R332" s="72"/>
      <c r="S332" s="72"/>
      <c r="T332" s="72"/>
      <c r="U332" s="72"/>
      <c r="V332" s="72"/>
    </row>
    <row r="333" spans="1:22" ht="27.75" customHeight="1">
      <c r="A333" s="87" t="str">
        <f>IF(ISBLANK(C333)," ",328-COUNTBLANK($C$6:C333))</f>
        <v xml:space="preserve"> </v>
      </c>
      <c r="B333" s="88"/>
      <c r="C333" s="88"/>
      <c r="D333" s="89"/>
      <c r="E333" s="89"/>
      <c r="F333" s="73"/>
      <c r="G333" s="73"/>
      <c r="H333" s="73"/>
      <c r="I333" s="73"/>
      <c r="J333" s="73"/>
      <c r="K333" s="73"/>
      <c r="L333" s="73"/>
      <c r="M333" s="74"/>
      <c r="N333" s="71" t="str">
        <f t="shared" si="5"/>
        <v/>
      </c>
      <c r="O333" s="72"/>
      <c r="P333" s="72"/>
      <c r="Q333" s="72"/>
      <c r="R333" s="72"/>
      <c r="S333" s="72"/>
      <c r="T333" s="72"/>
      <c r="U333" s="72"/>
      <c r="V333" s="72"/>
    </row>
    <row r="334" spans="1:22" ht="27.75" customHeight="1">
      <c r="A334" s="87" t="str">
        <f>IF(ISBLANK(C334)," ",329-COUNTBLANK($C$6:C334))</f>
        <v xml:space="preserve"> </v>
      </c>
      <c r="B334" s="88"/>
      <c r="C334" s="88"/>
      <c r="D334" s="89"/>
      <c r="E334" s="89"/>
      <c r="F334" s="73"/>
      <c r="G334" s="73"/>
      <c r="H334" s="73"/>
      <c r="I334" s="73"/>
      <c r="J334" s="73"/>
      <c r="K334" s="73"/>
      <c r="L334" s="73"/>
      <c r="M334" s="74"/>
      <c r="N334" s="71" t="str">
        <f t="shared" si="5"/>
        <v/>
      </c>
      <c r="O334" s="72"/>
      <c r="P334" s="72"/>
      <c r="Q334" s="72"/>
      <c r="R334" s="72"/>
      <c r="S334" s="72"/>
      <c r="T334" s="72"/>
      <c r="U334" s="72"/>
      <c r="V334" s="72"/>
    </row>
    <row r="335" spans="1:22" ht="27.75" customHeight="1">
      <c r="A335" s="87" t="str">
        <f>IF(ISBLANK(C335)," ",330-COUNTBLANK($C$6:C335))</f>
        <v xml:space="preserve"> </v>
      </c>
      <c r="B335" s="88"/>
      <c r="C335" s="88"/>
      <c r="D335" s="89"/>
      <c r="E335" s="89"/>
      <c r="F335" s="73"/>
      <c r="G335" s="73"/>
      <c r="H335" s="73"/>
      <c r="I335" s="73"/>
      <c r="J335" s="73"/>
      <c r="K335" s="73"/>
      <c r="L335" s="73"/>
      <c r="M335" s="74"/>
      <c r="N335" s="71" t="str">
        <f t="shared" si="5"/>
        <v/>
      </c>
      <c r="O335" s="72"/>
      <c r="P335" s="72"/>
      <c r="Q335" s="72"/>
      <c r="R335" s="72"/>
      <c r="S335" s="72"/>
      <c r="T335" s="72"/>
      <c r="U335" s="72"/>
      <c r="V335" s="72"/>
    </row>
    <row r="336" spans="1:22" ht="27.75" customHeight="1">
      <c r="A336" s="87" t="str">
        <f>IF(ISBLANK(C336)," ",331-COUNTBLANK($C$6:C336))</f>
        <v xml:space="preserve"> </v>
      </c>
      <c r="B336" s="88"/>
      <c r="C336" s="88"/>
      <c r="D336" s="89"/>
      <c r="E336" s="89"/>
      <c r="F336" s="73"/>
      <c r="G336" s="73"/>
      <c r="H336" s="73"/>
      <c r="I336" s="73"/>
      <c r="J336" s="73"/>
      <c r="K336" s="73"/>
      <c r="L336" s="73"/>
      <c r="M336" s="74"/>
      <c r="N336" s="71" t="str">
        <f t="shared" si="5"/>
        <v/>
      </c>
      <c r="O336" s="75"/>
      <c r="P336" s="72"/>
      <c r="Q336" s="72"/>
      <c r="R336" s="72"/>
      <c r="S336" s="72"/>
      <c r="T336" s="72"/>
      <c r="U336" s="72"/>
      <c r="V336" s="76"/>
    </row>
    <row r="337" spans="1:25" ht="27.75" customHeight="1">
      <c r="A337" s="87" t="str">
        <f>IF(ISBLANK(C337)," ",332-COUNTBLANK($C$6:C337))</f>
        <v xml:space="preserve"> </v>
      </c>
      <c r="B337" s="88"/>
      <c r="C337" s="88"/>
      <c r="D337" s="89"/>
      <c r="E337" s="89"/>
      <c r="F337" s="73"/>
      <c r="G337" s="73"/>
      <c r="H337" s="73"/>
      <c r="I337" s="73"/>
      <c r="J337" s="73"/>
      <c r="K337" s="73"/>
      <c r="L337" s="73"/>
      <c r="M337" s="74"/>
      <c r="N337" s="71" t="str">
        <f t="shared" si="5"/>
        <v/>
      </c>
      <c r="O337" s="75"/>
      <c r="P337" s="72"/>
      <c r="Q337" s="72"/>
      <c r="R337" s="72"/>
      <c r="S337" s="72"/>
      <c r="T337" s="72"/>
      <c r="U337" s="72"/>
      <c r="V337" s="76"/>
    </row>
    <row r="338" spans="1:25" ht="27.75" customHeight="1">
      <c r="A338" s="87" t="str">
        <f>IF(ISBLANK(C338)," ",333-COUNTBLANK($C$6:C338))</f>
        <v xml:space="preserve"> </v>
      </c>
      <c r="B338" s="88"/>
      <c r="C338" s="88"/>
      <c r="D338" s="89"/>
      <c r="E338" s="89"/>
      <c r="F338" s="73"/>
      <c r="G338" s="73"/>
      <c r="H338" s="73"/>
      <c r="I338" s="73"/>
      <c r="J338" s="73"/>
      <c r="K338" s="73"/>
      <c r="L338" s="73"/>
      <c r="M338" s="74"/>
      <c r="N338" s="71" t="str">
        <f t="shared" si="5"/>
        <v/>
      </c>
      <c r="O338" s="75"/>
      <c r="P338" s="72"/>
      <c r="Q338" s="72"/>
      <c r="R338" s="72"/>
      <c r="S338" s="72"/>
      <c r="T338" s="72"/>
      <c r="U338" s="72"/>
      <c r="V338" s="76"/>
    </row>
    <row r="339" spans="1:25" ht="27.75" customHeight="1">
      <c r="A339" s="87" t="str">
        <f>IF(ISBLANK(C339)," ",334-COUNTBLANK($C$6:C339))</f>
        <v xml:space="preserve"> </v>
      </c>
      <c r="B339" s="88"/>
      <c r="C339" s="88"/>
      <c r="D339" s="89"/>
      <c r="E339" s="89"/>
      <c r="F339" s="73"/>
      <c r="G339" s="73"/>
      <c r="H339" s="73"/>
      <c r="I339" s="73"/>
      <c r="J339" s="73"/>
      <c r="K339" s="73"/>
      <c r="L339" s="73"/>
      <c r="M339" s="74"/>
      <c r="N339" s="71" t="str">
        <f t="shared" si="5"/>
        <v/>
      </c>
      <c r="O339" s="75"/>
      <c r="P339" s="72"/>
      <c r="Q339" s="72"/>
      <c r="R339" s="72"/>
      <c r="S339" s="72"/>
      <c r="T339" s="72"/>
      <c r="U339" s="72"/>
      <c r="V339" s="76"/>
    </row>
    <row r="340" spans="1:25" ht="27.75" customHeight="1">
      <c r="A340" s="87" t="str">
        <f>IF(ISBLANK(C340)," ",335-COUNTBLANK($C$6:C340))</f>
        <v xml:space="preserve"> </v>
      </c>
      <c r="B340" s="88"/>
      <c r="C340" s="88"/>
      <c r="D340" s="89"/>
      <c r="E340" s="89"/>
      <c r="F340" s="73"/>
      <c r="G340" s="73"/>
      <c r="H340" s="73"/>
      <c r="I340" s="73"/>
      <c r="J340" s="73"/>
      <c r="K340" s="73"/>
      <c r="L340" s="73"/>
      <c r="M340" s="74"/>
      <c r="N340" s="71" t="str">
        <f t="shared" si="5"/>
        <v/>
      </c>
      <c r="O340" s="72"/>
      <c r="P340" s="72"/>
      <c r="Q340" s="72"/>
      <c r="R340" s="72"/>
      <c r="S340" s="72"/>
      <c r="T340" s="72"/>
      <c r="U340" s="72"/>
      <c r="V340" s="79"/>
      <c r="W340" s="72"/>
      <c r="X340" s="72"/>
      <c r="Y340" s="72"/>
    </row>
    <row r="341" spans="1:25" ht="27.75" customHeight="1">
      <c r="A341" s="80" t="s">
        <v>58</v>
      </c>
      <c r="B341" s="81"/>
      <c r="C341" s="96"/>
      <c r="D341" s="82"/>
      <c r="E341" s="82">
        <f>SUM(E321:E340)</f>
        <v>0</v>
      </c>
      <c r="F341" s="83"/>
      <c r="G341" s="83"/>
      <c r="H341" s="83"/>
      <c r="I341" s="83"/>
      <c r="J341" s="83"/>
      <c r="K341" s="83"/>
      <c r="L341" s="83"/>
      <c r="M341" s="84"/>
      <c r="N341" s="71" t="str">
        <f t="shared" si="5"/>
        <v/>
      </c>
      <c r="O341" s="75"/>
      <c r="P341" s="72"/>
      <c r="Q341" s="72"/>
      <c r="R341" s="72"/>
      <c r="S341" s="72"/>
      <c r="T341" s="72"/>
      <c r="U341" s="72"/>
      <c r="V341" s="79"/>
      <c r="W341" s="72"/>
      <c r="X341" s="72"/>
      <c r="Y341" s="72"/>
    </row>
    <row r="342" spans="1:25" ht="27.75" customHeight="1">
      <c r="A342" s="93" t="str">
        <f>IF(ISBLANK(C342)," ",337-COUNTBLANK($C$6:C342))</f>
        <v xml:space="preserve"> </v>
      </c>
      <c r="B342" s="94"/>
      <c r="C342" s="94"/>
      <c r="D342" s="95"/>
      <c r="E342" s="95"/>
      <c r="F342" s="85"/>
      <c r="G342" s="85"/>
      <c r="H342" s="85"/>
      <c r="I342" s="85"/>
      <c r="J342" s="85"/>
      <c r="K342" s="85"/>
      <c r="L342" s="85"/>
      <c r="M342" s="86"/>
      <c r="N342" s="71" t="str">
        <f t="shared" si="5"/>
        <v/>
      </c>
      <c r="O342" s="72"/>
      <c r="P342" s="72"/>
      <c r="Q342" s="72"/>
      <c r="R342" s="72"/>
      <c r="S342" s="72"/>
      <c r="T342" s="72"/>
      <c r="U342" s="72"/>
      <c r="V342" s="72"/>
    </row>
    <row r="343" spans="1:25" ht="27.75" customHeight="1">
      <c r="A343" s="87" t="str">
        <f>IF(ISBLANK(C343)," ",338-COUNTBLANK($C$6:C343))</f>
        <v xml:space="preserve"> </v>
      </c>
      <c r="B343" s="88"/>
      <c r="C343" s="88"/>
      <c r="D343" s="89"/>
      <c r="E343" s="89"/>
      <c r="F343" s="73"/>
      <c r="G343" s="73"/>
      <c r="H343" s="73"/>
      <c r="I343" s="73"/>
      <c r="J343" s="73"/>
      <c r="K343" s="73"/>
      <c r="L343" s="73"/>
      <c r="M343" s="74"/>
      <c r="N343" s="71" t="str">
        <f t="shared" si="5"/>
        <v/>
      </c>
      <c r="O343" s="72"/>
      <c r="P343" s="72"/>
      <c r="Q343" s="72"/>
      <c r="R343" s="72"/>
      <c r="S343" s="72"/>
      <c r="T343" s="72"/>
      <c r="U343" s="72"/>
      <c r="V343" s="72"/>
    </row>
    <row r="344" spans="1:25" ht="27.75" customHeight="1">
      <c r="A344" s="87" t="str">
        <f>IF(ISBLANK(C344)," ",339-COUNTBLANK($C$6:C344))</f>
        <v xml:space="preserve"> </v>
      </c>
      <c r="B344" s="88"/>
      <c r="C344" s="88"/>
      <c r="D344" s="89"/>
      <c r="E344" s="89"/>
      <c r="F344" s="73"/>
      <c r="G344" s="73"/>
      <c r="H344" s="73"/>
      <c r="I344" s="73"/>
      <c r="J344" s="73"/>
      <c r="K344" s="73"/>
      <c r="L344" s="73"/>
      <c r="M344" s="74"/>
      <c r="N344" s="71" t="str">
        <f t="shared" si="5"/>
        <v/>
      </c>
      <c r="O344" s="72"/>
      <c r="P344" s="72"/>
      <c r="Q344" s="72"/>
      <c r="R344" s="72"/>
      <c r="S344" s="72"/>
      <c r="T344" s="72"/>
      <c r="U344" s="72"/>
      <c r="V344" s="72"/>
    </row>
    <row r="345" spans="1:25" ht="27.75" customHeight="1">
      <c r="A345" s="87" t="str">
        <f>IF(ISBLANK(C345)," ",340-COUNTBLANK($C$6:C345))</f>
        <v xml:space="preserve"> </v>
      </c>
      <c r="B345" s="88"/>
      <c r="C345" s="88"/>
      <c r="D345" s="89"/>
      <c r="E345" s="89"/>
      <c r="F345" s="73"/>
      <c r="G345" s="73"/>
      <c r="H345" s="73"/>
      <c r="I345" s="73"/>
      <c r="J345" s="73"/>
      <c r="K345" s="73"/>
      <c r="L345" s="73"/>
      <c r="M345" s="74"/>
      <c r="N345" s="71" t="str">
        <f t="shared" si="5"/>
        <v/>
      </c>
      <c r="O345" s="72"/>
      <c r="P345" s="72"/>
      <c r="Q345" s="72"/>
      <c r="R345" s="72"/>
      <c r="S345" s="72"/>
      <c r="T345" s="72"/>
      <c r="U345" s="72"/>
      <c r="V345" s="72"/>
    </row>
    <row r="346" spans="1:25" ht="27.75" customHeight="1">
      <c r="A346" s="87" t="str">
        <f>IF(ISBLANK(C346)," ",341-COUNTBLANK($C$6:C346))</f>
        <v xml:space="preserve"> </v>
      </c>
      <c r="B346" s="88"/>
      <c r="C346" s="88"/>
      <c r="D346" s="89"/>
      <c r="E346" s="89"/>
      <c r="F346" s="73"/>
      <c r="G346" s="73"/>
      <c r="H346" s="73"/>
      <c r="I346" s="73"/>
      <c r="J346" s="73"/>
      <c r="K346" s="73"/>
      <c r="L346" s="73"/>
      <c r="M346" s="74"/>
      <c r="N346" s="71" t="str">
        <f t="shared" si="5"/>
        <v/>
      </c>
      <c r="O346" s="72"/>
      <c r="P346" s="72"/>
      <c r="Q346" s="72"/>
      <c r="R346" s="72"/>
      <c r="S346" s="72"/>
      <c r="T346" s="72"/>
      <c r="U346" s="72"/>
      <c r="V346" s="72"/>
    </row>
    <row r="347" spans="1:25" ht="27.75" customHeight="1">
      <c r="A347" s="87" t="str">
        <f>IF(ISBLANK(C347)," ",342-COUNTBLANK($C$6:C347))</f>
        <v xml:space="preserve"> </v>
      </c>
      <c r="B347" s="88"/>
      <c r="C347" s="88"/>
      <c r="D347" s="89"/>
      <c r="E347" s="89"/>
      <c r="F347" s="73"/>
      <c r="G347" s="73"/>
      <c r="H347" s="73"/>
      <c r="I347" s="73"/>
      <c r="J347" s="73"/>
      <c r="K347" s="73"/>
      <c r="L347" s="73"/>
      <c r="M347" s="74"/>
      <c r="N347" s="71" t="str">
        <f t="shared" si="5"/>
        <v/>
      </c>
      <c r="O347" s="72"/>
      <c r="P347" s="72"/>
      <c r="Q347" s="72"/>
      <c r="R347" s="72"/>
      <c r="S347" s="72"/>
      <c r="T347" s="72"/>
      <c r="U347" s="72"/>
      <c r="V347" s="72"/>
    </row>
    <row r="348" spans="1:25" ht="27.75" customHeight="1">
      <c r="A348" s="87" t="str">
        <f>IF(ISBLANK(C348)," ",343-COUNTBLANK($C$6:C348))</f>
        <v xml:space="preserve"> </v>
      </c>
      <c r="B348" s="88"/>
      <c r="C348" s="88"/>
      <c r="D348" s="89"/>
      <c r="E348" s="89"/>
      <c r="F348" s="73"/>
      <c r="G348" s="73"/>
      <c r="H348" s="73"/>
      <c r="I348" s="73"/>
      <c r="J348" s="73"/>
      <c r="K348" s="73"/>
      <c r="L348" s="73"/>
      <c r="M348" s="74"/>
      <c r="N348" s="71" t="str">
        <f t="shared" si="5"/>
        <v/>
      </c>
      <c r="O348" s="72"/>
      <c r="P348" s="72"/>
      <c r="Q348" s="72"/>
      <c r="R348" s="72"/>
      <c r="S348" s="72"/>
      <c r="T348" s="72"/>
      <c r="U348" s="72"/>
      <c r="V348" s="72"/>
    </row>
    <row r="349" spans="1:25" ht="27.75" customHeight="1">
      <c r="A349" s="87" t="str">
        <f>IF(ISBLANK(C349)," ",344-COUNTBLANK($C$6:C349))</f>
        <v xml:space="preserve"> </v>
      </c>
      <c r="B349" s="88"/>
      <c r="C349" s="88"/>
      <c r="D349" s="89"/>
      <c r="E349" s="89"/>
      <c r="F349" s="73"/>
      <c r="G349" s="73"/>
      <c r="H349" s="73"/>
      <c r="I349" s="73"/>
      <c r="J349" s="73"/>
      <c r="K349" s="73"/>
      <c r="L349" s="73"/>
      <c r="M349" s="74"/>
      <c r="N349" s="71" t="str">
        <f t="shared" si="5"/>
        <v/>
      </c>
      <c r="O349" s="72"/>
      <c r="P349" s="72"/>
      <c r="Q349" s="72"/>
      <c r="R349" s="72"/>
      <c r="S349" s="72"/>
      <c r="T349" s="72"/>
      <c r="U349" s="72"/>
      <c r="V349" s="72"/>
    </row>
    <row r="350" spans="1:25" ht="27.75" customHeight="1">
      <c r="A350" s="87" t="str">
        <f>IF(ISBLANK(C350)," ",345-COUNTBLANK($C$6:C350))</f>
        <v xml:space="preserve"> </v>
      </c>
      <c r="B350" s="88"/>
      <c r="C350" s="88"/>
      <c r="D350" s="89"/>
      <c r="E350" s="89"/>
      <c r="F350" s="73"/>
      <c r="G350" s="73"/>
      <c r="H350" s="73"/>
      <c r="I350" s="73"/>
      <c r="J350" s="73"/>
      <c r="K350" s="73"/>
      <c r="L350" s="73"/>
      <c r="M350" s="74"/>
      <c r="N350" s="71" t="str">
        <f t="shared" si="5"/>
        <v/>
      </c>
      <c r="O350" s="72"/>
      <c r="P350" s="72"/>
      <c r="Q350" s="72"/>
      <c r="R350" s="72"/>
      <c r="S350" s="72"/>
      <c r="T350" s="72"/>
      <c r="U350" s="72"/>
      <c r="V350" s="72"/>
    </row>
    <row r="351" spans="1:25" ht="27.75" customHeight="1">
      <c r="A351" s="87" t="str">
        <f>IF(ISBLANK(C351)," ",346-COUNTBLANK($C$6:C351))</f>
        <v xml:space="preserve"> </v>
      </c>
      <c r="B351" s="88"/>
      <c r="C351" s="88"/>
      <c r="D351" s="89"/>
      <c r="E351" s="89"/>
      <c r="F351" s="73"/>
      <c r="G351" s="73"/>
      <c r="H351" s="73"/>
      <c r="I351" s="73"/>
      <c r="J351" s="73"/>
      <c r="K351" s="73"/>
      <c r="L351" s="73"/>
      <c r="M351" s="74"/>
      <c r="N351" s="71" t="str">
        <f t="shared" si="5"/>
        <v/>
      </c>
      <c r="O351" s="72"/>
      <c r="P351" s="72"/>
      <c r="Q351" s="72"/>
      <c r="R351" s="72"/>
      <c r="S351" s="72"/>
      <c r="T351" s="72"/>
      <c r="U351" s="72"/>
      <c r="V351" s="72"/>
    </row>
    <row r="352" spans="1:25" ht="27.75" customHeight="1">
      <c r="A352" s="87" t="str">
        <f>IF(ISBLANK(C352)," ",347-COUNTBLANK($C$6:C352))</f>
        <v xml:space="preserve"> </v>
      </c>
      <c r="B352" s="88"/>
      <c r="C352" s="88"/>
      <c r="D352" s="89"/>
      <c r="E352" s="89"/>
      <c r="F352" s="73"/>
      <c r="G352" s="73"/>
      <c r="H352" s="73"/>
      <c r="I352" s="73"/>
      <c r="J352" s="73"/>
      <c r="K352" s="73"/>
      <c r="L352" s="73"/>
      <c r="M352" s="74"/>
      <c r="N352" s="71" t="str">
        <f t="shared" si="5"/>
        <v/>
      </c>
      <c r="O352" s="72"/>
      <c r="P352" s="72"/>
      <c r="Q352" s="72"/>
      <c r="R352" s="72"/>
      <c r="S352" s="72"/>
      <c r="T352" s="72"/>
      <c r="U352" s="72"/>
      <c r="V352" s="72"/>
    </row>
    <row r="353" spans="1:25" ht="27.75" customHeight="1">
      <c r="A353" s="87" t="str">
        <f>IF(ISBLANK(C353)," ",348-COUNTBLANK($C$6:C353))</f>
        <v xml:space="preserve"> </v>
      </c>
      <c r="B353" s="88"/>
      <c r="C353" s="88"/>
      <c r="D353" s="89"/>
      <c r="E353" s="89"/>
      <c r="F353" s="73"/>
      <c r="G353" s="73"/>
      <c r="H353" s="73"/>
      <c r="I353" s="73"/>
      <c r="J353" s="73"/>
      <c r="K353" s="73"/>
      <c r="L353" s="73"/>
      <c r="M353" s="74"/>
      <c r="N353" s="71" t="str">
        <f t="shared" si="5"/>
        <v/>
      </c>
      <c r="O353" s="72"/>
      <c r="P353" s="72"/>
      <c r="Q353" s="72"/>
      <c r="R353" s="72"/>
      <c r="S353" s="72"/>
      <c r="T353" s="72"/>
      <c r="U353" s="72"/>
      <c r="V353" s="72"/>
    </row>
    <row r="354" spans="1:25" ht="27.75" customHeight="1">
      <c r="A354" s="87" t="str">
        <f>IF(ISBLANK(C354)," ",349-COUNTBLANK($C$6:C354))</f>
        <v xml:space="preserve"> </v>
      </c>
      <c r="B354" s="88"/>
      <c r="C354" s="88"/>
      <c r="D354" s="89"/>
      <c r="E354" s="89"/>
      <c r="F354" s="73"/>
      <c r="G354" s="73"/>
      <c r="H354" s="73"/>
      <c r="I354" s="73"/>
      <c r="J354" s="73"/>
      <c r="K354" s="73"/>
      <c r="L354" s="73"/>
      <c r="M354" s="74"/>
      <c r="N354" s="71" t="str">
        <f t="shared" si="5"/>
        <v/>
      </c>
      <c r="O354" s="72"/>
      <c r="P354" s="72"/>
      <c r="Q354" s="72"/>
      <c r="R354" s="72"/>
      <c r="S354" s="72"/>
      <c r="T354" s="72"/>
      <c r="U354" s="72"/>
      <c r="V354" s="72"/>
    </row>
    <row r="355" spans="1:25" ht="27.75" customHeight="1">
      <c r="A355" s="87" t="str">
        <f>IF(ISBLANK(C355)," ",350-COUNTBLANK($C$6:C355))</f>
        <v xml:space="preserve"> </v>
      </c>
      <c r="B355" s="88"/>
      <c r="C355" s="88"/>
      <c r="D355" s="89"/>
      <c r="E355" s="89"/>
      <c r="F355" s="73"/>
      <c r="G355" s="73"/>
      <c r="H355" s="73"/>
      <c r="I355" s="73"/>
      <c r="J355" s="73"/>
      <c r="K355" s="73"/>
      <c r="L355" s="73"/>
      <c r="M355" s="74"/>
      <c r="N355" s="71" t="str">
        <f t="shared" si="5"/>
        <v/>
      </c>
      <c r="O355" s="72"/>
      <c r="P355" s="72"/>
      <c r="Q355" s="72"/>
      <c r="R355" s="72"/>
      <c r="S355" s="72"/>
      <c r="T355" s="72"/>
      <c r="U355" s="72"/>
      <c r="V355" s="72"/>
    </row>
    <row r="356" spans="1:25" ht="27.75" customHeight="1">
      <c r="A356" s="87" t="str">
        <f>IF(ISBLANK(C356)," ",351-COUNTBLANK($C$6:C356))</f>
        <v xml:space="preserve"> </v>
      </c>
      <c r="B356" s="88"/>
      <c r="C356" s="88"/>
      <c r="D356" s="89"/>
      <c r="E356" s="89"/>
      <c r="F356" s="73"/>
      <c r="G356" s="73"/>
      <c r="H356" s="73"/>
      <c r="I356" s="73"/>
      <c r="J356" s="73"/>
      <c r="K356" s="73"/>
      <c r="L356" s="73"/>
      <c r="M356" s="74"/>
      <c r="N356" s="71" t="str">
        <f t="shared" si="5"/>
        <v/>
      </c>
      <c r="O356" s="72"/>
      <c r="P356" s="72"/>
      <c r="Q356" s="72"/>
      <c r="R356" s="72"/>
      <c r="S356" s="72"/>
      <c r="T356" s="72"/>
      <c r="U356" s="72"/>
      <c r="V356" s="72"/>
    </row>
    <row r="357" spans="1:25" ht="27.75" customHeight="1">
      <c r="A357" s="87" t="str">
        <f>IF(ISBLANK(C357)," ",352-COUNTBLANK($C$6:C357))</f>
        <v xml:space="preserve"> </v>
      </c>
      <c r="B357" s="88"/>
      <c r="C357" s="88"/>
      <c r="D357" s="89"/>
      <c r="E357" s="89"/>
      <c r="F357" s="73"/>
      <c r="G357" s="73"/>
      <c r="H357" s="73"/>
      <c r="I357" s="73"/>
      <c r="J357" s="73"/>
      <c r="K357" s="73"/>
      <c r="L357" s="73"/>
      <c r="M357" s="74"/>
      <c r="N357" s="71" t="str">
        <f t="shared" si="5"/>
        <v/>
      </c>
      <c r="O357" s="75"/>
      <c r="P357" s="72"/>
      <c r="Q357" s="72"/>
      <c r="R357" s="72"/>
      <c r="S357" s="72"/>
      <c r="T357" s="72"/>
      <c r="U357" s="72"/>
      <c r="V357" s="76"/>
    </row>
    <row r="358" spans="1:25" ht="27.75" customHeight="1">
      <c r="A358" s="87" t="str">
        <f>IF(ISBLANK(C358)," ",353-COUNTBLANK($C$6:C358))</f>
        <v xml:space="preserve"> </v>
      </c>
      <c r="B358" s="88"/>
      <c r="C358" s="88"/>
      <c r="D358" s="89"/>
      <c r="E358" s="89"/>
      <c r="F358" s="73"/>
      <c r="G358" s="73"/>
      <c r="H358" s="73"/>
      <c r="I358" s="73"/>
      <c r="J358" s="73"/>
      <c r="K358" s="73"/>
      <c r="L358" s="73"/>
      <c r="M358" s="74"/>
      <c r="N358" s="71" t="str">
        <f t="shared" si="5"/>
        <v/>
      </c>
      <c r="O358" s="75"/>
      <c r="P358" s="72"/>
      <c r="Q358" s="72"/>
      <c r="R358" s="72"/>
      <c r="S358" s="72"/>
      <c r="T358" s="72"/>
      <c r="U358" s="72"/>
      <c r="V358" s="76"/>
    </row>
    <row r="359" spans="1:25" ht="27.75" customHeight="1">
      <c r="A359" s="87" t="str">
        <f>IF(ISBLANK(C359)," ",354-COUNTBLANK($C$6:C359))</f>
        <v xml:space="preserve"> </v>
      </c>
      <c r="B359" s="88"/>
      <c r="C359" s="88"/>
      <c r="D359" s="89"/>
      <c r="E359" s="89"/>
      <c r="F359" s="73"/>
      <c r="G359" s="73"/>
      <c r="H359" s="73"/>
      <c r="I359" s="73"/>
      <c r="J359" s="73"/>
      <c r="K359" s="73"/>
      <c r="L359" s="73"/>
      <c r="M359" s="74"/>
      <c r="N359" s="71" t="str">
        <f t="shared" si="5"/>
        <v/>
      </c>
      <c r="O359" s="75"/>
      <c r="P359" s="72"/>
      <c r="Q359" s="72"/>
      <c r="R359" s="72"/>
      <c r="S359" s="72"/>
      <c r="T359" s="72"/>
      <c r="U359" s="72"/>
      <c r="V359" s="76"/>
    </row>
    <row r="360" spans="1:25" ht="27.75" customHeight="1">
      <c r="A360" s="87" t="str">
        <f>IF(ISBLANK(C360)," ",355-COUNTBLANK($C$6:C360))</f>
        <v xml:space="preserve"> </v>
      </c>
      <c r="B360" s="88"/>
      <c r="C360" s="88"/>
      <c r="D360" s="89"/>
      <c r="E360" s="89"/>
      <c r="F360" s="73"/>
      <c r="G360" s="73"/>
      <c r="H360" s="73"/>
      <c r="I360" s="73"/>
      <c r="J360" s="73"/>
      <c r="K360" s="73"/>
      <c r="L360" s="73"/>
      <c r="M360" s="74"/>
      <c r="N360" s="71" t="str">
        <f t="shared" si="5"/>
        <v/>
      </c>
      <c r="O360" s="75"/>
      <c r="P360" s="72"/>
      <c r="Q360" s="72"/>
      <c r="R360" s="72"/>
      <c r="S360" s="72"/>
      <c r="T360" s="72"/>
      <c r="U360" s="72"/>
      <c r="V360" s="76"/>
    </row>
    <row r="361" spans="1:25" ht="27.75" customHeight="1">
      <c r="A361" s="87" t="str">
        <f>IF(ISBLANK(C361)," ",356-COUNTBLANK($C$6:C361))</f>
        <v xml:space="preserve"> </v>
      </c>
      <c r="B361" s="88"/>
      <c r="C361" s="88"/>
      <c r="D361" s="89"/>
      <c r="E361" s="89"/>
      <c r="F361" s="73"/>
      <c r="G361" s="73"/>
      <c r="H361" s="73"/>
      <c r="I361" s="73"/>
      <c r="J361" s="73"/>
      <c r="K361" s="73"/>
      <c r="L361" s="73"/>
      <c r="M361" s="74"/>
      <c r="N361" s="71" t="str">
        <f t="shared" si="5"/>
        <v/>
      </c>
      <c r="O361" s="72"/>
      <c r="P361" s="72"/>
      <c r="Q361" s="72"/>
      <c r="R361" s="72"/>
      <c r="S361" s="72"/>
      <c r="T361" s="72"/>
      <c r="U361" s="72"/>
      <c r="V361" s="79"/>
      <c r="W361" s="72"/>
      <c r="X361" s="72"/>
      <c r="Y361" s="72"/>
    </row>
    <row r="362" spans="1:25" ht="27.75" customHeight="1">
      <c r="A362" s="80" t="s">
        <v>58</v>
      </c>
      <c r="B362" s="81"/>
      <c r="C362" s="96"/>
      <c r="D362" s="82"/>
      <c r="E362" s="82">
        <f>SUM(E342:E361)</f>
        <v>0</v>
      </c>
      <c r="F362" s="83"/>
      <c r="G362" s="83"/>
      <c r="H362" s="83"/>
      <c r="I362" s="83"/>
      <c r="J362" s="83"/>
      <c r="K362" s="83"/>
      <c r="L362" s="83"/>
      <c r="M362" s="84"/>
      <c r="N362" s="71" t="str">
        <f t="shared" si="5"/>
        <v/>
      </c>
      <c r="O362" s="75"/>
      <c r="P362" s="72"/>
      <c r="Q362" s="72"/>
      <c r="R362" s="72"/>
      <c r="S362" s="72"/>
      <c r="T362" s="72"/>
      <c r="U362" s="72"/>
      <c r="V362" s="79"/>
      <c r="W362" s="72"/>
      <c r="X362" s="72"/>
      <c r="Y362" s="72"/>
    </row>
    <row r="363" spans="1:25" ht="27.75" customHeight="1">
      <c r="A363" s="93" t="str">
        <f>IF(ISBLANK(C363)," ",358-COUNTBLANK($C$6:C363))</f>
        <v xml:space="preserve"> </v>
      </c>
      <c r="B363" s="94"/>
      <c r="C363" s="94"/>
      <c r="D363" s="95"/>
      <c r="E363" s="95"/>
      <c r="F363" s="85"/>
      <c r="G363" s="85"/>
      <c r="H363" s="85"/>
      <c r="I363" s="85"/>
      <c r="J363" s="85"/>
      <c r="K363" s="85"/>
      <c r="L363" s="85"/>
      <c r="M363" s="86"/>
      <c r="N363" s="71" t="str">
        <f t="shared" si="5"/>
        <v/>
      </c>
      <c r="O363" s="72"/>
      <c r="P363" s="72"/>
      <c r="Q363" s="72"/>
      <c r="R363" s="72"/>
      <c r="S363" s="72"/>
      <c r="T363" s="72"/>
      <c r="U363" s="72"/>
      <c r="V363" s="72"/>
    </row>
    <row r="364" spans="1:25" ht="27.75" customHeight="1">
      <c r="A364" s="87" t="str">
        <f>IF(ISBLANK(C364)," ",359-COUNTBLANK($C$6:C364))</f>
        <v xml:space="preserve"> </v>
      </c>
      <c r="B364" s="88"/>
      <c r="C364" s="88"/>
      <c r="D364" s="89"/>
      <c r="E364" s="89"/>
      <c r="F364" s="73"/>
      <c r="G364" s="73"/>
      <c r="H364" s="73"/>
      <c r="I364" s="73"/>
      <c r="J364" s="73"/>
      <c r="K364" s="73"/>
      <c r="L364" s="73"/>
      <c r="M364" s="74"/>
      <c r="N364" s="71" t="str">
        <f t="shared" si="5"/>
        <v/>
      </c>
      <c r="O364" s="72"/>
      <c r="P364" s="72"/>
      <c r="Q364" s="72"/>
      <c r="R364" s="72"/>
      <c r="S364" s="72"/>
      <c r="T364" s="72"/>
      <c r="U364" s="72"/>
      <c r="V364" s="72"/>
    </row>
    <row r="365" spans="1:25" ht="27.75" customHeight="1">
      <c r="A365" s="87" t="str">
        <f>IF(ISBLANK(C365)," ",360-COUNTBLANK($C$6:C365))</f>
        <v xml:space="preserve"> </v>
      </c>
      <c r="B365" s="88"/>
      <c r="C365" s="88"/>
      <c r="D365" s="89"/>
      <c r="E365" s="89"/>
      <c r="F365" s="73"/>
      <c r="G365" s="73"/>
      <c r="H365" s="73"/>
      <c r="I365" s="73"/>
      <c r="J365" s="73"/>
      <c r="K365" s="73"/>
      <c r="L365" s="73"/>
      <c r="M365" s="74"/>
      <c r="N365" s="71" t="str">
        <f t="shared" si="5"/>
        <v/>
      </c>
      <c r="O365" s="72"/>
      <c r="P365" s="72"/>
      <c r="Q365" s="72"/>
      <c r="R365" s="72"/>
      <c r="S365" s="72"/>
      <c r="T365" s="72"/>
      <c r="U365" s="72"/>
      <c r="V365" s="72"/>
    </row>
    <row r="366" spans="1:25" ht="27.75" customHeight="1">
      <c r="A366" s="87" t="str">
        <f>IF(ISBLANK(C366)," ",361-COUNTBLANK($C$6:C366))</f>
        <v xml:space="preserve"> </v>
      </c>
      <c r="B366" s="88"/>
      <c r="C366" s="88"/>
      <c r="D366" s="89"/>
      <c r="E366" s="89"/>
      <c r="F366" s="73"/>
      <c r="G366" s="73"/>
      <c r="H366" s="73"/>
      <c r="I366" s="73"/>
      <c r="J366" s="73"/>
      <c r="K366" s="73"/>
      <c r="L366" s="73"/>
      <c r="M366" s="74"/>
      <c r="N366" s="71" t="str">
        <f t="shared" si="5"/>
        <v/>
      </c>
      <c r="O366" s="72"/>
      <c r="P366" s="72"/>
      <c r="Q366" s="72"/>
      <c r="R366" s="72"/>
      <c r="S366" s="72"/>
      <c r="T366" s="72"/>
      <c r="U366" s="72"/>
      <c r="V366" s="72"/>
    </row>
    <row r="367" spans="1:25" ht="27.75" customHeight="1">
      <c r="A367" s="87" t="str">
        <f>IF(ISBLANK(C367)," ",362-COUNTBLANK($C$6:C367))</f>
        <v xml:space="preserve"> </v>
      </c>
      <c r="B367" s="88"/>
      <c r="C367" s="88"/>
      <c r="D367" s="89"/>
      <c r="E367" s="89"/>
      <c r="F367" s="73"/>
      <c r="G367" s="73"/>
      <c r="H367" s="73"/>
      <c r="I367" s="73"/>
      <c r="J367" s="73"/>
      <c r="K367" s="73"/>
      <c r="L367" s="73"/>
      <c r="M367" s="74"/>
      <c r="N367" s="71" t="str">
        <f t="shared" si="5"/>
        <v/>
      </c>
      <c r="O367" s="72"/>
      <c r="P367" s="72"/>
      <c r="Q367" s="72"/>
      <c r="R367" s="72"/>
      <c r="S367" s="72"/>
      <c r="T367" s="72"/>
      <c r="U367" s="72"/>
      <c r="V367" s="72"/>
    </row>
    <row r="368" spans="1:25" ht="27.75" customHeight="1">
      <c r="A368" s="87" t="str">
        <f>IF(ISBLANK(C368)," ",363-COUNTBLANK($C$6:C368))</f>
        <v xml:space="preserve"> </v>
      </c>
      <c r="B368" s="88"/>
      <c r="C368" s="88"/>
      <c r="D368" s="89"/>
      <c r="E368" s="89"/>
      <c r="F368" s="73"/>
      <c r="G368" s="73"/>
      <c r="H368" s="73"/>
      <c r="I368" s="73"/>
      <c r="J368" s="73"/>
      <c r="K368" s="73"/>
      <c r="L368" s="73"/>
      <c r="M368" s="74"/>
      <c r="N368" s="71" t="str">
        <f t="shared" si="5"/>
        <v/>
      </c>
      <c r="O368" s="72"/>
      <c r="P368" s="72"/>
      <c r="Q368" s="72"/>
      <c r="R368" s="72"/>
      <c r="S368" s="72"/>
      <c r="T368" s="72"/>
      <c r="U368" s="72"/>
      <c r="V368" s="72"/>
    </row>
    <row r="369" spans="1:25" ht="27.75" customHeight="1">
      <c r="A369" s="87" t="str">
        <f>IF(ISBLANK(C369)," ",364-COUNTBLANK($C$6:C369))</f>
        <v xml:space="preserve"> </v>
      </c>
      <c r="B369" s="88"/>
      <c r="C369" s="88"/>
      <c r="D369" s="89"/>
      <c r="E369" s="89"/>
      <c r="F369" s="73"/>
      <c r="G369" s="73"/>
      <c r="H369" s="73"/>
      <c r="I369" s="73"/>
      <c r="J369" s="73"/>
      <c r="K369" s="73"/>
      <c r="L369" s="73"/>
      <c r="M369" s="74"/>
      <c r="N369" s="71" t="str">
        <f t="shared" si="5"/>
        <v/>
      </c>
      <c r="O369" s="72"/>
      <c r="P369" s="72"/>
      <c r="Q369" s="72"/>
      <c r="R369" s="72"/>
      <c r="S369" s="72"/>
      <c r="T369" s="72"/>
      <c r="U369" s="72"/>
      <c r="V369" s="72"/>
    </row>
    <row r="370" spans="1:25" ht="27.75" customHeight="1">
      <c r="A370" s="87" t="str">
        <f>IF(ISBLANK(C370)," ",365-COUNTBLANK($C$6:C370))</f>
        <v xml:space="preserve"> </v>
      </c>
      <c r="B370" s="88"/>
      <c r="C370" s="88"/>
      <c r="D370" s="89"/>
      <c r="E370" s="89"/>
      <c r="F370" s="73"/>
      <c r="G370" s="73"/>
      <c r="H370" s="73"/>
      <c r="I370" s="73"/>
      <c r="J370" s="73"/>
      <c r="K370" s="73"/>
      <c r="L370" s="73"/>
      <c r="M370" s="74"/>
      <c r="N370" s="71" t="str">
        <f t="shared" si="5"/>
        <v/>
      </c>
      <c r="O370" s="72"/>
      <c r="P370" s="72"/>
      <c r="Q370" s="72"/>
      <c r="R370" s="72"/>
      <c r="S370" s="72"/>
      <c r="T370" s="72"/>
      <c r="U370" s="72"/>
      <c r="V370" s="72"/>
    </row>
    <row r="371" spans="1:25" ht="27.75" customHeight="1">
      <c r="A371" s="87" t="str">
        <f>IF(ISBLANK(C371)," ",366-COUNTBLANK($C$6:C371))</f>
        <v xml:space="preserve"> </v>
      </c>
      <c r="B371" s="88"/>
      <c r="C371" s="88"/>
      <c r="D371" s="89"/>
      <c r="E371" s="89"/>
      <c r="F371" s="73"/>
      <c r="G371" s="73"/>
      <c r="H371" s="73"/>
      <c r="I371" s="73"/>
      <c r="J371" s="73"/>
      <c r="K371" s="73"/>
      <c r="L371" s="73"/>
      <c r="M371" s="74"/>
      <c r="N371" s="71" t="str">
        <f t="shared" si="5"/>
        <v/>
      </c>
      <c r="O371" s="72"/>
      <c r="P371" s="72"/>
      <c r="Q371" s="72"/>
      <c r="R371" s="72"/>
      <c r="S371" s="72"/>
      <c r="T371" s="72"/>
      <c r="U371" s="72"/>
      <c r="V371" s="72"/>
    </row>
    <row r="372" spans="1:25" ht="27.75" customHeight="1">
      <c r="A372" s="87" t="str">
        <f>IF(ISBLANK(C372)," ",367-COUNTBLANK($C$6:C372))</f>
        <v xml:space="preserve"> </v>
      </c>
      <c r="B372" s="88"/>
      <c r="C372" s="88"/>
      <c r="D372" s="89"/>
      <c r="E372" s="89"/>
      <c r="F372" s="73"/>
      <c r="G372" s="73"/>
      <c r="H372" s="73"/>
      <c r="I372" s="73"/>
      <c r="J372" s="73"/>
      <c r="K372" s="73"/>
      <c r="L372" s="73"/>
      <c r="M372" s="74"/>
      <c r="N372" s="71" t="str">
        <f t="shared" si="5"/>
        <v/>
      </c>
      <c r="O372" s="72"/>
      <c r="P372" s="72"/>
      <c r="Q372" s="72"/>
      <c r="R372" s="72"/>
      <c r="S372" s="72"/>
      <c r="T372" s="72"/>
      <c r="U372" s="72"/>
      <c r="V372" s="72"/>
    </row>
    <row r="373" spans="1:25" ht="27.75" customHeight="1">
      <c r="A373" s="87" t="str">
        <f>IF(ISBLANK(C373)," ",368-COUNTBLANK($C$6:C373))</f>
        <v xml:space="preserve"> </v>
      </c>
      <c r="B373" s="88"/>
      <c r="C373" s="88"/>
      <c r="D373" s="89"/>
      <c r="E373" s="89"/>
      <c r="F373" s="73"/>
      <c r="G373" s="73"/>
      <c r="H373" s="73"/>
      <c r="I373" s="73"/>
      <c r="J373" s="73"/>
      <c r="K373" s="73"/>
      <c r="L373" s="73"/>
      <c r="M373" s="74"/>
      <c r="N373" s="71" t="str">
        <f t="shared" si="5"/>
        <v/>
      </c>
      <c r="O373" s="72"/>
      <c r="P373" s="72"/>
      <c r="Q373" s="72"/>
      <c r="R373" s="72"/>
      <c r="S373" s="72"/>
      <c r="T373" s="72"/>
      <c r="U373" s="72"/>
      <c r="V373" s="72"/>
    </row>
    <row r="374" spans="1:25" ht="27.75" customHeight="1">
      <c r="A374" s="87" t="str">
        <f>IF(ISBLANK(C374)," ",369-COUNTBLANK($C$6:C374))</f>
        <v xml:space="preserve"> </v>
      </c>
      <c r="B374" s="88"/>
      <c r="C374" s="88"/>
      <c r="D374" s="89"/>
      <c r="E374" s="89"/>
      <c r="F374" s="73"/>
      <c r="G374" s="73"/>
      <c r="H374" s="73"/>
      <c r="I374" s="73"/>
      <c r="J374" s="73"/>
      <c r="K374" s="73"/>
      <c r="L374" s="73"/>
      <c r="M374" s="74"/>
      <c r="N374" s="71" t="str">
        <f t="shared" si="5"/>
        <v/>
      </c>
      <c r="O374" s="72"/>
      <c r="P374" s="72"/>
      <c r="Q374" s="72"/>
      <c r="R374" s="72"/>
      <c r="S374" s="72"/>
      <c r="T374" s="72"/>
      <c r="U374" s="72"/>
      <c r="V374" s="72"/>
    </row>
    <row r="375" spans="1:25" ht="27.75" customHeight="1">
      <c r="A375" s="87" t="str">
        <f>IF(ISBLANK(C375)," ",370-COUNTBLANK($C$6:C375))</f>
        <v xml:space="preserve"> </v>
      </c>
      <c r="B375" s="88"/>
      <c r="C375" s="88"/>
      <c r="D375" s="89"/>
      <c r="E375" s="89"/>
      <c r="F375" s="73"/>
      <c r="G375" s="73"/>
      <c r="H375" s="73"/>
      <c r="I375" s="73"/>
      <c r="J375" s="73"/>
      <c r="K375" s="73"/>
      <c r="L375" s="73"/>
      <c r="M375" s="74"/>
      <c r="N375" s="71" t="str">
        <f t="shared" si="5"/>
        <v/>
      </c>
      <c r="O375" s="72"/>
      <c r="P375" s="72"/>
      <c r="Q375" s="72"/>
      <c r="R375" s="72"/>
      <c r="S375" s="72"/>
      <c r="T375" s="72"/>
      <c r="U375" s="72"/>
      <c r="V375" s="72"/>
    </row>
    <row r="376" spans="1:25" ht="27.75" customHeight="1">
      <c r="A376" s="87" t="str">
        <f>IF(ISBLANK(C376)," ",371-COUNTBLANK($C$6:C376))</f>
        <v xml:space="preserve"> </v>
      </c>
      <c r="B376" s="88"/>
      <c r="C376" s="88"/>
      <c r="D376" s="89"/>
      <c r="E376" s="89"/>
      <c r="F376" s="73"/>
      <c r="G376" s="73"/>
      <c r="H376" s="73"/>
      <c r="I376" s="73"/>
      <c r="J376" s="73"/>
      <c r="K376" s="73"/>
      <c r="L376" s="73"/>
      <c r="M376" s="74"/>
      <c r="N376" s="71" t="str">
        <f t="shared" si="5"/>
        <v/>
      </c>
      <c r="O376" s="72"/>
      <c r="P376" s="72"/>
      <c r="Q376" s="72"/>
      <c r="R376" s="72"/>
      <c r="S376" s="72"/>
      <c r="T376" s="72"/>
      <c r="U376" s="72"/>
      <c r="V376" s="72"/>
    </row>
    <row r="377" spans="1:25" ht="27.75" customHeight="1">
      <c r="A377" s="87" t="str">
        <f>IF(ISBLANK(C377)," ",372-COUNTBLANK($C$6:C377))</f>
        <v xml:space="preserve"> </v>
      </c>
      <c r="B377" s="88"/>
      <c r="C377" s="88"/>
      <c r="D377" s="89"/>
      <c r="E377" s="89"/>
      <c r="F377" s="73"/>
      <c r="G377" s="73"/>
      <c r="H377" s="73"/>
      <c r="I377" s="73"/>
      <c r="J377" s="73"/>
      <c r="K377" s="73"/>
      <c r="L377" s="73"/>
      <c r="M377" s="74"/>
      <c r="N377" s="71" t="str">
        <f t="shared" si="5"/>
        <v/>
      </c>
      <c r="O377" s="72"/>
      <c r="P377" s="72"/>
      <c r="Q377" s="72"/>
      <c r="R377" s="72"/>
      <c r="S377" s="72"/>
      <c r="T377" s="72"/>
      <c r="U377" s="72"/>
      <c r="V377" s="72"/>
    </row>
    <row r="378" spans="1:25" ht="27.75" customHeight="1">
      <c r="A378" s="87" t="str">
        <f>IF(ISBLANK(C378)," ",373-COUNTBLANK($C$6:C378))</f>
        <v xml:space="preserve"> </v>
      </c>
      <c r="B378" s="88"/>
      <c r="C378" s="88"/>
      <c r="D378" s="89"/>
      <c r="E378" s="89"/>
      <c r="F378" s="73"/>
      <c r="G378" s="73"/>
      <c r="H378" s="73"/>
      <c r="I378" s="73"/>
      <c r="J378" s="73"/>
      <c r="K378" s="73"/>
      <c r="L378" s="73"/>
      <c r="M378" s="74"/>
      <c r="N378" s="71" t="str">
        <f t="shared" si="5"/>
        <v/>
      </c>
      <c r="O378" s="75"/>
      <c r="P378" s="72"/>
      <c r="Q378" s="72"/>
      <c r="R378" s="72"/>
      <c r="S378" s="72"/>
      <c r="T378" s="72"/>
      <c r="U378" s="72"/>
      <c r="V378" s="76"/>
    </row>
    <row r="379" spans="1:25" ht="27.75" customHeight="1">
      <c r="A379" s="87" t="str">
        <f>IF(ISBLANK(C379)," ",374-COUNTBLANK($C$6:C379))</f>
        <v xml:space="preserve"> </v>
      </c>
      <c r="B379" s="88"/>
      <c r="C379" s="88"/>
      <c r="D379" s="89"/>
      <c r="E379" s="89"/>
      <c r="F379" s="73"/>
      <c r="G379" s="73"/>
      <c r="H379" s="73"/>
      <c r="I379" s="73"/>
      <c r="J379" s="73"/>
      <c r="K379" s="73"/>
      <c r="L379" s="73"/>
      <c r="M379" s="74"/>
      <c r="N379" s="71" t="str">
        <f t="shared" si="5"/>
        <v/>
      </c>
      <c r="O379" s="75"/>
      <c r="P379" s="72"/>
      <c r="Q379" s="72"/>
      <c r="R379" s="72"/>
      <c r="S379" s="72"/>
      <c r="T379" s="72"/>
      <c r="U379" s="72"/>
      <c r="V379" s="76"/>
    </row>
    <row r="380" spans="1:25" ht="27.75" customHeight="1">
      <c r="A380" s="87" t="str">
        <f>IF(ISBLANK(C380)," ",375-COUNTBLANK($C$6:C380))</f>
        <v xml:space="preserve"> </v>
      </c>
      <c r="B380" s="88"/>
      <c r="C380" s="88"/>
      <c r="D380" s="89"/>
      <c r="E380" s="89"/>
      <c r="F380" s="73"/>
      <c r="G380" s="73"/>
      <c r="H380" s="73"/>
      <c r="I380" s="73"/>
      <c r="J380" s="73"/>
      <c r="K380" s="73"/>
      <c r="L380" s="73"/>
      <c r="M380" s="74"/>
      <c r="N380" s="71" t="str">
        <f t="shared" si="5"/>
        <v/>
      </c>
      <c r="O380" s="75"/>
      <c r="P380" s="72"/>
      <c r="Q380" s="72"/>
      <c r="R380" s="72"/>
      <c r="S380" s="72"/>
      <c r="T380" s="72"/>
      <c r="U380" s="72"/>
      <c r="V380" s="76"/>
    </row>
    <row r="381" spans="1:25" ht="27.75" customHeight="1">
      <c r="A381" s="87" t="str">
        <f>IF(ISBLANK(C381)," ",376-COUNTBLANK($C$6:C381))</f>
        <v xml:space="preserve"> </v>
      </c>
      <c r="B381" s="88"/>
      <c r="C381" s="88"/>
      <c r="D381" s="89"/>
      <c r="E381" s="89"/>
      <c r="F381" s="73"/>
      <c r="G381" s="73"/>
      <c r="H381" s="73"/>
      <c r="I381" s="73"/>
      <c r="J381" s="73"/>
      <c r="K381" s="73"/>
      <c r="L381" s="73"/>
      <c r="M381" s="74"/>
      <c r="N381" s="71" t="str">
        <f t="shared" si="5"/>
        <v/>
      </c>
      <c r="O381" s="75"/>
      <c r="P381" s="72"/>
      <c r="Q381" s="72"/>
      <c r="R381" s="72"/>
      <c r="S381" s="72"/>
      <c r="T381" s="72"/>
      <c r="U381" s="72"/>
      <c r="V381" s="76"/>
    </row>
    <row r="382" spans="1:25" ht="27.75" customHeight="1">
      <c r="A382" s="87" t="str">
        <f>IF(ISBLANK(C382)," ",377-COUNTBLANK($C$6:C382))</f>
        <v xml:space="preserve"> </v>
      </c>
      <c r="B382" s="88"/>
      <c r="C382" s="88"/>
      <c r="D382" s="89"/>
      <c r="E382" s="89"/>
      <c r="F382" s="73"/>
      <c r="G382" s="73"/>
      <c r="H382" s="73"/>
      <c r="I382" s="73"/>
      <c r="J382" s="73"/>
      <c r="K382" s="73"/>
      <c r="L382" s="73"/>
      <c r="M382" s="74"/>
      <c r="N382" s="71" t="str">
        <f t="shared" si="5"/>
        <v/>
      </c>
      <c r="O382" s="72"/>
      <c r="P382" s="72"/>
      <c r="Q382" s="72"/>
      <c r="R382" s="72"/>
      <c r="S382" s="72"/>
      <c r="T382" s="72"/>
      <c r="U382" s="72"/>
      <c r="V382" s="79"/>
      <c r="W382" s="72"/>
      <c r="X382" s="72"/>
      <c r="Y382" s="72"/>
    </row>
    <row r="383" spans="1:25" ht="27.75" customHeight="1">
      <c r="A383" s="80" t="s">
        <v>58</v>
      </c>
      <c r="B383" s="81"/>
      <c r="C383" s="96"/>
      <c r="D383" s="82"/>
      <c r="E383" s="82">
        <f>SUM(E363:E382)</f>
        <v>0</v>
      </c>
      <c r="F383" s="83"/>
      <c r="G383" s="83"/>
      <c r="H383" s="83"/>
      <c r="I383" s="83"/>
      <c r="J383" s="83"/>
      <c r="K383" s="83"/>
      <c r="L383" s="83"/>
      <c r="M383" s="84"/>
      <c r="N383" s="71" t="str">
        <f t="shared" si="5"/>
        <v/>
      </c>
      <c r="O383" s="75"/>
      <c r="P383" s="72"/>
      <c r="Q383" s="72"/>
      <c r="R383" s="72"/>
      <c r="S383" s="72"/>
      <c r="T383" s="72"/>
      <c r="U383" s="72"/>
      <c r="V383" s="79"/>
      <c r="W383" s="72"/>
      <c r="X383" s="72"/>
      <c r="Y383" s="72"/>
    </row>
    <row r="384" spans="1:25" ht="27.75" customHeight="1">
      <c r="A384" s="93" t="str">
        <f>IF(ISBLANK(C384)," ",379-COUNTBLANK($C$6:C384))</f>
        <v xml:space="preserve"> </v>
      </c>
      <c r="B384" s="94"/>
      <c r="C384" s="94"/>
      <c r="D384" s="95"/>
      <c r="E384" s="95"/>
      <c r="F384" s="85"/>
      <c r="G384" s="85"/>
      <c r="H384" s="85"/>
      <c r="I384" s="85"/>
      <c r="J384" s="85"/>
      <c r="K384" s="85"/>
      <c r="L384" s="85"/>
      <c r="M384" s="86"/>
      <c r="N384" s="71" t="str">
        <f t="shared" si="5"/>
        <v/>
      </c>
      <c r="O384" s="72"/>
      <c r="P384" s="72"/>
      <c r="Q384" s="72"/>
      <c r="R384" s="72"/>
      <c r="S384" s="72"/>
      <c r="T384" s="72"/>
      <c r="U384" s="72"/>
      <c r="V384" s="72"/>
    </row>
    <row r="385" spans="1:22" ht="27.75" customHeight="1">
      <c r="A385" s="87" t="str">
        <f>IF(ISBLANK(C385)," ",380-COUNTBLANK($C$6:C385))</f>
        <v xml:space="preserve"> </v>
      </c>
      <c r="B385" s="88"/>
      <c r="C385" s="88"/>
      <c r="D385" s="89"/>
      <c r="E385" s="89"/>
      <c r="F385" s="73"/>
      <c r="G385" s="73"/>
      <c r="H385" s="73"/>
      <c r="I385" s="73"/>
      <c r="J385" s="73"/>
      <c r="K385" s="73"/>
      <c r="L385" s="73"/>
      <c r="M385" s="74"/>
      <c r="N385" s="71" t="str">
        <f t="shared" si="5"/>
        <v/>
      </c>
      <c r="O385" s="72"/>
      <c r="P385" s="72"/>
      <c r="Q385" s="72"/>
      <c r="R385" s="72"/>
      <c r="S385" s="72"/>
      <c r="T385" s="72"/>
      <c r="U385" s="72"/>
      <c r="V385" s="72"/>
    </row>
    <row r="386" spans="1:22" ht="27.75" customHeight="1">
      <c r="A386" s="87" t="str">
        <f>IF(ISBLANK(C386)," ",381-COUNTBLANK($C$6:C386))</f>
        <v xml:space="preserve"> </v>
      </c>
      <c r="B386" s="88"/>
      <c r="C386" s="88"/>
      <c r="D386" s="89"/>
      <c r="E386" s="89"/>
      <c r="F386" s="73"/>
      <c r="G386" s="73"/>
      <c r="H386" s="73"/>
      <c r="I386" s="73"/>
      <c r="J386" s="73"/>
      <c r="K386" s="73"/>
      <c r="L386" s="73"/>
      <c r="M386" s="74"/>
      <c r="N386" s="71" t="str">
        <f t="shared" si="5"/>
        <v/>
      </c>
      <c r="O386" s="72"/>
      <c r="P386" s="72"/>
      <c r="Q386" s="72"/>
      <c r="R386" s="72"/>
      <c r="S386" s="72"/>
      <c r="T386" s="72"/>
      <c r="U386" s="72"/>
      <c r="V386" s="72"/>
    </row>
    <row r="387" spans="1:22" ht="27.75" customHeight="1">
      <c r="A387" s="87" t="str">
        <f>IF(ISBLANK(C387)," ",382-COUNTBLANK($C$6:C387))</f>
        <v xml:space="preserve"> </v>
      </c>
      <c r="B387" s="88"/>
      <c r="C387" s="88"/>
      <c r="D387" s="89"/>
      <c r="E387" s="89"/>
      <c r="F387" s="73"/>
      <c r="G387" s="73"/>
      <c r="H387" s="73"/>
      <c r="I387" s="73"/>
      <c r="J387" s="73"/>
      <c r="K387" s="73"/>
      <c r="L387" s="73"/>
      <c r="M387" s="74"/>
      <c r="N387" s="71" t="str">
        <f t="shared" si="5"/>
        <v/>
      </c>
      <c r="O387" s="72"/>
      <c r="P387" s="72"/>
      <c r="Q387" s="72"/>
      <c r="R387" s="72"/>
      <c r="S387" s="72"/>
      <c r="T387" s="72"/>
      <c r="U387" s="72"/>
      <c r="V387" s="72"/>
    </row>
    <row r="388" spans="1:22" ht="27.75" customHeight="1">
      <c r="A388" s="87" t="str">
        <f>IF(ISBLANK(C388)," ",383-COUNTBLANK($C$6:C388))</f>
        <v xml:space="preserve"> </v>
      </c>
      <c r="B388" s="88"/>
      <c r="C388" s="88"/>
      <c r="D388" s="89"/>
      <c r="E388" s="89"/>
      <c r="F388" s="73"/>
      <c r="G388" s="73"/>
      <c r="H388" s="73"/>
      <c r="I388" s="73"/>
      <c r="J388" s="73"/>
      <c r="K388" s="73"/>
      <c r="L388" s="73"/>
      <c r="M388" s="74"/>
      <c r="N388" s="71" t="str">
        <f t="shared" si="5"/>
        <v/>
      </c>
      <c r="O388" s="72"/>
      <c r="P388" s="72"/>
      <c r="Q388" s="72"/>
      <c r="R388" s="72"/>
      <c r="S388" s="72"/>
      <c r="T388" s="72"/>
      <c r="U388" s="72"/>
      <c r="V388" s="72"/>
    </row>
    <row r="389" spans="1:22" ht="27.75" customHeight="1">
      <c r="A389" s="87" t="str">
        <f>IF(ISBLANK(C389)," ",384-COUNTBLANK($C$6:C389))</f>
        <v xml:space="preserve"> </v>
      </c>
      <c r="B389" s="88"/>
      <c r="C389" s="88"/>
      <c r="D389" s="89"/>
      <c r="E389" s="89"/>
      <c r="F389" s="73"/>
      <c r="G389" s="73"/>
      <c r="H389" s="73"/>
      <c r="I389" s="73"/>
      <c r="J389" s="73"/>
      <c r="K389" s="73"/>
      <c r="L389" s="73"/>
      <c r="M389" s="74"/>
      <c r="N389" s="71" t="str">
        <f t="shared" si="5"/>
        <v/>
      </c>
      <c r="O389" s="72"/>
      <c r="P389" s="72"/>
      <c r="Q389" s="72"/>
      <c r="R389" s="72"/>
      <c r="S389" s="72"/>
      <c r="T389" s="72"/>
      <c r="U389" s="72"/>
      <c r="V389" s="72"/>
    </row>
    <row r="390" spans="1:22" ht="27.75" customHeight="1">
      <c r="A390" s="87" t="str">
        <f>IF(ISBLANK(C390)," ",385-COUNTBLANK($C$6:C390))</f>
        <v xml:space="preserve"> </v>
      </c>
      <c r="B390" s="88"/>
      <c r="C390" s="88"/>
      <c r="D390" s="89"/>
      <c r="E390" s="89"/>
      <c r="F390" s="73"/>
      <c r="G390" s="73"/>
      <c r="H390" s="73"/>
      <c r="I390" s="73"/>
      <c r="J390" s="73"/>
      <c r="K390" s="73"/>
      <c r="L390" s="73"/>
      <c r="M390" s="74"/>
      <c r="N390" s="71" t="str">
        <f t="shared" ref="N390:N453" si="6">CONCATENATE(C390,H390)</f>
        <v/>
      </c>
      <c r="O390" s="72"/>
      <c r="P390" s="72"/>
      <c r="Q390" s="72"/>
      <c r="R390" s="72"/>
      <c r="S390" s="72"/>
      <c r="T390" s="72"/>
      <c r="U390" s="72"/>
      <c r="V390" s="72"/>
    </row>
    <row r="391" spans="1:22" ht="27.75" customHeight="1">
      <c r="A391" s="87" t="str">
        <f>IF(ISBLANK(C391)," ",386-COUNTBLANK($C$6:C391))</f>
        <v xml:space="preserve"> </v>
      </c>
      <c r="B391" s="88"/>
      <c r="C391" s="88"/>
      <c r="D391" s="89"/>
      <c r="E391" s="89"/>
      <c r="F391" s="73"/>
      <c r="G391" s="73"/>
      <c r="H391" s="73"/>
      <c r="I391" s="73"/>
      <c r="J391" s="73"/>
      <c r="K391" s="73"/>
      <c r="L391" s="73"/>
      <c r="M391" s="74"/>
      <c r="N391" s="71" t="str">
        <f t="shared" si="6"/>
        <v/>
      </c>
      <c r="O391" s="72"/>
      <c r="P391" s="72"/>
      <c r="Q391" s="72"/>
      <c r="R391" s="72"/>
      <c r="S391" s="72"/>
      <c r="T391" s="72"/>
      <c r="U391" s="72"/>
      <c r="V391" s="72"/>
    </row>
    <row r="392" spans="1:22" ht="27.75" customHeight="1">
      <c r="A392" s="87" t="str">
        <f>IF(ISBLANK(C392)," ",387-COUNTBLANK($C$6:C392))</f>
        <v xml:space="preserve"> </v>
      </c>
      <c r="B392" s="88"/>
      <c r="C392" s="88"/>
      <c r="D392" s="89"/>
      <c r="E392" s="89"/>
      <c r="F392" s="73"/>
      <c r="G392" s="73"/>
      <c r="H392" s="73"/>
      <c r="I392" s="73"/>
      <c r="J392" s="73"/>
      <c r="K392" s="73"/>
      <c r="L392" s="73"/>
      <c r="M392" s="74"/>
      <c r="N392" s="71" t="str">
        <f t="shared" si="6"/>
        <v/>
      </c>
      <c r="O392" s="72"/>
      <c r="P392" s="72"/>
      <c r="Q392" s="72"/>
      <c r="R392" s="72"/>
      <c r="S392" s="72"/>
      <c r="T392" s="72"/>
      <c r="U392" s="72"/>
      <c r="V392" s="72"/>
    </row>
    <row r="393" spans="1:22" ht="27.75" customHeight="1">
      <c r="A393" s="87" t="str">
        <f>IF(ISBLANK(C393)," ",388-COUNTBLANK($C$6:C393))</f>
        <v xml:space="preserve"> </v>
      </c>
      <c r="B393" s="88"/>
      <c r="C393" s="88"/>
      <c r="D393" s="89"/>
      <c r="E393" s="89"/>
      <c r="F393" s="73"/>
      <c r="G393" s="73"/>
      <c r="H393" s="73"/>
      <c r="I393" s="73"/>
      <c r="J393" s="73"/>
      <c r="K393" s="73"/>
      <c r="L393" s="73"/>
      <c r="M393" s="74"/>
      <c r="N393" s="71" t="str">
        <f t="shared" si="6"/>
        <v/>
      </c>
      <c r="O393" s="72"/>
      <c r="P393" s="72"/>
      <c r="Q393" s="72"/>
      <c r="R393" s="72"/>
      <c r="S393" s="72"/>
      <c r="T393" s="72"/>
      <c r="U393" s="72"/>
      <c r="V393" s="72"/>
    </row>
    <row r="394" spans="1:22" ht="27.75" customHeight="1">
      <c r="A394" s="87" t="str">
        <f>IF(ISBLANK(C394)," ",389-COUNTBLANK($C$6:C394))</f>
        <v xml:space="preserve"> </v>
      </c>
      <c r="B394" s="88"/>
      <c r="C394" s="88"/>
      <c r="D394" s="89"/>
      <c r="E394" s="89"/>
      <c r="F394" s="73"/>
      <c r="G394" s="73"/>
      <c r="H394" s="73"/>
      <c r="I394" s="73"/>
      <c r="J394" s="73"/>
      <c r="K394" s="73"/>
      <c r="L394" s="73"/>
      <c r="M394" s="74"/>
      <c r="N394" s="71" t="str">
        <f t="shared" si="6"/>
        <v/>
      </c>
      <c r="O394" s="72"/>
      <c r="P394" s="72"/>
      <c r="Q394" s="72"/>
      <c r="R394" s="72"/>
      <c r="S394" s="72"/>
      <c r="T394" s="72"/>
      <c r="U394" s="72"/>
      <c r="V394" s="72"/>
    </row>
    <row r="395" spans="1:22" ht="27.75" customHeight="1">
      <c r="A395" s="87" t="str">
        <f>IF(ISBLANK(C395)," ",390-COUNTBLANK($C$6:C395))</f>
        <v xml:space="preserve"> </v>
      </c>
      <c r="B395" s="88"/>
      <c r="C395" s="88"/>
      <c r="D395" s="89"/>
      <c r="E395" s="89"/>
      <c r="F395" s="73"/>
      <c r="G395" s="73"/>
      <c r="H395" s="73"/>
      <c r="I395" s="73"/>
      <c r="J395" s="73"/>
      <c r="K395" s="73"/>
      <c r="L395" s="73"/>
      <c r="M395" s="74"/>
      <c r="N395" s="71" t="str">
        <f t="shared" si="6"/>
        <v/>
      </c>
      <c r="O395" s="72"/>
      <c r="P395" s="72"/>
      <c r="Q395" s="72"/>
      <c r="R395" s="72"/>
      <c r="S395" s="72"/>
      <c r="T395" s="72"/>
      <c r="U395" s="72"/>
      <c r="V395" s="72"/>
    </row>
    <row r="396" spans="1:22" ht="27.75" customHeight="1">
      <c r="A396" s="87" t="str">
        <f>IF(ISBLANK(C396)," ",391-COUNTBLANK($C$6:C396))</f>
        <v xml:space="preserve"> </v>
      </c>
      <c r="B396" s="88"/>
      <c r="C396" s="88"/>
      <c r="D396" s="89"/>
      <c r="E396" s="89"/>
      <c r="F396" s="73"/>
      <c r="G396" s="73"/>
      <c r="H396" s="73"/>
      <c r="I396" s="73"/>
      <c r="J396" s="73"/>
      <c r="K396" s="73"/>
      <c r="L396" s="73"/>
      <c r="M396" s="74"/>
      <c r="N396" s="71" t="str">
        <f t="shared" si="6"/>
        <v/>
      </c>
      <c r="O396" s="72"/>
      <c r="P396" s="72"/>
      <c r="Q396" s="72"/>
      <c r="R396" s="72"/>
      <c r="S396" s="72"/>
      <c r="T396" s="72"/>
      <c r="U396" s="72"/>
      <c r="V396" s="72"/>
    </row>
    <row r="397" spans="1:22" ht="27.75" customHeight="1">
      <c r="A397" s="87" t="str">
        <f>IF(ISBLANK(C397)," ",392-COUNTBLANK($C$6:C397))</f>
        <v xml:space="preserve"> </v>
      </c>
      <c r="B397" s="88"/>
      <c r="C397" s="88"/>
      <c r="D397" s="89"/>
      <c r="E397" s="89"/>
      <c r="F397" s="73"/>
      <c r="G397" s="73"/>
      <c r="H397" s="73"/>
      <c r="I397" s="73"/>
      <c r="J397" s="73"/>
      <c r="K397" s="73"/>
      <c r="L397" s="73"/>
      <c r="M397" s="74"/>
      <c r="N397" s="71" t="str">
        <f t="shared" si="6"/>
        <v/>
      </c>
      <c r="O397" s="72"/>
      <c r="P397" s="72"/>
      <c r="Q397" s="72"/>
      <c r="R397" s="72"/>
      <c r="S397" s="72"/>
      <c r="T397" s="72"/>
      <c r="U397" s="72"/>
      <c r="V397" s="72"/>
    </row>
    <row r="398" spans="1:22" ht="27.75" customHeight="1">
      <c r="A398" s="87" t="str">
        <f>IF(ISBLANK(C398)," ",393-COUNTBLANK($C$6:C398))</f>
        <v xml:space="preserve"> </v>
      </c>
      <c r="B398" s="88"/>
      <c r="C398" s="88"/>
      <c r="D398" s="89"/>
      <c r="E398" s="89"/>
      <c r="F398" s="73"/>
      <c r="G398" s="73"/>
      <c r="H398" s="73"/>
      <c r="I398" s="73"/>
      <c r="J398" s="73"/>
      <c r="K398" s="73"/>
      <c r="L398" s="73"/>
      <c r="M398" s="74"/>
      <c r="N398" s="71" t="str">
        <f t="shared" si="6"/>
        <v/>
      </c>
      <c r="O398" s="72"/>
      <c r="P398" s="72"/>
      <c r="Q398" s="72"/>
      <c r="R398" s="72"/>
      <c r="S398" s="72"/>
      <c r="T398" s="72"/>
      <c r="U398" s="72"/>
      <c r="V398" s="72"/>
    </row>
    <row r="399" spans="1:22" ht="27.75" customHeight="1">
      <c r="A399" s="87" t="str">
        <f>IF(ISBLANK(C399)," ",394-COUNTBLANK($C$6:C399))</f>
        <v xml:space="preserve"> </v>
      </c>
      <c r="B399" s="88"/>
      <c r="C399" s="88"/>
      <c r="D399" s="89"/>
      <c r="E399" s="89"/>
      <c r="F399" s="73"/>
      <c r="G399" s="73"/>
      <c r="H399" s="73"/>
      <c r="I399" s="73"/>
      <c r="J399" s="73"/>
      <c r="K399" s="73"/>
      <c r="L399" s="73"/>
      <c r="M399" s="74"/>
      <c r="N399" s="71" t="str">
        <f t="shared" si="6"/>
        <v/>
      </c>
      <c r="O399" s="75"/>
      <c r="P399" s="72"/>
      <c r="Q399" s="72"/>
      <c r="R399" s="72"/>
      <c r="S399" s="72"/>
      <c r="T399" s="72"/>
      <c r="U399" s="72"/>
      <c r="V399" s="76"/>
    </row>
    <row r="400" spans="1:22" ht="27.75" customHeight="1">
      <c r="A400" s="87" t="str">
        <f>IF(ISBLANK(C400)," ",395-COUNTBLANK($C$6:C400))</f>
        <v xml:space="preserve"> </v>
      </c>
      <c r="B400" s="88"/>
      <c r="C400" s="88"/>
      <c r="D400" s="89"/>
      <c r="E400" s="89"/>
      <c r="F400" s="73"/>
      <c r="G400" s="73"/>
      <c r="H400" s="73"/>
      <c r="I400" s="73"/>
      <c r="J400" s="73"/>
      <c r="K400" s="73"/>
      <c r="L400" s="73"/>
      <c r="M400" s="74"/>
      <c r="N400" s="71" t="str">
        <f t="shared" si="6"/>
        <v/>
      </c>
      <c r="O400" s="75"/>
      <c r="P400" s="72"/>
      <c r="Q400" s="72"/>
      <c r="R400" s="72"/>
      <c r="S400" s="72"/>
      <c r="T400" s="72"/>
      <c r="U400" s="72"/>
      <c r="V400" s="76"/>
    </row>
    <row r="401" spans="1:25" ht="27.75" customHeight="1">
      <c r="A401" s="87" t="str">
        <f>IF(ISBLANK(C401)," ",396-COUNTBLANK($C$6:C401))</f>
        <v xml:space="preserve"> </v>
      </c>
      <c r="B401" s="88"/>
      <c r="C401" s="88"/>
      <c r="D401" s="89"/>
      <c r="E401" s="89"/>
      <c r="F401" s="73"/>
      <c r="G401" s="73"/>
      <c r="H401" s="73"/>
      <c r="I401" s="73"/>
      <c r="J401" s="73"/>
      <c r="K401" s="73"/>
      <c r="L401" s="73"/>
      <c r="M401" s="74"/>
      <c r="N401" s="71" t="str">
        <f t="shared" si="6"/>
        <v/>
      </c>
      <c r="O401" s="75"/>
      <c r="P401" s="72"/>
      <c r="Q401" s="72"/>
      <c r="R401" s="72"/>
      <c r="S401" s="72"/>
      <c r="T401" s="72"/>
      <c r="U401" s="72"/>
      <c r="V401" s="76"/>
    </row>
    <row r="402" spans="1:25" ht="27.75" customHeight="1">
      <c r="A402" s="87" t="str">
        <f>IF(ISBLANK(C402)," ",397-COUNTBLANK($C$6:C402))</f>
        <v xml:space="preserve"> </v>
      </c>
      <c r="B402" s="88"/>
      <c r="C402" s="88"/>
      <c r="D402" s="89"/>
      <c r="E402" s="89"/>
      <c r="F402" s="73"/>
      <c r="G402" s="73"/>
      <c r="H402" s="73"/>
      <c r="I402" s="73"/>
      <c r="J402" s="73"/>
      <c r="K402" s="73"/>
      <c r="L402" s="73"/>
      <c r="M402" s="74"/>
      <c r="N402" s="71" t="str">
        <f t="shared" si="6"/>
        <v/>
      </c>
      <c r="O402" s="75"/>
      <c r="P402" s="72"/>
      <c r="Q402" s="72"/>
      <c r="R402" s="72"/>
      <c r="S402" s="72"/>
      <c r="T402" s="72"/>
      <c r="U402" s="72"/>
      <c r="V402" s="76"/>
    </row>
    <row r="403" spans="1:25" ht="27.75" customHeight="1">
      <c r="A403" s="87" t="str">
        <f>IF(ISBLANK(C403)," ",398-COUNTBLANK($C$6:C403))</f>
        <v xml:space="preserve"> </v>
      </c>
      <c r="B403" s="88"/>
      <c r="C403" s="88"/>
      <c r="D403" s="89"/>
      <c r="E403" s="89"/>
      <c r="F403" s="73"/>
      <c r="G403" s="73"/>
      <c r="H403" s="73"/>
      <c r="I403" s="73"/>
      <c r="J403" s="73"/>
      <c r="K403" s="73"/>
      <c r="L403" s="73"/>
      <c r="M403" s="74"/>
      <c r="N403" s="71" t="str">
        <f t="shared" si="6"/>
        <v/>
      </c>
      <c r="O403" s="72"/>
      <c r="P403" s="72"/>
      <c r="Q403" s="72"/>
      <c r="R403" s="72"/>
      <c r="S403" s="72"/>
      <c r="T403" s="72"/>
      <c r="U403" s="72"/>
      <c r="V403" s="79"/>
      <c r="W403" s="72"/>
      <c r="X403" s="72"/>
      <c r="Y403" s="72"/>
    </row>
    <row r="404" spans="1:25" ht="27.75" customHeight="1">
      <c r="A404" s="80" t="s">
        <v>58</v>
      </c>
      <c r="B404" s="81"/>
      <c r="C404" s="96"/>
      <c r="D404" s="82"/>
      <c r="E404" s="82">
        <f>SUM(E384:E403)</f>
        <v>0</v>
      </c>
      <c r="F404" s="83"/>
      <c r="G404" s="83"/>
      <c r="H404" s="83"/>
      <c r="I404" s="83"/>
      <c r="J404" s="83"/>
      <c r="K404" s="83"/>
      <c r="L404" s="83"/>
      <c r="M404" s="84"/>
      <c r="N404" s="71" t="str">
        <f t="shared" si="6"/>
        <v/>
      </c>
      <c r="O404" s="75"/>
      <c r="P404" s="72"/>
      <c r="Q404" s="72"/>
      <c r="R404" s="72"/>
      <c r="S404" s="72"/>
      <c r="T404" s="72"/>
      <c r="U404" s="72"/>
      <c r="V404" s="79"/>
      <c r="W404" s="72"/>
      <c r="X404" s="72"/>
      <c r="Y404" s="72"/>
    </row>
    <row r="405" spans="1:25" ht="27.75" customHeight="1">
      <c r="A405" s="93" t="str">
        <f>IF(ISBLANK(C405)," ",400-COUNTBLANK($C$6:C405))</f>
        <v xml:space="preserve"> </v>
      </c>
      <c r="B405" s="94"/>
      <c r="C405" s="94"/>
      <c r="D405" s="95"/>
      <c r="E405" s="95"/>
      <c r="F405" s="85"/>
      <c r="G405" s="85"/>
      <c r="H405" s="85"/>
      <c r="I405" s="85"/>
      <c r="J405" s="85"/>
      <c r="K405" s="85"/>
      <c r="L405" s="85"/>
      <c r="M405" s="86"/>
      <c r="N405" s="71" t="str">
        <f t="shared" si="6"/>
        <v/>
      </c>
      <c r="O405" s="72"/>
      <c r="P405" s="72"/>
      <c r="Q405" s="72"/>
      <c r="R405" s="72"/>
      <c r="S405" s="72"/>
      <c r="T405" s="72"/>
      <c r="U405" s="72"/>
      <c r="V405" s="72"/>
    </row>
    <row r="406" spans="1:25" ht="27.75" customHeight="1">
      <c r="A406" s="87" t="str">
        <f>IF(ISBLANK(C406)," ",401-COUNTBLANK($C$6:C406))</f>
        <v xml:space="preserve"> </v>
      </c>
      <c r="B406" s="88"/>
      <c r="C406" s="88"/>
      <c r="D406" s="89"/>
      <c r="E406" s="89"/>
      <c r="F406" s="73"/>
      <c r="G406" s="73"/>
      <c r="H406" s="73"/>
      <c r="I406" s="73"/>
      <c r="J406" s="73"/>
      <c r="K406" s="73"/>
      <c r="L406" s="73"/>
      <c r="M406" s="74"/>
      <c r="N406" s="71" t="str">
        <f t="shared" si="6"/>
        <v/>
      </c>
      <c r="O406" s="72"/>
      <c r="P406" s="72"/>
      <c r="Q406" s="72"/>
      <c r="R406" s="72"/>
      <c r="S406" s="72"/>
      <c r="T406" s="72"/>
      <c r="U406" s="72"/>
      <c r="V406" s="72"/>
    </row>
    <row r="407" spans="1:25" ht="27.75" customHeight="1">
      <c r="A407" s="87" t="str">
        <f>IF(ISBLANK(C407)," ",402-COUNTBLANK($C$6:C407))</f>
        <v xml:space="preserve"> </v>
      </c>
      <c r="B407" s="88"/>
      <c r="C407" s="88"/>
      <c r="D407" s="89"/>
      <c r="E407" s="89"/>
      <c r="F407" s="73"/>
      <c r="G407" s="73"/>
      <c r="H407" s="73"/>
      <c r="I407" s="73"/>
      <c r="J407" s="73"/>
      <c r="K407" s="73"/>
      <c r="L407" s="73"/>
      <c r="M407" s="74"/>
      <c r="N407" s="71" t="str">
        <f t="shared" si="6"/>
        <v/>
      </c>
      <c r="O407" s="72"/>
      <c r="P407" s="72"/>
      <c r="Q407" s="72"/>
      <c r="R407" s="72"/>
      <c r="S407" s="72"/>
      <c r="T407" s="72"/>
      <c r="U407" s="72"/>
      <c r="V407" s="72"/>
    </row>
    <row r="408" spans="1:25" ht="27.75" customHeight="1">
      <c r="A408" s="87" t="str">
        <f>IF(ISBLANK(C408)," ",403-COUNTBLANK($C$6:C408))</f>
        <v xml:space="preserve"> </v>
      </c>
      <c r="B408" s="88"/>
      <c r="C408" s="88"/>
      <c r="D408" s="89"/>
      <c r="E408" s="89"/>
      <c r="F408" s="73"/>
      <c r="G408" s="73"/>
      <c r="H408" s="73"/>
      <c r="I408" s="73"/>
      <c r="J408" s="73"/>
      <c r="K408" s="73"/>
      <c r="L408" s="73"/>
      <c r="M408" s="74"/>
      <c r="N408" s="71" t="str">
        <f t="shared" si="6"/>
        <v/>
      </c>
      <c r="O408" s="72"/>
      <c r="P408" s="72"/>
      <c r="Q408" s="72"/>
      <c r="R408" s="72"/>
      <c r="S408" s="72"/>
      <c r="T408" s="72"/>
      <c r="U408" s="72"/>
      <c r="V408" s="72"/>
    </row>
    <row r="409" spans="1:25" ht="27.75" customHeight="1">
      <c r="A409" s="87" t="str">
        <f>IF(ISBLANK(C409)," ",404-COUNTBLANK($C$6:C409))</f>
        <v xml:space="preserve"> </v>
      </c>
      <c r="B409" s="88"/>
      <c r="C409" s="88"/>
      <c r="D409" s="89"/>
      <c r="E409" s="89"/>
      <c r="F409" s="73"/>
      <c r="G409" s="73"/>
      <c r="H409" s="73"/>
      <c r="I409" s="73"/>
      <c r="J409" s="73"/>
      <c r="K409" s="73"/>
      <c r="L409" s="73"/>
      <c r="M409" s="74"/>
      <c r="N409" s="71" t="str">
        <f t="shared" si="6"/>
        <v/>
      </c>
      <c r="O409" s="72"/>
      <c r="P409" s="72"/>
      <c r="Q409" s="72"/>
      <c r="R409" s="72"/>
      <c r="S409" s="72"/>
      <c r="T409" s="72"/>
      <c r="U409" s="72"/>
      <c r="V409" s="72"/>
    </row>
    <row r="410" spans="1:25" ht="27.75" customHeight="1">
      <c r="A410" s="87" t="str">
        <f>IF(ISBLANK(C410)," ",405-COUNTBLANK($C$6:C410))</f>
        <v xml:space="preserve"> </v>
      </c>
      <c r="B410" s="88"/>
      <c r="C410" s="88"/>
      <c r="D410" s="89"/>
      <c r="E410" s="89"/>
      <c r="F410" s="73"/>
      <c r="G410" s="73"/>
      <c r="H410" s="73"/>
      <c r="I410" s="73"/>
      <c r="J410" s="73"/>
      <c r="K410" s="73"/>
      <c r="L410" s="73"/>
      <c r="M410" s="74"/>
      <c r="N410" s="71" t="str">
        <f t="shared" si="6"/>
        <v/>
      </c>
      <c r="O410" s="72"/>
      <c r="P410" s="72"/>
      <c r="Q410" s="72"/>
      <c r="R410" s="72"/>
      <c r="S410" s="72"/>
      <c r="T410" s="72"/>
      <c r="U410" s="72"/>
      <c r="V410" s="72"/>
    </row>
    <row r="411" spans="1:25" ht="27.75" customHeight="1">
      <c r="A411" s="87" t="str">
        <f>IF(ISBLANK(C411)," ",406-COUNTBLANK($C$6:C411))</f>
        <v xml:space="preserve"> </v>
      </c>
      <c r="B411" s="88"/>
      <c r="C411" s="88"/>
      <c r="D411" s="89"/>
      <c r="E411" s="89"/>
      <c r="F411" s="73"/>
      <c r="G411" s="73"/>
      <c r="H411" s="73"/>
      <c r="I411" s="73"/>
      <c r="J411" s="73"/>
      <c r="K411" s="73"/>
      <c r="L411" s="73"/>
      <c r="M411" s="74"/>
      <c r="N411" s="71" t="str">
        <f t="shared" si="6"/>
        <v/>
      </c>
      <c r="O411" s="72"/>
      <c r="P411" s="72"/>
      <c r="Q411" s="72"/>
      <c r="R411" s="72"/>
      <c r="S411" s="72"/>
      <c r="T411" s="72"/>
      <c r="U411" s="72"/>
      <c r="V411" s="72"/>
    </row>
    <row r="412" spans="1:25" ht="27.75" customHeight="1">
      <c r="A412" s="87" t="str">
        <f>IF(ISBLANK(C412)," ",407-COUNTBLANK($C$6:C412))</f>
        <v xml:space="preserve"> </v>
      </c>
      <c r="B412" s="88"/>
      <c r="C412" s="88"/>
      <c r="D412" s="89"/>
      <c r="E412" s="89"/>
      <c r="F412" s="73"/>
      <c r="G412" s="73"/>
      <c r="H412" s="73"/>
      <c r="I412" s="73"/>
      <c r="J412" s="73"/>
      <c r="K412" s="73"/>
      <c r="L412" s="73"/>
      <c r="M412" s="74"/>
      <c r="N412" s="71" t="str">
        <f t="shared" si="6"/>
        <v/>
      </c>
      <c r="O412" s="72"/>
      <c r="P412" s="72"/>
      <c r="Q412" s="72"/>
      <c r="R412" s="72"/>
      <c r="S412" s="72"/>
      <c r="T412" s="72"/>
      <c r="U412" s="72"/>
      <c r="V412" s="72"/>
    </row>
    <row r="413" spans="1:25" ht="27.75" customHeight="1">
      <c r="A413" s="87" t="str">
        <f>IF(ISBLANK(C413)," ",408-COUNTBLANK($C$6:C413))</f>
        <v xml:space="preserve"> </v>
      </c>
      <c r="B413" s="88"/>
      <c r="C413" s="88"/>
      <c r="D413" s="89"/>
      <c r="E413" s="89"/>
      <c r="F413" s="73"/>
      <c r="G413" s="73"/>
      <c r="H413" s="73"/>
      <c r="I413" s="73"/>
      <c r="J413" s="73"/>
      <c r="K413" s="73"/>
      <c r="L413" s="73"/>
      <c r="M413" s="74"/>
      <c r="N413" s="71" t="str">
        <f t="shared" si="6"/>
        <v/>
      </c>
      <c r="O413" s="72"/>
      <c r="P413" s="72"/>
      <c r="Q413" s="72"/>
      <c r="R413" s="72"/>
      <c r="S413" s="72"/>
      <c r="T413" s="72"/>
      <c r="U413" s="72"/>
      <c r="V413" s="72"/>
    </row>
    <row r="414" spans="1:25" ht="27.75" customHeight="1">
      <c r="A414" s="87" t="str">
        <f>IF(ISBLANK(C414)," ",409-COUNTBLANK($C$6:C414))</f>
        <v xml:space="preserve"> </v>
      </c>
      <c r="B414" s="88"/>
      <c r="C414" s="88"/>
      <c r="D414" s="89"/>
      <c r="E414" s="89"/>
      <c r="F414" s="73"/>
      <c r="G414" s="73"/>
      <c r="H414" s="73"/>
      <c r="I414" s="73"/>
      <c r="J414" s="73"/>
      <c r="K414" s="73"/>
      <c r="L414" s="73"/>
      <c r="M414" s="74"/>
      <c r="N414" s="71" t="str">
        <f t="shared" si="6"/>
        <v/>
      </c>
      <c r="O414" s="72"/>
      <c r="P414" s="72"/>
      <c r="Q414" s="72"/>
      <c r="R414" s="72"/>
      <c r="S414" s="72"/>
      <c r="T414" s="72"/>
      <c r="U414" s="72"/>
      <c r="V414" s="72"/>
    </row>
    <row r="415" spans="1:25" ht="27.75" customHeight="1">
      <c r="A415" s="87" t="str">
        <f>IF(ISBLANK(C415)," ",410-COUNTBLANK($C$6:C415))</f>
        <v xml:space="preserve"> </v>
      </c>
      <c r="B415" s="88"/>
      <c r="C415" s="88"/>
      <c r="D415" s="89"/>
      <c r="E415" s="89"/>
      <c r="F415" s="73"/>
      <c r="G415" s="73"/>
      <c r="H415" s="73"/>
      <c r="I415" s="73"/>
      <c r="J415" s="73"/>
      <c r="K415" s="73"/>
      <c r="L415" s="73"/>
      <c r="M415" s="74"/>
      <c r="N415" s="71" t="str">
        <f t="shared" si="6"/>
        <v/>
      </c>
      <c r="O415" s="72"/>
      <c r="P415" s="72"/>
      <c r="Q415" s="72"/>
      <c r="R415" s="72"/>
      <c r="S415" s="72"/>
      <c r="T415" s="72"/>
      <c r="U415" s="72"/>
      <c r="V415" s="72"/>
    </row>
    <row r="416" spans="1:25" ht="27.75" customHeight="1">
      <c r="A416" s="87" t="str">
        <f>IF(ISBLANK(C416)," ",411-COUNTBLANK($C$6:C416))</f>
        <v xml:space="preserve"> </v>
      </c>
      <c r="B416" s="88"/>
      <c r="C416" s="88"/>
      <c r="D416" s="89"/>
      <c r="E416" s="89"/>
      <c r="F416" s="73"/>
      <c r="G416" s="73"/>
      <c r="H416" s="73"/>
      <c r="I416" s="73"/>
      <c r="J416" s="73"/>
      <c r="K416" s="73"/>
      <c r="L416" s="73"/>
      <c r="M416" s="74"/>
      <c r="N416" s="71" t="str">
        <f t="shared" si="6"/>
        <v/>
      </c>
      <c r="O416" s="72"/>
      <c r="P416" s="72"/>
      <c r="Q416" s="72"/>
      <c r="R416" s="72"/>
      <c r="S416" s="72"/>
      <c r="T416" s="72"/>
      <c r="U416" s="72"/>
      <c r="V416" s="72"/>
    </row>
    <row r="417" spans="1:25" ht="27.75" customHeight="1">
      <c r="A417" s="87" t="str">
        <f>IF(ISBLANK(C417)," ",412-COUNTBLANK($C$6:C417))</f>
        <v xml:space="preserve"> </v>
      </c>
      <c r="B417" s="88"/>
      <c r="C417" s="88"/>
      <c r="D417" s="89"/>
      <c r="E417" s="89"/>
      <c r="F417" s="73"/>
      <c r="G417" s="73"/>
      <c r="H417" s="73"/>
      <c r="I417" s="73"/>
      <c r="J417" s="73"/>
      <c r="K417" s="73"/>
      <c r="L417" s="73"/>
      <c r="M417" s="74"/>
      <c r="N417" s="71" t="str">
        <f t="shared" si="6"/>
        <v/>
      </c>
      <c r="O417" s="72"/>
      <c r="P417" s="72"/>
      <c r="Q417" s="72"/>
      <c r="R417" s="72"/>
      <c r="S417" s="72"/>
      <c r="T417" s="72"/>
      <c r="U417" s="72"/>
      <c r="V417" s="72"/>
    </row>
    <row r="418" spans="1:25" ht="27.75" customHeight="1">
      <c r="A418" s="87" t="str">
        <f>IF(ISBLANK(C418)," ",413-COUNTBLANK($C$6:C418))</f>
        <v xml:space="preserve"> </v>
      </c>
      <c r="B418" s="88"/>
      <c r="C418" s="88"/>
      <c r="D418" s="89"/>
      <c r="E418" s="89"/>
      <c r="F418" s="73"/>
      <c r="G418" s="73"/>
      <c r="H418" s="73"/>
      <c r="I418" s="73"/>
      <c r="J418" s="73"/>
      <c r="K418" s="73"/>
      <c r="L418" s="73"/>
      <c r="M418" s="74"/>
      <c r="N418" s="71" t="str">
        <f t="shared" si="6"/>
        <v/>
      </c>
      <c r="O418" s="72"/>
      <c r="P418" s="72"/>
      <c r="Q418" s="72"/>
      <c r="R418" s="72"/>
      <c r="S418" s="72"/>
      <c r="T418" s="72"/>
      <c r="U418" s="72"/>
      <c r="V418" s="72"/>
    </row>
    <row r="419" spans="1:25" ht="27.75" customHeight="1">
      <c r="A419" s="87" t="str">
        <f>IF(ISBLANK(C419)," ",414-COUNTBLANK($C$6:C419))</f>
        <v xml:space="preserve"> </v>
      </c>
      <c r="B419" s="88"/>
      <c r="C419" s="88"/>
      <c r="D419" s="89"/>
      <c r="E419" s="89"/>
      <c r="F419" s="73"/>
      <c r="G419" s="73"/>
      <c r="H419" s="73"/>
      <c r="I419" s="73"/>
      <c r="J419" s="73"/>
      <c r="K419" s="73"/>
      <c r="L419" s="73"/>
      <c r="M419" s="74"/>
      <c r="N419" s="71" t="str">
        <f t="shared" si="6"/>
        <v/>
      </c>
      <c r="O419" s="72"/>
      <c r="P419" s="72"/>
      <c r="Q419" s="72"/>
      <c r="R419" s="72"/>
      <c r="S419" s="72"/>
      <c r="T419" s="72"/>
      <c r="U419" s="72"/>
      <c r="V419" s="72"/>
    </row>
    <row r="420" spans="1:25" ht="27.75" customHeight="1">
      <c r="A420" s="87" t="str">
        <f>IF(ISBLANK(C420)," ",415-COUNTBLANK($C$6:C420))</f>
        <v xml:space="preserve"> </v>
      </c>
      <c r="B420" s="88"/>
      <c r="C420" s="88"/>
      <c r="D420" s="89"/>
      <c r="E420" s="89"/>
      <c r="F420" s="73"/>
      <c r="G420" s="73"/>
      <c r="H420" s="73"/>
      <c r="I420" s="73"/>
      <c r="J420" s="73"/>
      <c r="K420" s="73"/>
      <c r="L420" s="73"/>
      <c r="M420" s="74"/>
      <c r="N420" s="71" t="str">
        <f t="shared" si="6"/>
        <v/>
      </c>
      <c r="O420" s="75"/>
      <c r="P420" s="72"/>
      <c r="Q420" s="72"/>
      <c r="R420" s="72"/>
      <c r="S420" s="72"/>
      <c r="T420" s="72"/>
      <c r="U420" s="72"/>
      <c r="V420" s="76"/>
    </row>
    <row r="421" spans="1:25" ht="27.75" customHeight="1">
      <c r="A421" s="87" t="str">
        <f>IF(ISBLANK(C421)," ",416-COUNTBLANK($C$6:C421))</f>
        <v xml:space="preserve"> </v>
      </c>
      <c r="B421" s="88"/>
      <c r="C421" s="88"/>
      <c r="D421" s="89"/>
      <c r="E421" s="89"/>
      <c r="F421" s="73"/>
      <c r="G421" s="73"/>
      <c r="H421" s="73"/>
      <c r="I421" s="73"/>
      <c r="J421" s="73"/>
      <c r="K421" s="73"/>
      <c r="L421" s="73"/>
      <c r="M421" s="74"/>
      <c r="N421" s="71" t="str">
        <f t="shared" si="6"/>
        <v/>
      </c>
      <c r="O421" s="75"/>
      <c r="P421" s="72"/>
      <c r="Q421" s="72"/>
      <c r="R421" s="72"/>
      <c r="S421" s="72"/>
      <c r="T421" s="72"/>
      <c r="U421" s="72"/>
      <c r="V421" s="76"/>
    </row>
    <row r="422" spans="1:25" ht="27.75" customHeight="1">
      <c r="A422" s="87" t="str">
        <f>IF(ISBLANK(C422)," ",417-COUNTBLANK($C$6:C422))</f>
        <v xml:space="preserve"> </v>
      </c>
      <c r="B422" s="88"/>
      <c r="C422" s="88"/>
      <c r="D422" s="89"/>
      <c r="E422" s="89"/>
      <c r="F422" s="73"/>
      <c r="G422" s="73"/>
      <c r="H422" s="73"/>
      <c r="I422" s="73"/>
      <c r="J422" s="73"/>
      <c r="K422" s="73"/>
      <c r="L422" s="73"/>
      <c r="M422" s="74"/>
      <c r="N422" s="71" t="str">
        <f t="shared" si="6"/>
        <v/>
      </c>
      <c r="O422" s="75"/>
      <c r="P422" s="72"/>
      <c r="Q422" s="72"/>
      <c r="R422" s="72"/>
      <c r="S422" s="72"/>
      <c r="T422" s="72"/>
      <c r="U422" s="72"/>
      <c r="V422" s="76"/>
    </row>
    <row r="423" spans="1:25" ht="27.75" customHeight="1">
      <c r="A423" s="87" t="str">
        <f>IF(ISBLANK(C423)," ",418-COUNTBLANK($C$6:C423))</f>
        <v xml:space="preserve"> </v>
      </c>
      <c r="B423" s="88"/>
      <c r="C423" s="88"/>
      <c r="D423" s="89"/>
      <c r="E423" s="89"/>
      <c r="F423" s="73"/>
      <c r="G423" s="73"/>
      <c r="H423" s="73"/>
      <c r="I423" s="73"/>
      <c r="J423" s="73"/>
      <c r="K423" s="73"/>
      <c r="L423" s="73"/>
      <c r="M423" s="74"/>
      <c r="N423" s="71" t="str">
        <f t="shared" si="6"/>
        <v/>
      </c>
      <c r="O423" s="75"/>
      <c r="P423" s="72"/>
      <c r="Q423" s="72"/>
      <c r="R423" s="72"/>
      <c r="S423" s="72"/>
      <c r="T423" s="72"/>
      <c r="U423" s="72"/>
      <c r="V423" s="76"/>
    </row>
    <row r="424" spans="1:25" ht="27.75" customHeight="1">
      <c r="A424" s="87" t="str">
        <f>IF(ISBLANK(C424)," ",419-COUNTBLANK($C$6:C424))</f>
        <v xml:space="preserve"> </v>
      </c>
      <c r="B424" s="88"/>
      <c r="C424" s="88"/>
      <c r="D424" s="89"/>
      <c r="E424" s="89"/>
      <c r="F424" s="73"/>
      <c r="G424" s="73"/>
      <c r="H424" s="73"/>
      <c r="I424" s="73"/>
      <c r="J424" s="73"/>
      <c r="K424" s="73"/>
      <c r="L424" s="73"/>
      <c r="M424" s="74"/>
      <c r="N424" s="71" t="str">
        <f t="shared" si="6"/>
        <v/>
      </c>
      <c r="O424" s="72"/>
      <c r="P424" s="72"/>
      <c r="Q424" s="72"/>
      <c r="R424" s="72"/>
      <c r="S424" s="72"/>
      <c r="T424" s="72"/>
      <c r="U424" s="72"/>
      <c r="V424" s="79"/>
      <c r="W424" s="72"/>
      <c r="X424" s="72"/>
      <c r="Y424" s="72"/>
    </row>
    <row r="425" spans="1:25" ht="27.75" customHeight="1">
      <c r="A425" s="80" t="s">
        <v>58</v>
      </c>
      <c r="B425" s="81"/>
      <c r="C425" s="96"/>
      <c r="D425" s="82"/>
      <c r="E425" s="82">
        <f>SUM(E405:E424)</f>
        <v>0</v>
      </c>
      <c r="F425" s="83"/>
      <c r="G425" s="83"/>
      <c r="H425" s="83"/>
      <c r="I425" s="83"/>
      <c r="J425" s="83"/>
      <c r="K425" s="83"/>
      <c r="L425" s="83"/>
      <c r="M425" s="84"/>
      <c r="N425" s="71" t="str">
        <f t="shared" si="6"/>
        <v/>
      </c>
      <c r="O425" s="75"/>
      <c r="P425" s="72"/>
      <c r="Q425" s="72"/>
      <c r="R425" s="72"/>
      <c r="S425" s="72"/>
      <c r="T425" s="72"/>
      <c r="U425" s="72"/>
      <c r="V425" s="79"/>
      <c r="W425" s="72"/>
      <c r="X425" s="72"/>
      <c r="Y425" s="72"/>
    </row>
    <row r="426" spans="1:25" ht="27.75" customHeight="1">
      <c r="A426" s="93" t="str">
        <f>IF(ISBLANK(C426)," ",421-COUNTBLANK($C$6:C426))</f>
        <v xml:space="preserve"> </v>
      </c>
      <c r="B426" s="94"/>
      <c r="C426" s="94"/>
      <c r="D426" s="95"/>
      <c r="E426" s="95"/>
      <c r="F426" s="85"/>
      <c r="G426" s="85"/>
      <c r="H426" s="85"/>
      <c r="I426" s="85"/>
      <c r="J426" s="85"/>
      <c r="K426" s="85"/>
      <c r="L426" s="85"/>
      <c r="M426" s="86"/>
      <c r="N426" s="71" t="str">
        <f t="shared" si="6"/>
        <v/>
      </c>
      <c r="O426" s="72"/>
      <c r="P426" s="72"/>
      <c r="Q426" s="72"/>
      <c r="R426" s="72"/>
      <c r="S426" s="72"/>
      <c r="T426" s="72"/>
      <c r="U426" s="72"/>
      <c r="V426" s="72"/>
    </row>
    <row r="427" spans="1:25" ht="27.75" customHeight="1">
      <c r="A427" s="87" t="str">
        <f>IF(ISBLANK(C427)," ",422-COUNTBLANK($C$6:C427))</f>
        <v xml:space="preserve"> </v>
      </c>
      <c r="B427" s="88"/>
      <c r="C427" s="88"/>
      <c r="D427" s="89"/>
      <c r="E427" s="89"/>
      <c r="F427" s="73"/>
      <c r="G427" s="73"/>
      <c r="H427" s="73"/>
      <c r="I427" s="73"/>
      <c r="J427" s="73"/>
      <c r="K427" s="73"/>
      <c r="L427" s="73"/>
      <c r="M427" s="74"/>
      <c r="N427" s="71" t="str">
        <f t="shared" si="6"/>
        <v/>
      </c>
      <c r="O427" s="72"/>
      <c r="P427" s="72"/>
      <c r="Q427" s="72"/>
      <c r="R427" s="72"/>
      <c r="S427" s="72"/>
      <c r="T427" s="72"/>
      <c r="U427" s="72"/>
      <c r="V427" s="72"/>
    </row>
    <row r="428" spans="1:25" ht="27.75" customHeight="1">
      <c r="A428" s="87" t="str">
        <f>IF(ISBLANK(C428)," ",423-COUNTBLANK($C$6:C428))</f>
        <v xml:space="preserve"> </v>
      </c>
      <c r="B428" s="88"/>
      <c r="C428" s="88"/>
      <c r="D428" s="89"/>
      <c r="E428" s="89"/>
      <c r="F428" s="73"/>
      <c r="G428" s="73"/>
      <c r="H428" s="73"/>
      <c r="I428" s="73"/>
      <c r="J428" s="73"/>
      <c r="K428" s="73"/>
      <c r="L428" s="73"/>
      <c r="M428" s="74"/>
      <c r="N428" s="71" t="str">
        <f t="shared" si="6"/>
        <v/>
      </c>
      <c r="O428" s="72"/>
      <c r="P428" s="72"/>
      <c r="Q428" s="72"/>
      <c r="R428" s="72"/>
      <c r="S428" s="72"/>
      <c r="T428" s="72"/>
      <c r="U428" s="72"/>
      <c r="V428" s="72"/>
    </row>
    <row r="429" spans="1:25" ht="27.75" customHeight="1">
      <c r="A429" s="87" t="str">
        <f>IF(ISBLANK(C429)," ",424-COUNTBLANK($C$6:C429))</f>
        <v xml:space="preserve"> </v>
      </c>
      <c r="B429" s="88"/>
      <c r="C429" s="88"/>
      <c r="D429" s="89"/>
      <c r="E429" s="89"/>
      <c r="F429" s="73"/>
      <c r="G429" s="73"/>
      <c r="H429" s="73"/>
      <c r="I429" s="73"/>
      <c r="J429" s="73"/>
      <c r="K429" s="73"/>
      <c r="L429" s="73"/>
      <c r="M429" s="74"/>
      <c r="N429" s="71" t="str">
        <f t="shared" si="6"/>
        <v/>
      </c>
      <c r="O429" s="72"/>
      <c r="P429" s="72"/>
      <c r="Q429" s="72"/>
      <c r="R429" s="72"/>
      <c r="S429" s="72"/>
      <c r="T429" s="72"/>
      <c r="U429" s="72"/>
      <c r="V429" s="72"/>
    </row>
    <row r="430" spans="1:25" ht="27.75" customHeight="1">
      <c r="A430" s="87" t="str">
        <f>IF(ISBLANK(C430)," ",425-COUNTBLANK($C$6:C430))</f>
        <v xml:space="preserve"> </v>
      </c>
      <c r="B430" s="88"/>
      <c r="C430" s="88"/>
      <c r="D430" s="89"/>
      <c r="E430" s="89"/>
      <c r="F430" s="73"/>
      <c r="G430" s="73"/>
      <c r="H430" s="73"/>
      <c r="I430" s="73"/>
      <c r="J430" s="73"/>
      <c r="K430" s="73"/>
      <c r="L430" s="73"/>
      <c r="M430" s="74"/>
      <c r="N430" s="71" t="str">
        <f t="shared" si="6"/>
        <v/>
      </c>
      <c r="O430" s="72"/>
      <c r="P430" s="72"/>
      <c r="Q430" s="72"/>
      <c r="R430" s="72"/>
      <c r="S430" s="72"/>
      <c r="T430" s="72"/>
      <c r="U430" s="72"/>
      <c r="V430" s="72"/>
    </row>
    <row r="431" spans="1:25" ht="27.75" customHeight="1">
      <c r="A431" s="87" t="str">
        <f>IF(ISBLANK(C431)," ",426-COUNTBLANK($C$6:C431))</f>
        <v xml:space="preserve"> </v>
      </c>
      <c r="B431" s="88"/>
      <c r="C431" s="88"/>
      <c r="D431" s="89"/>
      <c r="E431" s="89"/>
      <c r="F431" s="73"/>
      <c r="G431" s="73"/>
      <c r="H431" s="73"/>
      <c r="I431" s="73"/>
      <c r="J431" s="73"/>
      <c r="K431" s="73"/>
      <c r="L431" s="73"/>
      <c r="M431" s="74"/>
      <c r="N431" s="71" t="str">
        <f t="shared" si="6"/>
        <v/>
      </c>
      <c r="O431" s="72"/>
      <c r="P431" s="72"/>
      <c r="Q431" s="72"/>
      <c r="R431" s="72"/>
      <c r="S431" s="72"/>
      <c r="T431" s="72"/>
      <c r="U431" s="72"/>
      <c r="V431" s="72"/>
    </row>
    <row r="432" spans="1:25" ht="27.75" customHeight="1">
      <c r="A432" s="87" t="str">
        <f>IF(ISBLANK(C432)," ",427-COUNTBLANK($C$6:C432))</f>
        <v xml:space="preserve"> </v>
      </c>
      <c r="B432" s="88"/>
      <c r="C432" s="88"/>
      <c r="D432" s="89"/>
      <c r="E432" s="89"/>
      <c r="F432" s="73"/>
      <c r="G432" s="73"/>
      <c r="H432" s="73"/>
      <c r="I432" s="73"/>
      <c r="J432" s="73"/>
      <c r="K432" s="73"/>
      <c r="L432" s="73"/>
      <c r="M432" s="74"/>
      <c r="N432" s="71" t="str">
        <f t="shared" si="6"/>
        <v/>
      </c>
      <c r="O432" s="72"/>
      <c r="P432" s="72"/>
      <c r="Q432" s="72"/>
      <c r="R432" s="72"/>
      <c r="S432" s="72"/>
      <c r="T432" s="72"/>
      <c r="U432" s="72"/>
      <c r="V432" s="72"/>
    </row>
    <row r="433" spans="1:25" ht="27.75" customHeight="1">
      <c r="A433" s="87" t="str">
        <f>IF(ISBLANK(C433)," ",428-COUNTBLANK($C$6:C433))</f>
        <v xml:space="preserve"> </v>
      </c>
      <c r="B433" s="88"/>
      <c r="C433" s="88"/>
      <c r="D433" s="89"/>
      <c r="E433" s="89"/>
      <c r="F433" s="73"/>
      <c r="G433" s="73"/>
      <c r="H433" s="73"/>
      <c r="I433" s="73"/>
      <c r="J433" s="73"/>
      <c r="K433" s="73"/>
      <c r="L433" s="73"/>
      <c r="M433" s="74"/>
      <c r="N433" s="71" t="str">
        <f t="shared" si="6"/>
        <v/>
      </c>
      <c r="O433" s="72"/>
      <c r="P433" s="72"/>
      <c r="Q433" s="72"/>
      <c r="R433" s="72"/>
      <c r="S433" s="72"/>
      <c r="T433" s="72"/>
      <c r="U433" s="72"/>
      <c r="V433" s="72"/>
    </row>
    <row r="434" spans="1:25" ht="27.75" customHeight="1">
      <c r="A434" s="87" t="str">
        <f>IF(ISBLANK(C434)," ",429-COUNTBLANK($C$6:C434))</f>
        <v xml:space="preserve"> </v>
      </c>
      <c r="B434" s="88"/>
      <c r="C434" s="88"/>
      <c r="D434" s="89"/>
      <c r="E434" s="89"/>
      <c r="F434" s="73"/>
      <c r="G434" s="73"/>
      <c r="H434" s="73"/>
      <c r="I434" s="73"/>
      <c r="J434" s="73"/>
      <c r="K434" s="73"/>
      <c r="L434" s="73"/>
      <c r="M434" s="74"/>
      <c r="N434" s="71" t="str">
        <f t="shared" si="6"/>
        <v/>
      </c>
      <c r="O434" s="72"/>
      <c r="P434" s="72"/>
      <c r="Q434" s="72"/>
      <c r="R434" s="72"/>
      <c r="S434" s="72"/>
      <c r="T434" s="72"/>
      <c r="U434" s="72"/>
      <c r="V434" s="72"/>
    </row>
    <row r="435" spans="1:25" ht="27.75" customHeight="1">
      <c r="A435" s="87" t="str">
        <f>IF(ISBLANK(C435)," ",430-COUNTBLANK($C$6:C435))</f>
        <v xml:space="preserve"> </v>
      </c>
      <c r="B435" s="88"/>
      <c r="C435" s="88"/>
      <c r="D435" s="89"/>
      <c r="E435" s="89"/>
      <c r="F435" s="73"/>
      <c r="G435" s="73"/>
      <c r="H435" s="73"/>
      <c r="I435" s="73"/>
      <c r="J435" s="73"/>
      <c r="K435" s="73"/>
      <c r="L435" s="73"/>
      <c r="M435" s="74"/>
      <c r="N435" s="71" t="str">
        <f t="shared" si="6"/>
        <v/>
      </c>
      <c r="O435" s="72"/>
      <c r="P435" s="72"/>
      <c r="Q435" s="72"/>
      <c r="R435" s="72"/>
      <c r="S435" s="72"/>
      <c r="T435" s="72"/>
      <c r="U435" s="72"/>
      <c r="V435" s="72"/>
    </row>
    <row r="436" spans="1:25" ht="27.75" customHeight="1">
      <c r="A436" s="87" t="str">
        <f>IF(ISBLANK(C436)," ",431-COUNTBLANK($C$6:C436))</f>
        <v xml:space="preserve"> </v>
      </c>
      <c r="B436" s="88"/>
      <c r="C436" s="88"/>
      <c r="D436" s="89"/>
      <c r="E436" s="89"/>
      <c r="F436" s="73"/>
      <c r="G436" s="73"/>
      <c r="H436" s="73"/>
      <c r="I436" s="73"/>
      <c r="J436" s="73"/>
      <c r="K436" s="73"/>
      <c r="L436" s="73"/>
      <c r="M436" s="74"/>
      <c r="N436" s="71" t="str">
        <f t="shared" si="6"/>
        <v/>
      </c>
      <c r="O436" s="72"/>
      <c r="P436" s="72"/>
      <c r="Q436" s="72"/>
      <c r="R436" s="72"/>
      <c r="S436" s="72"/>
      <c r="T436" s="72"/>
      <c r="U436" s="72"/>
      <c r="V436" s="72"/>
    </row>
    <row r="437" spans="1:25" ht="27.75" customHeight="1">
      <c r="A437" s="87" t="str">
        <f>IF(ISBLANK(C437)," ",432-COUNTBLANK($C$6:C437))</f>
        <v xml:space="preserve"> </v>
      </c>
      <c r="B437" s="88"/>
      <c r="C437" s="88"/>
      <c r="D437" s="89"/>
      <c r="E437" s="89"/>
      <c r="F437" s="73"/>
      <c r="G437" s="73"/>
      <c r="H437" s="73"/>
      <c r="I437" s="73"/>
      <c r="J437" s="73"/>
      <c r="K437" s="73"/>
      <c r="L437" s="73"/>
      <c r="M437" s="74"/>
      <c r="N437" s="71" t="str">
        <f t="shared" si="6"/>
        <v/>
      </c>
      <c r="O437" s="72"/>
      <c r="P437" s="72"/>
      <c r="Q437" s="72"/>
      <c r="R437" s="72"/>
      <c r="S437" s="72"/>
      <c r="T437" s="72"/>
      <c r="U437" s="72"/>
      <c r="V437" s="72"/>
    </row>
    <row r="438" spans="1:25" ht="27.75" customHeight="1">
      <c r="A438" s="87" t="str">
        <f>IF(ISBLANK(C438)," ",433-COUNTBLANK($C$6:C438))</f>
        <v xml:space="preserve"> </v>
      </c>
      <c r="B438" s="88"/>
      <c r="C438" s="88"/>
      <c r="D438" s="89"/>
      <c r="E438" s="89"/>
      <c r="F438" s="73"/>
      <c r="G438" s="73"/>
      <c r="H438" s="73"/>
      <c r="I438" s="73"/>
      <c r="J438" s="73"/>
      <c r="K438" s="73"/>
      <c r="L438" s="73"/>
      <c r="M438" s="74"/>
      <c r="N438" s="71" t="str">
        <f t="shared" si="6"/>
        <v/>
      </c>
      <c r="O438" s="72"/>
      <c r="P438" s="72"/>
      <c r="Q438" s="72"/>
      <c r="R438" s="72"/>
      <c r="S438" s="72"/>
      <c r="T438" s="72"/>
      <c r="U438" s="72"/>
      <c r="V438" s="72"/>
    </row>
    <row r="439" spans="1:25" ht="27.75" customHeight="1">
      <c r="A439" s="87" t="str">
        <f>IF(ISBLANK(C439)," ",434-COUNTBLANK($C$6:C439))</f>
        <v xml:space="preserve"> </v>
      </c>
      <c r="B439" s="88"/>
      <c r="C439" s="88"/>
      <c r="D439" s="89"/>
      <c r="E439" s="89"/>
      <c r="F439" s="73"/>
      <c r="G439" s="73"/>
      <c r="H439" s="73"/>
      <c r="I439" s="73"/>
      <c r="J439" s="73"/>
      <c r="K439" s="73"/>
      <c r="L439" s="73"/>
      <c r="M439" s="74"/>
      <c r="N439" s="71" t="str">
        <f t="shared" si="6"/>
        <v/>
      </c>
      <c r="O439" s="72"/>
      <c r="P439" s="72"/>
      <c r="Q439" s="72"/>
      <c r="R439" s="72"/>
      <c r="S439" s="72"/>
      <c r="T439" s="72"/>
      <c r="U439" s="72"/>
      <c r="V439" s="72"/>
    </row>
    <row r="440" spans="1:25" ht="27.75" customHeight="1">
      <c r="A440" s="87" t="str">
        <f>IF(ISBLANK(C440)," ",435-COUNTBLANK($C$6:C440))</f>
        <v xml:space="preserve"> </v>
      </c>
      <c r="B440" s="88"/>
      <c r="C440" s="88"/>
      <c r="D440" s="89"/>
      <c r="E440" s="89"/>
      <c r="F440" s="73"/>
      <c r="G440" s="73"/>
      <c r="H440" s="73"/>
      <c r="I440" s="73"/>
      <c r="J440" s="73"/>
      <c r="K440" s="73"/>
      <c r="L440" s="73"/>
      <c r="M440" s="74"/>
      <c r="N440" s="71" t="str">
        <f t="shared" si="6"/>
        <v/>
      </c>
      <c r="O440" s="72"/>
      <c r="P440" s="72"/>
      <c r="Q440" s="72"/>
      <c r="R440" s="72"/>
      <c r="S440" s="72"/>
      <c r="T440" s="72"/>
      <c r="U440" s="72"/>
      <c r="V440" s="72"/>
    </row>
    <row r="441" spans="1:25" ht="27.75" customHeight="1">
      <c r="A441" s="87" t="str">
        <f>IF(ISBLANK(C441)," ",436-COUNTBLANK($C$6:C441))</f>
        <v xml:space="preserve"> </v>
      </c>
      <c r="B441" s="88"/>
      <c r="C441" s="88"/>
      <c r="D441" s="89"/>
      <c r="E441" s="89"/>
      <c r="F441" s="73"/>
      <c r="G441" s="73"/>
      <c r="H441" s="73"/>
      <c r="I441" s="73"/>
      <c r="J441" s="73"/>
      <c r="K441" s="73"/>
      <c r="L441" s="73"/>
      <c r="M441" s="74"/>
      <c r="N441" s="71" t="str">
        <f t="shared" si="6"/>
        <v/>
      </c>
      <c r="O441" s="75"/>
      <c r="P441" s="72"/>
      <c r="Q441" s="72"/>
      <c r="R441" s="72"/>
      <c r="S441" s="72"/>
      <c r="T441" s="72"/>
      <c r="U441" s="72"/>
      <c r="V441" s="76"/>
    </row>
    <row r="442" spans="1:25" ht="27.75" customHeight="1">
      <c r="A442" s="87" t="str">
        <f>IF(ISBLANK(C442)," ",437-COUNTBLANK($C$6:C442))</f>
        <v xml:space="preserve"> </v>
      </c>
      <c r="B442" s="88"/>
      <c r="C442" s="88"/>
      <c r="D442" s="89"/>
      <c r="E442" s="89"/>
      <c r="F442" s="73"/>
      <c r="G442" s="73"/>
      <c r="H442" s="73"/>
      <c r="I442" s="73"/>
      <c r="J442" s="73"/>
      <c r="K442" s="73"/>
      <c r="L442" s="73"/>
      <c r="M442" s="74"/>
      <c r="N442" s="71" t="str">
        <f t="shared" si="6"/>
        <v/>
      </c>
      <c r="O442" s="75"/>
      <c r="P442" s="72"/>
      <c r="Q442" s="72"/>
      <c r="R442" s="72"/>
      <c r="S442" s="72"/>
      <c r="T442" s="72"/>
      <c r="U442" s="72"/>
      <c r="V442" s="76"/>
    </row>
    <row r="443" spans="1:25" ht="27.75" customHeight="1">
      <c r="A443" s="87" t="str">
        <f>IF(ISBLANK(C443)," ",438-COUNTBLANK($C$6:C443))</f>
        <v xml:space="preserve"> </v>
      </c>
      <c r="B443" s="88"/>
      <c r="C443" s="88"/>
      <c r="D443" s="89"/>
      <c r="E443" s="89"/>
      <c r="F443" s="73"/>
      <c r="G443" s="73"/>
      <c r="H443" s="73"/>
      <c r="I443" s="73"/>
      <c r="J443" s="73"/>
      <c r="K443" s="73"/>
      <c r="L443" s="73"/>
      <c r="M443" s="74"/>
      <c r="N443" s="71" t="str">
        <f t="shared" si="6"/>
        <v/>
      </c>
      <c r="O443" s="75"/>
      <c r="P443" s="72"/>
      <c r="Q443" s="72"/>
      <c r="R443" s="72"/>
      <c r="S443" s="72"/>
      <c r="T443" s="72"/>
      <c r="U443" s="72"/>
      <c r="V443" s="76"/>
    </row>
    <row r="444" spans="1:25" ht="27.75" customHeight="1">
      <c r="A444" s="87" t="str">
        <f>IF(ISBLANK(C444)," ",439-COUNTBLANK($C$6:C444))</f>
        <v xml:space="preserve"> </v>
      </c>
      <c r="B444" s="88"/>
      <c r="C444" s="88"/>
      <c r="D444" s="89"/>
      <c r="E444" s="89"/>
      <c r="F444" s="73"/>
      <c r="G444" s="73"/>
      <c r="H444" s="73"/>
      <c r="I444" s="73"/>
      <c r="J444" s="73"/>
      <c r="K444" s="73"/>
      <c r="L444" s="73"/>
      <c r="M444" s="74"/>
      <c r="N444" s="71" t="str">
        <f t="shared" si="6"/>
        <v/>
      </c>
      <c r="O444" s="75"/>
      <c r="P444" s="72"/>
      <c r="Q444" s="72"/>
      <c r="R444" s="72"/>
      <c r="S444" s="72"/>
      <c r="T444" s="72"/>
      <c r="U444" s="72"/>
      <c r="V444" s="76"/>
    </row>
    <row r="445" spans="1:25" ht="27.75" customHeight="1">
      <c r="A445" s="87" t="str">
        <f>IF(ISBLANK(C445)," ",440-COUNTBLANK($C$6:C445))</f>
        <v xml:space="preserve"> </v>
      </c>
      <c r="B445" s="88"/>
      <c r="C445" s="88"/>
      <c r="D445" s="89"/>
      <c r="E445" s="89"/>
      <c r="F445" s="73"/>
      <c r="G445" s="73"/>
      <c r="H445" s="73"/>
      <c r="I445" s="73"/>
      <c r="J445" s="73"/>
      <c r="K445" s="73"/>
      <c r="L445" s="73"/>
      <c r="M445" s="74"/>
      <c r="N445" s="71" t="str">
        <f t="shared" si="6"/>
        <v/>
      </c>
      <c r="O445" s="72"/>
      <c r="P445" s="72"/>
      <c r="Q445" s="72"/>
      <c r="R445" s="72"/>
      <c r="S445" s="72"/>
      <c r="T445" s="72"/>
      <c r="U445" s="72"/>
      <c r="V445" s="79"/>
      <c r="W445" s="72"/>
      <c r="X445" s="72"/>
      <c r="Y445" s="72"/>
    </row>
    <row r="446" spans="1:25" ht="27.75" customHeight="1">
      <c r="A446" s="80" t="s">
        <v>58</v>
      </c>
      <c r="B446" s="81"/>
      <c r="C446" s="96"/>
      <c r="D446" s="82"/>
      <c r="E446" s="82">
        <f>SUM(E426:E445)</f>
        <v>0</v>
      </c>
      <c r="F446" s="83"/>
      <c r="G446" s="83"/>
      <c r="H446" s="83"/>
      <c r="I446" s="83"/>
      <c r="J446" s="83"/>
      <c r="K446" s="83"/>
      <c r="L446" s="83"/>
      <c r="M446" s="84"/>
      <c r="N446" s="71" t="str">
        <f t="shared" si="6"/>
        <v/>
      </c>
      <c r="O446" s="75"/>
      <c r="P446" s="72"/>
      <c r="Q446" s="72"/>
      <c r="R446" s="72"/>
      <c r="S446" s="72"/>
      <c r="T446" s="72"/>
      <c r="U446" s="72"/>
      <c r="V446" s="79"/>
      <c r="W446" s="72"/>
      <c r="X446" s="72"/>
      <c r="Y446" s="72"/>
    </row>
    <row r="447" spans="1:25" ht="27.75" customHeight="1">
      <c r="A447" s="93" t="str">
        <f>IF(ISBLANK(C447)," ",442-COUNTBLANK($C$6:C447))</f>
        <v xml:space="preserve"> </v>
      </c>
      <c r="B447" s="94"/>
      <c r="C447" s="94"/>
      <c r="D447" s="95"/>
      <c r="E447" s="95"/>
      <c r="F447" s="85"/>
      <c r="G447" s="85"/>
      <c r="H447" s="85"/>
      <c r="I447" s="85"/>
      <c r="J447" s="85"/>
      <c r="K447" s="85"/>
      <c r="L447" s="85"/>
      <c r="M447" s="86"/>
      <c r="N447" s="71" t="str">
        <f t="shared" si="6"/>
        <v/>
      </c>
      <c r="O447" s="72"/>
      <c r="P447" s="72"/>
      <c r="Q447" s="72"/>
      <c r="R447" s="72"/>
      <c r="S447" s="72"/>
      <c r="T447" s="72"/>
      <c r="U447" s="72"/>
      <c r="V447" s="72"/>
    </row>
    <row r="448" spans="1:25" ht="27.75" customHeight="1">
      <c r="A448" s="87" t="str">
        <f>IF(ISBLANK(C448)," ",443-COUNTBLANK($C$6:C448))</f>
        <v xml:space="preserve"> </v>
      </c>
      <c r="B448" s="88"/>
      <c r="C448" s="88"/>
      <c r="D448" s="89"/>
      <c r="E448" s="89"/>
      <c r="F448" s="73"/>
      <c r="G448" s="73"/>
      <c r="H448" s="73"/>
      <c r="I448" s="73"/>
      <c r="J448" s="73"/>
      <c r="K448" s="73"/>
      <c r="L448" s="73"/>
      <c r="M448" s="74"/>
      <c r="N448" s="71" t="str">
        <f t="shared" si="6"/>
        <v/>
      </c>
      <c r="O448" s="72"/>
      <c r="P448" s="72"/>
      <c r="Q448" s="72"/>
      <c r="R448" s="72"/>
      <c r="S448" s="72"/>
      <c r="T448" s="72"/>
      <c r="U448" s="72"/>
      <c r="V448" s="72"/>
    </row>
    <row r="449" spans="1:22" ht="27.75" customHeight="1">
      <c r="A449" s="87" t="str">
        <f>IF(ISBLANK(C449)," ",444-COUNTBLANK($C$6:C449))</f>
        <v xml:space="preserve"> </v>
      </c>
      <c r="B449" s="88"/>
      <c r="C449" s="88"/>
      <c r="D449" s="89"/>
      <c r="E449" s="89"/>
      <c r="F449" s="73"/>
      <c r="G449" s="73"/>
      <c r="H449" s="73"/>
      <c r="I449" s="73"/>
      <c r="J449" s="73"/>
      <c r="K449" s="73"/>
      <c r="L449" s="73"/>
      <c r="M449" s="74"/>
      <c r="N449" s="71" t="str">
        <f t="shared" si="6"/>
        <v/>
      </c>
      <c r="O449" s="72"/>
      <c r="P449" s="72"/>
      <c r="Q449" s="72"/>
      <c r="R449" s="72"/>
      <c r="S449" s="72"/>
      <c r="T449" s="72"/>
      <c r="U449" s="72"/>
      <c r="V449" s="72"/>
    </row>
    <row r="450" spans="1:22" ht="27.75" customHeight="1">
      <c r="A450" s="87" t="str">
        <f>IF(ISBLANK(C450)," ",445-COUNTBLANK($C$6:C450))</f>
        <v xml:space="preserve"> </v>
      </c>
      <c r="B450" s="88"/>
      <c r="C450" s="88"/>
      <c r="D450" s="89"/>
      <c r="E450" s="89"/>
      <c r="F450" s="73"/>
      <c r="G450" s="73"/>
      <c r="H450" s="73"/>
      <c r="I450" s="73"/>
      <c r="J450" s="73"/>
      <c r="K450" s="73"/>
      <c r="L450" s="73"/>
      <c r="M450" s="74"/>
      <c r="N450" s="71" t="str">
        <f t="shared" si="6"/>
        <v/>
      </c>
      <c r="O450" s="72"/>
      <c r="P450" s="72"/>
      <c r="Q450" s="72"/>
      <c r="R450" s="72"/>
      <c r="S450" s="72"/>
      <c r="T450" s="72"/>
      <c r="U450" s="72"/>
      <c r="V450" s="72"/>
    </row>
    <row r="451" spans="1:22" ht="27.75" customHeight="1">
      <c r="A451" s="87" t="str">
        <f>IF(ISBLANK(C451)," ",446-COUNTBLANK($C$6:C451))</f>
        <v xml:space="preserve"> </v>
      </c>
      <c r="B451" s="88"/>
      <c r="C451" s="88"/>
      <c r="D451" s="89"/>
      <c r="E451" s="89"/>
      <c r="F451" s="73"/>
      <c r="G451" s="73"/>
      <c r="H451" s="73"/>
      <c r="I451" s="73"/>
      <c r="J451" s="73"/>
      <c r="K451" s="73"/>
      <c r="L451" s="73"/>
      <c r="M451" s="74"/>
      <c r="N451" s="71" t="str">
        <f t="shared" si="6"/>
        <v/>
      </c>
      <c r="O451" s="72"/>
      <c r="P451" s="72"/>
      <c r="Q451" s="72"/>
      <c r="R451" s="72"/>
      <c r="S451" s="72"/>
      <c r="T451" s="72"/>
      <c r="U451" s="72"/>
      <c r="V451" s="72"/>
    </row>
    <row r="452" spans="1:22" ht="27.75" customHeight="1">
      <c r="A452" s="87" t="str">
        <f>IF(ISBLANK(C452)," ",447-COUNTBLANK($C$6:C452))</f>
        <v xml:space="preserve"> </v>
      </c>
      <c r="B452" s="88"/>
      <c r="C452" s="88"/>
      <c r="D452" s="89"/>
      <c r="E452" s="89"/>
      <c r="F452" s="73"/>
      <c r="G452" s="73"/>
      <c r="H452" s="73"/>
      <c r="I452" s="73"/>
      <c r="J452" s="73"/>
      <c r="K452" s="73"/>
      <c r="L452" s="73"/>
      <c r="M452" s="74"/>
      <c r="N452" s="71" t="str">
        <f t="shared" si="6"/>
        <v/>
      </c>
      <c r="O452" s="72"/>
      <c r="P452" s="72"/>
      <c r="Q452" s="72"/>
      <c r="R452" s="72"/>
      <c r="S452" s="72"/>
      <c r="T452" s="72"/>
      <c r="U452" s="72"/>
      <c r="V452" s="72"/>
    </row>
    <row r="453" spans="1:22" ht="27.75" customHeight="1">
      <c r="A453" s="87" t="str">
        <f>IF(ISBLANK(C453)," ",448-COUNTBLANK($C$6:C453))</f>
        <v xml:space="preserve"> </v>
      </c>
      <c r="B453" s="88"/>
      <c r="C453" s="88"/>
      <c r="D453" s="89"/>
      <c r="E453" s="89"/>
      <c r="F453" s="73"/>
      <c r="G453" s="73"/>
      <c r="H453" s="73"/>
      <c r="I453" s="73"/>
      <c r="J453" s="73"/>
      <c r="K453" s="73"/>
      <c r="L453" s="73"/>
      <c r="M453" s="74"/>
      <c r="N453" s="71" t="str">
        <f t="shared" si="6"/>
        <v/>
      </c>
      <c r="O453" s="72"/>
      <c r="P453" s="72"/>
      <c r="Q453" s="72"/>
      <c r="R453" s="72"/>
      <c r="S453" s="72"/>
      <c r="T453" s="72"/>
      <c r="U453" s="72"/>
      <c r="V453" s="72"/>
    </row>
    <row r="454" spans="1:22" ht="27.75" customHeight="1">
      <c r="A454" s="87" t="str">
        <f>IF(ISBLANK(C454)," ",449-COUNTBLANK($C$6:C454))</f>
        <v xml:space="preserve"> </v>
      </c>
      <c r="B454" s="88"/>
      <c r="C454" s="88"/>
      <c r="D454" s="89"/>
      <c r="E454" s="89"/>
      <c r="F454" s="73"/>
      <c r="G454" s="73"/>
      <c r="H454" s="73"/>
      <c r="I454" s="73"/>
      <c r="J454" s="73"/>
      <c r="K454" s="73"/>
      <c r="L454" s="73"/>
      <c r="M454" s="74"/>
      <c r="N454" s="71" t="str">
        <f t="shared" ref="N454:N517" si="7">CONCATENATE(C454,H454)</f>
        <v/>
      </c>
      <c r="O454" s="72"/>
      <c r="P454" s="72"/>
      <c r="Q454" s="72"/>
      <c r="R454" s="72"/>
      <c r="S454" s="72"/>
      <c r="T454" s="72"/>
      <c r="U454" s="72"/>
      <c r="V454" s="72"/>
    </row>
    <row r="455" spans="1:22" ht="27.75" customHeight="1">
      <c r="A455" s="87" t="str">
        <f>IF(ISBLANK(C455)," ",450-COUNTBLANK($C$6:C455))</f>
        <v xml:space="preserve"> </v>
      </c>
      <c r="B455" s="88"/>
      <c r="C455" s="88"/>
      <c r="D455" s="89"/>
      <c r="E455" s="89"/>
      <c r="F455" s="73"/>
      <c r="G455" s="73"/>
      <c r="H455" s="73"/>
      <c r="I455" s="73"/>
      <c r="J455" s="73"/>
      <c r="K455" s="73"/>
      <c r="L455" s="73"/>
      <c r="M455" s="74"/>
      <c r="N455" s="71" t="str">
        <f t="shared" si="7"/>
        <v/>
      </c>
      <c r="O455" s="72"/>
      <c r="P455" s="72"/>
      <c r="Q455" s="72"/>
      <c r="R455" s="72"/>
      <c r="S455" s="72"/>
      <c r="T455" s="72"/>
      <c r="U455" s="72"/>
      <c r="V455" s="72"/>
    </row>
    <row r="456" spans="1:22" ht="27.75" customHeight="1">
      <c r="A456" s="87" t="str">
        <f>IF(ISBLANK(C456)," ",451-COUNTBLANK($C$6:C456))</f>
        <v xml:space="preserve"> </v>
      </c>
      <c r="B456" s="88"/>
      <c r="C456" s="88"/>
      <c r="D456" s="89"/>
      <c r="E456" s="89"/>
      <c r="F456" s="73"/>
      <c r="G456" s="73"/>
      <c r="H456" s="73"/>
      <c r="I456" s="73"/>
      <c r="J456" s="73"/>
      <c r="K456" s="73"/>
      <c r="L456" s="73"/>
      <c r="M456" s="74"/>
      <c r="N456" s="71" t="str">
        <f t="shared" si="7"/>
        <v/>
      </c>
      <c r="O456" s="72"/>
      <c r="P456" s="72"/>
      <c r="Q456" s="72"/>
      <c r="R456" s="72"/>
      <c r="S456" s="72"/>
      <c r="T456" s="72"/>
      <c r="U456" s="72"/>
      <c r="V456" s="72"/>
    </row>
    <row r="457" spans="1:22" ht="27.75" customHeight="1">
      <c r="A457" s="87" t="str">
        <f>IF(ISBLANK(C457)," ",452-COUNTBLANK($C$6:C457))</f>
        <v xml:space="preserve"> </v>
      </c>
      <c r="B457" s="88"/>
      <c r="C457" s="88"/>
      <c r="D457" s="89"/>
      <c r="E457" s="89"/>
      <c r="F457" s="73"/>
      <c r="G457" s="73"/>
      <c r="H457" s="73"/>
      <c r="I457" s="73"/>
      <c r="J457" s="73"/>
      <c r="K457" s="73"/>
      <c r="L457" s="73"/>
      <c r="M457" s="74"/>
      <c r="N457" s="71" t="str">
        <f t="shared" si="7"/>
        <v/>
      </c>
      <c r="O457" s="72"/>
      <c r="P457" s="72"/>
      <c r="Q457" s="72"/>
      <c r="R457" s="72"/>
      <c r="S457" s="72"/>
      <c r="T457" s="72"/>
      <c r="U457" s="72"/>
      <c r="V457" s="72"/>
    </row>
    <row r="458" spans="1:22" ht="27.75" customHeight="1">
      <c r="A458" s="87" t="str">
        <f>IF(ISBLANK(C458)," ",453-COUNTBLANK($C$6:C458))</f>
        <v xml:space="preserve"> </v>
      </c>
      <c r="B458" s="88"/>
      <c r="C458" s="88"/>
      <c r="D458" s="89"/>
      <c r="E458" s="89"/>
      <c r="F458" s="73"/>
      <c r="G458" s="73"/>
      <c r="H458" s="73"/>
      <c r="I458" s="73"/>
      <c r="J458" s="73"/>
      <c r="K458" s="73"/>
      <c r="L458" s="73"/>
      <c r="M458" s="74"/>
      <c r="N458" s="71" t="str">
        <f t="shared" si="7"/>
        <v/>
      </c>
      <c r="O458" s="72"/>
      <c r="P458" s="72"/>
      <c r="Q458" s="72"/>
      <c r="R458" s="72"/>
      <c r="S458" s="72"/>
      <c r="T458" s="72"/>
      <c r="U458" s="72"/>
      <c r="V458" s="72"/>
    </row>
    <row r="459" spans="1:22" ht="27.75" customHeight="1">
      <c r="A459" s="87" t="str">
        <f>IF(ISBLANK(C459)," ",454-COUNTBLANK($C$6:C459))</f>
        <v xml:space="preserve"> </v>
      </c>
      <c r="B459" s="88"/>
      <c r="C459" s="88"/>
      <c r="D459" s="89"/>
      <c r="E459" s="89"/>
      <c r="F459" s="73"/>
      <c r="G459" s="73"/>
      <c r="H459" s="73"/>
      <c r="I459" s="73"/>
      <c r="J459" s="73"/>
      <c r="K459" s="73"/>
      <c r="L459" s="73"/>
      <c r="M459" s="74"/>
      <c r="N459" s="71" t="str">
        <f t="shared" si="7"/>
        <v/>
      </c>
      <c r="O459" s="72"/>
      <c r="P459" s="72"/>
      <c r="Q459" s="72"/>
      <c r="R459" s="72"/>
      <c r="S459" s="72"/>
      <c r="T459" s="72"/>
      <c r="U459" s="72"/>
      <c r="V459" s="72"/>
    </row>
    <row r="460" spans="1:22" ht="27.75" customHeight="1">
      <c r="A460" s="87" t="str">
        <f>IF(ISBLANK(C460)," ",455-COUNTBLANK($C$6:C460))</f>
        <v xml:space="preserve"> </v>
      </c>
      <c r="B460" s="88"/>
      <c r="C460" s="88"/>
      <c r="D460" s="89"/>
      <c r="E460" s="89"/>
      <c r="F460" s="73"/>
      <c r="G460" s="73"/>
      <c r="H460" s="73"/>
      <c r="I460" s="73"/>
      <c r="J460" s="73"/>
      <c r="K460" s="73"/>
      <c r="L460" s="73"/>
      <c r="M460" s="74"/>
      <c r="N460" s="71" t="str">
        <f t="shared" si="7"/>
        <v/>
      </c>
      <c r="O460" s="72"/>
      <c r="P460" s="72"/>
      <c r="Q460" s="72"/>
      <c r="R460" s="72"/>
      <c r="S460" s="72"/>
      <c r="T460" s="72"/>
      <c r="U460" s="72"/>
      <c r="V460" s="72"/>
    </row>
    <row r="461" spans="1:22" ht="27.75" customHeight="1">
      <c r="A461" s="87" t="str">
        <f>IF(ISBLANK(C461)," ",456-COUNTBLANK($C$6:C461))</f>
        <v xml:space="preserve"> </v>
      </c>
      <c r="B461" s="88"/>
      <c r="C461" s="88"/>
      <c r="D461" s="89"/>
      <c r="E461" s="89"/>
      <c r="F461" s="73"/>
      <c r="G461" s="73"/>
      <c r="H461" s="73"/>
      <c r="I461" s="73"/>
      <c r="J461" s="73"/>
      <c r="K461" s="73"/>
      <c r="L461" s="73"/>
      <c r="M461" s="74"/>
      <c r="N461" s="71" t="str">
        <f t="shared" si="7"/>
        <v/>
      </c>
      <c r="O461" s="72"/>
      <c r="P461" s="72"/>
      <c r="Q461" s="72"/>
      <c r="R461" s="72"/>
      <c r="S461" s="72"/>
      <c r="T461" s="72"/>
      <c r="U461" s="72"/>
      <c r="V461" s="72"/>
    </row>
    <row r="462" spans="1:22" ht="27.75" customHeight="1">
      <c r="A462" s="87" t="str">
        <f>IF(ISBLANK(C462)," ",457-COUNTBLANK($C$6:C462))</f>
        <v xml:space="preserve"> </v>
      </c>
      <c r="B462" s="88"/>
      <c r="C462" s="88"/>
      <c r="D462" s="89"/>
      <c r="E462" s="89"/>
      <c r="F462" s="73"/>
      <c r="G462" s="73"/>
      <c r="H462" s="73"/>
      <c r="I462" s="73"/>
      <c r="J462" s="73"/>
      <c r="K462" s="73"/>
      <c r="L462" s="73"/>
      <c r="M462" s="74"/>
      <c r="N462" s="71" t="str">
        <f t="shared" si="7"/>
        <v/>
      </c>
      <c r="O462" s="75"/>
      <c r="P462" s="72"/>
      <c r="Q462" s="72"/>
      <c r="R462" s="72"/>
      <c r="S462" s="72"/>
      <c r="T462" s="72"/>
      <c r="U462" s="72"/>
      <c r="V462" s="76"/>
    </row>
    <row r="463" spans="1:22" ht="27.75" customHeight="1">
      <c r="A463" s="87" t="str">
        <f>IF(ISBLANK(C463)," ",458-COUNTBLANK($C$6:C463))</f>
        <v xml:space="preserve"> </v>
      </c>
      <c r="B463" s="88"/>
      <c r="C463" s="88"/>
      <c r="D463" s="89"/>
      <c r="E463" s="89"/>
      <c r="F463" s="73"/>
      <c r="G463" s="73"/>
      <c r="H463" s="73"/>
      <c r="I463" s="73"/>
      <c r="J463" s="73"/>
      <c r="K463" s="73"/>
      <c r="L463" s="73"/>
      <c r="M463" s="74"/>
      <c r="N463" s="71" t="str">
        <f t="shared" si="7"/>
        <v/>
      </c>
      <c r="O463" s="75"/>
      <c r="P463" s="72"/>
      <c r="Q463" s="72"/>
      <c r="R463" s="72"/>
      <c r="S463" s="72"/>
      <c r="T463" s="72"/>
      <c r="U463" s="72"/>
      <c r="V463" s="76"/>
    </row>
    <row r="464" spans="1:22" ht="27.75" customHeight="1">
      <c r="A464" s="87" t="str">
        <f>IF(ISBLANK(C464)," ",459-COUNTBLANK($C$6:C464))</f>
        <v xml:space="preserve"> </v>
      </c>
      <c r="B464" s="88"/>
      <c r="C464" s="88"/>
      <c r="D464" s="89"/>
      <c r="E464" s="89"/>
      <c r="F464" s="73"/>
      <c r="G464" s="73"/>
      <c r="H464" s="73"/>
      <c r="I464" s="73"/>
      <c r="J464" s="73"/>
      <c r="K464" s="73"/>
      <c r="L464" s="73"/>
      <c r="M464" s="74"/>
      <c r="N464" s="71" t="str">
        <f t="shared" si="7"/>
        <v/>
      </c>
      <c r="O464" s="75"/>
      <c r="P464" s="72"/>
      <c r="Q464" s="72"/>
      <c r="R464" s="72"/>
      <c r="S464" s="72"/>
      <c r="T464" s="72"/>
      <c r="U464" s="72"/>
      <c r="V464" s="76"/>
    </row>
    <row r="465" spans="1:25" ht="27.75" customHeight="1">
      <c r="A465" s="87" t="str">
        <f>IF(ISBLANK(C465)," ",460-COUNTBLANK($C$6:C465))</f>
        <v xml:space="preserve"> </v>
      </c>
      <c r="B465" s="88"/>
      <c r="C465" s="88"/>
      <c r="D465" s="89"/>
      <c r="E465" s="89"/>
      <c r="F465" s="73"/>
      <c r="G465" s="73"/>
      <c r="H465" s="73"/>
      <c r="I465" s="73"/>
      <c r="J465" s="73"/>
      <c r="K465" s="73"/>
      <c r="L465" s="73"/>
      <c r="M465" s="74"/>
      <c r="N465" s="71" t="str">
        <f t="shared" si="7"/>
        <v/>
      </c>
      <c r="O465" s="75"/>
      <c r="P465" s="72"/>
      <c r="Q465" s="72"/>
      <c r="R465" s="72"/>
      <c r="S465" s="72"/>
      <c r="T465" s="72"/>
      <c r="U465" s="72"/>
      <c r="V465" s="76"/>
    </row>
    <row r="466" spans="1:25" ht="27.75" customHeight="1">
      <c r="A466" s="87" t="str">
        <f>IF(ISBLANK(C466)," ",461-COUNTBLANK($C$6:C466))</f>
        <v xml:space="preserve"> </v>
      </c>
      <c r="B466" s="88"/>
      <c r="C466" s="88"/>
      <c r="D466" s="89"/>
      <c r="E466" s="89"/>
      <c r="F466" s="73"/>
      <c r="G466" s="73"/>
      <c r="H466" s="73"/>
      <c r="I466" s="73"/>
      <c r="J466" s="73"/>
      <c r="K466" s="73"/>
      <c r="L466" s="73"/>
      <c r="M466" s="74"/>
      <c r="N466" s="71" t="str">
        <f t="shared" si="7"/>
        <v/>
      </c>
      <c r="O466" s="72"/>
      <c r="P466" s="72"/>
      <c r="Q466" s="72"/>
      <c r="R466" s="72"/>
      <c r="S466" s="72"/>
      <c r="T466" s="72"/>
      <c r="U466" s="72"/>
      <c r="V466" s="79"/>
      <c r="W466" s="72"/>
      <c r="X466" s="72"/>
      <c r="Y466" s="72"/>
    </row>
    <row r="467" spans="1:25" ht="27.75" customHeight="1">
      <c r="A467" s="80" t="s">
        <v>58</v>
      </c>
      <c r="B467" s="81"/>
      <c r="C467" s="96"/>
      <c r="D467" s="82"/>
      <c r="E467" s="82">
        <f>SUM(E447:E466)</f>
        <v>0</v>
      </c>
      <c r="F467" s="83"/>
      <c r="G467" s="83"/>
      <c r="H467" s="83"/>
      <c r="I467" s="83"/>
      <c r="J467" s="83"/>
      <c r="K467" s="83"/>
      <c r="L467" s="83"/>
      <c r="M467" s="84"/>
      <c r="N467" s="71" t="str">
        <f t="shared" si="7"/>
        <v/>
      </c>
      <c r="O467" s="75"/>
      <c r="P467" s="72"/>
      <c r="Q467" s="72"/>
      <c r="R467" s="72"/>
      <c r="S467" s="72"/>
      <c r="T467" s="72"/>
      <c r="U467" s="72"/>
      <c r="V467" s="79"/>
      <c r="W467" s="72"/>
      <c r="X467" s="72"/>
      <c r="Y467" s="72"/>
    </row>
    <row r="468" spans="1:25" ht="27.75" customHeight="1">
      <c r="A468" s="93" t="str">
        <f>IF(ISBLANK(C468)," ",463-COUNTBLANK($C$6:C468))</f>
        <v xml:space="preserve"> </v>
      </c>
      <c r="B468" s="94"/>
      <c r="C468" s="94"/>
      <c r="D468" s="95"/>
      <c r="E468" s="95"/>
      <c r="F468" s="85"/>
      <c r="G468" s="85"/>
      <c r="H468" s="85"/>
      <c r="I468" s="85"/>
      <c r="J468" s="85"/>
      <c r="K468" s="85"/>
      <c r="L468" s="85"/>
      <c r="M468" s="86"/>
      <c r="N468" s="71" t="str">
        <f t="shared" si="7"/>
        <v/>
      </c>
      <c r="O468" s="72"/>
      <c r="P468" s="72"/>
      <c r="Q468" s="72"/>
      <c r="R468" s="72"/>
      <c r="S468" s="72"/>
      <c r="T468" s="72"/>
      <c r="U468" s="72"/>
      <c r="V468" s="72"/>
    </row>
    <row r="469" spans="1:25" ht="27.75" customHeight="1">
      <c r="A469" s="87" t="str">
        <f>IF(ISBLANK(C469)," ",464-COUNTBLANK($C$6:C469))</f>
        <v xml:space="preserve"> </v>
      </c>
      <c r="B469" s="88"/>
      <c r="C469" s="88"/>
      <c r="D469" s="89"/>
      <c r="E469" s="89"/>
      <c r="F469" s="73"/>
      <c r="G469" s="73"/>
      <c r="H469" s="73"/>
      <c r="I469" s="73"/>
      <c r="J469" s="73"/>
      <c r="K469" s="73"/>
      <c r="L469" s="73"/>
      <c r="M469" s="74"/>
      <c r="N469" s="71" t="str">
        <f t="shared" si="7"/>
        <v/>
      </c>
      <c r="O469" s="72"/>
      <c r="P469" s="72"/>
      <c r="Q469" s="72"/>
      <c r="R469" s="72"/>
      <c r="S469" s="72"/>
      <c r="T469" s="72"/>
      <c r="U469" s="72"/>
      <c r="V469" s="72"/>
    </row>
    <row r="470" spans="1:25" ht="27.75" customHeight="1">
      <c r="A470" s="87" t="str">
        <f>IF(ISBLANK(C470)," ",465-COUNTBLANK($C$6:C470))</f>
        <v xml:space="preserve"> </v>
      </c>
      <c r="B470" s="88"/>
      <c r="C470" s="88"/>
      <c r="D470" s="89"/>
      <c r="E470" s="89"/>
      <c r="F470" s="73"/>
      <c r="G470" s="73"/>
      <c r="H470" s="73"/>
      <c r="I470" s="73"/>
      <c r="J470" s="73"/>
      <c r="K470" s="73"/>
      <c r="L470" s="73"/>
      <c r="M470" s="74"/>
      <c r="N470" s="71" t="str">
        <f t="shared" si="7"/>
        <v/>
      </c>
      <c r="O470" s="72"/>
      <c r="P470" s="72"/>
      <c r="Q470" s="72"/>
      <c r="R470" s="72"/>
      <c r="S470" s="72"/>
      <c r="T470" s="72"/>
      <c r="U470" s="72"/>
      <c r="V470" s="72"/>
    </row>
    <row r="471" spans="1:25" ht="27.75" customHeight="1">
      <c r="A471" s="87" t="str">
        <f>IF(ISBLANK(C471)," ",466-COUNTBLANK($C$6:C471))</f>
        <v xml:space="preserve"> </v>
      </c>
      <c r="B471" s="88"/>
      <c r="C471" s="88"/>
      <c r="D471" s="89"/>
      <c r="E471" s="89"/>
      <c r="F471" s="73"/>
      <c r="G471" s="73"/>
      <c r="H471" s="73"/>
      <c r="I471" s="73"/>
      <c r="J471" s="73"/>
      <c r="K471" s="73"/>
      <c r="L471" s="73"/>
      <c r="M471" s="74"/>
      <c r="N471" s="71" t="str">
        <f t="shared" si="7"/>
        <v/>
      </c>
      <c r="O471" s="72"/>
      <c r="P471" s="72"/>
      <c r="Q471" s="72"/>
      <c r="R471" s="72"/>
      <c r="S471" s="72"/>
      <c r="T471" s="72"/>
      <c r="U471" s="72"/>
      <c r="V471" s="72"/>
    </row>
    <row r="472" spans="1:25" ht="27.75" customHeight="1">
      <c r="A472" s="87" t="str">
        <f>IF(ISBLANK(C472)," ",467-COUNTBLANK($C$6:C472))</f>
        <v xml:space="preserve"> </v>
      </c>
      <c r="B472" s="88"/>
      <c r="C472" s="88"/>
      <c r="D472" s="89"/>
      <c r="E472" s="89"/>
      <c r="F472" s="73"/>
      <c r="G472" s="73"/>
      <c r="H472" s="73"/>
      <c r="I472" s="73"/>
      <c r="J472" s="73"/>
      <c r="K472" s="73"/>
      <c r="L472" s="73"/>
      <c r="M472" s="74"/>
      <c r="N472" s="71" t="str">
        <f t="shared" si="7"/>
        <v/>
      </c>
      <c r="O472" s="72"/>
      <c r="P472" s="72"/>
      <c r="Q472" s="72"/>
      <c r="R472" s="72"/>
      <c r="S472" s="72"/>
      <c r="T472" s="72"/>
      <c r="U472" s="72"/>
      <c r="V472" s="72"/>
    </row>
    <row r="473" spans="1:25" ht="27.75" customHeight="1">
      <c r="A473" s="87" t="str">
        <f>IF(ISBLANK(C473)," ",468-COUNTBLANK($C$6:C473))</f>
        <v xml:space="preserve"> </v>
      </c>
      <c r="B473" s="88"/>
      <c r="C473" s="88"/>
      <c r="D473" s="89"/>
      <c r="E473" s="89"/>
      <c r="F473" s="73"/>
      <c r="G473" s="73"/>
      <c r="H473" s="73"/>
      <c r="I473" s="73"/>
      <c r="J473" s="73"/>
      <c r="K473" s="73"/>
      <c r="L473" s="73"/>
      <c r="M473" s="74"/>
      <c r="N473" s="71" t="str">
        <f t="shared" si="7"/>
        <v/>
      </c>
      <c r="O473" s="72"/>
      <c r="P473" s="72"/>
      <c r="Q473" s="72"/>
      <c r="R473" s="72"/>
      <c r="S473" s="72"/>
      <c r="T473" s="72"/>
      <c r="U473" s="72"/>
      <c r="V473" s="72"/>
    </row>
    <row r="474" spans="1:25" ht="27.75" customHeight="1">
      <c r="A474" s="87" t="str">
        <f>IF(ISBLANK(C474)," ",469-COUNTBLANK($C$6:C474))</f>
        <v xml:space="preserve"> </v>
      </c>
      <c r="B474" s="88"/>
      <c r="C474" s="88"/>
      <c r="D474" s="89"/>
      <c r="E474" s="89"/>
      <c r="F474" s="73"/>
      <c r="G474" s="73"/>
      <c r="H474" s="73"/>
      <c r="I474" s="73"/>
      <c r="J474" s="73"/>
      <c r="K474" s="73"/>
      <c r="L474" s="73"/>
      <c r="M474" s="74"/>
      <c r="N474" s="71" t="str">
        <f t="shared" si="7"/>
        <v/>
      </c>
      <c r="O474" s="72"/>
      <c r="P474" s="72"/>
      <c r="Q474" s="72"/>
      <c r="R474" s="72"/>
      <c r="S474" s="72"/>
      <c r="T474" s="72"/>
      <c r="U474" s="72"/>
      <c r="V474" s="72"/>
    </row>
    <row r="475" spans="1:25" ht="27.75" customHeight="1">
      <c r="A475" s="87" t="str">
        <f>IF(ISBLANK(C475)," ",470-COUNTBLANK($C$6:C475))</f>
        <v xml:space="preserve"> </v>
      </c>
      <c r="B475" s="88"/>
      <c r="C475" s="88"/>
      <c r="D475" s="89"/>
      <c r="E475" s="89"/>
      <c r="F475" s="73"/>
      <c r="G475" s="73"/>
      <c r="H475" s="73"/>
      <c r="I475" s="73"/>
      <c r="J475" s="73"/>
      <c r="K475" s="73"/>
      <c r="L475" s="73"/>
      <c r="M475" s="74"/>
      <c r="N475" s="71" t="str">
        <f t="shared" si="7"/>
        <v/>
      </c>
      <c r="O475" s="72"/>
      <c r="P475" s="72"/>
      <c r="Q475" s="72"/>
      <c r="R475" s="72"/>
      <c r="S475" s="72"/>
      <c r="T475" s="72"/>
      <c r="U475" s="72"/>
      <c r="V475" s="72"/>
    </row>
    <row r="476" spans="1:25" ht="27.75" customHeight="1">
      <c r="A476" s="87" t="str">
        <f>IF(ISBLANK(C476)," ",471-COUNTBLANK($C$6:C476))</f>
        <v xml:space="preserve"> </v>
      </c>
      <c r="B476" s="88"/>
      <c r="C476" s="88"/>
      <c r="D476" s="89"/>
      <c r="E476" s="89"/>
      <c r="F476" s="73"/>
      <c r="G476" s="73"/>
      <c r="H476" s="73"/>
      <c r="I476" s="73"/>
      <c r="J476" s="73"/>
      <c r="K476" s="73"/>
      <c r="L476" s="73"/>
      <c r="M476" s="74"/>
      <c r="N476" s="71" t="str">
        <f t="shared" si="7"/>
        <v/>
      </c>
      <c r="O476" s="72"/>
      <c r="P476" s="72"/>
      <c r="Q476" s="72"/>
      <c r="R476" s="72"/>
      <c r="S476" s="72"/>
      <c r="T476" s="72"/>
      <c r="U476" s="72"/>
      <c r="V476" s="72"/>
    </row>
    <row r="477" spans="1:25" ht="27.75" customHeight="1">
      <c r="A477" s="87" t="str">
        <f>IF(ISBLANK(C477)," ",472-COUNTBLANK($C$6:C477))</f>
        <v xml:space="preserve"> </v>
      </c>
      <c r="B477" s="88"/>
      <c r="C477" s="88"/>
      <c r="D477" s="89"/>
      <c r="E477" s="89"/>
      <c r="F477" s="73"/>
      <c r="G477" s="73"/>
      <c r="H477" s="73"/>
      <c r="I477" s="73"/>
      <c r="J477" s="73"/>
      <c r="K477" s="73"/>
      <c r="L477" s="73"/>
      <c r="M477" s="74"/>
      <c r="N477" s="71" t="str">
        <f t="shared" si="7"/>
        <v/>
      </c>
      <c r="O477" s="72"/>
      <c r="P477" s="72"/>
      <c r="Q477" s="72"/>
      <c r="R477" s="72"/>
      <c r="S477" s="72"/>
      <c r="T477" s="72"/>
      <c r="U477" s="72"/>
      <c r="V477" s="72"/>
    </row>
    <row r="478" spans="1:25" ht="27.75" customHeight="1">
      <c r="A478" s="87" t="str">
        <f>IF(ISBLANK(C478)," ",473-COUNTBLANK($C$6:C478))</f>
        <v xml:space="preserve"> </v>
      </c>
      <c r="B478" s="88"/>
      <c r="C478" s="88"/>
      <c r="D478" s="89"/>
      <c r="E478" s="89"/>
      <c r="F478" s="73"/>
      <c r="G478" s="73"/>
      <c r="H478" s="73"/>
      <c r="I478" s="73"/>
      <c r="J478" s="73"/>
      <c r="K478" s="73"/>
      <c r="L478" s="73"/>
      <c r="M478" s="74"/>
      <c r="N478" s="71" t="str">
        <f t="shared" si="7"/>
        <v/>
      </c>
      <c r="O478" s="72"/>
      <c r="P478" s="72"/>
      <c r="Q478" s="72"/>
      <c r="R478" s="72"/>
      <c r="S478" s="72"/>
      <c r="T478" s="72"/>
      <c r="U478" s="72"/>
      <c r="V478" s="72"/>
    </row>
    <row r="479" spans="1:25" ht="27.75" customHeight="1">
      <c r="A479" s="87" t="str">
        <f>IF(ISBLANK(C479)," ",474-COUNTBLANK($C$6:C479))</f>
        <v xml:space="preserve"> </v>
      </c>
      <c r="B479" s="88"/>
      <c r="C479" s="88"/>
      <c r="D479" s="89"/>
      <c r="E479" s="89"/>
      <c r="F479" s="73"/>
      <c r="G479" s="73"/>
      <c r="H479" s="73"/>
      <c r="I479" s="73"/>
      <c r="J479" s="73"/>
      <c r="K479" s="73"/>
      <c r="L479" s="73"/>
      <c r="M479" s="74"/>
      <c r="N479" s="71" t="str">
        <f t="shared" si="7"/>
        <v/>
      </c>
      <c r="O479" s="72"/>
      <c r="P479" s="72"/>
      <c r="Q479" s="72"/>
      <c r="R479" s="72"/>
      <c r="S479" s="72"/>
      <c r="T479" s="72"/>
      <c r="U479" s="72"/>
      <c r="V479" s="72"/>
    </row>
    <row r="480" spans="1:25" ht="27.75" customHeight="1">
      <c r="A480" s="87" t="str">
        <f>IF(ISBLANK(C480)," ",475-COUNTBLANK($C$6:C480))</f>
        <v xml:space="preserve"> </v>
      </c>
      <c r="B480" s="88"/>
      <c r="C480" s="88"/>
      <c r="D480" s="89"/>
      <c r="E480" s="89"/>
      <c r="F480" s="73"/>
      <c r="G480" s="73"/>
      <c r="H480" s="73"/>
      <c r="I480" s="73"/>
      <c r="J480" s="73"/>
      <c r="K480" s="73"/>
      <c r="L480" s="73"/>
      <c r="M480" s="74"/>
      <c r="N480" s="71" t="str">
        <f t="shared" si="7"/>
        <v/>
      </c>
      <c r="O480" s="72"/>
      <c r="P480" s="72"/>
      <c r="Q480" s="72"/>
      <c r="R480" s="72"/>
      <c r="S480" s="72"/>
      <c r="T480" s="72"/>
      <c r="U480" s="72"/>
      <c r="V480" s="72"/>
    </row>
    <row r="481" spans="1:25" ht="27.75" customHeight="1">
      <c r="A481" s="87" t="str">
        <f>IF(ISBLANK(C481)," ",476-COUNTBLANK($C$6:C481))</f>
        <v xml:space="preserve"> </v>
      </c>
      <c r="B481" s="88"/>
      <c r="C481" s="88"/>
      <c r="D481" s="89"/>
      <c r="E481" s="89"/>
      <c r="F481" s="73"/>
      <c r="G481" s="73"/>
      <c r="H481" s="73"/>
      <c r="I481" s="73"/>
      <c r="J481" s="73"/>
      <c r="K481" s="73"/>
      <c r="L481" s="73"/>
      <c r="M481" s="74"/>
      <c r="N481" s="71" t="str">
        <f t="shared" si="7"/>
        <v/>
      </c>
      <c r="O481" s="72"/>
      <c r="P481" s="72"/>
      <c r="Q481" s="72"/>
      <c r="R481" s="72"/>
      <c r="S481" s="72"/>
      <c r="T481" s="72"/>
      <c r="U481" s="72"/>
      <c r="V481" s="72"/>
    </row>
    <row r="482" spans="1:25" ht="27.75" customHeight="1">
      <c r="A482" s="87" t="str">
        <f>IF(ISBLANK(C482)," ",477-COUNTBLANK($C$6:C482))</f>
        <v xml:space="preserve"> </v>
      </c>
      <c r="B482" s="88"/>
      <c r="C482" s="88"/>
      <c r="D482" s="89"/>
      <c r="E482" s="89"/>
      <c r="F482" s="73"/>
      <c r="G482" s="73"/>
      <c r="H482" s="73"/>
      <c r="I482" s="73"/>
      <c r="J482" s="73"/>
      <c r="K482" s="73"/>
      <c r="L482" s="73"/>
      <c r="M482" s="74"/>
      <c r="N482" s="71" t="str">
        <f t="shared" si="7"/>
        <v/>
      </c>
      <c r="O482" s="72"/>
      <c r="P482" s="72"/>
      <c r="Q482" s="72"/>
      <c r="R482" s="72"/>
      <c r="S482" s="72"/>
      <c r="T482" s="72"/>
      <c r="U482" s="72"/>
      <c r="V482" s="72"/>
    </row>
    <row r="483" spans="1:25" ht="27.75" customHeight="1">
      <c r="A483" s="87" t="str">
        <f>IF(ISBLANK(C483)," ",478-COUNTBLANK($C$6:C483))</f>
        <v xml:space="preserve"> </v>
      </c>
      <c r="B483" s="88"/>
      <c r="C483" s="88"/>
      <c r="D483" s="89"/>
      <c r="E483" s="89"/>
      <c r="F483" s="73"/>
      <c r="G483" s="73"/>
      <c r="H483" s="73"/>
      <c r="I483" s="73"/>
      <c r="J483" s="73"/>
      <c r="K483" s="73"/>
      <c r="L483" s="73"/>
      <c r="M483" s="74"/>
      <c r="N483" s="71" t="str">
        <f t="shared" si="7"/>
        <v/>
      </c>
      <c r="O483" s="75"/>
      <c r="P483" s="72"/>
      <c r="Q483" s="72"/>
      <c r="R483" s="72"/>
      <c r="S483" s="72"/>
      <c r="T483" s="72"/>
      <c r="U483" s="72"/>
      <c r="V483" s="76"/>
    </row>
    <row r="484" spans="1:25" ht="27.75" customHeight="1">
      <c r="A484" s="87" t="str">
        <f>IF(ISBLANK(C484)," ",479-COUNTBLANK($C$6:C484))</f>
        <v xml:space="preserve"> </v>
      </c>
      <c r="B484" s="88"/>
      <c r="C484" s="88"/>
      <c r="D484" s="89"/>
      <c r="E484" s="89"/>
      <c r="F484" s="73"/>
      <c r="G484" s="73"/>
      <c r="H484" s="73"/>
      <c r="I484" s="73"/>
      <c r="J484" s="73"/>
      <c r="K484" s="73"/>
      <c r="L484" s="73"/>
      <c r="M484" s="74"/>
      <c r="N484" s="71" t="str">
        <f t="shared" si="7"/>
        <v/>
      </c>
      <c r="O484" s="75"/>
      <c r="P484" s="72"/>
      <c r="Q484" s="72"/>
      <c r="R484" s="72"/>
      <c r="S484" s="72"/>
      <c r="T484" s="72"/>
      <c r="U484" s="72"/>
      <c r="V484" s="76"/>
    </row>
    <row r="485" spans="1:25" ht="27.75" customHeight="1">
      <c r="A485" s="87" t="str">
        <f>IF(ISBLANK(C485)," ",480-COUNTBLANK($C$6:C485))</f>
        <v xml:space="preserve"> </v>
      </c>
      <c r="B485" s="88"/>
      <c r="C485" s="88"/>
      <c r="D485" s="89"/>
      <c r="E485" s="89"/>
      <c r="F485" s="73"/>
      <c r="G485" s="73"/>
      <c r="H485" s="73"/>
      <c r="I485" s="73"/>
      <c r="J485" s="73"/>
      <c r="K485" s="73"/>
      <c r="L485" s="73"/>
      <c r="M485" s="74"/>
      <c r="N485" s="71" t="str">
        <f t="shared" si="7"/>
        <v/>
      </c>
      <c r="O485" s="75"/>
      <c r="P485" s="72"/>
      <c r="Q485" s="72"/>
      <c r="R485" s="72"/>
      <c r="S485" s="72"/>
      <c r="T485" s="72"/>
      <c r="U485" s="72"/>
      <c r="V485" s="76"/>
    </row>
    <row r="486" spans="1:25" ht="27.75" customHeight="1">
      <c r="A486" s="87" t="str">
        <f>IF(ISBLANK(C486)," ",481-COUNTBLANK($C$6:C486))</f>
        <v xml:space="preserve"> </v>
      </c>
      <c r="B486" s="88"/>
      <c r="C486" s="88"/>
      <c r="D486" s="89"/>
      <c r="E486" s="89"/>
      <c r="F486" s="73"/>
      <c r="G486" s="73"/>
      <c r="H486" s="73"/>
      <c r="I486" s="73"/>
      <c r="J486" s="73"/>
      <c r="K486" s="73"/>
      <c r="L486" s="73"/>
      <c r="M486" s="74"/>
      <c r="N486" s="71" t="str">
        <f t="shared" si="7"/>
        <v/>
      </c>
      <c r="O486" s="75"/>
      <c r="P486" s="72"/>
      <c r="Q486" s="72"/>
      <c r="R486" s="72"/>
      <c r="S486" s="72"/>
      <c r="T486" s="72"/>
      <c r="U486" s="72"/>
      <c r="V486" s="76"/>
    </row>
    <row r="487" spans="1:25" ht="27.75" customHeight="1">
      <c r="A487" s="87" t="str">
        <f>IF(ISBLANK(C487)," ",482-COUNTBLANK($C$6:C487))</f>
        <v xml:space="preserve"> </v>
      </c>
      <c r="B487" s="88"/>
      <c r="C487" s="88"/>
      <c r="D487" s="89"/>
      <c r="E487" s="89"/>
      <c r="F487" s="73"/>
      <c r="G487" s="73"/>
      <c r="H487" s="73"/>
      <c r="I487" s="73"/>
      <c r="J487" s="73"/>
      <c r="K487" s="73"/>
      <c r="L487" s="73"/>
      <c r="M487" s="74"/>
      <c r="N487" s="71" t="str">
        <f t="shared" si="7"/>
        <v/>
      </c>
      <c r="O487" s="72"/>
      <c r="P487" s="72"/>
      <c r="Q487" s="72"/>
      <c r="R487" s="72"/>
      <c r="S487" s="72"/>
      <c r="T487" s="72"/>
      <c r="U487" s="72"/>
      <c r="V487" s="79"/>
      <c r="W487" s="72"/>
      <c r="X487" s="72"/>
      <c r="Y487" s="72"/>
    </row>
    <row r="488" spans="1:25" ht="27.75" customHeight="1">
      <c r="A488" s="80" t="s">
        <v>58</v>
      </c>
      <c r="B488" s="81"/>
      <c r="C488" s="96"/>
      <c r="D488" s="82"/>
      <c r="E488" s="82">
        <f>SUM(E468:E487)</f>
        <v>0</v>
      </c>
      <c r="F488" s="83"/>
      <c r="G488" s="83"/>
      <c r="H488" s="83"/>
      <c r="I488" s="83"/>
      <c r="J488" s="83"/>
      <c r="K488" s="83"/>
      <c r="L488" s="83"/>
      <c r="M488" s="84"/>
      <c r="N488" s="71" t="str">
        <f t="shared" si="7"/>
        <v/>
      </c>
      <c r="O488" s="75"/>
      <c r="P488" s="72"/>
      <c r="Q488" s="72"/>
      <c r="R488" s="72"/>
      <c r="S488" s="72"/>
      <c r="T488" s="72"/>
      <c r="U488" s="72"/>
      <c r="V488" s="79"/>
      <c r="W488" s="72"/>
      <c r="X488" s="72"/>
      <c r="Y488" s="72"/>
    </row>
    <row r="489" spans="1:25" ht="27.75" customHeight="1">
      <c r="A489" s="93" t="str">
        <f>IF(ISBLANK(C489)," ",484-COUNTBLANK($C$6:C489))</f>
        <v xml:space="preserve"> </v>
      </c>
      <c r="B489" s="94"/>
      <c r="C489" s="94"/>
      <c r="D489" s="95"/>
      <c r="E489" s="95"/>
      <c r="F489" s="85"/>
      <c r="G489" s="85"/>
      <c r="H489" s="85"/>
      <c r="I489" s="85"/>
      <c r="J489" s="85"/>
      <c r="K489" s="85"/>
      <c r="L489" s="85"/>
      <c r="M489" s="86"/>
      <c r="N489" s="71" t="str">
        <f t="shared" si="7"/>
        <v/>
      </c>
      <c r="O489" s="72"/>
      <c r="P489" s="72"/>
      <c r="Q489" s="72"/>
      <c r="R489" s="72"/>
      <c r="S489" s="72"/>
      <c r="T489" s="72"/>
      <c r="U489" s="72"/>
      <c r="V489" s="72"/>
    </row>
    <row r="490" spans="1:25" ht="27.75" customHeight="1">
      <c r="A490" s="87" t="str">
        <f>IF(ISBLANK(C490)," ",485-COUNTBLANK($C$6:C490))</f>
        <v xml:space="preserve"> </v>
      </c>
      <c r="B490" s="88"/>
      <c r="C490" s="88"/>
      <c r="D490" s="89"/>
      <c r="E490" s="89"/>
      <c r="F490" s="73"/>
      <c r="G490" s="73"/>
      <c r="H490" s="73"/>
      <c r="I490" s="73"/>
      <c r="J490" s="73"/>
      <c r="K490" s="73"/>
      <c r="L490" s="73"/>
      <c r="M490" s="74"/>
      <c r="N490" s="71" t="str">
        <f t="shared" si="7"/>
        <v/>
      </c>
      <c r="O490" s="72"/>
      <c r="P490" s="72"/>
      <c r="Q490" s="72"/>
      <c r="R490" s="72"/>
      <c r="S490" s="72"/>
      <c r="T490" s="72"/>
      <c r="U490" s="72"/>
      <c r="V490" s="72"/>
    </row>
    <row r="491" spans="1:25" ht="27.75" customHeight="1">
      <c r="A491" s="87" t="str">
        <f>IF(ISBLANK(C491)," ",486-COUNTBLANK($C$6:C491))</f>
        <v xml:space="preserve"> </v>
      </c>
      <c r="B491" s="88"/>
      <c r="C491" s="88"/>
      <c r="D491" s="89"/>
      <c r="E491" s="89"/>
      <c r="F491" s="73"/>
      <c r="G491" s="73"/>
      <c r="H491" s="73"/>
      <c r="I491" s="73"/>
      <c r="J491" s="73"/>
      <c r="K491" s="73"/>
      <c r="L491" s="73"/>
      <c r="M491" s="74"/>
      <c r="N491" s="71" t="str">
        <f t="shared" si="7"/>
        <v/>
      </c>
      <c r="O491" s="72"/>
      <c r="P491" s="72"/>
      <c r="Q491" s="72"/>
      <c r="R491" s="72"/>
      <c r="S491" s="72"/>
      <c r="T491" s="72"/>
      <c r="U491" s="72"/>
      <c r="V491" s="72"/>
    </row>
    <row r="492" spans="1:25" ht="27.75" customHeight="1">
      <c r="A492" s="87" t="str">
        <f>IF(ISBLANK(C492)," ",487-COUNTBLANK($C$6:C492))</f>
        <v xml:space="preserve"> </v>
      </c>
      <c r="B492" s="88"/>
      <c r="C492" s="88"/>
      <c r="D492" s="89"/>
      <c r="E492" s="89"/>
      <c r="F492" s="73"/>
      <c r="G492" s="73"/>
      <c r="H492" s="73"/>
      <c r="I492" s="73"/>
      <c r="J492" s="73"/>
      <c r="K492" s="73"/>
      <c r="L492" s="73"/>
      <c r="M492" s="74"/>
      <c r="N492" s="71" t="str">
        <f t="shared" si="7"/>
        <v/>
      </c>
      <c r="O492" s="72"/>
      <c r="P492" s="72"/>
      <c r="Q492" s="72"/>
      <c r="R492" s="72"/>
      <c r="S492" s="72"/>
      <c r="T492" s="72"/>
      <c r="U492" s="72"/>
      <c r="V492" s="72"/>
    </row>
    <row r="493" spans="1:25" ht="27.75" customHeight="1">
      <c r="A493" s="87" t="str">
        <f>IF(ISBLANK(C493)," ",488-COUNTBLANK($C$6:C493))</f>
        <v xml:space="preserve"> </v>
      </c>
      <c r="B493" s="88"/>
      <c r="C493" s="88"/>
      <c r="D493" s="89"/>
      <c r="E493" s="89"/>
      <c r="F493" s="73"/>
      <c r="G493" s="73"/>
      <c r="H493" s="73"/>
      <c r="I493" s="73"/>
      <c r="J493" s="73"/>
      <c r="K493" s="73"/>
      <c r="L493" s="73"/>
      <c r="M493" s="74"/>
      <c r="N493" s="71" t="str">
        <f t="shared" si="7"/>
        <v/>
      </c>
      <c r="O493" s="72"/>
      <c r="P493" s="72"/>
      <c r="Q493" s="72"/>
      <c r="R493" s="72"/>
      <c r="S493" s="72"/>
      <c r="T493" s="72"/>
      <c r="U493" s="72"/>
      <c r="V493" s="72"/>
    </row>
    <row r="494" spans="1:25" ht="27.75" customHeight="1">
      <c r="A494" s="87" t="str">
        <f>IF(ISBLANK(C494)," ",489-COUNTBLANK($C$6:C494))</f>
        <v xml:space="preserve"> </v>
      </c>
      <c r="B494" s="88"/>
      <c r="C494" s="88"/>
      <c r="D494" s="89"/>
      <c r="E494" s="89"/>
      <c r="F494" s="73"/>
      <c r="G494" s="73"/>
      <c r="H494" s="73"/>
      <c r="I494" s="73"/>
      <c r="J494" s="73"/>
      <c r="K494" s="73"/>
      <c r="L494" s="73"/>
      <c r="M494" s="74"/>
      <c r="N494" s="71" t="str">
        <f t="shared" si="7"/>
        <v/>
      </c>
      <c r="O494" s="72"/>
      <c r="P494" s="72"/>
      <c r="Q494" s="72"/>
      <c r="R494" s="72"/>
      <c r="S494" s="72"/>
      <c r="T494" s="72"/>
      <c r="U494" s="72"/>
      <c r="V494" s="72"/>
    </row>
    <row r="495" spans="1:25" ht="27.75" customHeight="1">
      <c r="A495" s="87" t="str">
        <f>IF(ISBLANK(C495)," ",490-COUNTBLANK($C$6:C495))</f>
        <v xml:space="preserve"> </v>
      </c>
      <c r="B495" s="88"/>
      <c r="C495" s="88"/>
      <c r="D495" s="89"/>
      <c r="E495" s="89"/>
      <c r="F495" s="73"/>
      <c r="G495" s="73"/>
      <c r="H495" s="73"/>
      <c r="I495" s="73"/>
      <c r="J495" s="73"/>
      <c r="K495" s="73"/>
      <c r="L495" s="73"/>
      <c r="M495" s="74"/>
      <c r="N495" s="71" t="str">
        <f t="shared" si="7"/>
        <v/>
      </c>
      <c r="O495" s="72"/>
      <c r="P495" s="72"/>
      <c r="Q495" s="72"/>
      <c r="R495" s="72"/>
      <c r="S495" s="72"/>
      <c r="T495" s="72"/>
      <c r="U495" s="72"/>
      <c r="V495" s="72"/>
    </row>
    <row r="496" spans="1:25" ht="27.75" customHeight="1">
      <c r="A496" s="87" t="str">
        <f>IF(ISBLANK(C496)," ",491-COUNTBLANK($C$6:C496))</f>
        <v xml:space="preserve"> </v>
      </c>
      <c r="B496" s="88"/>
      <c r="C496" s="88"/>
      <c r="D496" s="89"/>
      <c r="E496" s="89"/>
      <c r="F496" s="73"/>
      <c r="G496" s="73"/>
      <c r="H496" s="73"/>
      <c r="I496" s="73"/>
      <c r="J496" s="73"/>
      <c r="K496" s="73"/>
      <c r="L496" s="73"/>
      <c r="M496" s="74"/>
      <c r="N496" s="71" t="str">
        <f t="shared" si="7"/>
        <v/>
      </c>
      <c r="O496" s="72"/>
      <c r="P496" s="72"/>
      <c r="Q496" s="72"/>
      <c r="R496" s="72"/>
      <c r="S496" s="72"/>
      <c r="T496" s="72"/>
      <c r="U496" s="72"/>
      <c r="V496" s="72"/>
    </row>
    <row r="497" spans="1:25" ht="27.75" customHeight="1">
      <c r="A497" s="87" t="str">
        <f>IF(ISBLANK(C497)," ",492-COUNTBLANK($C$6:C497))</f>
        <v xml:space="preserve"> </v>
      </c>
      <c r="B497" s="88"/>
      <c r="C497" s="88"/>
      <c r="D497" s="89"/>
      <c r="E497" s="89"/>
      <c r="F497" s="73"/>
      <c r="G497" s="73"/>
      <c r="H497" s="73"/>
      <c r="I497" s="73"/>
      <c r="J497" s="73"/>
      <c r="K497" s="73"/>
      <c r="L497" s="73"/>
      <c r="M497" s="74"/>
      <c r="N497" s="71" t="str">
        <f t="shared" si="7"/>
        <v/>
      </c>
      <c r="O497" s="72"/>
      <c r="P497" s="72"/>
      <c r="Q497" s="72"/>
      <c r="R497" s="72"/>
      <c r="S497" s="72"/>
      <c r="T497" s="72"/>
      <c r="U497" s="72"/>
      <c r="V497" s="72"/>
    </row>
    <row r="498" spans="1:25" ht="27.75" customHeight="1">
      <c r="A498" s="87" t="str">
        <f>IF(ISBLANK(C498)," ",493-COUNTBLANK($C$6:C498))</f>
        <v xml:space="preserve"> </v>
      </c>
      <c r="B498" s="88"/>
      <c r="C498" s="88"/>
      <c r="D498" s="89"/>
      <c r="E498" s="89"/>
      <c r="F498" s="73"/>
      <c r="G498" s="73"/>
      <c r="H498" s="73"/>
      <c r="I498" s="73"/>
      <c r="J498" s="73"/>
      <c r="K498" s="73"/>
      <c r="L498" s="73"/>
      <c r="M498" s="74"/>
      <c r="N498" s="71" t="str">
        <f t="shared" si="7"/>
        <v/>
      </c>
      <c r="O498" s="72"/>
      <c r="P498" s="72"/>
      <c r="Q498" s="72"/>
      <c r="R498" s="72"/>
      <c r="S498" s="72"/>
      <c r="T498" s="72"/>
      <c r="U498" s="72"/>
      <c r="V498" s="72"/>
    </row>
    <row r="499" spans="1:25" ht="27.75" customHeight="1">
      <c r="A499" s="87" t="str">
        <f>IF(ISBLANK(C499)," ",494-COUNTBLANK($C$6:C499))</f>
        <v xml:space="preserve"> </v>
      </c>
      <c r="B499" s="88"/>
      <c r="C499" s="88"/>
      <c r="D499" s="89"/>
      <c r="E499" s="89"/>
      <c r="F499" s="73"/>
      <c r="G499" s="73"/>
      <c r="H499" s="73"/>
      <c r="I499" s="73"/>
      <c r="J499" s="73"/>
      <c r="K499" s="73"/>
      <c r="L499" s="73"/>
      <c r="M499" s="74"/>
      <c r="N499" s="71" t="str">
        <f t="shared" si="7"/>
        <v/>
      </c>
      <c r="O499" s="72"/>
      <c r="P499" s="72"/>
      <c r="Q499" s="72"/>
      <c r="R499" s="72"/>
      <c r="S499" s="72"/>
      <c r="T499" s="72"/>
      <c r="U499" s="72"/>
      <c r="V499" s="72"/>
    </row>
    <row r="500" spans="1:25" ht="27.75" customHeight="1">
      <c r="A500" s="87" t="str">
        <f>IF(ISBLANK(C500)," ",495-COUNTBLANK($C$6:C500))</f>
        <v xml:space="preserve"> </v>
      </c>
      <c r="B500" s="88"/>
      <c r="C500" s="88"/>
      <c r="D500" s="89"/>
      <c r="E500" s="89"/>
      <c r="F500" s="73"/>
      <c r="G500" s="73"/>
      <c r="H500" s="73"/>
      <c r="I500" s="73"/>
      <c r="J500" s="73"/>
      <c r="K500" s="73"/>
      <c r="L500" s="73"/>
      <c r="M500" s="74"/>
      <c r="N500" s="71" t="str">
        <f t="shared" si="7"/>
        <v/>
      </c>
      <c r="O500" s="72"/>
      <c r="P500" s="72"/>
      <c r="Q500" s="72"/>
      <c r="R500" s="72"/>
      <c r="S500" s="72"/>
      <c r="T500" s="72"/>
      <c r="U500" s="72"/>
      <c r="V500" s="72"/>
    </row>
    <row r="501" spans="1:25" ht="27.75" customHeight="1">
      <c r="A501" s="87" t="str">
        <f>IF(ISBLANK(C501)," ",496-COUNTBLANK($C$6:C501))</f>
        <v xml:space="preserve"> </v>
      </c>
      <c r="B501" s="88"/>
      <c r="C501" s="88"/>
      <c r="D501" s="89"/>
      <c r="E501" s="89"/>
      <c r="F501" s="73"/>
      <c r="G501" s="73"/>
      <c r="H501" s="73"/>
      <c r="I501" s="73"/>
      <c r="J501" s="73"/>
      <c r="K501" s="73"/>
      <c r="L501" s="73"/>
      <c r="M501" s="74"/>
      <c r="N501" s="71" t="str">
        <f t="shared" si="7"/>
        <v/>
      </c>
      <c r="O501" s="72"/>
      <c r="P501" s="72"/>
      <c r="Q501" s="72"/>
      <c r="R501" s="72"/>
      <c r="S501" s="72"/>
      <c r="T501" s="72"/>
      <c r="U501" s="72"/>
      <c r="V501" s="72"/>
    </row>
    <row r="502" spans="1:25" ht="27.75" customHeight="1">
      <c r="A502" s="87" t="str">
        <f>IF(ISBLANK(C502)," ",497-COUNTBLANK($C$6:C502))</f>
        <v xml:space="preserve"> </v>
      </c>
      <c r="B502" s="88"/>
      <c r="C502" s="88"/>
      <c r="D502" s="89"/>
      <c r="E502" s="89"/>
      <c r="F502" s="73"/>
      <c r="G502" s="73"/>
      <c r="H502" s="73"/>
      <c r="I502" s="73"/>
      <c r="J502" s="73"/>
      <c r="K502" s="73"/>
      <c r="L502" s="73"/>
      <c r="M502" s="74"/>
      <c r="N502" s="71" t="str">
        <f t="shared" si="7"/>
        <v/>
      </c>
      <c r="O502" s="72"/>
      <c r="P502" s="72"/>
      <c r="Q502" s="72"/>
      <c r="R502" s="72"/>
      <c r="S502" s="72"/>
      <c r="T502" s="72"/>
      <c r="U502" s="72"/>
      <c r="V502" s="72"/>
    </row>
    <row r="503" spans="1:25" ht="27.75" customHeight="1">
      <c r="A503" s="87" t="str">
        <f>IF(ISBLANK(C503)," ",498-COUNTBLANK($C$6:C503))</f>
        <v xml:space="preserve"> </v>
      </c>
      <c r="B503" s="88"/>
      <c r="C503" s="88"/>
      <c r="D503" s="89"/>
      <c r="E503" s="89"/>
      <c r="F503" s="73"/>
      <c r="G503" s="73"/>
      <c r="H503" s="73"/>
      <c r="I503" s="73"/>
      <c r="J503" s="73"/>
      <c r="K503" s="73"/>
      <c r="L503" s="73"/>
      <c r="M503" s="74"/>
      <c r="N503" s="71" t="str">
        <f t="shared" si="7"/>
        <v/>
      </c>
      <c r="O503" s="72"/>
      <c r="P503" s="72"/>
      <c r="Q503" s="72"/>
      <c r="R503" s="72"/>
      <c r="S503" s="72"/>
      <c r="T503" s="72"/>
      <c r="U503" s="72"/>
      <c r="V503" s="72"/>
    </row>
    <row r="504" spans="1:25" ht="27.75" customHeight="1">
      <c r="A504" s="87" t="str">
        <f>IF(ISBLANK(C504)," ",499-COUNTBLANK($C$6:C504))</f>
        <v xml:space="preserve"> </v>
      </c>
      <c r="B504" s="88"/>
      <c r="C504" s="88"/>
      <c r="D504" s="89"/>
      <c r="E504" s="89"/>
      <c r="F504" s="73"/>
      <c r="G504" s="73"/>
      <c r="H504" s="73"/>
      <c r="I504" s="73"/>
      <c r="J504" s="73"/>
      <c r="K504" s="73"/>
      <c r="L504" s="73"/>
      <c r="M504" s="74"/>
      <c r="N504" s="71" t="str">
        <f t="shared" si="7"/>
        <v/>
      </c>
      <c r="O504" s="75"/>
      <c r="P504" s="72"/>
      <c r="Q504" s="72"/>
      <c r="R504" s="72"/>
      <c r="S504" s="72"/>
      <c r="T504" s="72"/>
      <c r="U504" s="72"/>
      <c r="V504" s="76"/>
    </row>
    <row r="505" spans="1:25" ht="27.75" customHeight="1">
      <c r="A505" s="87" t="str">
        <f>IF(ISBLANK(C505)," ",500-COUNTBLANK($C$6:C505))</f>
        <v xml:space="preserve"> </v>
      </c>
      <c r="B505" s="88"/>
      <c r="C505" s="88"/>
      <c r="D505" s="89"/>
      <c r="E505" s="89"/>
      <c r="F505" s="73"/>
      <c r="G505" s="73"/>
      <c r="H505" s="73"/>
      <c r="I505" s="73"/>
      <c r="J505" s="73"/>
      <c r="K505" s="73"/>
      <c r="L505" s="73"/>
      <c r="M505" s="74"/>
      <c r="N505" s="71" t="str">
        <f t="shared" si="7"/>
        <v/>
      </c>
      <c r="O505" s="75"/>
      <c r="P505" s="72"/>
      <c r="Q505" s="72"/>
      <c r="R505" s="72"/>
      <c r="S505" s="72"/>
      <c r="T505" s="72"/>
      <c r="U505" s="72"/>
      <c r="V505" s="76"/>
    </row>
    <row r="506" spans="1:25" ht="27.75" customHeight="1">
      <c r="A506" s="87" t="str">
        <f>IF(ISBLANK(C506)," ",501-COUNTBLANK($C$6:C506))</f>
        <v xml:space="preserve"> </v>
      </c>
      <c r="B506" s="88"/>
      <c r="C506" s="88"/>
      <c r="D506" s="89"/>
      <c r="E506" s="89"/>
      <c r="F506" s="73"/>
      <c r="G506" s="73"/>
      <c r="H506" s="73"/>
      <c r="I506" s="73"/>
      <c r="J506" s="73"/>
      <c r="K506" s="73"/>
      <c r="L506" s="73"/>
      <c r="M506" s="74"/>
      <c r="N506" s="71" t="str">
        <f t="shared" si="7"/>
        <v/>
      </c>
      <c r="O506" s="75"/>
      <c r="P506" s="72"/>
      <c r="Q506" s="72"/>
      <c r="R506" s="72"/>
      <c r="S506" s="72"/>
      <c r="T506" s="72"/>
      <c r="U506" s="72"/>
      <c r="V506" s="76"/>
    </row>
    <row r="507" spans="1:25" ht="27.75" customHeight="1">
      <c r="A507" s="87" t="str">
        <f>IF(ISBLANK(C507)," ",502-COUNTBLANK($C$6:C507))</f>
        <v xml:space="preserve"> </v>
      </c>
      <c r="B507" s="88"/>
      <c r="C507" s="88"/>
      <c r="D507" s="89"/>
      <c r="E507" s="89"/>
      <c r="F507" s="73"/>
      <c r="G507" s="73"/>
      <c r="H507" s="73"/>
      <c r="I507" s="73"/>
      <c r="J507" s="73"/>
      <c r="K507" s="73"/>
      <c r="L507" s="73"/>
      <c r="M507" s="74"/>
      <c r="N507" s="71" t="str">
        <f t="shared" si="7"/>
        <v/>
      </c>
      <c r="O507" s="75"/>
      <c r="P507" s="72"/>
      <c r="Q507" s="72"/>
      <c r="R507" s="72"/>
      <c r="S507" s="72"/>
      <c r="T507" s="72"/>
      <c r="U507" s="72"/>
      <c r="V507" s="76"/>
    </row>
    <row r="508" spans="1:25" ht="27.75" customHeight="1">
      <c r="A508" s="87" t="str">
        <f>IF(ISBLANK(C508)," ",503-COUNTBLANK($C$6:C508))</f>
        <v xml:space="preserve"> </v>
      </c>
      <c r="B508" s="88"/>
      <c r="C508" s="88"/>
      <c r="D508" s="89"/>
      <c r="E508" s="89"/>
      <c r="F508" s="73"/>
      <c r="G508" s="73"/>
      <c r="H508" s="73"/>
      <c r="I508" s="73"/>
      <c r="J508" s="73"/>
      <c r="K508" s="73"/>
      <c r="L508" s="73"/>
      <c r="M508" s="74"/>
      <c r="N508" s="71" t="str">
        <f t="shared" si="7"/>
        <v/>
      </c>
      <c r="O508" s="72"/>
      <c r="P508" s="72"/>
      <c r="Q508" s="72"/>
      <c r="R508" s="72"/>
      <c r="S508" s="72"/>
      <c r="T508" s="72"/>
      <c r="U508" s="72"/>
      <c r="V508" s="79"/>
      <c r="W508" s="72"/>
      <c r="X508" s="72"/>
      <c r="Y508" s="72"/>
    </row>
    <row r="509" spans="1:25" ht="27.75" customHeight="1">
      <c r="A509" s="80" t="s">
        <v>58</v>
      </c>
      <c r="B509" s="81"/>
      <c r="C509" s="96"/>
      <c r="D509" s="82"/>
      <c r="E509" s="82">
        <f>SUM(E489:E508)</f>
        <v>0</v>
      </c>
      <c r="F509" s="83"/>
      <c r="G509" s="83"/>
      <c r="H509" s="83"/>
      <c r="I509" s="83"/>
      <c r="J509" s="83"/>
      <c r="K509" s="83"/>
      <c r="L509" s="83"/>
      <c r="M509" s="84"/>
      <c r="N509" s="71" t="str">
        <f t="shared" si="7"/>
        <v/>
      </c>
      <c r="O509" s="75"/>
      <c r="P509" s="72"/>
      <c r="Q509" s="72"/>
      <c r="R509" s="72"/>
      <c r="S509" s="72"/>
      <c r="T509" s="72"/>
      <c r="U509" s="72"/>
      <c r="V509" s="79"/>
      <c r="W509" s="72"/>
      <c r="X509" s="72"/>
      <c r="Y509" s="72"/>
    </row>
    <row r="510" spans="1:25" ht="27.75" customHeight="1">
      <c r="A510" s="93" t="str">
        <f>IF(ISBLANK(C510)," ",505-COUNTBLANK($C$6:C510))</f>
        <v xml:space="preserve"> </v>
      </c>
      <c r="B510" s="94"/>
      <c r="C510" s="94"/>
      <c r="D510" s="95"/>
      <c r="E510" s="95"/>
      <c r="F510" s="85"/>
      <c r="G510" s="85"/>
      <c r="H510" s="85"/>
      <c r="I510" s="85"/>
      <c r="J510" s="85"/>
      <c r="K510" s="85"/>
      <c r="L510" s="85"/>
      <c r="M510" s="86"/>
      <c r="N510" s="71" t="str">
        <f t="shared" si="7"/>
        <v/>
      </c>
      <c r="O510" s="72"/>
      <c r="P510" s="72"/>
      <c r="Q510" s="72"/>
      <c r="R510" s="72"/>
      <c r="S510" s="72"/>
      <c r="T510" s="72"/>
      <c r="U510" s="72"/>
      <c r="V510" s="72"/>
    </row>
    <row r="511" spans="1:25" ht="27.75" customHeight="1">
      <c r="A511" s="87" t="str">
        <f>IF(ISBLANK(C511)," ",506-COUNTBLANK($C$6:C511))</f>
        <v xml:space="preserve"> </v>
      </c>
      <c r="B511" s="88"/>
      <c r="C511" s="88"/>
      <c r="D511" s="89"/>
      <c r="E511" s="89"/>
      <c r="F511" s="73"/>
      <c r="G511" s="73"/>
      <c r="H511" s="73"/>
      <c r="I511" s="73"/>
      <c r="J511" s="73"/>
      <c r="K511" s="73"/>
      <c r="L511" s="73"/>
      <c r="M511" s="74"/>
      <c r="N511" s="71" t="str">
        <f t="shared" si="7"/>
        <v/>
      </c>
      <c r="O511" s="72"/>
      <c r="P511" s="72"/>
      <c r="Q511" s="72"/>
      <c r="R511" s="72"/>
      <c r="S511" s="72"/>
      <c r="T511" s="72"/>
      <c r="U511" s="72"/>
      <c r="V511" s="72"/>
    </row>
    <row r="512" spans="1:25" ht="27.75" customHeight="1">
      <c r="A512" s="87" t="str">
        <f>IF(ISBLANK(C512)," ",507-COUNTBLANK($C$6:C512))</f>
        <v xml:space="preserve"> </v>
      </c>
      <c r="B512" s="88"/>
      <c r="C512" s="88"/>
      <c r="D512" s="89"/>
      <c r="E512" s="89"/>
      <c r="F512" s="73"/>
      <c r="G512" s="73"/>
      <c r="H512" s="73"/>
      <c r="I512" s="73"/>
      <c r="J512" s="73"/>
      <c r="K512" s="73"/>
      <c r="L512" s="73"/>
      <c r="M512" s="74"/>
      <c r="N512" s="71" t="str">
        <f t="shared" si="7"/>
        <v/>
      </c>
      <c r="O512" s="72"/>
      <c r="P512" s="72"/>
      <c r="Q512" s="72"/>
      <c r="R512" s="72"/>
      <c r="S512" s="72"/>
      <c r="T512" s="72"/>
      <c r="U512" s="72"/>
      <c r="V512" s="72"/>
    </row>
    <row r="513" spans="1:22" ht="27.75" customHeight="1">
      <c r="A513" s="87" t="str">
        <f>IF(ISBLANK(C513)," ",508-COUNTBLANK($C$6:C513))</f>
        <v xml:space="preserve"> </v>
      </c>
      <c r="B513" s="88"/>
      <c r="C513" s="88"/>
      <c r="D513" s="89"/>
      <c r="E513" s="89"/>
      <c r="F513" s="73"/>
      <c r="G513" s="73"/>
      <c r="H513" s="73"/>
      <c r="I513" s="73"/>
      <c r="J513" s="73"/>
      <c r="K513" s="73"/>
      <c r="L513" s="73"/>
      <c r="M513" s="74"/>
      <c r="N513" s="71" t="str">
        <f t="shared" si="7"/>
        <v/>
      </c>
      <c r="O513" s="72"/>
      <c r="P513" s="72"/>
      <c r="Q513" s="72"/>
      <c r="R513" s="72"/>
      <c r="S513" s="72"/>
      <c r="T513" s="72"/>
      <c r="U513" s="72"/>
      <c r="V513" s="72"/>
    </row>
    <row r="514" spans="1:22" ht="27.75" customHeight="1">
      <c r="A514" s="87" t="str">
        <f>IF(ISBLANK(C514)," ",509-COUNTBLANK($C$6:C514))</f>
        <v xml:space="preserve"> </v>
      </c>
      <c r="B514" s="88"/>
      <c r="C514" s="88"/>
      <c r="D514" s="89"/>
      <c r="E514" s="89"/>
      <c r="F514" s="73"/>
      <c r="G514" s="73"/>
      <c r="H514" s="73"/>
      <c r="I514" s="73"/>
      <c r="J514" s="73"/>
      <c r="K514" s="73"/>
      <c r="L514" s="73"/>
      <c r="M514" s="74"/>
      <c r="N514" s="71" t="str">
        <f t="shared" si="7"/>
        <v/>
      </c>
      <c r="O514" s="72"/>
      <c r="P514" s="72"/>
      <c r="Q514" s="72"/>
      <c r="R514" s="72"/>
      <c r="S514" s="72"/>
      <c r="T514" s="72"/>
      <c r="U514" s="72"/>
      <c r="V514" s="72"/>
    </row>
    <row r="515" spans="1:22" ht="27.75" customHeight="1">
      <c r="A515" s="87" t="str">
        <f>IF(ISBLANK(C515)," ",510-COUNTBLANK($C$6:C515))</f>
        <v xml:space="preserve"> </v>
      </c>
      <c r="B515" s="88"/>
      <c r="C515" s="88"/>
      <c r="D515" s="89"/>
      <c r="E515" s="89"/>
      <c r="F515" s="73"/>
      <c r="G515" s="73"/>
      <c r="H515" s="73"/>
      <c r="I515" s="73"/>
      <c r="J515" s="73"/>
      <c r="K515" s="73"/>
      <c r="L515" s="73"/>
      <c r="M515" s="74"/>
      <c r="N515" s="71" t="str">
        <f t="shared" si="7"/>
        <v/>
      </c>
      <c r="O515" s="72"/>
      <c r="P515" s="72"/>
      <c r="Q515" s="72"/>
      <c r="R515" s="72"/>
      <c r="S515" s="72"/>
      <c r="T515" s="72"/>
      <c r="U515" s="72"/>
      <c r="V515" s="72"/>
    </row>
    <row r="516" spans="1:22" ht="27.75" customHeight="1">
      <c r="A516" s="87" t="str">
        <f>IF(ISBLANK(C516)," ",511-COUNTBLANK($C$6:C516))</f>
        <v xml:space="preserve"> </v>
      </c>
      <c r="B516" s="88"/>
      <c r="C516" s="88"/>
      <c r="D516" s="89"/>
      <c r="E516" s="89"/>
      <c r="F516" s="73"/>
      <c r="G516" s="73"/>
      <c r="H516" s="73"/>
      <c r="I516" s="73"/>
      <c r="J516" s="73"/>
      <c r="K516" s="73"/>
      <c r="L516" s="73"/>
      <c r="M516" s="74"/>
      <c r="N516" s="71" t="str">
        <f t="shared" si="7"/>
        <v/>
      </c>
      <c r="O516" s="72"/>
      <c r="P516" s="72"/>
      <c r="Q516" s="72"/>
      <c r="R516" s="72"/>
      <c r="S516" s="72"/>
      <c r="T516" s="72"/>
      <c r="U516" s="72"/>
      <c r="V516" s="72"/>
    </row>
    <row r="517" spans="1:22" ht="27.75" customHeight="1">
      <c r="A517" s="87" t="str">
        <f>IF(ISBLANK(C517)," ",512-COUNTBLANK($C$6:C517))</f>
        <v xml:space="preserve"> </v>
      </c>
      <c r="B517" s="88"/>
      <c r="C517" s="88"/>
      <c r="D517" s="89"/>
      <c r="E517" s="89"/>
      <c r="F517" s="73"/>
      <c r="G517" s="73"/>
      <c r="H517" s="73"/>
      <c r="I517" s="73"/>
      <c r="J517" s="73"/>
      <c r="K517" s="73"/>
      <c r="L517" s="73"/>
      <c r="M517" s="74"/>
      <c r="N517" s="71" t="str">
        <f t="shared" si="7"/>
        <v/>
      </c>
      <c r="O517" s="72"/>
      <c r="P517" s="72"/>
      <c r="Q517" s="72"/>
      <c r="R517" s="72"/>
      <c r="S517" s="72"/>
      <c r="T517" s="72"/>
      <c r="U517" s="72"/>
      <c r="V517" s="72"/>
    </row>
    <row r="518" spans="1:22" ht="27.75" customHeight="1">
      <c r="A518" s="87" t="str">
        <f>IF(ISBLANK(C518)," ",513-COUNTBLANK($C$6:C518))</f>
        <v xml:space="preserve"> </v>
      </c>
      <c r="B518" s="88"/>
      <c r="C518" s="88"/>
      <c r="D518" s="89"/>
      <c r="E518" s="89"/>
      <c r="F518" s="73"/>
      <c r="G518" s="73"/>
      <c r="H518" s="73"/>
      <c r="I518" s="73"/>
      <c r="J518" s="73"/>
      <c r="K518" s="73"/>
      <c r="L518" s="73"/>
      <c r="M518" s="74"/>
      <c r="N518" s="71" t="str">
        <f t="shared" ref="N518:N530" si="8">CONCATENATE(C518,H518)</f>
        <v/>
      </c>
      <c r="O518" s="72"/>
      <c r="P518" s="72"/>
      <c r="Q518" s="72"/>
      <c r="R518" s="72"/>
      <c r="S518" s="72"/>
      <c r="T518" s="72"/>
      <c r="U518" s="72"/>
      <c r="V518" s="72"/>
    </row>
    <row r="519" spans="1:22" ht="27.75" customHeight="1">
      <c r="A519" s="87" t="str">
        <f>IF(ISBLANK(C519)," ",514-COUNTBLANK($C$6:C519))</f>
        <v xml:space="preserve"> </v>
      </c>
      <c r="B519" s="88"/>
      <c r="C519" s="88"/>
      <c r="D519" s="89"/>
      <c r="E519" s="89"/>
      <c r="F519" s="73"/>
      <c r="G519" s="73"/>
      <c r="H519" s="73"/>
      <c r="I519" s="73"/>
      <c r="J519" s="73"/>
      <c r="K519" s="73"/>
      <c r="L519" s="73"/>
      <c r="M519" s="74"/>
      <c r="N519" s="71" t="str">
        <f t="shared" si="8"/>
        <v/>
      </c>
      <c r="O519" s="72"/>
      <c r="P519" s="72"/>
      <c r="Q519" s="72"/>
      <c r="R519" s="72"/>
      <c r="S519" s="72"/>
      <c r="T519" s="72"/>
      <c r="U519" s="72"/>
      <c r="V519" s="72"/>
    </row>
    <row r="520" spans="1:22" ht="27.75" customHeight="1">
      <c r="A520" s="87" t="str">
        <f>IF(ISBLANK(C520)," ",515-COUNTBLANK($C$6:C520))</f>
        <v xml:space="preserve"> </v>
      </c>
      <c r="B520" s="88"/>
      <c r="C520" s="88"/>
      <c r="D520" s="89"/>
      <c r="E520" s="89"/>
      <c r="F520" s="73"/>
      <c r="G520" s="73"/>
      <c r="H520" s="73"/>
      <c r="I520" s="73"/>
      <c r="J520" s="73"/>
      <c r="K520" s="73"/>
      <c r="L520" s="73"/>
      <c r="M520" s="74"/>
      <c r="N520" s="71" t="str">
        <f t="shared" si="8"/>
        <v/>
      </c>
      <c r="O520" s="72"/>
      <c r="P520" s="72"/>
      <c r="Q520" s="72"/>
      <c r="R520" s="72"/>
      <c r="S520" s="72"/>
      <c r="T520" s="72"/>
      <c r="U520" s="72"/>
      <c r="V520" s="72"/>
    </row>
    <row r="521" spans="1:22" ht="27.75" customHeight="1">
      <c r="A521" s="87" t="str">
        <f>IF(ISBLANK(C521)," ",516-COUNTBLANK($C$6:C521))</f>
        <v xml:space="preserve"> </v>
      </c>
      <c r="B521" s="88"/>
      <c r="C521" s="88"/>
      <c r="D521" s="89"/>
      <c r="E521" s="89"/>
      <c r="F521" s="73"/>
      <c r="G521" s="73"/>
      <c r="H521" s="73"/>
      <c r="I521" s="73"/>
      <c r="J521" s="73"/>
      <c r="K521" s="73"/>
      <c r="L521" s="73"/>
      <c r="M521" s="74"/>
      <c r="N521" s="71" t="str">
        <f t="shared" si="8"/>
        <v/>
      </c>
      <c r="O521" s="72"/>
      <c r="P521" s="72"/>
      <c r="Q521" s="72"/>
      <c r="R521" s="72"/>
      <c r="S521" s="72"/>
      <c r="T521" s="72"/>
      <c r="U521" s="72"/>
      <c r="V521" s="72"/>
    </row>
    <row r="522" spans="1:22" ht="27.75" customHeight="1">
      <c r="A522" s="87" t="str">
        <f>IF(ISBLANK(C522)," ",517-COUNTBLANK($C$6:C522))</f>
        <v xml:space="preserve"> </v>
      </c>
      <c r="B522" s="88"/>
      <c r="C522" s="88"/>
      <c r="D522" s="89"/>
      <c r="E522" s="89"/>
      <c r="F522" s="73"/>
      <c r="G522" s="73"/>
      <c r="H522" s="73"/>
      <c r="I522" s="73"/>
      <c r="J522" s="73"/>
      <c r="K522" s="73"/>
      <c r="L522" s="73"/>
      <c r="M522" s="74"/>
      <c r="N522" s="71" t="str">
        <f t="shared" si="8"/>
        <v/>
      </c>
      <c r="O522" s="72"/>
      <c r="P522" s="72"/>
      <c r="Q522" s="72"/>
      <c r="R522" s="72"/>
      <c r="S522" s="72"/>
      <c r="T522" s="72"/>
      <c r="U522" s="72"/>
      <c r="V522" s="72"/>
    </row>
    <row r="523" spans="1:22" ht="27.75" customHeight="1">
      <c r="A523" s="87" t="str">
        <f>IF(ISBLANK(C523)," ",518-COUNTBLANK($C$6:C523))</f>
        <v xml:space="preserve"> </v>
      </c>
      <c r="B523" s="88"/>
      <c r="C523" s="88"/>
      <c r="D523" s="89"/>
      <c r="E523" s="89"/>
      <c r="F523" s="73"/>
      <c r="G523" s="73"/>
      <c r="H523" s="73"/>
      <c r="I523" s="73"/>
      <c r="J523" s="73"/>
      <c r="K523" s="73"/>
      <c r="L523" s="73"/>
      <c r="M523" s="74"/>
      <c r="N523" s="71" t="str">
        <f t="shared" si="8"/>
        <v/>
      </c>
      <c r="O523" s="72"/>
      <c r="P523" s="72"/>
      <c r="Q523" s="72"/>
      <c r="R523" s="72"/>
      <c r="S523" s="72"/>
      <c r="T523" s="72"/>
      <c r="U523" s="72"/>
      <c r="V523" s="72"/>
    </row>
    <row r="524" spans="1:22" ht="27.75" customHeight="1">
      <c r="A524" s="87" t="str">
        <f>IF(ISBLANK(C524)," ",519-COUNTBLANK($C$6:C524))</f>
        <v xml:space="preserve"> </v>
      </c>
      <c r="B524" s="88"/>
      <c r="C524" s="88"/>
      <c r="D524" s="89"/>
      <c r="E524" s="89"/>
      <c r="F524" s="73"/>
      <c r="G524" s="73"/>
      <c r="H524" s="73"/>
      <c r="I524" s="73"/>
      <c r="J524" s="73"/>
      <c r="K524" s="73"/>
      <c r="L524" s="73"/>
      <c r="M524" s="74"/>
      <c r="N524" s="71" t="str">
        <f t="shared" si="8"/>
        <v/>
      </c>
      <c r="O524" s="72"/>
      <c r="P524" s="72"/>
      <c r="Q524" s="72"/>
      <c r="R524" s="72"/>
      <c r="S524" s="72"/>
      <c r="T524" s="72"/>
      <c r="U524" s="72"/>
      <c r="V524" s="72"/>
    </row>
    <row r="525" spans="1:22" ht="27.75" customHeight="1">
      <c r="A525" s="87" t="str">
        <f>IF(ISBLANK(C525)," ",520-COUNTBLANK($C$6:C525))</f>
        <v xml:space="preserve"> </v>
      </c>
      <c r="B525" s="88"/>
      <c r="C525" s="88"/>
      <c r="D525" s="89"/>
      <c r="E525" s="89"/>
      <c r="F525" s="73"/>
      <c r="G525" s="73"/>
      <c r="H525" s="73"/>
      <c r="I525" s="73"/>
      <c r="J525" s="73"/>
      <c r="K525" s="73"/>
      <c r="L525" s="73"/>
      <c r="M525" s="74"/>
      <c r="N525" s="71" t="str">
        <f t="shared" si="8"/>
        <v/>
      </c>
      <c r="O525" s="75"/>
      <c r="P525" s="72"/>
      <c r="Q525" s="72"/>
      <c r="R525" s="72"/>
      <c r="S525" s="72"/>
      <c r="T525" s="72"/>
      <c r="U525" s="72"/>
      <c r="V525" s="76"/>
    </row>
    <row r="526" spans="1:22" ht="27.75" customHeight="1">
      <c r="A526" s="87" t="str">
        <f>IF(ISBLANK(C526)," ",521-COUNTBLANK($C$6:C526))</f>
        <v xml:space="preserve"> </v>
      </c>
      <c r="B526" s="88"/>
      <c r="C526" s="88"/>
      <c r="D526" s="89"/>
      <c r="E526" s="89"/>
      <c r="F526" s="73"/>
      <c r="G526" s="73"/>
      <c r="H526" s="73"/>
      <c r="I526" s="73"/>
      <c r="J526" s="73"/>
      <c r="K526" s="73"/>
      <c r="L526" s="73"/>
      <c r="M526" s="74"/>
      <c r="N526" s="71" t="str">
        <f t="shared" si="8"/>
        <v/>
      </c>
      <c r="O526" s="75"/>
      <c r="P526" s="72"/>
      <c r="Q526" s="72"/>
      <c r="R526" s="72"/>
      <c r="S526" s="72"/>
      <c r="T526" s="72"/>
      <c r="U526" s="72"/>
      <c r="V526" s="76"/>
    </row>
    <row r="527" spans="1:22" ht="27.75" customHeight="1">
      <c r="A527" s="87" t="str">
        <f>IF(ISBLANK(C527)," ",522-COUNTBLANK($C$6:C527))</f>
        <v xml:space="preserve"> </v>
      </c>
      <c r="B527" s="88"/>
      <c r="C527" s="88"/>
      <c r="D527" s="89"/>
      <c r="E527" s="89"/>
      <c r="F527" s="73"/>
      <c r="G527" s="73"/>
      <c r="H527" s="73"/>
      <c r="I527" s="73"/>
      <c r="J527" s="73"/>
      <c r="K527" s="73"/>
      <c r="L527" s="73"/>
      <c r="M527" s="74"/>
      <c r="N527" s="71" t="str">
        <f t="shared" si="8"/>
        <v/>
      </c>
      <c r="O527" s="75"/>
      <c r="P527" s="72"/>
      <c r="Q527" s="72"/>
      <c r="R527" s="72"/>
      <c r="S527" s="72"/>
      <c r="T527" s="72"/>
      <c r="U527" s="72"/>
      <c r="V527" s="76"/>
    </row>
    <row r="528" spans="1:22" ht="27.75" customHeight="1">
      <c r="A528" s="87" t="str">
        <f>IF(ISBLANK(C528)," ",523-COUNTBLANK($C$6:C528))</f>
        <v xml:space="preserve"> </v>
      </c>
      <c r="B528" s="88"/>
      <c r="C528" s="88"/>
      <c r="D528" s="89"/>
      <c r="E528" s="89"/>
      <c r="F528" s="73"/>
      <c r="G528" s="73"/>
      <c r="H528" s="73"/>
      <c r="I528" s="73"/>
      <c r="J528" s="73"/>
      <c r="K528" s="73"/>
      <c r="L528" s="73"/>
      <c r="M528" s="74"/>
      <c r="N528" s="71" t="str">
        <f t="shared" si="8"/>
        <v/>
      </c>
      <c r="O528" s="75"/>
      <c r="P528" s="72"/>
      <c r="Q528" s="72"/>
      <c r="R528" s="72"/>
      <c r="S528" s="72"/>
      <c r="T528" s="72"/>
      <c r="U528" s="72"/>
      <c r="V528" s="76"/>
    </row>
    <row r="529" spans="1:25" ht="27.75" customHeight="1">
      <c r="A529" s="87" t="str">
        <f>IF(ISBLANK(C529)," ",524-COUNTBLANK($C$6:C529))</f>
        <v xml:space="preserve"> </v>
      </c>
      <c r="B529" s="88"/>
      <c r="C529" s="88"/>
      <c r="D529" s="89"/>
      <c r="E529" s="89"/>
      <c r="F529" s="73"/>
      <c r="G529" s="73"/>
      <c r="H529" s="73"/>
      <c r="I529" s="73"/>
      <c r="J529" s="73"/>
      <c r="K529" s="73"/>
      <c r="L529" s="73"/>
      <c r="M529" s="74"/>
      <c r="N529" s="71" t="str">
        <f t="shared" si="8"/>
        <v/>
      </c>
      <c r="O529" s="72"/>
      <c r="P529" s="72"/>
      <c r="Q529" s="72"/>
      <c r="R529" s="72"/>
      <c r="S529" s="72"/>
      <c r="T529" s="72"/>
      <c r="U529" s="72"/>
      <c r="V529" s="79"/>
      <c r="W529" s="72"/>
      <c r="X529" s="72"/>
      <c r="Y529" s="72"/>
    </row>
    <row r="530" spans="1:25" ht="27.75" customHeight="1">
      <c r="A530" s="80" t="s">
        <v>58</v>
      </c>
      <c r="B530" s="81"/>
      <c r="C530" s="96"/>
      <c r="D530" s="82"/>
      <c r="E530" s="82">
        <f>SUM(E510:E529)</f>
        <v>0</v>
      </c>
      <c r="F530" s="83"/>
      <c r="G530" s="83"/>
      <c r="H530" s="83"/>
      <c r="I530" s="83"/>
      <c r="J530" s="83"/>
      <c r="K530" s="83"/>
      <c r="L530" s="83"/>
      <c r="M530" s="84"/>
      <c r="N530" s="71" t="str">
        <f t="shared" si="8"/>
        <v/>
      </c>
      <c r="O530" s="75"/>
      <c r="P530" s="72"/>
      <c r="Q530" s="72"/>
      <c r="R530" s="72"/>
      <c r="S530" s="72"/>
      <c r="T530" s="72"/>
      <c r="U530" s="72"/>
      <c r="V530" s="79"/>
      <c r="W530" s="72"/>
      <c r="X530" s="72"/>
      <c r="Y530" s="72"/>
    </row>
    <row r="531" spans="1:25">
      <c r="O531" s="99"/>
      <c r="P531" s="99"/>
      <c r="Q531" s="99"/>
      <c r="R531" s="99"/>
      <c r="S531" s="99"/>
      <c r="T531" s="99"/>
      <c r="U531" s="99"/>
      <c r="V531" s="99"/>
    </row>
    <row r="532" spans="1:25">
      <c r="O532" s="99"/>
      <c r="P532" s="99"/>
      <c r="Q532" s="99"/>
      <c r="R532" s="99"/>
      <c r="S532" s="99"/>
      <c r="T532" s="99"/>
      <c r="U532" s="99"/>
      <c r="V532" s="99"/>
    </row>
  </sheetData>
  <mergeCells count="4">
    <mergeCell ref="B4:B5"/>
    <mergeCell ref="C4:C5"/>
    <mergeCell ref="H4:I4"/>
    <mergeCell ref="M4:M5"/>
  </mergeCells>
  <phoneticPr fontId="5" type="noConversion"/>
  <printOptions horizontalCentered="1" verticalCentered="1"/>
  <pageMargins left="0.19685039370078741" right="0.19685039370078741" top="1.1811023622047245" bottom="0.59055118110236227" header="0.59055118110236227" footer="0.19685039370078741"/>
  <pageSetup paperSize="9" scale="81" orientation="portrait" horizontalDpi="4294967292" r:id="rId1"/>
  <headerFooter alignWithMargins="0"/>
  <rowBreaks count="3" manualBreakCount="3">
    <brk id="26" max="16383" man="1"/>
    <brk id="47" max="16383" man="1"/>
    <brk id="6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Y532"/>
  <sheetViews>
    <sheetView showGridLines="0" showZeros="0" view="pageBreakPreview" zoomScaleNormal="55" workbookViewId="0">
      <selection activeCell="A26" sqref="A26:IV26"/>
    </sheetView>
  </sheetViews>
  <sheetFormatPr defaultRowHeight="11.25"/>
  <cols>
    <col min="1" max="1" width="4.33203125" style="51" customWidth="1"/>
    <col min="2" max="2" width="6.33203125" style="97" customWidth="1"/>
    <col min="3" max="3" width="3.77734375" style="51" customWidth="1"/>
    <col min="4" max="4" width="6.77734375" style="51" customWidth="1"/>
    <col min="5" max="5" width="6.77734375" style="98" customWidth="1"/>
    <col min="6" max="6" width="4.109375" style="51" customWidth="1"/>
    <col min="7" max="7" width="4.77734375" style="51" customWidth="1"/>
    <col min="8" max="8" width="7.33203125" style="51" customWidth="1"/>
    <col min="9" max="9" width="11.77734375" style="51" customWidth="1"/>
    <col min="10" max="10" width="6.77734375" style="51" customWidth="1"/>
    <col min="11" max="11" width="11.77734375" style="51" customWidth="1"/>
    <col min="12" max="12" width="6.77734375" style="51" customWidth="1"/>
    <col min="13" max="13" width="3.77734375" style="51" customWidth="1"/>
    <col min="14" max="14" width="20.77734375" style="99" hidden="1" customWidth="1"/>
    <col min="15" max="21" width="9.77734375" style="51" customWidth="1"/>
    <col min="22" max="22" width="10.77734375" style="51" customWidth="1"/>
    <col min="23" max="16384" width="8.88671875" style="51"/>
  </cols>
  <sheetData>
    <row r="1" spans="1:22" ht="30" customHeight="1">
      <c r="A1" s="45" t="s">
        <v>64</v>
      </c>
      <c r="B1" s="46"/>
      <c r="C1" s="47"/>
      <c r="D1" s="47"/>
      <c r="E1" s="48"/>
      <c r="F1" s="47"/>
      <c r="G1" s="47"/>
      <c r="H1" s="47"/>
      <c r="I1" s="47"/>
      <c r="J1" s="47"/>
      <c r="K1" s="47"/>
      <c r="L1" s="47"/>
      <c r="M1" s="47"/>
      <c r="N1" s="49"/>
      <c r="O1" s="50"/>
      <c r="P1" s="50"/>
      <c r="Q1" s="50"/>
      <c r="R1" s="50"/>
      <c r="S1" s="50"/>
      <c r="T1" s="50"/>
      <c r="U1" s="50"/>
      <c r="V1" s="50"/>
    </row>
    <row r="2" spans="1:22" ht="19.899999999999999" customHeight="1">
      <c r="A2" s="50"/>
      <c r="B2" s="52"/>
      <c r="C2" s="50"/>
      <c r="D2" s="50"/>
      <c r="E2" s="53"/>
      <c r="F2" s="50"/>
      <c r="G2" s="50"/>
      <c r="H2" s="50"/>
      <c r="I2" s="50"/>
      <c r="J2" s="54"/>
      <c r="K2" s="55">
        <v>3</v>
      </c>
      <c r="L2" s="47"/>
      <c r="M2" s="47"/>
      <c r="N2" s="56"/>
      <c r="O2" s="50"/>
      <c r="P2" s="50"/>
      <c r="Q2" s="50"/>
      <c r="R2" s="50"/>
      <c r="S2" s="50"/>
      <c r="T2" s="50"/>
      <c r="U2" s="50"/>
      <c r="V2" s="50"/>
    </row>
    <row r="3" spans="1:22" ht="10.15" customHeight="1">
      <c r="A3" s="50"/>
      <c r="B3" s="52"/>
      <c r="C3" s="50"/>
      <c r="D3" s="50"/>
      <c r="E3" s="53"/>
      <c r="F3" s="50"/>
      <c r="G3" s="50"/>
      <c r="H3" s="50"/>
      <c r="I3" s="50"/>
      <c r="J3" s="50"/>
      <c r="K3" s="50"/>
      <c r="L3" s="50"/>
      <c r="M3" s="50"/>
      <c r="N3" s="57"/>
      <c r="O3" s="50"/>
      <c r="P3" s="50"/>
      <c r="Q3" s="50"/>
      <c r="R3" s="50"/>
      <c r="S3" s="50"/>
      <c r="T3" s="50"/>
      <c r="U3" s="50"/>
      <c r="V3" s="50"/>
    </row>
    <row r="4" spans="1:22" ht="30" customHeight="1">
      <c r="A4" s="107" t="s">
        <v>45</v>
      </c>
      <c r="B4" s="381" t="s">
        <v>46</v>
      </c>
      <c r="C4" s="369" t="s">
        <v>47</v>
      </c>
      <c r="D4" s="108" t="s">
        <v>48</v>
      </c>
      <c r="E4" s="109" t="s">
        <v>49</v>
      </c>
      <c r="F4" s="110" t="s">
        <v>50</v>
      </c>
      <c r="G4" s="58"/>
      <c r="H4" s="367" t="s">
        <v>51</v>
      </c>
      <c r="I4" s="368"/>
      <c r="J4" s="59" t="s">
        <v>52</v>
      </c>
      <c r="K4" s="58"/>
      <c r="L4" s="60"/>
      <c r="M4" s="371" t="s">
        <v>37</v>
      </c>
      <c r="N4" s="56"/>
      <c r="O4" s="50"/>
      <c r="P4" s="61"/>
      <c r="Q4" s="61"/>
      <c r="R4" s="61"/>
      <c r="S4" s="61"/>
      <c r="T4" s="61"/>
      <c r="U4" s="61"/>
      <c r="V4" s="61"/>
    </row>
    <row r="5" spans="1:22" ht="30" customHeight="1">
      <c r="A5" s="62" t="s">
        <v>53</v>
      </c>
      <c r="B5" s="382"/>
      <c r="C5" s="370"/>
      <c r="D5" s="63" t="s">
        <v>65</v>
      </c>
      <c r="E5" s="63" t="s">
        <v>65</v>
      </c>
      <c r="F5" s="64" t="s">
        <v>47</v>
      </c>
      <c r="G5" s="65" t="s">
        <v>54</v>
      </c>
      <c r="H5" s="65" t="s">
        <v>55</v>
      </c>
      <c r="I5" s="64" t="s">
        <v>56</v>
      </c>
      <c r="J5" s="65" t="s">
        <v>55</v>
      </c>
      <c r="K5" s="65" t="s">
        <v>56</v>
      </c>
      <c r="L5" s="66" t="s">
        <v>57</v>
      </c>
      <c r="M5" s="372"/>
      <c r="N5" s="67"/>
      <c r="O5" s="61"/>
      <c r="P5" s="68"/>
      <c r="Q5" s="68"/>
      <c r="R5" s="68"/>
      <c r="S5" s="68"/>
      <c r="T5" s="68"/>
      <c r="U5" s="68"/>
      <c r="V5" s="50"/>
    </row>
    <row r="6" spans="1:22" ht="27.75" customHeight="1">
      <c r="A6" s="147"/>
      <c r="B6" s="148"/>
      <c r="C6" s="149"/>
      <c r="D6" s="150"/>
      <c r="E6" s="150"/>
      <c r="F6" s="151"/>
      <c r="G6" s="151"/>
      <c r="H6" s="152"/>
      <c r="I6" s="153"/>
      <c r="J6" s="69"/>
      <c r="K6" s="69"/>
      <c r="L6" s="69"/>
      <c r="M6" s="70"/>
      <c r="N6" s="71" t="str">
        <f t="shared" ref="N6:N69" si="0">CONCATENATE(C6,H6)</f>
        <v/>
      </c>
      <c r="O6" s="72"/>
      <c r="P6" s="72"/>
      <c r="Q6" s="72"/>
      <c r="R6" s="72"/>
      <c r="S6" s="72"/>
      <c r="T6" s="72"/>
      <c r="U6" s="72"/>
      <c r="V6" s="72"/>
    </row>
    <row r="7" spans="1:22" ht="27.75" customHeight="1">
      <c r="A7" s="154"/>
      <c r="B7" s="155"/>
      <c r="C7" s="156"/>
      <c r="D7" s="157"/>
      <c r="E7" s="157"/>
      <c r="F7" s="158"/>
      <c r="G7" s="158"/>
      <c r="H7" s="159"/>
      <c r="I7" s="160"/>
      <c r="J7" s="73"/>
      <c r="K7" s="73"/>
      <c r="L7" s="73"/>
      <c r="M7" s="74"/>
      <c r="N7" s="71" t="str">
        <f t="shared" si="0"/>
        <v/>
      </c>
      <c r="O7" s="72"/>
      <c r="P7" s="72"/>
      <c r="Q7" s="72"/>
      <c r="R7" s="72"/>
      <c r="S7" s="72"/>
      <c r="T7" s="72"/>
      <c r="U7" s="72"/>
      <c r="V7" s="72"/>
    </row>
    <row r="8" spans="1:22" ht="27.75" customHeight="1">
      <c r="A8" s="154"/>
      <c r="B8" s="155"/>
      <c r="C8" s="156"/>
      <c r="D8" s="157"/>
      <c r="E8" s="157"/>
      <c r="F8" s="158"/>
      <c r="G8" s="158"/>
      <c r="H8" s="159"/>
      <c r="I8" s="160"/>
      <c r="J8" s="73"/>
      <c r="K8" s="73"/>
      <c r="L8" s="73"/>
      <c r="M8" s="74"/>
      <c r="N8" s="71" t="str">
        <f t="shared" si="0"/>
        <v/>
      </c>
      <c r="O8" s="72"/>
      <c r="P8" s="72"/>
      <c r="Q8" s="72"/>
      <c r="R8" s="72"/>
      <c r="S8" s="72"/>
      <c r="T8" s="72"/>
      <c r="U8" s="72"/>
      <c r="V8" s="72"/>
    </row>
    <row r="9" spans="1:22" ht="27.75" customHeight="1">
      <c r="A9" s="154"/>
      <c r="B9" s="155"/>
      <c r="C9" s="156"/>
      <c r="D9" s="157"/>
      <c r="E9" s="157"/>
      <c r="F9" s="158"/>
      <c r="G9" s="158"/>
      <c r="H9" s="159"/>
      <c r="I9" s="160"/>
      <c r="J9" s="73"/>
      <c r="K9" s="73"/>
      <c r="L9" s="73"/>
      <c r="M9" s="74"/>
      <c r="N9" s="71" t="str">
        <f t="shared" si="0"/>
        <v/>
      </c>
      <c r="O9" s="72"/>
      <c r="P9" s="72"/>
      <c r="Q9" s="72"/>
      <c r="R9" s="72"/>
      <c r="S9" s="72"/>
      <c r="T9" s="72"/>
      <c r="U9" s="72"/>
      <c r="V9" s="72"/>
    </row>
    <row r="10" spans="1:22" ht="27.75" customHeight="1">
      <c r="A10" s="154"/>
      <c r="B10" s="155"/>
      <c r="C10" s="156"/>
      <c r="D10" s="157"/>
      <c r="E10" s="157"/>
      <c r="F10" s="158"/>
      <c r="G10" s="158"/>
      <c r="H10" s="159"/>
      <c r="I10" s="160"/>
      <c r="J10" s="73"/>
      <c r="K10" s="73"/>
      <c r="L10" s="73"/>
      <c r="M10" s="74"/>
      <c r="N10" s="71" t="str">
        <f t="shared" si="0"/>
        <v/>
      </c>
      <c r="O10" s="72"/>
      <c r="P10" s="72"/>
      <c r="Q10" s="72"/>
      <c r="R10" s="72"/>
      <c r="S10" s="72"/>
      <c r="T10" s="72"/>
      <c r="U10" s="72"/>
      <c r="V10" s="72"/>
    </row>
    <row r="11" spans="1:22" ht="27.75" customHeight="1">
      <c r="A11" s="154"/>
      <c r="B11" s="155"/>
      <c r="C11" s="156"/>
      <c r="D11" s="157"/>
      <c r="E11" s="157"/>
      <c r="F11" s="158"/>
      <c r="G11" s="158"/>
      <c r="H11" s="159"/>
      <c r="I11" s="160"/>
      <c r="J11" s="73"/>
      <c r="K11" s="73"/>
      <c r="L11" s="73"/>
      <c r="M11" s="74"/>
      <c r="N11" s="71" t="str">
        <f t="shared" si="0"/>
        <v/>
      </c>
      <c r="O11" s="72"/>
      <c r="P11" s="72"/>
      <c r="Q11" s="72"/>
      <c r="R11" s="72"/>
      <c r="S11" s="72"/>
      <c r="T11" s="72"/>
      <c r="U11" s="72"/>
      <c r="V11" s="72"/>
    </row>
    <row r="12" spans="1:22" ht="27.75" customHeight="1">
      <c r="A12" s="154"/>
      <c r="B12" s="155"/>
      <c r="C12" s="156"/>
      <c r="D12" s="157"/>
      <c r="E12" s="157"/>
      <c r="F12" s="158"/>
      <c r="G12" s="161"/>
      <c r="H12" s="159"/>
      <c r="I12" s="160"/>
      <c r="J12" s="73"/>
      <c r="K12" s="73"/>
      <c r="L12" s="73"/>
      <c r="M12" s="74"/>
      <c r="N12" s="71" t="str">
        <f t="shared" si="0"/>
        <v/>
      </c>
      <c r="O12" s="72"/>
      <c r="P12" s="72"/>
      <c r="Q12" s="72"/>
      <c r="R12" s="72"/>
      <c r="S12" s="72"/>
      <c r="T12" s="72"/>
      <c r="U12" s="72"/>
      <c r="V12" s="72"/>
    </row>
    <row r="13" spans="1:22" ht="27.75" customHeight="1">
      <c r="A13" s="154"/>
      <c r="B13" s="155"/>
      <c r="C13" s="156"/>
      <c r="D13" s="157"/>
      <c r="E13" s="157"/>
      <c r="F13" s="158"/>
      <c r="G13" s="158"/>
      <c r="H13" s="159"/>
      <c r="I13" s="160"/>
      <c r="J13" s="73"/>
      <c r="K13" s="73"/>
      <c r="L13" s="73"/>
      <c r="M13" s="74"/>
      <c r="N13" s="71" t="str">
        <f t="shared" si="0"/>
        <v/>
      </c>
      <c r="O13" s="72"/>
      <c r="P13" s="72"/>
      <c r="Q13" s="72"/>
      <c r="R13" s="72"/>
      <c r="S13" s="72"/>
      <c r="T13" s="72"/>
      <c r="U13" s="72"/>
      <c r="V13" s="72"/>
    </row>
    <row r="14" spans="1:22" ht="27.75" customHeight="1">
      <c r="A14" s="154"/>
      <c r="B14" s="155"/>
      <c r="C14" s="156"/>
      <c r="D14" s="157"/>
      <c r="E14" s="157"/>
      <c r="F14" s="158"/>
      <c r="G14" s="158"/>
      <c r="H14" s="159"/>
      <c r="I14" s="160"/>
      <c r="J14" s="73"/>
      <c r="K14" s="73"/>
      <c r="L14" s="73"/>
      <c r="M14" s="74"/>
      <c r="N14" s="71" t="str">
        <f t="shared" si="0"/>
        <v/>
      </c>
      <c r="O14" s="72"/>
      <c r="P14" s="72"/>
      <c r="Q14" s="72"/>
      <c r="R14" s="72"/>
      <c r="S14" s="72"/>
      <c r="T14" s="72"/>
      <c r="U14" s="72"/>
      <c r="V14" s="72"/>
    </row>
    <row r="15" spans="1:22" ht="27.75" customHeight="1">
      <c r="A15" s="154"/>
      <c r="B15" s="155"/>
      <c r="C15" s="156"/>
      <c r="D15" s="157"/>
      <c r="E15" s="157"/>
      <c r="F15" s="158"/>
      <c r="G15" s="158"/>
      <c r="H15" s="159"/>
      <c r="I15" s="160"/>
      <c r="J15" s="73"/>
      <c r="K15" s="73"/>
      <c r="L15" s="73"/>
      <c r="M15" s="74"/>
      <c r="N15" s="71" t="str">
        <f t="shared" si="0"/>
        <v/>
      </c>
      <c r="O15" s="72"/>
      <c r="P15" s="72"/>
      <c r="Q15" s="72"/>
      <c r="R15" s="72"/>
      <c r="S15" s="72"/>
      <c r="T15" s="72"/>
      <c r="U15" s="72"/>
      <c r="V15" s="72"/>
    </row>
    <row r="16" spans="1:22" ht="27.75" customHeight="1">
      <c r="A16" s="154"/>
      <c r="B16" s="155"/>
      <c r="C16" s="156"/>
      <c r="D16" s="157"/>
      <c r="E16" s="157"/>
      <c r="F16" s="158"/>
      <c r="G16" s="158"/>
      <c r="H16" s="159"/>
      <c r="I16" s="160"/>
      <c r="J16" s="73"/>
      <c r="K16" s="73"/>
      <c r="L16" s="73"/>
      <c r="M16" s="74"/>
      <c r="N16" s="71" t="str">
        <f t="shared" si="0"/>
        <v/>
      </c>
      <c r="O16" s="72"/>
      <c r="P16" s="72"/>
      <c r="Q16" s="72"/>
      <c r="R16" s="72"/>
      <c r="S16" s="72"/>
      <c r="T16" s="72"/>
      <c r="U16" s="72"/>
      <c r="V16" s="72"/>
    </row>
    <row r="17" spans="1:25" ht="27.75" customHeight="1">
      <c r="A17" s="154"/>
      <c r="B17" s="155"/>
      <c r="C17" s="156"/>
      <c r="D17" s="157"/>
      <c r="E17" s="157"/>
      <c r="F17" s="158"/>
      <c r="G17" s="158"/>
      <c r="H17" s="159"/>
      <c r="I17" s="160"/>
      <c r="J17" s="73"/>
      <c r="K17" s="73"/>
      <c r="L17" s="73"/>
      <c r="M17" s="74"/>
      <c r="N17" s="71" t="str">
        <f t="shared" si="0"/>
        <v/>
      </c>
      <c r="O17" s="72"/>
      <c r="P17" s="72"/>
      <c r="Q17" s="72"/>
      <c r="R17" s="72"/>
      <c r="S17" s="72"/>
      <c r="T17" s="72"/>
      <c r="U17" s="72"/>
      <c r="V17" s="72"/>
    </row>
    <row r="18" spans="1:25" ht="27.75" customHeight="1">
      <c r="A18" s="154"/>
      <c r="B18" s="155"/>
      <c r="C18" s="156"/>
      <c r="D18" s="157"/>
      <c r="E18" s="157"/>
      <c r="F18" s="158"/>
      <c r="G18" s="158"/>
      <c r="H18" s="159"/>
      <c r="I18" s="160"/>
      <c r="J18" s="73"/>
      <c r="K18" s="73"/>
      <c r="L18" s="73"/>
      <c r="M18" s="74"/>
      <c r="N18" s="71" t="str">
        <f t="shared" si="0"/>
        <v/>
      </c>
      <c r="O18" s="72"/>
      <c r="P18" s="72"/>
      <c r="Q18" s="72"/>
      <c r="R18" s="72"/>
      <c r="S18" s="72"/>
      <c r="T18" s="72"/>
      <c r="U18" s="72"/>
      <c r="V18" s="72"/>
    </row>
    <row r="19" spans="1:25" ht="27.75" customHeight="1">
      <c r="A19" s="154"/>
      <c r="B19" s="155"/>
      <c r="C19" s="156"/>
      <c r="D19" s="157"/>
      <c r="E19" s="157"/>
      <c r="F19" s="158"/>
      <c r="G19" s="158"/>
      <c r="H19" s="159"/>
      <c r="I19" s="160"/>
      <c r="J19" s="73"/>
      <c r="K19" s="73"/>
      <c r="L19" s="73"/>
      <c r="M19" s="74"/>
      <c r="N19" s="71" t="str">
        <f t="shared" si="0"/>
        <v/>
      </c>
      <c r="O19" s="72"/>
      <c r="P19" s="72"/>
      <c r="Q19" s="72"/>
      <c r="R19" s="72"/>
      <c r="S19" s="72"/>
      <c r="T19" s="72"/>
      <c r="U19" s="72"/>
      <c r="V19" s="72"/>
    </row>
    <row r="20" spans="1:25" ht="27.75" customHeight="1">
      <c r="A20" s="154"/>
      <c r="B20" s="155"/>
      <c r="C20" s="156"/>
      <c r="D20" s="157"/>
      <c r="E20" s="157"/>
      <c r="F20" s="158"/>
      <c r="G20" s="158"/>
      <c r="H20" s="159"/>
      <c r="I20" s="160"/>
      <c r="J20" s="73"/>
      <c r="K20" s="73"/>
      <c r="L20" s="73"/>
      <c r="M20" s="74"/>
      <c r="N20" s="71" t="str">
        <f t="shared" si="0"/>
        <v/>
      </c>
      <c r="O20" s="72"/>
      <c r="P20" s="72"/>
      <c r="Q20" s="72"/>
      <c r="R20" s="72"/>
      <c r="S20" s="72"/>
      <c r="T20" s="72"/>
      <c r="U20" s="72"/>
      <c r="V20" s="72"/>
    </row>
    <row r="21" spans="1:25" ht="27.75" customHeight="1">
      <c r="A21" s="154"/>
      <c r="B21" s="155"/>
      <c r="C21" s="156"/>
      <c r="D21" s="157"/>
      <c r="E21" s="157"/>
      <c r="F21" s="158"/>
      <c r="G21" s="158"/>
      <c r="H21" s="159"/>
      <c r="I21" s="160"/>
      <c r="J21" s="73"/>
      <c r="K21" s="73"/>
      <c r="L21" s="73"/>
      <c r="M21" s="74"/>
      <c r="N21" s="71" t="str">
        <f t="shared" si="0"/>
        <v/>
      </c>
      <c r="O21" s="75"/>
      <c r="P21" s="72"/>
      <c r="Q21" s="72"/>
      <c r="R21" s="72"/>
      <c r="S21" s="72"/>
      <c r="T21" s="72"/>
      <c r="U21" s="72"/>
      <c r="V21" s="76"/>
    </row>
    <row r="22" spans="1:25" ht="27.75" customHeight="1">
      <c r="A22" s="154"/>
      <c r="B22" s="155"/>
      <c r="C22" s="156"/>
      <c r="D22" s="157"/>
      <c r="E22" s="157"/>
      <c r="F22" s="158"/>
      <c r="G22" s="161"/>
      <c r="H22" s="159"/>
      <c r="I22" s="160"/>
      <c r="J22" s="73"/>
      <c r="K22" s="73"/>
      <c r="L22" s="73"/>
      <c r="M22" s="74"/>
      <c r="N22" s="71" t="str">
        <f t="shared" si="0"/>
        <v/>
      </c>
      <c r="O22" s="75"/>
      <c r="P22" s="72"/>
      <c r="Q22" s="72"/>
      <c r="R22" s="72"/>
      <c r="S22" s="72"/>
      <c r="T22" s="72"/>
      <c r="U22" s="72"/>
      <c r="V22" s="76"/>
    </row>
    <row r="23" spans="1:25" ht="27.75" customHeight="1">
      <c r="A23" s="154"/>
      <c r="B23" s="155"/>
      <c r="C23" s="156"/>
      <c r="D23" s="157"/>
      <c r="E23" s="157"/>
      <c r="F23" s="158"/>
      <c r="G23" s="158"/>
      <c r="H23" s="159"/>
      <c r="I23" s="160"/>
      <c r="J23" s="73"/>
      <c r="K23" s="73"/>
      <c r="L23" s="73"/>
      <c r="M23" s="74"/>
      <c r="N23" s="71" t="str">
        <f t="shared" si="0"/>
        <v/>
      </c>
      <c r="O23" s="75"/>
      <c r="P23" s="72"/>
      <c r="Q23" s="72"/>
      <c r="R23" s="72"/>
      <c r="S23" s="72"/>
      <c r="T23" s="72"/>
      <c r="U23" s="72"/>
      <c r="V23" s="76"/>
    </row>
    <row r="24" spans="1:25" ht="27.75" customHeight="1">
      <c r="A24" s="154"/>
      <c r="B24" s="155"/>
      <c r="C24" s="156"/>
      <c r="D24" s="157"/>
      <c r="E24" s="157"/>
      <c r="F24" s="158"/>
      <c r="G24" s="158"/>
      <c r="H24" s="159"/>
      <c r="I24" s="159"/>
      <c r="J24" s="73"/>
      <c r="K24" s="73"/>
      <c r="L24" s="73"/>
      <c r="M24" s="74"/>
      <c r="N24" s="71" t="str">
        <f t="shared" si="0"/>
        <v/>
      </c>
      <c r="O24" s="75"/>
      <c r="P24" s="72"/>
      <c r="Q24" s="72"/>
      <c r="R24" s="72"/>
      <c r="S24" s="72"/>
      <c r="T24" s="72"/>
      <c r="U24" s="72"/>
      <c r="V24" s="76"/>
    </row>
    <row r="25" spans="1:25" ht="27.75" customHeight="1">
      <c r="A25" s="162"/>
      <c r="B25" s="163"/>
      <c r="C25" s="164"/>
      <c r="D25" s="165"/>
      <c r="E25" s="165"/>
      <c r="F25" s="166"/>
      <c r="G25" s="166"/>
      <c r="H25" s="167"/>
      <c r="I25" s="168"/>
      <c r="J25" s="77"/>
      <c r="K25" s="77"/>
      <c r="L25" s="77"/>
      <c r="M25" s="78"/>
      <c r="N25" s="71" t="str">
        <f t="shared" si="0"/>
        <v/>
      </c>
      <c r="O25" s="72"/>
      <c r="P25" s="72"/>
      <c r="Q25" s="72"/>
      <c r="R25" s="72"/>
      <c r="S25" s="72"/>
      <c r="T25" s="72"/>
      <c r="U25" s="72"/>
      <c r="V25" s="79"/>
      <c r="W25" s="72"/>
      <c r="X25" s="72"/>
      <c r="Y25" s="72"/>
    </row>
    <row r="26" spans="1:25" ht="27.75" customHeight="1">
      <c r="A26" s="80" t="s">
        <v>58</v>
      </c>
      <c r="B26" s="81"/>
      <c r="C26" s="96"/>
      <c r="D26" s="82"/>
      <c r="E26" s="82">
        <f>SUM(E6:E25)</f>
        <v>0</v>
      </c>
      <c r="F26" s="83"/>
      <c r="G26" s="83"/>
      <c r="H26" s="83"/>
      <c r="I26" s="83"/>
      <c r="J26" s="83"/>
      <c r="K26" s="83"/>
      <c r="L26" s="83"/>
      <c r="M26" s="84"/>
      <c r="N26" s="71" t="str">
        <f t="shared" si="0"/>
        <v/>
      </c>
      <c r="O26" s="75"/>
      <c r="P26" s="72"/>
      <c r="Q26" s="72"/>
      <c r="R26" s="72"/>
      <c r="S26" s="72"/>
      <c r="T26" s="72"/>
      <c r="U26" s="72"/>
      <c r="V26" s="79"/>
      <c r="W26" s="72"/>
      <c r="X26" s="72"/>
      <c r="Y26" s="72"/>
    </row>
    <row r="27" spans="1:25" ht="27.75" customHeight="1">
      <c r="A27" s="169"/>
      <c r="B27" s="170"/>
      <c r="C27" s="171"/>
      <c r="D27" s="172"/>
      <c r="E27" s="172"/>
      <c r="F27" s="173"/>
      <c r="G27" s="173"/>
      <c r="H27" s="174"/>
      <c r="I27" s="175"/>
      <c r="J27" s="85"/>
      <c r="K27" s="85"/>
      <c r="L27" s="85"/>
      <c r="M27" s="86"/>
      <c r="N27" s="71" t="str">
        <f t="shared" si="0"/>
        <v/>
      </c>
      <c r="O27" s="72"/>
      <c r="P27" s="72"/>
      <c r="Q27" s="72"/>
      <c r="R27" s="72"/>
      <c r="S27" s="72"/>
      <c r="T27" s="72"/>
      <c r="U27" s="72"/>
      <c r="V27" s="72"/>
    </row>
    <row r="28" spans="1:25" ht="27.75" customHeight="1">
      <c r="A28" s="154"/>
      <c r="B28" s="155"/>
      <c r="C28" s="156"/>
      <c r="D28" s="157"/>
      <c r="E28" s="157"/>
      <c r="F28" s="158"/>
      <c r="G28" s="158"/>
      <c r="H28" s="159"/>
      <c r="I28" s="160"/>
      <c r="J28" s="73"/>
      <c r="K28" s="73"/>
      <c r="L28" s="73"/>
      <c r="M28" s="74"/>
      <c r="N28" s="71" t="str">
        <f t="shared" si="0"/>
        <v/>
      </c>
      <c r="O28" s="72"/>
      <c r="P28" s="72"/>
      <c r="Q28" s="72"/>
      <c r="R28" s="72"/>
      <c r="S28" s="72"/>
      <c r="T28" s="72"/>
      <c r="U28" s="72"/>
      <c r="V28" s="72"/>
    </row>
    <row r="29" spans="1:25" ht="27.75" customHeight="1">
      <c r="A29" s="154"/>
      <c r="B29" s="155"/>
      <c r="C29" s="156"/>
      <c r="D29" s="157"/>
      <c r="E29" s="157"/>
      <c r="F29" s="158"/>
      <c r="G29" s="158"/>
      <c r="H29" s="159"/>
      <c r="I29" s="160"/>
      <c r="J29" s="73"/>
      <c r="K29" s="73"/>
      <c r="L29" s="73"/>
      <c r="M29" s="74"/>
      <c r="N29" s="71" t="str">
        <f t="shared" si="0"/>
        <v/>
      </c>
      <c r="O29" s="72"/>
      <c r="P29" s="72"/>
      <c r="Q29" s="72"/>
      <c r="R29" s="72"/>
      <c r="S29" s="72"/>
      <c r="T29" s="72"/>
      <c r="U29" s="72"/>
      <c r="V29" s="72"/>
    </row>
    <row r="30" spans="1:25" ht="27.75" customHeight="1">
      <c r="A30" s="154"/>
      <c r="B30" s="155"/>
      <c r="C30" s="156"/>
      <c r="D30" s="157"/>
      <c r="E30" s="157"/>
      <c r="F30" s="158"/>
      <c r="G30" s="158"/>
      <c r="H30" s="159"/>
      <c r="I30" s="160"/>
      <c r="J30" s="73"/>
      <c r="K30" s="73"/>
      <c r="L30" s="73"/>
      <c r="M30" s="74"/>
      <c r="N30" s="71" t="str">
        <f t="shared" si="0"/>
        <v/>
      </c>
      <c r="O30" s="72"/>
      <c r="P30" s="72"/>
      <c r="Q30" s="72"/>
      <c r="R30" s="72"/>
      <c r="S30" s="72"/>
      <c r="T30" s="72"/>
      <c r="U30" s="72"/>
      <c r="V30" s="72"/>
    </row>
    <row r="31" spans="1:25" ht="27.75" customHeight="1">
      <c r="A31" s="154"/>
      <c r="B31" s="155"/>
      <c r="C31" s="156"/>
      <c r="D31" s="157"/>
      <c r="E31" s="157"/>
      <c r="F31" s="158"/>
      <c r="G31" s="158"/>
      <c r="H31" s="159"/>
      <c r="I31" s="160"/>
      <c r="J31" s="73"/>
      <c r="K31" s="73"/>
      <c r="L31" s="73"/>
      <c r="M31" s="74"/>
      <c r="N31" s="71" t="str">
        <f t="shared" si="0"/>
        <v/>
      </c>
      <c r="O31" s="72"/>
      <c r="P31" s="72"/>
      <c r="Q31" s="72"/>
      <c r="R31" s="72"/>
      <c r="S31" s="72"/>
      <c r="T31" s="72"/>
      <c r="U31" s="72"/>
      <c r="V31" s="72"/>
    </row>
    <row r="32" spans="1:25" ht="27.75" customHeight="1">
      <c r="A32" s="87" t="str">
        <f>IF(ISBLANK(C32)," ",27-COUNTBLANK($C$6:C32))</f>
        <v xml:space="preserve"> </v>
      </c>
      <c r="B32" s="88"/>
      <c r="C32" s="88"/>
      <c r="D32" s="89"/>
      <c r="E32" s="89"/>
      <c r="F32" s="73"/>
      <c r="G32" s="73"/>
      <c r="H32" s="73"/>
      <c r="I32" s="73"/>
      <c r="J32" s="73"/>
      <c r="K32" s="73"/>
      <c r="L32" s="73"/>
      <c r="M32" s="74"/>
      <c r="N32" s="71" t="str">
        <f t="shared" si="0"/>
        <v/>
      </c>
      <c r="O32" s="72"/>
      <c r="P32" s="72"/>
      <c r="Q32" s="72"/>
      <c r="R32" s="72"/>
      <c r="S32" s="72"/>
      <c r="T32" s="72"/>
      <c r="U32" s="72"/>
      <c r="V32" s="72"/>
    </row>
    <row r="33" spans="1:25" ht="27.75" customHeight="1">
      <c r="A33" s="87" t="str">
        <f>IF(ISBLANK(C33)," ",28-COUNTBLANK($C$6:C33))</f>
        <v xml:space="preserve"> </v>
      </c>
      <c r="B33" s="88"/>
      <c r="C33" s="88"/>
      <c r="D33" s="89"/>
      <c r="E33" s="89"/>
      <c r="F33" s="73"/>
      <c r="G33" s="73"/>
      <c r="H33" s="73"/>
      <c r="I33" s="73"/>
      <c r="J33" s="73"/>
      <c r="K33" s="73"/>
      <c r="L33" s="73"/>
      <c r="M33" s="74"/>
      <c r="N33" s="71" t="str">
        <f t="shared" si="0"/>
        <v/>
      </c>
      <c r="O33" s="72"/>
      <c r="P33" s="72"/>
      <c r="Q33" s="72"/>
      <c r="R33" s="72"/>
      <c r="S33" s="72"/>
      <c r="T33" s="72"/>
      <c r="U33" s="72"/>
      <c r="V33" s="72"/>
    </row>
    <row r="34" spans="1:25" ht="27.75" customHeight="1">
      <c r="A34" s="87" t="str">
        <f>IF(ISBLANK(C34)," ",29-COUNTBLANK($C$6:C34))</f>
        <v xml:space="preserve"> </v>
      </c>
      <c r="B34" s="88"/>
      <c r="C34" s="88"/>
      <c r="D34" s="89"/>
      <c r="E34" s="89"/>
      <c r="F34" s="73"/>
      <c r="G34" s="73"/>
      <c r="H34" s="73"/>
      <c r="I34" s="73"/>
      <c r="J34" s="73"/>
      <c r="K34" s="73"/>
      <c r="L34" s="73"/>
      <c r="M34" s="74"/>
      <c r="N34" s="71" t="str">
        <f t="shared" si="0"/>
        <v/>
      </c>
      <c r="O34" s="72"/>
      <c r="P34" s="72"/>
      <c r="Q34" s="72"/>
      <c r="R34" s="72"/>
      <c r="S34" s="72"/>
      <c r="T34" s="72"/>
      <c r="U34" s="72"/>
      <c r="V34" s="72"/>
    </row>
    <row r="35" spans="1:25" ht="27.75" customHeight="1">
      <c r="A35" s="87" t="str">
        <f>IF(ISBLANK(C35)," ",30-COUNTBLANK($C$6:C35))</f>
        <v xml:space="preserve"> </v>
      </c>
      <c r="B35" s="88"/>
      <c r="C35" s="88"/>
      <c r="D35" s="89"/>
      <c r="E35" s="89"/>
      <c r="F35" s="73"/>
      <c r="G35" s="73"/>
      <c r="H35" s="73"/>
      <c r="I35" s="73"/>
      <c r="J35" s="73"/>
      <c r="K35" s="73"/>
      <c r="L35" s="73"/>
      <c r="M35" s="74"/>
      <c r="N35" s="71" t="str">
        <f t="shared" si="0"/>
        <v/>
      </c>
      <c r="O35" s="72"/>
      <c r="P35" s="72"/>
      <c r="Q35" s="72"/>
      <c r="R35" s="72"/>
      <c r="S35" s="72"/>
      <c r="T35" s="72"/>
      <c r="U35" s="72"/>
      <c r="V35" s="72"/>
    </row>
    <row r="36" spans="1:25" ht="27.75" customHeight="1">
      <c r="A36" s="87" t="str">
        <f>IF(ISBLANK(C36)," ",31-COUNTBLANK($C$6:C36))</f>
        <v xml:space="preserve"> </v>
      </c>
      <c r="B36" s="88"/>
      <c r="C36" s="88"/>
      <c r="D36" s="89"/>
      <c r="E36" s="89"/>
      <c r="F36" s="73"/>
      <c r="G36" s="73"/>
      <c r="H36" s="73"/>
      <c r="I36" s="73"/>
      <c r="J36" s="73"/>
      <c r="K36" s="73"/>
      <c r="L36" s="73"/>
      <c r="M36" s="74"/>
      <c r="N36" s="71" t="str">
        <f t="shared" si="0"/>
        <v/>
      </c>
      <c r="O36" s="72"/>
      <c r="P36" s="72"/>
      <c r="Q36" s="72"/>
      <c r="R36" s="72"/>
      <c r="S36" s="72"/>
      <c r="T36" s="72"/>
      <c r="U36" s="72"/>
      <c r="V36" s="72"/>
    </row>
    <row r="37" spans="1:25" ht="27.75" customHeight="1">
      <c r="A37" s="87" t="str">
        <f>IF(ISBLANK(C37)," ",32-COUNTBLANK($C$6:C37))</f>
        <v xml:space="preserve"> </v>
      </c>
      <c r="B37" s="88"/>
      <c r="C37" s="88"/>
      <c r="D37" s="89"/>
      <c r="E37" s="89"/>
      <c r="F37" s="73"/>
      <c r="G37" s="73"/>
      <c r="H37" s="73"/>
      <c r="I37" s="73"/>
      <c r="J37" s="73"/>
      <c r="K37" s="73"/>
      <c r="L37" s="73"/>
      <c r="M37" s="74"/>
      <c r="N37" s="71" t="str">
        <f t="shared" si="0"/>
        <v/>
      </c>
      <c r="O37" s="72"/>
      <c r="P37" s="72"/>
      <c r="Q37" s="72"/>
      <c r="R37" s="72"/>
      <c r="S37" s="72"/>
      <c r="T37" s="72"/>
      <c r="U37" s="72"/>
      <c r="V37" s="72"/>
    </row>
    <row r="38" spans="1:25" ht="27.75" customHeight="1">
      <c r="A38" s="87" t="str">
        <f>IF(ISBLANK(C38)," ",33-COUNTBLANK($C$6:C38))</f>
        <v xml:space="preserve"> </v>
      </c>
      <c r="B38" s="88"/>
      <c r="C38" s="88"/>
      <c r="D38" s="89"/>
      <c r="E38" s="89"/>
      <c r="F38" s="73"/>
      <c r="G38" s="73"/>
      <c r="H38" s="73"/>
      <c r="I38" s="73"/>
      <c r="J38" s="73"/>
      <c r="K38" s="73"/>
      <c r="L38" s="73"/>
      <c r="M38" s="74"/>
      <c r="N38" s="71" t="str">
        <f t="shared" si="0"/>
        <v/>
      </c>
      <c r="O38" s="72"/>
      <c r="P38" s="72"/>
      <c r="Q38" s="72"/>
      <c r="R38" s="72"/>
      <c r="S38" s="72"/>
      <c r="T38" s="72"/>
      <c r="U38" s="72"/>
      <c r="V38" s="72"/>
    </row>
    <row r="39" spans="1:25" ht="27.75" customHeight="1">
      <c r="A39" s="87" t="str">
        <f>IF(ISBLANK(C39)," ",34-COUNTBLANK($C$6:C39))</f>
        <v xml:space="preserve"> </v>
      </c>
      <c r="B39" s="88"/>
      <c r="C39" s="88"/>
      <c r="D39" s="89"/>
      <c r="E39" s="89"/>
      <c r="F39" s="73"/>
      <c r="G39" s="73"/>
      <c r="H39" s="73"/>
      <c r="I39" s="73"/>
      <c r="J39" s="73"/>
      <c r="K39" s="73"/>
      <c r="L39" s="73"/>
      <c r="M39" s="74"/>
      <c r="N39" s="71" t="str">
        <f t="shared" si="0"/>
        <v/>
      </c>
      <c r="O39" s="72"/>
      <c r="P39" s="72"/>
      <c r="Q39" s="72"/>
      <c r="R39" s="72"/>
      <c r="S39" s="72"/>
      <c r="T39" s="72"/>
      <c r="U39" s="72"/>
      <c r="V39" s="72"/>
    </row>
    <row r="40" spans="1:25" ht="27.75" customHeight="1">
      <c r="A40" s="87" t="str">
        <f>IF(ISBLANK(C40)," ",35-COUNTBLANK($C$6:C40))</f>
        <v xml:space="preserve"> </v>
      </c>
      <c r="B40" s="88"/>
      <c r="C40" s="88"/>
      <c r="D40" s="89"/>
      <c r="E40" s="89"/>
      <c r="F40" s="73"/>
      <c r="G40" s="73"/>
      <c r="H40" s="73"/>
      <c r="I40" s="73"/>
      <c r="J40" s="73"/>
      <c r="K40" s="73"/>
      <c r="L40" s="73"/>
      <c r="M40" s="74"/>
      <c r="N40" s="71" t="str">
        <f t="shared" si="0"/>
        <v/>
      </c>
      <c r="O40" s="72"/>
      <c r="P40" s="72"/>
      <c r="Q40" s="72"/>
      <c r="R40" s="72"/>
      <c r="S40" s="72"/>
      <c r="T40" s="72"/>
      <c r="U40" s="72"/>
      <c r="V40" s="72"/>
    </row>
    <row r="41" spans="1:25" ht="27.75" customHeight="1">
      <c r="A41" s="87" t="str">
        <f>IF(ISBLANK(C41)," ",36-COUNTBLANK($C$6:C41))</f>
        <v xml:space="preserve"> </v>
      </c>
      <c r="B41" s="88"/>
      <c r="C41" s="88"/>
      <c r="D41" s="89"/>
      <c r="E41" s="89"/>
      <c r="F41" s="73"/>
      <c r="G41" s="73"/>
      <c r="H41" s="73"/>
      <c r="I41" s="73"/>
      <c r="J41" s="73"/>
      <c r="K41" s="73"/>
      <c r="L41" s="73"/>
      <c r="M41" s="74"/>
      <c r="N41" s="71" t="str">
        <f t="shared" si="0"/>
        <v/>
      </c>
      <c r="O41" s="72"/>
      <c r="P41" s="72"/>
      <c r="Q41" s="72"/>
      <c r="R41" s="72"/>
      <c r="S41" s="72"/>
      <c r="T41" s="72"/>
      <c r="U41" s="72"/>
      <c r="V41" s="72"/>
    </row>
    <row r="42" spans="1:25" ht="27.75" customHeight="1">
      <c r="A42" s="87" t="str">
        <f>IF(ISBLANK(C42)," ",37-COUNTBLANK($C$6:C42))</f>
        <v xml:space="preserve"> </v>
      </c>
      <c r="B42" s="88"/>
      <c r="C42" s="88"/>
      <c r="D42" s="89"/>
      <c r="E42" s="89"/>
      <c r="F42" s="73"/>
      <c r="G42" s="73"/>
      <c r="H42" s="73"/>
      <c r="I42" s="73"/>
      <c r="J42" s="73"/>
      <c r="K42" s="73"/>
      <c r="L42" s="73"/>
      <c r="M42" s="74"/>
      <c r="N42" s="71" t="str">
        <f t="shared" si="0"/>
        <v/>
      </c>
      <c r="O42" s="75"/>
      <c r="P42" s="72"/>
      <c r="Q42" s="72"/>
      <c r="R42" s="72"/>
      <c r="S42" s="72"/>
      <c r="T42" s="72"/>
      <c r="U42" s="72"/>
      <c r="V42" s="76"/>
    </row>
    <row r="43" spans="1:25" ht="27.75" customHeight="1">
      <c r="A43" s="87" t="str">
        <f>IF(ISBLANK(C43)," ",38-COUNTBLANK($C$6:C43))</f>
        <v xml:space="preserve"> </v>
      </c>
      <c r="B43" s="88"/>
      <c r="C43" s="88"/>
      <c r="D43" s="89"/>
      <c r="E43" s="89"/>
      <c r="F43" s="73"/>
      <c r="G43" s="73"/>
      <c r="H43" s="73"/>
      <c r="I43" s="73"/>
      <c r="J43" s="73"/>
      <c r="K43" s="73"/>
      <c r="L43" s="73"/>
      <c r="M43" s="74"/>
      <c r="N43" s="71" t="str">
        <f t="shared" si="0"/>
        <v/>
      </c>
      <c r="O43" s="75"/>
      <c r="P43" s="72"/>
      <c r="Q43" s="72"/>
      <c r="R43" s="72"/>
      <c r="S43" s="72"/>
      <c r="T43" s="72"/>
      <c r="U43" s="72"/>
      <c r="V43" s="76"/>
    </row>
    <row r="44" spans="1:25" ht="27.75" customHeight="1">
      <c r="A44" s="87" t="str">
        <f>IF(ISBLANK(C44)," ",39-COUNTBLANK($C$6:C44))</f>
        <v xml:space="preserve"> </v>
      </c>
      <c r="B44" s="88"/>
      <c r="C44" s="88"/>
      <c r="D44" s="89"/>
      <c r="E44" s="89"/>
      <c r="F44" s="73"/>
      <c r="G44" s="73"/>
      <c r="H44" s="73"/>
      <c r="I44" s="73"/>
      <c r="J44" s="73"/>
      <c r="K44" s="73"/>
      <c r="L44" s="73"/>
      <c r="M44" s="74"/>
      <c r="N44" s="71" t="str">
        <f t="shared" si="0"/>
        <v/>
      </c>
      <c r="O44" s="75"/>
      <c r="P44" s="72"/>
      <c r="Q44" s="72"/>
      <c r="R44" s="72"/>
      <c r="S44" s="72"/>
      <c r="T44" s="72"/>
      <c r="U44" s="72"/>
      <c r="V44" s="76"/>
    </row>
    <row r="45" spans="1:25" ht="27.75" customHeight="1">
      <c r="A45" s="87" t="str">
        <f>IF(ISBLANK(C45)," ",40-COUNTBLANK($C$6:C45))</f>
        <v xml:space="preserve"> </v>
      </c>
      <c r="B45" s="88"/>
      <c r="C45" s="88"/>
      <c r="D45" s="89"/>
      <c r="E45" s="89"/>
      <c r="F45" s="73"/>
      <c r="G45" s="73"/>
      <c r="H45" s="73"/>
      <c r="I45" s="73"/>
      <c r="J45" s="73"/>
      <c r="K45" s="73"/>
      <c r="L45" s="73"/>
      <c r="M45" s="74"/>
      <c r="N45" s="71" t="str">
        <f t="shared" si="0"/>
        <v/>
      </c>
      <c r="O45" s="75"/>
      <c r="P45" s="72"/>
      <c r="Q45" s="72"/>
      <c r="R45" s="72"/>
      <c r="S45" s="72"/>
      <c r="T45" s="72"/>
      <c r="U45" s="72"/>
      <c r="V45" s="76"/>
    </row>
    <row r="46" spans="1:25" ht="27.75" customHeight="1">
      <c r="A46" s="90" t="str">
        <f>IF(ISBLANK(C46)," ",41-COUNTBLANK($C$6:C46))</f>
        <v xml:space="preserve"> </v>
      </c>
      <c r="B46" s="91"/>
      <c r="C46" s="91"/>
      <c r="D46" s="92"/>
      <c r="E46" s="92"/>
      <c r="F46" s="77"/>
      <c r="G46" s="77"/>
      <c r="H46" s="77"/>
      <c r="I46" s="77"/>
      <c r="J46" s="77"/>
      <c r="K46" s="77"/>
      <c r="L46" s="77"/>
      <c r="M46" s="78"/>
      <c r="N46" s="71" t="str">
        <f t="shared" si="0"/>
        <v/>
      </c>
      <c r="O46" s="72"/>
      <c r="P46" s="72"/>
      <c r="Q46" s="72"/>
      <c r="R46" s="72"/>
      <c r="S46" s="72"/>
      <c r="T46" s="72"/>
      <c r="U46" s="72"/>
      <c r="V46" s="79"/>
      <c r="W46" s="72"/>
      <c r="X46" s="72"/>
      <c r="Y46" s="72"/>
    </row>
    <row r="47" spans="1:25" ht="27.75" customHeight="1">
      <c r="A47" s="80" t="s">
        <v>58</v>
      </c>
      <c r="B47" s="81"/>
      <c r="C47" s="96"/>
      <c r="D47" s="82"/>
      <c r="E47" s="82">
        <f>SUM(E27:E46)</f>
        <v>0</v>
      </c>
      <c r="F47" s="83"/>
      <c r="G47" s="83"/>
      <c r="H47" s="83"/>
      <c r="I47" s="83"/>
      <c r="J47" s="83"/>
      <c r="K47" s="83"/>
      <c r="L47" s="83"/>
      <c r="M47" s="84"/>
      <c r="N47" s="71" t="str">
        <f t="shared" si="0"/>
        <v/>
      </c>
      <c r="O47" s="75"/>
      <c r="P47" s="72"/>
      <c r="Q47" s="72"/>
      <c r="R47" s="72"/>
      <c r="S47" s="72"/>
      <c r="T47" s="72"/>
      <c r="U47" s="72"/>
      <c r="V47" s="79"/>
      <c r="W47" s="72"/>
      <c r="X47" s="72"/>
      <c r="Y47" s="72"/>
    </row>
    <row r="48" spans="1:25" ht="27.75" customHeight="1">
      <c r="A48" s="93" t="str">
        <f>IF(ISBLANK(C48)," ",43-COUNTBLANK($C$6:C48))</f>
        <v xml:space="preserve"> </v>
      </c>
      <c r="B48" s="94"/>
      <c r="C48" s="94"/>
      <c r="D48" s="95"/>
      <c r="E48" s="95"/>
      <c r="F48" s="85"/>
      <c r="G48" s="85"/>
      <c r="H48" s="85"/>
      <c r="I48" s="85"/>
      <c r="J48" s="85"/>
      <c r="K48" s="85"/>
      <c r="L48" s="85"/>
      <c r="M48" s="86"/>
      <c r="N48" s="71" t="str">
        <f t="shared" si="0"/>
        <v/>
      </c>
      <c r="O48" s="72"/>
      <c r="P48" s="72"/>
      <c r="Q48" s="72"/>
      <c r="R48" s="72"/>
      <c r="S48" s="72"/>
      <c r="T48" s="72"/>
      <c r="U48" s="72"/>
      <c r="V48" s="72"/>
    </row>
    <row r="49" spans="1:22" ht="27.75" customHeight="1">
      <c r="A49" s="87" t="str">
        <f>IF(ISBLANK(C49)," ",44-COUNTBLANK($C$6:C49))</f>
        <v xml:space="preserve"> </v>
      </c>
      <c r="B49" s="88"/>
      <c r="C49" s="88"/>
      <c r="D49" s="89"/>
      <c r="E49" s="89"/>
      <c r="F49" s="73"/>
      <c r="G49" s="73"/>
      <c r="H49" s="73"/>
      <c r="I49" s="73"/>
      <c r="J49" s="73"/>
      <c r="K49" s="73"/>
      <c r="L49" s="73"/>
      <c r="M49" s="74"/>
      <c r="N49" s="71" t="str">
        <f t="shared" si="0"/>
        <v/>
      </c>
      <c r="O49" s="72"/>
      <c r="P49" s="72"/>
      <c r="Q49" s="72"/>
      <c r="R49" s="72"/>
      <c r="S49" s="72"/>
      <c r="T49" s="72"/>
      <c r="U49" s="72"/>
      <c r="V49" s="72"/>
    </row>
    <row r="50" spans="1:22" ht="27.75" customHeight="1">
      <c r="A50" s="87" t="str">
        <f>IF(ISBLANK(C50)," ",45-COUNTBLANK($C$6:C50))</f>
        <v xml:space="preserve"> </v>
      </c>
      <c r="B50" s="88"/>
      <c r="C50" s="88"/>
      <c r="D50" s="89"/>
      <c r="E50" s="89"/>
      <c r="F50" s="73"/>
      <c r="G50" s="73"/>
      <c r="H50" s="73"/>
      <c r="I50" s="73"/>
      <c r="J50" s="73"/>
      <c r="K50" s="73"/>
      <c r="L50" s="73"/>
      <c r="M50" s="74"/>
      <c r="N50" s="71" t="str">
        <f t="shared" si="0"/>
        <v/>
      </c>
      <c r="O50" s="72"/>
      <c r="P50" s="72"/>
      <c r="Q50" s="72"/>
      <c r="R50" s="72"/>
      <c r="S50" s="72"/>
      <c r="T50" s="72"/>
      <c r="U50" s="72"/>
      <c r="V50" s="72"/>
    </row>
    <row r="51" spans="1:22" ht="27.75" customHeight="1">
      <c r="A51" s="87" t="str">
        <f>IF(ISBLANK(C51)," ",46-COUNTBLANK($C$6:C51))</f>
        <v xml:space="preserve"> </v>
      </c>
      <c r="B51" s="88"/>
      <c r="C51" s="88"/>
      <c r="D51" s="89"/>
      <c r="E51" s="89"/>
      <c r="F51" s="73"/>
      <c r="G51" s="73"/>
      <c r="H51" s="73"/>
      <c r="I51" s="73"/>
      <c r="J51" s="73"/>
      <c r="K51" s="73"/>
      <c r="L51" s="73"/>
      <c r="M51" s="74"/>
      <c r="N51" s="71" t="str">
        <f t="shared" si="0"/>
        <v/>
      </c>
      <c r="O51" s="72"/>
      <c r="P51" s="72"/>
      <c r="Q51" s="72"/>
      <c r="R51" s="72"/>
      <c r="S51" s="72"/>
      <c r="T51" s="72"/>
      <c r="U51" s="72"/>
      <c r="V51" s="72"/>
    </row>
    <row r="52" spans="1:22" ht="27.75" customHeight="1">
      <c r="A52" s="87" t="str">
        <f>IF(ISBLANK(C52)," ",47-COUNTBLANK($C$6:C52))</f>
        <v xml:space="preserve"> </v>
      </c>
      <c r="B52" s="88"/>
      <c r="C52" s="88"/>
      <c r="D52" s="89"/>
      <c r="E52" s="89"/>
      <c r="F52" s="73"/>
      <c r="G52" s="73"/>
      <c r="H52" s="73"/>
      <c r="I52" s="73"/>
      <c r="J52" s="73"/>
      <c r="K52" s="73"/>
      <c r="L52" s="73"/>
      <c r="M52" s="74"/>
      <c r="N52" s="71" t="str">
        <f t="shared" si="0"/>
        <v/>
      </c>
      <c r="O52" s="72"/>
      <c r="P52" s="72"/>
      <c r="Q52" s="72"/>
      <c r="R52" s="72"/>
      <c r="S52" s="72"/>
      <c r="T52" s="72"/>
      <c r="U52" s="72"/>
      <c r="V52" s="72"/>
    </row>
    <row r="53" spans="1:22" ht="27.75" customHeight="1">
      <c r="A53" s="87" t="str">
        <f>IF(ISBLANK(C53)," ",48-COUNTBLANK($C$6:C53))</f>
        <v xml:space="preserve"> </v>
      </c>
      <c r="B53" s="88"/>
      <c r="C53" s="88"/>
      <c r="D53" s="89"/>
      <c r="E53" s="89"/>
      <c r="F53" s="73"/>
      <c r="G53" s="73"/>
      <c r="H53" s="73"/>
      <c r="I53" s="73"/>
      <c r="J53" s="73"/>
      <c r="K53" s="73"/>
      <c r="L53" s="73"/>
      <c r="M53" s="74"/>
      <c r="N53" s="71" t="str">
        <f t="shared" si="0"/>
        <v/>
      </c>
      <c r="O53" s="72"/>
      <c r="P53" s="72"/>
      <c r="Q53" s="72"/>
      <c r="R53" s="72"/>
      <c r="S53" s="72"/>
      <c r="T53" s="72"/>
      <c r="U53" s="72"/>
      <c r="V53" s="72"/>
    </row>
    <row r="54" spans="1:22" ht="27.75" customHeight="1">
      <c r="A54" s="87" t="str">
        <f>IF(ISBLANK(C54)," ",49-COUNTBLANK($C$6:C54))</f>
        <v xml:space="preserve"> </v>
      </c>
      <c r="B54" s="88"/>
      <c r="C54" s="88"/>
      <c r="D54" s="89"/>
      <c r="E54" s="89"/>
      <c r="F54" s="73"/>
      <c r="G54" s="73"/>
      <c r="H54" s="73"/>
      <c r="I54" s="73"/>
      <c r="J54" s="73"/>
      <c r="K54" s="73"/>
      <c r="L54" s="73"/>
      <c r="M54" s="74"/>
      <c r="N54" s="71" t="str">
        <f t="shared" si="0"/>
        <v/>
      </c>
      <c r="O54" s="72"/>
      <c r="P54" s="72"/>
      <c r="Q54" s="72"/>
      <c r="R54" s="72"/>
      <c r="S54" s="72"/>
      <c r="T54" s="72"/>
      <c r="U54" s="72"/>
      <c r="V54" s="72"/>
    </row>
    <row r="55" spans="1:22" ht="27.75" customHeight="1">
      <c r="A55" s="87" t="str">
        <f>IF(ISBLANK(C55)," ",50-COUNTBLANK($C$6:C55))</f>
        <v xml:space="preserve"> </v>
      </c>
      <c r="B55" s="88"/>
      <c r="C55" s="88"/>
      <c r="D55" s="89"/>
      <c r="E55" s="89"/>
      <c r="F55" s="73"/>
      <c r="G55" s="73"/>
      <c r="H55" s="73"/>
      <c r="I55" s="73"/>
      <c r="J55" s="73"/>
      <c r="K55" s="73"/>
      <c r="L55" s="73"/>
      <c r="M55" s="74"/>
      <c r="N55" s="71" t="str">
        <f t="shared" si="0"/>
        <v/>
      </c>
      <c r="O55" s="72"/>
      <c r="P55" s="72"/>
      <c r="Q55" s="72"/>
      <c r="R55" s="72"/>
      <c r="S55" s="72"/>
      <c r="T55" s="72"/>
      <c r="U55" s="72"/>
      <c r="V55" s="72"/>
    </row>
    <row r="56" spans="1:22" ht="27.75" customHeight="1">
      <c r="A56" s="87" t="str">
        <f>IF(ISBLANK(C56)," ",51-COUNTBLANK($C$6:C56))</f>
        <v xml:space="preserve"> </v>
      </c>
      <c r="B56" s="88"/>
      <c r="C56" s="88"/>
      <c r="D56" s="89"/>
      <c r="E56" s="89"/>
      <c r="F56" s="73"/>
      <c r="G56" s="73"/>
      <c r="H56" s="73"/>
      <c r="I56" s="73"/>
      <c r="J56" s="73"/>
      <c r="K56" s="73"/>
      <c r="L56" s="73"/>
      <c r="M56" s="74"/>
      <c r="N56" s="71" t="str">
        <f t="shared" si="0"/>
        <v/>
      </c>
      <c r="O56" s="72"/>
      <c r="P56" s="72"/>
      <c r="Q56" s="72"/>
      <c r="R56" s="72"/>
      <c r="S56" s="72"/>
      <c r="T56" s="72"/>
      <c r="U56" s="72"/>
      <c r="V56" s="72"/>
    </row>
    <row r="57" spans="1:22" ht="27.75" customHeight="1">
      <c r="A57" s="87" t="str">
        <f>IF(ISBLANK(C57)," ",52-COUNTBLANK($C$6:C57))</f>
        <v xml:space="preserve"> </v>
      </c>
      <c r="B57" s="88"/>
      <c r="C57" s="88"/>
      <c r="D57" s="89"/>
      <c r="E57" s="89"/>
      <c r="F57" s="73"/>
      <c r="G57" s="73"/>
      <c r="H57" s="73"/>
      <c r="I57" s="73"/>
      <c r="J57" s="73"/>
      <c r="K57" s="73"/>
      <c r="L57" s="73"/>
      <c r="M57" s="74"/>
      <c r="N57" s="71" t="str">
        <f t="shared" si="0"/>
        <v/>
      </c>
      <c r="O57" s="72"/>
      <c r="P57" s="72"/>
      <c r="Q57" s="72"/>
      <c r="R57" s="72"/>
      <c r="S57" s="72"/>
      <c r="T57" s="72"/>
      <c r="U57" s="72"/>
      <c r="V57" s="72"/>
    </row>
    <row r="58" spans="1:22" ht="27.75" customHeight="1">
      <c r="A58" s="87" t="str">
        <f>IF(ISBLANK(C58)," ",53-COUNTBLANK($C$6:C58))</f>
        <v xml:space="preserve"> </v>
      </c>
      <c r="B58" s="88"/>
      <c r="C58" s="88"/>
      <c r="D58" s="89"/>
      <c r="E58" s="89"/>
      <c r="F58" s="73"/>
      <c r="G58" s="73"/>
      <c r="H58" s="73"/>
      <c r="I58" s="73"/>
      <c r="J58" s="73"/>
      <c r="K58" s="73"/>
      <c r="L58" s="73"/>
      <c r="M58" s="74"/>
      <c r="N58" s="71" t="str">
        <f t="shared" si="0"/>
        <v/>
      </c>
      <c r="O58" s="72"/>
      <c r="P58" s="72"/>
      <c r="Q58" s="72"/>
      <c r="R58" s="72"/>
      <c r="S58" s="72"/>
      <c r="T58" s="72"/>
      <c r="U58" s="72"/>
      <c r="V58" s="72"/>
    </row>
    <row r="59" spans="1:22" ht="27.75" customHeight="1">
      <c r="A59" s="87" t="str">
        <f>IF(ISBLANK(C59)," ",54-COUNTBLANK($C$6:C59))</f>
        <v xml:space="preserve"> </v>
      </c>
      <c r="B59" s="88"/>
      <c r="C59" s="88"/>
      <c r="D59" s="89"/>
      <c r="E59" s="89"/>
      <c r="F59" s="73"/>
      <c r="G59" s="73"/>
      <c r="H59" s="73"/>
      <c r="I59" s="73"/>
      <c r="J59" s="73"/>
      <c r="K59" s="73"/>
      <c r="L59" s="73"/>
      <c r="M59" s="74"/>
      <c r="N59" s="71" t="str">
        <f t="shared" si="0"/>
        <v/>
      </c>
      <c r="O59" s="72"/>
      <c r="P59" s="72"/>
      <c r="Q59" s="72"/>
      <c r="R59" s="72"/>
      <c r="S59" s="72"/>
      <c r="T59" s="72"/>
      <c r="U59" s="72"/>
      <c r="V59" s="72"/>
    </row>
    <row r="60" spans="1:22" ht="27.75" customHeight="1">
      <c r="A60" s="87" t="str">
        <f>IF(ISBLANK(C60)," ",55-COUNTBLANK($C$6:C60))</f>
        <v xml:space="preserve"> </v>
      </c>
      <c r="B60" s="88"/>
      <c r="C60" s="88"/>
      <c r="D60" s="89"/>
      <c r="E60" s="89"/>
      <c r="F60" s="73"/>
      <c r="G60" s="73"/>
      <c r="H60" s="73"/>
      <c r="I60" s="73"/>
      <c r="J60" s="73"/>
      <c r="K60" s="73"/>
      <c r="L60" s="73"/>
      <c r="M60" s="74"/>
      <c r="N60" s="71" t="str">
        <f t="shared" si="0"/>
        <v/>
      </c>
      <c r="O60" s="72"/>
      <c r="P60" s="72"/>
      <c r="Q60" s="72"/>
      <c r="R60" s="72"/>
      <c r="S60" s="72"/>
      <c r="T60" s="72"/>
      <c r="U60" s="72"/>
      <c r="V60" s="72"/>
    </row>
    <row r="61" spans="1:22" ht="27.75" customHeight="1">
      <c r="A61" s="87" t="str">
        <f>IF(ISBLANK(C61)," ",56-COUNTBLANK($C$6:C61))</f>
        <v xml:space="preserve"> </v>
      </c>
      <c r="B61" s="88"/>
      <c r="C61" s="88"/>
      <c r="D61" s="89"/>
      <c r="E61" s="89"/>
      <c r="F61" s="73"/>
      <c r="G61" s="73"/>
      <c r="H61" s="73"/>
      <c r="I61" s="73"/>
      <c r="J61" s="73"/>
      <c r="K61" s="73"/>
      <c r="L61" s="73"/>
      <c r="M61" s="74"/>
      <c r="N61" s="71" t="str">
        <f t="shared" si="0"/>
        <v/>
      </c>
      <c r="O61" s="72"/>
      <c r="P61" s="72"/>
      <c r="Q61" s="72"/>
      <c r="R61" s="72"/>
      <c r="S61" s="72"/>
      <c r="T61" s="72"/>
      <c r="U61" s="72"/>
      <c r="V61" s="72"/>
    </row>
    <row r="62" spans="1:22" ht="27.75" customHeight="1">
      <c r="A62" s="87" t="str">
        <f>IF(ISBLANK(C62)," ",57-COUNTBLANK($C$6:C62))</f>
        <v xml:space="preserve"> </v>
      </c>
      <c r="B62" s="88"/>
      <c r="C62" s="88"/>
      <c r="D62" s="89"/>
      <c r="E62" s="89"/>
      <c r="F62" s="73"/>
      <c r="G62" s="73"/>
      <c r="H62" s="73"/>
      <c r="I62" s="73"/>
      <c r="J62" s="73"/>
      <c r="K62" s="73"/>
      <c r="L62" s="73"/>
      <c r="M62" s="74"/>
      <c r="N62" s="71" t="str">
        <f t="shared" si="0"/>
        <v/>
      </c>
      <c r="O62" s="72"/>
      <c r="P62" s="72"/>
      <c r="Q62" s="72"/>
      <c r="R62" s="72"/>
      <c r="S62" s="72"/>
      <c r="T62" s="72"/>
      <c r="U62" s="72"/>
      <c r="V62" s="72"/>
    </row>
    <row r="63" spans="1:22" ht="27.75" customHeight="1">
      <c r="A63" s="87" t="str">
        <f>IF(ISBLANK(C63)," ",58-COUNTBLANK($C$6:C63))</f>
        <v xml:space="preserve"> </v>
      </c>
      <c r="B63" s="88"/>
      <c r="C63" s="88"/>
      <c r="D63" s="89"/>
      <c r="E63" s="89"/>
      <c r="F63" s="73"/>
      <c r="G63" s="73"/>
      <c r="H63" s="73"/>
      <c r="I63" s="73"/>
      <c r="J63" s="73"/>
      <c r="K63" s="73"/>
      <c r="L63" s="73"/>
      <c r="M63" s="74"/>
      <c r="N63" s="71" t="str">
        <f t="shared" si="0"/>
        <v/>
      </c>
      <c r="O63" s="75"/>
      <c r="P63" s="72"/>
      <c r="Q63" s="72"/>
      <c r="R63" s="72"/>
      <c r="S63" s="72"/>
      <c r="T63" s="72"/>
      <c r="U63" s="72"/>
      <c r="V63" s="76"/>
    </row>
    <row r="64" spans="1:22" ht="27.75" customHeight="1">
      <c r="A64" s="87" t="str">
        <f>IF(ISBLANK(C64)," ",59-COUNTBLANK($C$6:C64))</f>
        <v xml:space="preserve"> </v>
      </c>
      <c r="B64" s="88"/>
      <c r="C64" s="88"/>
      <c r="D64" s="89"/>
      <c r="E64" s="89"/>
      <c r="F64" s="73"/>
      <c r="G64" s="73"/>
      <c r="H64" s="73"/>
      <c r="I64" s="73"/>
      <c r="J64" s="73"/>
      <c r="K64" s="73"/>
      <c r="L64" s="73"/>
      <c r="M64" s="74"/>
      <c r="N64" s="71" t="str">
        <f t="shared" si="0"/>
        <v/>
      </c>
      <c r="O64" s="75"/>
      <c r="P64" s="72"/>
      <c r="Q64" s="72"/>
      <c r="R64" s="72"/>
      <c r="S64" s="72"/>
      <c r="T64" s="72"/>
      <c r="U64" s="72"/>
      <c r="V64" s="76"/>
    </row>
    <row r="65" spans="1:25" ht="27.75" customHeight="1">
      <c r="A65" s="87" t="str">
        <f>IF(ISBLANK(C65)," ",60-COUNTBLANK($C$6:C65))</f>
        <v xml:space="preserve"> </v>
      </c>
      <c r="B65" s="88"/>
      <c r="C65" s="88"/>
      <c r="D65" s="89"/>
      <c r="E65" s="89"/>
      <c r="F65" s="73"/>
      <c r="G65" s="73"/>
      <c r="H65" s="73"/>
      <c r="I65" s="73"/>
      <c r="J65" s="73"/>
      <c r="K65" s="73"/>
      <c r="L65" s="73"/>
      <c r="M65" s="74"/>
      <c r="N65" s="71" t="str">
        <f t="shared" si="0"/>
        <v/>
      </c>
      <c r="O65" s="75"/>
      <c r="P65" s="72"/>
      <c r="Q65" s="72"/>
      <c r="R65" s="72"/>
      <c r="S65" s="72"/>
      <c r="T65" s="72"/>
      <c r="U65" s="72"/>
      <c r="V65" s="76"/>
    </row>
    <row r="66" spans="1:25" ht="27.75" customHeight="1">
      <c r="A66" s="87" t="str">
        <f>IF(ISBLANK(C66)," ",61-COUNTBLANK($C$6:C66))</f>
        <v xml:space="preserve"> </v>
      </c>
      <c r="B66" s="88"/>
      <c r="C66" s="88"/>
      <c r="D66" s="89"/>
      <c r="E66" s="89"/>
      <c r="F66" s="73"/>
      <c r="G66" s="73"/>
      <c r="H66" s="73"/>
      <c r="I66" s="73"/>
      <c r="J66" s="73"/>
      <c r="K66" s="73"/>
      <c r="L66" s="73"/>
      <c r="M66" s="74"/>
      <c r="N66" s="71" t="str">
        <f t="shared" si="0"/>
        <v/>
      </c>
      <c r="O66" s="75"/>
      <c r="P66" s="72"/>
      <c r="Q66" s="72"/>
      <c r="R66" s="72"/>
      <c r="S66" s="72"/>
      <c r="T66" s="72"/>
      <c r="U66" s="72"/>
      <c r="V66" s="76"/>
    </row>
    <row r="67" spans="1:25" ht="27.75" customHeight="1">
      <c r="A67" s="87" t="str">
        <f>IF(ISBLANK(C67)," ",62-COUNTBLANK($C$6:C67))</f>
        <v xml:space="preserve"> </v>
      </c>
      <c r="B67" s="88"/>
      <c r="C67" s="88"/>
      <c r="D67" s="89"/>
      <c r="E67" s="89"/>
      <c r="F67" s="73"/>
      <c r="G67" s="73"/>
      <c r="H67" s="73"/>
      <c r="I67" s="73"/>
      <c r="J67" s="73"/>
      <c r="K67" s="73"/>
      <c r="L67" s="73"/>
      <c r="M67" s="74"/>
      <c r="N67" s="71" t="str">
        <f t="shared" si="0"/>
        <v/>
      </c>
      <c r="O67" s="72"/>
      <c r="P67" s="72"/>
      <c r="Q67" s="72"/>
      <c r="R67" s="72"/>
      <c r="S67" s="72"/>
      <c r="T67" s="72"/>
      <c r="U67" s="72"/>
      <c r="V67" s="79"/>
      <c r="W67" s="72"/>
      <c r="X67" s="72"/>
      <c r="Y67" s="72"/>
    </row>
    <row r="68" spans="1:25" ht="27.75" customHeight="1">
      <c r="A68" s="80" t="s">
        <v>58</v>
      </c>
      <c r="B68" s="81"/>
      <c r="C68" s="96"/>
      <c r="D68" s="82"/>
      <c r="E68" s="82">
        <f>SUM(E48:E67)</f>
        <v>0</v>
      </c>
      <c r="F68" s="83"/>
      <c r="G68" s="83"/>
      <c r="H68" s="83"/>
      <c r="I68" s="83"/>
      <c r="J68" s="83"/>
      <c r="K68" s="83"/>
      <c r="L68" s="83"/>
      <c r="M68" s="84"/>
      <c r="N68" s="71" t="str">
        <f t="shared" si="0"/>
        <v/>
      </c>
      <c r="O68" s="75"/>
      <c r="P68" s="72"/>
      <c r="Q68" s="72"/>
      <c r="R68" s="72"/>
      <c r="S68" s="72"/>
      <c r="T68" s="72"/>
      <c r="U68" s="72"/>
      <c r="V68" s="79"/>
      <c r="W68" s="72"/>
      <c r="X68" s="72"/>
      <c r="Y68" s="72"/>
    </row>
    <row r="69" spans="1:25" ht="27.75" customHeight="1">
      <c r="A69" s="93" t="str">
        <f>IF(ISBLANK(C69)," ",64-COUNTBLANK($C$6:C69))</f>
        <v xml:space="preserve"> </v>
      </c>
      <c r="B69" s="94"/>
      <c r="C69" s="94"/>
      <c r="D69" s="95"/>
      <c r="E69" s="95"/>
      <c r="F69" s="85"/>
      <c r="G69" s="85"/>
      <c r="H69" s="85"/>
      <c r="I69" s="85"/>
      <c r="J69" s="85"/>
      <c r="K69" s="85"/>
      <c r="L69" s="85"/>
      <c r="M69" s="86"/>
      <c r="N69" s="71" t="str">
        <f t="shared" si="0"/>
        <v/>
      </c>
      <c r="O69" s="72"/>
      <c r="P69" s="72"/>
      <c r="Q69" s="72"/>
      <c r="R69" s="72"/>
      <c r="S69" s="72"/>
      <c r="T69" s="72"/>
      <c r="U69" s="72"/>
      <c r="V69" s="72"/>
    </row>
    <row r="70" spans="1:25" ht="27.75" customHeight="1">
      <c r="A70" s="87" t="str">
        <f>IF(ISBLANK(C70)," ",65-COUNTBLANK($C$6:C70))</f>
        <v xml:space="preserve"> </v>
      </c>
      <c r="B70" s="88"/>
      <c r="C70" s="88"/>
      <c r="D70" s="89"/>
      <c r="E70" s="89"/>
      <c r="F70" s="73"/>
      <c r="G70" s="73"/>
      <c r="H70" s="73"/>
      <c r="I70" s="73"/>
      <c r="J70" s="73"/>
      <c r="K70" s="73"/>
      <c r="L70" s="73"/>
      <c r="M70" s="74"/>
      <c r="N70" s="71" t="str">
        <f t="shared" ref="N70:N133" si="1">CONCATENATE(C70,H70)</f>
        <v/>
      </c>
      <c r="O70" s="72"/>
      <c r="P70" s="72"/>
      <c r="Q70" s="72"/>
      <c r="R70" s="72"/>
      <c r="S70" s="72"/>
      <c r="T70" s="72"/>
      <c r="U70" s="72"/>
      <c r="V70" s="72"/>
    </row>
    <row r="71" spans="1:25" ht="27.75" customHeight="1">
      <c r="A71" s="87" t="str">
        <f>IF(ISBLANK(C71)," ",66-COUNTBLANK($C$6:C71))</f>
        <v xml:space="preserve"> </v>
      </c>
      <c r="B71" s="88"/>
      <c r="C71" s="88"/>
      <c r="D71" s="89"/>
      <c r="E71" s="89"/>
      <c r="F71" s="73"/>
      <c r="G71" s="73"/>
      <c r="H71" s="73"/>
      <c r="I71" s="73"/>
      <c r="J71" s="73"/>
      <c r="K71" s="73"/>
      <c r="L71" s="73"/>
      <c r="M71" s="74"/>
      <c r="N71" s="71" t="str">
        <f t="shared" si="1"/>
        <v/>
      </c>
      <c r="O71" s="72"/>
      <c r="P71" s="72"/>
      <c r="Q71" s="72"/>
      <c r="R71" s="72"/>
      <c r="S71" s="72"/>
      <c r="T71" s="72"/>
      <c r="U71" s="72"/>
      <c r="V71" s="72"/>
    </row>
    <row r="72" spans="1:25" ht="27.75" customHeight="1">
      <c r="A72" s="87" t="str">
        <f>IF(ISBLANK(C72)," ",67-COUNTBLANK($C$6:C72))</f>
        <v xml:space="preserve"> </v>
      </c>
      <c r="B72" s="88"/>
      <c r="C72" s="88"/>
      <c r="D72" s="89"/>
      <c r="E72" s="89"/>
      <c r="F72" s="73"/>
      <c r="G72" s="73"/>
      <c r="H72" s="73"/>
      <c r="I72" s="73"/>
      <c r="J72" s="73"/>
      <c r="K72" s="73"/>
      <c r="L72" s="73"/>
      <c r="M72" s="74"/>
      <c r="N72" s="71" t="str">
        <f t="shared" si="1"/>
        <v/>
      </c>
      <c r="O72" s="72"/>
      <c r="P72" s="72"/>
      <c r="Q72" s="72"/>
      <c r="R72" s="72"/>
      <c r="S72" s="72"/>
      <c r="T72" s="72"/>
      <c r="U72" s="72"/>
      <c r="V72" s="72"/>
    </row>
    <row r="73" spans="1:25" ht="27.75" customHeight="1">
      <c r="A73" s="87" t="str">
        <f>IF(ISBLANK(C73)," ",68-COUNTBLANK($C$6:C73))</f>
        <v xml:space="preserve"> </v>
      </c>
      <c r="B73" s="88"/>
      <c r="C73" s="88"/>
      <c r="D73" s="89"/>
      <c r="E73" s="89"/>
      <c r="F73" s="73"/>
      <c r="G73" s="73"/>
      <c r="H73" s="73"/>
      <c r="I73" s="73"/>
      <c r="J73" s="73"/>
      <c r="K73" s="73"/>
      <c r="L73" s="73"/>
      <c r="M73" s="74"/>
      <c r="N73" s="71" t="str">
        <f t="shared" si="1"/>
        <v/>
      </c>
      <c r="O73" s="72"/>
      <c r="P73" s="72"/>
      <c r="Q73" s="72"/>
      <c r="R73" s="72"/>
      <c r="S73" s="72"/>
      <c r="T73" s="72"/>
      <c r="U73" s="72"/>
      <c r="V73" s="72"/>
    </row>
    <row r="74" spans="1:25" ht="27.75" customHeight="1">
      <c r="A74" s="87" t="str">
        <f>IF(ISBLANK(C74)," ",69-COUNTBLANK($C$6:C74))</f>
        <v xml:space="preserve"> </v>
      </c>
      <c r="B74" s="88"/>
      <c r="C74" s="88"/>
      <c r="D74" s="89"/>
      <c r="E74" s="89"/>
      <c r="F74" s="73"/>
      <c r="G74" s="73"/>
      <c r="H74" s="73"/>
      <c r="I74" s="73"/>
      <c r="J74" s="73"/>
      <c r="K74" s="73"/>
      <c r="L74" s="73"/>
      <c r="M74" s="74"/>
      <c r="N74" s="71" t="str">
        <f t="shared" si="1"/>
        <v/>
      </c>
      <c r="O74" s="72"/>
      <c r="P74" s="72"/>
      <c r="Q74" s="72"/>
      <c r="R74" s="72"/>
      <c r="S74" s="72"/>
      <c r="T74" s="72"/>
      <c r="U74" s="72"/>
      <c r="V74" s="72"/>
    </row>
    <row r="75" spans="1:25" ht="27.75" customHeight="1">
      <c r="A75" s="87" t="str">
        <f>IF(ISBLANK(C75)," ",70-COUNTBLANK($C$6:C75))</f>
        <v xml:space="preserve"> </v>
      </c>
      <c r="B75" s="88"/>
      <c r="C75" s="88"/>
      <c r="D75" s="89"/>
      <c r="E75" s="89"/>
      <c r="F75" s="73"/>
      <c r="G75" s="73"/>
      <c r="H75" s="73"/>
      <c r="I75" s="73"/>
      <c r="J75" s="73"/>
      <c r="K75" s="73"/>
      <c r="L75" s="73"/>
      <c r="M75" s="74"/>
      <c r="N75" s="71" t="str">
        <f t="shared" si="1"/>
        <v/>
      </c>
      <c r="O75" s="72"/>
      <c r="P75" s="72"/>
      <c r="Q75" s="72"/>
      <c r="R75" s="72"/>
      <c r="S75" s="72"/>
      <c r="T75" s="72"/>
      <c r="U75" s="72"/>
      <c r="V75" s="72"/>
    </row>
    <row r="76" spans="1:25" ht="27.75" customHeight="1">
      <c r="A76" s="87" t="str">
        <f>IF(ISBLANK(C76)," ",71-COUNTBLANK($C$6:C76))</f>
        <v xml:space="preserve"> </v>
      </c>
      <c r="B76" s="88"/>
      <c r="C76" s="88"/>
      <c r="D76" s="89"/>
      <c r="E76" s="89"/>
      <c r="F76" s="73"/>
      <c r="G76" s="73"/>
      <c r="H76" s="73"/>
      <c r="I76" s="73"/>
      <c r="J76" s="73"/>
      <c r="K76" s="73"/>
      <c r="L76" s="73"/>
      <c r="M76" s="74"/>
      <c r="N76" s="71" t="str">
        <f t="shared" si="1"/>
        <v/>
      </c>
      <c r="O76" s="72"/>
      <c r="P76" s="72"/>
      <c r="Q76" s="72"/>
      <c r="R76" s="72"/>
      <c r="S76" s="72"/>
      <c r="T76" s="72"/>
      <c r="U76" s="72"/>
      <c r="V76" s="72"/>
    </row>
    <row r="77" spans="1:25" ht="27.75" customHeight="1">
      <c r="A77" s="87" t="str">
        <f>IF(ISBLANK(C77)," ",72-COUNTBLANK($C$6:C77))</f>
        <v xml:space="preserve"> </v>
      </c>
      <c r="B77" s="88"/>
      <c r="C77" s="88"/>
      <c r="D77" s="89"/>
      <c r="E77" s="89"/>
      <c r="F77" s="73"/>
      <c r="G77" s="73"/>
      <c r="H77" s="73"/>
      <c r="I77" s="73"/>
      <c r="J77" s="73"/>
      <c r="K77" s="73"/>
      <c r="L77" s="73"/>
      <c r="M77" s="74"/>
      <c r="N77" s="71" t="str">
        <f t="shared" si="1"/>
        <v/>
      </c>
      <c r="O77" s="72"/>
      <c r="P77" s="72"/>
      <c r="Q77" s="72"/>
      <c r="R77" s="72"/>
      <c r="S77" s="72"/>
      <c r="T77" s="72"/>
      <c r="U77" s="72"/>
      <c r="V77" s="72"/>
    </row>
    <row r="78" spans="1:25" ht="27.75" customHeight="1">
      <c r="A78" s="87" t="str">
        <f>IF(ISBLANK(C78)," ",73-COUNTBLANK($C$6:C78))</f>
        <v xml:space="preserve"> </v>
      </c>
      <c r="B78" s="88"/>
      <c r="C78" s="88"/>
      <c r="D78" s="89"/>
      <c r="E78" s="89"/>
      <c r="F78" s="73"/>
      <c r="G78" s="73"/>
      <c r="H78" s="73"/>
      <c r="I78" s="73"/>
      <c r="J78" s="73"/>
      <c r="K78" s="73"/>
      <c r="L78" s="73"/>
      <c r="M78" s="74"/>
      <c r="N78" s="71" t="str">
        <f t="shared" si="1"/>
        <v/>
      </c>
      <c r="O78" s="72"/>
      <c r="P78" s="72"/>
      <c r="Q78" s="72"/>
      <c r="R78" s="72"/>
      <c r="S78" s="72"/>
      <c r="T78" s="72"/>
      <c r="U78" s="72"/>
      <c r="V78" s="72"/>
    </row>
    <row r="79" spans="1:25" ht="27.75" customHeight="1">
      <c r="A79" s="87" t="str">
        <f>IF(ISBLANK(C79)," ",74-COUNTBLANK($C$6:C79))</f>
        <v xml:space="preserve"> </v>
      </c>
      <c r="B79" s="88"/>
      <c r="C79" s="88"/>
      <c r="D79" s="89"/>
      <c r="E79" s="89"/>
      <c r="F79" s="73"/>
      <c r="G79" s="73"/>
      <c r="H79" s="73"/>
      <c r="I79" s="73"/>
      <c r="J79" s="73"/>
      <c r="K79" s="73"/>
      <c r="L79" s="73"/>
      <c r="M79" s="74"/>
      <c r="N79" s="71" t="str">
        <f t="shared" si="1"/>
        <v/>
      </c>
      <c r="O79" s="72"/>
      <c r="P79" s="72"/>
      <c r="Q79" s="72"/>
      <c r="R79" s="72"/>
      <c r="S79" s="72"/>
      <c r="T79" s="72"/>
      <c r="U79" s="72"/>
      <c r="V79" s="72"/>
    </row>
    <row r="80" spans="1:25" ht="27.75" customHeight="1">
      <c r="A80" s="87" t="str">
        <f>IF(ISBLANK(C80)," ",75-COUNTBLANK($C$6:C80))</f>
        <v xml:space="preserve"> </v>
      </c>
      <c r="B80" s="88"/>
      <c r="C80" s="88"/>
      <c r="D80" s="89"/>
      <c r="E80" s="89"/>
      <c r="F80" s="73"/>
      <c r="G80" s="73"/>
      <c r="H80" s="73"/>
      <c r="I80" s="73"/>
      <c r="J80" s="73"/>
      <c r="K80" s="73"/>
      <c r="L80" s="73"/>
      <c r="M80" s="74"/>
      <c r="N80" s="71" t="str">
        <f t="shared" si="1"/>
        <v/>
      </c>
      <c r="O80" s="72"/>
      <c r="P80" s="72"/>
      <c r="Q80" s="72"/>
      <c r="R80" s="72"/>
      <c r="S80" s="72"/>
      <c r="T80" s="72"/>
      <c r="U80" s="72"/>
      <c r="V80" s="72"/>
    </row>
    <row r="81" spans="1:25" ht="27.75" customHeight="1">
      <c r="A81" s="87" t="str">
        <f>IF(ISBLANK(C81)," ",76-COUNTBLANK($C$6:C81))</f>
        <v xml:space="preserve"> </v>
      </c>
      <c r="B81" s="88"/>
      <c r="C81" s="88"/>
      <c r="D81" s="89"/>
      <c r="E81" s="89"/>
      <c r="F81" s="73"/>
      <c r="G81" s="73"/>
      <c r="H81" s="73"/>
      <c r="I81" s="73"/>
      <c r="J81" s="73"/>
      <c r="K81" s="73"/>
      <c r="L81" s="73"/>
      <c r="M81" s="74"/>
      <c r="N81" s="71" t="str">
        <f t="shared" si="1"/>
        <v/>
      </c>
      <c r="O81" s="72"/>
      <c r="P81" s="72"/>
      <c r="Q81" s="72"/>
      <c r="R81" s="72"/>
      <c r="S81" s="72"/>
      <c r="T81" s="72"/>
      <c r="U81" s="72"/>
      <c r="V81" s="72"/>
    </row>
    <row r="82" spans="1:25" ht="27.75" customHeight="1">
      <c r="A82" s="87" t="str">
        <f>IF(ISBLANK(C82)," ",77-COUNTBLANK($C$6:C82))</f>
        <v xml:space="preserve"> </v>
      </c>
      <c r="B82" s="88"/>
      <c r="C82" s="88"/>
      <c r="D82" s="89"/>
      <c r="E82" s="89"/>
      <c r="F82" s="73"/>
      <c r="G82" s="73"/>
      <c r="H82" s="73"/>
      <c r="I82" s="73"/>
      <c r="J82" s="73"/>
      <c r="K82" s="73"/>
      <c r="L82" s="73"/>
      <c r="M82" s="74"/>
      <c r="N82" s="71" t="str">
        <f t="shared" si="1"/>
        <v/>
      </c>
      <c r="O82" s="72"/>
      <c r="P82" s="72"/>
      <c r="Q82" s="72"/>
      <c r="R82" s="72"/>
      <c r="S82" s="72"/>
      <c r="T82" s="72"/>
      <c r="U82" s="72"/>
      <c r="V82" s="72"/>
    </row>
    <row r="83" spans="1:25" ht="27.75" customHeight="1">
      <c r="A83" s="87" t="str">
        <f>IF(ISBLANK(C83)," ",78-COUNTBLANK($C$6:C83))</f>
        <v xml:space="preserve"> </v>
      </c>
      <c r="B83" s="88"/>
      <c r="C83" s="88"/>
      <c r="D83" s="89"/>
      <c r="E83" s="89"/>
      <c r="F83" s="73"/>
      <c r="G83" s="73"/>
      <c r="H83" s="73"/>
      <c r="I83" s="73"/>
      <c r="J83" s="73"/>
      <c r="K83" s="73"/>
      <c r="L83" s="73"/>
      <c r="M83" s="74"/>
      <c r="N83" s="71" t="str">
        <f t="shared" si="1"/>
        <v/>
      </c>
      <c r="O83" s="72"/>
      <c r="P83" s="72"/>
      <c r="Q83" s="72"/>
      <c r="R83" s="72"/>
      <c r="S83" s="72"/>
      <c r="T83" s="72"/>
      <c r="U83" s="72"/>
      <c r="V83" s="72"/>
    </row>
    <row r="84" spans="1:25" ht="27.75" customHeight="1">
      <c r="A84" s="87" t="str">
        <f>IF(ISBLANK(C84)," ",79-COUNTBLANK($C$6:C84))</f>
        <v xml:space="preserve"> </v>
      </c>
      <c r="B84" s="88"/>
      <c r="C84" s="88"/>
      <c r="D84" s="89"/>
      <c r="E84" s="89"/>
      <c r="F84" s="73"/>
      <c r="G84" s="73"/>
      <c r="H84" s="73"/>
      <c r="I84" s="73"/>
      <c r="J84" s="73"/>
      <c r="K84" s="73"/>
      <c r="L84" s="73"/>
      <c r="M84" s="74"/>
      <c r="N84" s="71" t="str">
        <f t="shared" si="1"/>
        <v/>
      </c>
      <c r="O84" s="75"/>
      <c r="P84" s="72"/>
      <c r="Q84" s="72"/>
      <c r="R84" s="72"/>
      <c r="S84" s="72"/>
      <c r="T84" s="72"/>
      <c r="U84" s="72"/>
      <c r="V84" s="76"/>
    </row>
    <row r="85" spans="1:25" ht="27.75" customHeight="1">
      <c r="A85" s="87" t="str">
        <f>IF(ISBLANK(C85)," ",80-COUNTBLANK($C$6:C85))</f>
        <v xml:space="preserve"> </v>
      </c>
      <c r="B85" s="88"/>
      <c r="C85" s="88"/>
      <c r="D85" s="89"/>
      <c r="E85" s="89"/>
      <c r="F85" s="73"/>
      <c r="G85" s="73"/>
      <c r="H85" s="73"/>
      <c r="I85" s="73"/>
      <c r="J85" s="73"/>
      <c r="K85" s="73"/>
      <c r="L85" s="73"/>
      <c r="M85" s="74"/>
      <c r="N85" s="71" t="str">
        <f t="shared" si="1"/>
        <v/>
      </c>
      <c r="O85" s="75"/>
      <c r="P85" s="72"/>
      <c r="Q85" s="72"/>
      <c r="R85" s="72"/>
      <c r="S85" s="72"/>
      <c r="T85" s="72"/>
      <c r="U85" s="72"/>
      <c r="V85" s="76"/>
    </row>
    <row r="86" spans="1:25" ht="27.75" customHeight="1">
      <c r="A86" s="87" t="str">
        <f>IF(ISBLANK(C86)," ",81-COUNTBLANK($C$6:C86))</f>
        <v xml:space="preserve"> </v>
      </c>
      <c r="B86" s="88"/>
      <c r="C86" s="88"/>
      <c r="D86" s="89"/>
      <c r="E86" s="89"/>
      <c r="F86" s="73"/>
      <c r="G86" s="73"/>
      <c r="H86" s="73"/>
      <c r="I86" s="73"/>
      <c r="J86" s="73"/>
      <c r="K86" s="73"/>
      <c r="L86" s="73"/>
      <c r="M86" s="74"/>
      <c r="N86" s="71" t="str">
        <f t="shared" si="1"/>
        <v/>
      </c>
      <c r="O86" s="75"/>
      <c r="P86" s="72"/>
      <c r="Q86" s="72"/>
      <c r="R86" s="72"/>
      <c r="S86" s="72"/>
      <c r="T86" s="72"/>
      <c r="U86" s="72"/>
      <c r="V86" s="76"/>
    </row>
    <row r="87" spans="1:25" ht="27.75" customHeight="1">
      <c r="A87" s="87" t="str">
        <f>IF(ISBLANK(C87)," ",82-COUNTBLANK($C$6:C87))</f>
        <v xml:space="preserve"> </v>
      </c>
      <c r="B87" s="88"/>
      <c r="C87" s="88"/>
      <c r="D87" s="89"/>
      <c r="E87" s="89"/>
      <c r="F87" s="73"/>
      <c r="G87" s="73"/>
      <c r="H87" s="73"/>
      <c r="I87" s="73"/>
      <c r="J87" s="73"/>
      <c r="K87" s="73"/>
      <c r="L87" s="73"/>
      <c r="M87" s="74"/>
      <c r="N87" s="71" t="str">
        <f t="shared" si="1"/>
        <v/>
      </c>
      <c r="O87" s="75"/>
      <c r="P87" s="72"/>
      <c r="Q87" s="72"/>
      <c r="R87" s="72"/>
      <c r="S87" s="72"/>
      <c r="T87" s="72"/>
      <c r="U87" s="72"/>
      <c r="V87" s="76"/>
    </row>
    <row r="88" spans="1:25" ht="27.75" customHeight="1">
      <c r="A88" s="87" t="str">
        <f>IF(ISBLANK(C88)," ",83-COUNTBLANK($C$6:C88))</f>
        <v xml:space="preserve"> </v>
      </c>
      <c r="B88" s="88"/>
      <c r="C88" s="88"/>
      <c r="D88" s="89"/>
      <c r="E88" s="89"/>
      <c r="F88" s="73"/>
      <c r="G88" s="73"/>
      <c r="H88" s="73"/>
      <c r="I88" s="73"/>
      <c r="J88" s="73"/>
      <c r="K88" s="73"/>
      <c r="L88" s="73"/>
      <c r="M88" s="74"/>
      <c r="N88" s="71" t="str">
        <f t="shared" si="1"/>
        <v/>
      </c>
      <c r="O88" s="72"/>
      <c r="P88" s="72"/>
      <c r="Q88" s="72"/>
      <c r="R88" s="72"/>
      <c r="S88" s="72"/>
      <c r="T88" s="72"/>
      <c r="U88" s="72"/>
      <c r="V88" s="79"/>
      <c r="W88" s="72"/>
      <c r="X88" s="72"/>
      <c r="Y88" s="72"/>
    </row>
    <row r="89" spans="1:25" ht="27.75" customHeight="1">
      <c r="A89" s="80" t="s">
        <v>58</v>
      </c>
      <c r="B89" s="81"/>
      <c r="C89" s="96"/>
      <c r="D89" s="82"/>
      <c r="E89" s="82">
        <f>SUM(E69:E88)</f>
        <v>0</v>
      </c>
      <c r="F89" s="83"/>
      <c r="G89" s="83"/>
      <c r="H89" s="83"/>
      <c r="I89" s="83"/>
      <c r="J89" s="83"/>
      <c r="K89" s="83"/>
      <c r="L89" s="83"/>
      <c r="M89" s="84"/>
      <c r="N89" s="71" t="str">
        <f t="shared" si="1"/>
        <v/>
      </c>
      <c r="O89" s="75"/>
      <c r="P89" s="72"/>
      <c r="Q89" s="72"/>
      <c r="R89" s="72"/>
      <c r="S89" s="72"/>
      <c r="T89" s="72"/>
      <c r="U89" s="72"/>
      <c r="V89" s="79"/>
      <c r="W89" s="72"/>
      <c r="X89" s="72"/>
      <c r="Y89" s="72"/>
    </row>
    <row r="90" spans="1:25" ht="27.75" customHeight="1">
      <c r="A90" s="93" t="str">
        <f>IF(ISBLANK(C90)," ",85-COUNTBLANK($C$6:C90))</f>
        <v xml:space="preserve"> </v>
      </c>
      <c r="B90" s="94"/>
      <c r="C90" s="94"/>
      <c r="D90" s="95"/>
      <c r="E90" s="95"/>
      <c r="F90" s="85"/>
      <c r="G90" s="85"/>
      <c r="H90" s="85"/>
      <c r="I90" s="85"/>
      <c r="J90" s="85"/>
      <c r="K90" s="85"/>
      <c r="L90" s="85"/>
      <c r="M90" s="86"/>
      <c r="N90" s="71" t="str">
        <f t="shared" si="1"/>
        <v/>
      </c>
      <c r="O90" s="72"/>
      <c r="P90" s="72"/>
      <c r="Q90" s="72"/>
      <c r="R90" s="72"/>
      <c r="S90" s="72"/>
      <c r="T90" s="72"/>
      <c r="U90" s="72"/>
      <c r="V90" s="72"/>
    </row>
    <row r="91" spans="1:25" ht="27.75" customHeight="1">
      <c r="A91" s="87" t="str">
        <f>IF(ISBLANK(C91)," ",86-COUNTBLANK($C$6:C91))</f>
        <v xml:space="preserve"> </v>
      </c>
      <c r="B91" s="88"/>
      <c r="C91" s="88"/>
      <c r="D91" s="89"/>
      <c r="E91" s="89"/>
      <c r="F91" s="73"/>
      <c r="G91" s="73"/>
      <c r="H91" s="73"/>
      <c r="I91" s="73"/>
      <c r="J91" s="73"/>
      <c r="K91" s="73"/>
      <c r="L91" s="73"/>
      <c r="M91" s="74"/>
      <c r="N91" s="71" t="str">
        <f t="shared" si="1"/>
        <v/>
      </c>
      <c r="O91" s="72"/>
      <c r="P91" s="72"/>
      <c r="Q91" s="72"/>
      <c r="R91" s="72"/>
      <c r="S91" s="72"/>
      <c r="T91" s="72"/>
      <c r="U91" s="72"/>
      <c r="V91" s="72"/>
    </row>
    <row r="92" spans="1:25" ht="27.75" customHeight="1">
      <c r="A92" s="87" t="str">
        <f>IF(ISBLANK(C92)," ",87-COUNTBLANK($C$6:C92))</f>
        <v xml:space="preserve"> </v>
      </c>
      <c r="B92" s="88"/>
      <c r="C92" s="88"/>
      <c r="D92" s="89"/>
      <c r="E92" s="89"/>
      <c r="F92" s="73"/>
      <c r="G92" s="73"/>
      <c r="H92" s="73"/>
      <c r="I92" s="73"/>
      <c r="J92" s="73"/>
      <c r="K92" s="73"/>
      <c r="L92" s="73"/>
      <c r="M92" s="74"/>
      <c r="N92" s="71" t="str">
        <f t="shared" si="1"/>
        <v/>
      </c>
      <c r="O92" s="72"/>
      <c r="P92" s="72"/>
      <c r="Q92" s="72"/>
      <c r="R92" s="72"/>
      <c r="S92" s="72"/>
      <c r="T92" s="72"/>
      <c r="U92" s="72"/>
      <c r="V92" s="72"/>
    </row>
    <row r="93" spans="1:25" ht="27.75" customHeight="1">
      <c r="A93" s="87" t="str">
        <f>IF(ISBLANK(C93)," ",88-COUNTBLANK($C$6:C93))</f>
        <v xml:space="preserve"> </v>
      </c>
      <c r="B93" s="88"/>
      <c r="C93" s="88"/>
      <c r="D93" s="89"/>
      <c r="E93" s="89"/>
      <c r="F93" s="73"/>
      <c r="G93" s="73"/>
      <c r="H93" s="73"/>
      <c r="I93" s="73"/>
      <c r="J93" s="73"/>
      <c r="K93" s="73"/>
      <c r="L93" s="73"/>
      <c r="M93" s="74"/>
      <c r="N93" s="71" t="str">
        <f t="shared" si="1"/>
        <v/>
      </c>
      <c r="O93" s="72"/>
      <c r="P93" s="72"/>
      <c r="Q93" s="72"/>
      <c r="R93" s="72"/>
      <c r="S93" s="72"/>
      <c r="T93" s="72"/>
      <c r="U93" s="72"/>
      <c r="V93" s="72"/>
    </row>
    <row r="94" spans="1:25" ht="27.75" customHeight="1">
      <c r="A94" s="87" t="str">
        <f>IF(ISBLANK(C94)," ",89-COUNTBLANK($C$6:C94))</f>
        <v xml:space="preserve"> </v>
      </c>
      <c r="B94" s="88"/>
      <c r="C94" s="88"/>
      <c r="D94" s="89"/>
      <c r="E94" s="89"/>
      <c r="F94" s="73"/>
      <c r="G94" s="73"/>
      <c r="H94" s="73"/>
      <c r="I94" s="73"/>
      <c r="J94" s="73"/>
      <c r="K94" s="73"/>
      <c r="L94" s="73"/>
      <c r="M94" s="74"/>
      <c r="N94" s="71" t="str">
        <f t="shared" si="1"/>
        <v/>
      </c>
      <c r="O94" s="72"/>
      <c r="P94" s="72"/>
      <c r="Q94" s="72"/>
      <c r="R94" s="72"/>
      <c r="S94" s="72"/>
      <c r="T94" s="72"/>
      <c r="U94" s="72"/>
      <c r="V94" s="72"/>
    </row>
    <row r="95" spans="1:25" ht="27.75" customHeight="1">
      <c r="A95" s="87" t="str">
        <f>IF(ISBLANK(C95)," ",90-COUNTBLANK($C$6:C95))</f>
        <v xml:space="preserve"> </v>
      </c>
      <c r="B95" s="88"/>
      <c r="C95" s="88"/>
      <c r="D95" s="89"/>
      <c r="E95" s="89"/>
      <c r="F95" s="73"/>
      <c r="G95" s="73"/>
      <c r="H95" s="73"/>
      <c r="I95" s="73"/>
      <c r="J95" s="73"/>
      <c r="K95" s="73"/>
      <c r="L95" s="73"/>
      <c r="M95" s="74"/>
      <c r="N95" s="71" t="str">
        <f t="shared" si="1"/>
        <v/>
      </c>
      <c r="O95" s="72"/>
      <c r="P95" s="72"/>
      <c r="Q95" s="72"/>
      <c r="R95" s="72"/>
      <c r="S95" s="72"/>
      <c r="T95" s="72"/>
      <c r="U95" s="72"/>
      <c r="V95" s="72"/>
    </row>
    <row r="96" spans="1:25" ht="27.75" customHeight="1">
      <c r="A96" s="87" t="str">
        <f>IF(ISBLANK(C96)," ",91-COUNTBLANK($C$6:C96))</f>
        <v xml:space="preserve"> </v>
      </c>
      <c r="B96" s="88"/>
      <c r="C96" s="88"/>
      <c r="D96" s="89"/>
      <c r="E96" s="89"/>
      <c r="F96" s="73"/>
      <c r="G96" s="73"/>
      <c r="H96" s="73"/>
      <c r="I96" s="73"/>
      <c r="J96" s="73"/>
      <c r="K96" s="73"/>
      <c r="L96" s="73"/>
      <c r="M96" s="74"/>
      <c r="N96" s="71" t="str">
        <f t="shared" si="1"/>
        <v/>
      </c>
      <c r="O96" s="72"/>
      <c r="P96" s="72"/>
      <c r="Q96" s="72"/>
      <c r="R96" s="72"/>
      <c r="S96" s="72"/>
      <c r="T96" s="72"/>
      <c r="U96" s="72"/>
      <c r="V96" s="72"/>
    </row>
    <row r="97" spans="1:25" ht="27.75" customHeight="1">
      <c r="A97" s="87" t="str">
        <f>IF(ISBLANK(C97)," ",92-COUNTBLANK($C$6:C97))</f>
        <v xml:space="preserve"> </v>
      </c>
      <c r="B97" s="88"/>
      <c r="C97" s="88"/>
      <c r="D97" s="89"/>
      <c r="E97" s="89"/>
      <c r="F97" s="73"/>
      <c r="G97" s="73"/>
      <c r="H97" s="73"/>
      <c r="I97" s="73"/>
      <c r="J97" s="73"/>
      <c r="K97" s="73"/>
      <c r="L97" s="73"/>
      <c r="M97" s="74"/>
      <c r="N97" s="71" t="str">
        <f t="shared" si="1"/>
        <v/>
      </c>
      <c r="O97" s="72"/>
      <c r="P97" s="72"/>
      <c r="Q97" s="72"/>
      <c r="R97" s="72"/>
      <c r="S97" s="72"/>
      <c r="T97" s="72"/>
      <c r="U97" s="72"/>
      <c r="V97" s="72"/>
    </row>
    <row r="98" spans="1:25" ht="27.75" customHeight="1">
      <c r="A98" s="87" t="str">
        <f>IF(ISBLANK(C98)," ",93-COUNTBLANK($C$6:C98))</f>
        <v xml:space="preserve"> </v>
      </c>
      <c r="B98" s="88"/>
      <c r="C98" s="88"/>
      <c r="D98" s="89"/>
      <c r="E98" s="89"/>
      <c r="F98" s="73"/>
      <c r="G98" s="73"/>
      <c r="H98" s="73"/>
      <c r="I98" s="73"/>
      <c r="J98" s="73"/>
      <c r="K98" s="73"/>
      <c r="L98" s="73"/>
      <c r="M98" s="74"/>
      <c r="N98" s="71" t="str">
        <f t="shared" si="1"/>
        <v/>
      </c>
      <c r="O98" s="72"/>
      <c r="P98" s="72"/>
      <c r="Q98" s="72"/>
      <c r="R98" s="72"/>
      <c r="S98" s="72"/>
      <c r="T98" s="72"/>
      <c r="U98" s="72"/>
      <c r="V98" s="72"/>
    </row>
    <row r="99" spans="1:25" ht="27.75" customHeight="1">
      <c r="A99" s="87" t="str">
        <f>IF(ISBLANK(C99)," ",94-COUNTBLANK($C$6:C99))</f>
        <v xml:space="preserve"> </v>
      </c>
      <c r="B99" s="88"/>
      <c r="C99" s="88"/>
      <c r="D99" s="89"/>
      <c r="E99" s="89"/>
      <c r="F99" s="73"/>
      <c r="G99" s="73"/>
      <c r="H99" s="73"/>
      <c r="I99" s="73"/>
      <c r="J99" s="73"/>
      <c r="K99" s="73"/>
      <c r="L99" s="73"/>
      <c r="M99" s="74"/>
      <c r="N99" s="71" t="str">
        <f t="shared" si="1"/>
        <v/>
      </c>
      <c r="O99" s="72"/>
      <c r="P99" s="72"/>
      <c r="Q99" s="72"/>
      <c r="R99" s="72"/>
      <c r="S99" s="72"/>
      <c r="T99" s="72"/>
      <c r="U99" s="72"/>
      <c r="V99" s="72"/>
    </row>
    <row r="100" spans="1:25" ht="27.75" customHeight="1">
      <c r="A100" s="87" t="str">
        <f>IF(ISBLANK(C100)," ",95-COUNTBLANK($C$6:C100))</f>
        <v xml:space="preserve"> </v>
      </c>
      <c r="B100" s="88"/>
      <c r="C100" s="88"/>
      <c r="D100" s="89"/>
      <c r="E100" s="89"/>
      <c r="F100" s="73"/>
      <c r="G100" s="73"/>
      <c r="H100" s="73"/>
      <c r="I100" s="73"/>
      <c r="J100" s="73"/>
      <c r="K100" s="73"/>
      <c r="L100" s="73"/>
      <c r="M100" s="74"/>
      <c r="N100" s="71" t="str">
        <f t="shared" si="1"/>
        <v/>
      </c>
      <c r="O100" s="72"/>
      <c r="P100" s="72"/>
      <c r="Q100" s="72"/>
      <c r="R100" s="72"/>
      <c r="S100" s="72"/>
      <c r="T100" s="72"/>
      <c r="U100" s="72"/>
      <c r="V100" s="72"/>
    </row>
    <row r="101" spans="1:25" ht="27.75" customHeight="1">
      <c r="A101" s="87" t="str">
        <f>IF(ISBLANK(C101)," ",96-COUNTBLANK($C$6:C101))</f>
        <v xml:space="preserve"> </v>
      </c>
      <c r="B101" s="88"/>
      <c r="C101" s="88"/>
      <c r="D101" s="89"/>
      <c r="E101" s="89"/>
      <c r="F101" s="73"/>
      <c r="G101" s="73"/>
      <c r="H101" s="73"/>
      <c r="I101" s="73"/>
      <c r="J101" s="73"/>
      <c r="K101" s="73"/>
      <c r="L101" s="73"/>
      <c r="M101" s="74"/>
      <c r="N101" s="71" t="str">
        <f t="shared" si="1"/>
        <v/>
      </c>
      <c r="O101" s="72"/>
      <c r="P101" s="72"/>
      <c r="Q101" s="72"/>
      <c r="R101" s="72"/>
      <c r="S101" s="72"/>
      <c r="T101" s="72"/>
      <c r="U101" s="72"/>
      <c r="V101" s="72"/>
    </row>
    <row r="102" spans="1:25" ht="27.75" customHeight="1">
      <c r="A102" s="87" t="str">
        <f>IF(ISBLANK(C102)," ",97-COUNTBLANK($C$6:C102))</f>
        <v xml:space="preserve"> </v>
      </c>
      <c r="B102" s="88"/>
      <c r="C102" s="88"/>
      <c r="D102" s="89"/>
      <c r="E102" s="89"/>
      <c r="F102" s="73"/>
      <c r="G102" s="73"/>
      <c r="H102" s="73"/>
      <c r="I102" s="73"/>
      <c r="J102" s="73"/>
      <c r="K102" s="73"/>
      <c r="L102" s="73"/>
      <c r="M102" s="74"/>
      <c r="N102" s="71" t="str">
        <f t="shared" si="1"/>
        <v/>
      </c>
      <c r="O102" s="72"/>
      <c r="P102" s="72"/>
      <c r="Q102" s="72"/>
      <c r="R102" s="72"/>
      <c r="S102" s="72"/>
      <c r="T102" s="72"/>
      <c r="U102" s="72"/>
      <c r="V102" s="72"/>
    </row>
    <row r="103" spans="1:25" ht="27.75" customHeight="1">
      <c r="A103" s="87" t="str">
        <f>IF(ISBLANK(C103)," ",98-COUNTBLANK($C$6:C103))</f>
        <v xml:space="preserve"> </v>
      </c>
      <c r="B103" s="88"/>
      <c r="C103" s="88"/>
      <c r="D103" s="89"/>
      <c r="E103" s="89"/>
      <c r="F103" s="73"/>
      <c r="G103" s="73"/>
      <c r="H103" s="73"/>
      <c r="I103" s="73"/>
      <c r="J103" s="73"/>
      <c r="K103" s="73"/>
      <c r="L103" s="73"/>
      <c r="M103" s="74"/>
      <c r="N103" s="71" t="str">
        <f t="shared" si="1"/>
        <v/>
      </c>
      <c r="O103" s="72"/>
      <c r="P103" s="72"/>
      <c r="Q103" s="72"/>
      <c r="R103" s="72"/>
      <c r="S103" s="72"/>
      <c r="T103" s="72"/>
      <c r="U103" s="72"/>
      <c r="V103" s="72"/>
    </row>
    <row r="104" spans="1:25" ht="27.75" customHeight="1">
      <c r="A104" s="87" t="str">
        <f>IF(ISBLANK(C104)," ",99-COUNTBLANK($C$6:C104))</f>
        <v xml:space="preserve"> </v>
      </c>
      <c r="B104" s="88"/>
      <c r="C104" s="88"/>
      <c r="D104" s="89"/>
      <c r="E104" s="89"/>
      <c r="F104" s="73"/>
      <c r="G104" s="73"/>
      <c r="H104" s="73"/>
      <c r="I104" s="73"/>
      <c r="J104" s="73"/>
      <c r="K104" s="73"/>
      <c r="L104" s="73"/>
      <c r="M104" s="74"/>
      <c r="N104" s="71" t="str">
        <f t="shared" si="1"/>
        <v/>
      </c>
      <c r="O104" s="72"/>
      <c r="P104" s="72"/>
      <c r="Q104" s="72"/>
      <c r="R104" s="72"/>
      <c r="S104" s="72"/>
      <c r="T104" s="72"/>
      <c r="U104" s="72"/>
      <c r="V104" s="72"/>
    </row>
    <row r="105" spans="1:25" ht="27.75" customHeight="1">
      <c r="A105" s="87" t="str">
        <f>IF(ISBLANK(C105)," ",100-COUNTBLANK($C$6:C105))</f>
        <v xml:space="preserve"> </v>
      </c>
      <c r="B105" s="88"/>
      <c r="C105" s="88"/>
      <c r="D105" s="89"/>
      <c r="E105" s="89"/>
      <c r="F105" s="73"/>
      <c r="G105" s="73"/>
      <c r="H105" s="73"/>
      <c r="I105" s="73"/>
      <c r="J105" s="73"/>
      <c r="K105" s="73"/>
      <c r="L105" s="73"/>
      <c r="M105" s="74"/>
      <c r="N105" s="71" t="str">
        <f t="shared" si="1"/>
        <v/>
      </c>
      <c r="O105" s="75"/>
      <c r="P105" s="72"/>
      <c r="Q105" s="72"/>
      <c r="R105" s="72"/>
      <c r="S105" s="72"/>
      <c r="T105" s="72"/>
      <c r="U105" s="72"/>
      <c r="V105" s="76"/>
    </row>
    <row r="106" spans="1:25" ht="27.75" customHeight="1">
      <c r="A106" s="87" t="str">
        <f>IF(ISBLANK(C106)," ",101-COUNTBLANK($C$6:C106))</f>
        <v xml:space="preserve"> </v>
      </c>
      <c r="B106" s="88"/>
      <c r="C106" s="88"/>
      <c r="D106" s="89"/>
      <c r="E106" s="89"/>
      <c r="F106" s="73"/>
      <c r="G106" s="73"/>
      <c r="H106" s="73"/>
      <c r="I106" s="73"/>
      <c r="J106" s="73"/>
      <c r="K106" s="73"/>
      <c r="L106" s="73"/>
      <c r="M106" s="74"/>
      <c r="N106" s="71" t="str">
        <f t="shared" si="1"/>
        <v/>
      </c>
      <c r="O106" s="75"/>
      <c r="P106" s="72"/>
      <c r="Q106" s="72"/>
      <c r="R106" s="72"/>
      <c r="S106" s="72"/>
      <c r="T106" s="72"/>
      <c r="U106" s="72"/>
      <c r="V106" s="76"/>
    </row>
    <row r="107" spans="1:25" ht="27.75" customHeight="1">
      <c r="A107" s="87" t="str">
        <f>IF(ISBLANK(C107)," ",102-COUNTBLANK($C$6:C107))</f>
        <v xml:space="preserve"> </v>
      </c>
      <c r="B107" s="88"/>
      <c r="C107" s="88"/>
      <c r="D107" s="89"/>
      <c r="E107" s="89"/>
      <c r="F107" s="73"/>
      <c r="G107" s="73"/>
      <c r="H107" s="73"/>
      <c r="I107" s="73"/>
      <c r="J107" s="73"/>
      <c r="K107" s="73"/>
      <c r="L107" s="73"/>
      <c r="M107" s="74"/>
      <c r="N107" s="71" t="str">
        <f t="shared" si="1"/>
        <v/>
      </c>
      <c r="O107" s="75"/>
      <c r="P107" s="72"/>
      <c r="Q107" s="72"/>
      <c r="R107" s="72"/>
      <c r="S107" s="72"/>
      <c r="T107" s="72"/>
      <c r="U107" s="72"/>
      <c r="V107" s="76"/>
    </row>
    <row r="108" spans="1:25" ht="27.75" customHeight="1">
      <c r="A108" s="87" t="str">
        <f>IF(ISBLANK(C108)," ",103-COUNTBLANK($C$6:C108))</f>
        <v xml:space="preserve"> </v>
      </c>
      <c r="B108" s="88"/>
      <c r="C108" s="88"/>
      <c r="D108" s="89"/>
      <c r="E108" s="89"/>
      <c r="F108" s="73"/>
      <c r="G108" s="73"/>
      <c r="H108" s="73"/>
      <c r="I108" s="73"/>
      <c r="J108" s="73"/>
      <c r="K108" s="73"/>
      <c r="L108" s="73"/>
      <c r="M108" s="74"/>
      <c r="N108" s="71" t="str">
        <f t="shared" si="1"/>
        <v/>
      </c>
      <c r="O108" s="75"/>
      <c r="P108" s="72"/>
      <c r="Q108" s="72"/>
      <c r="R108" s="72"/>
      <c r="S108" s="72"/>
      <c r="T108" s="72"/>
      <c r="U108" s="72"/>
      <c r="V108" s="76"/>
    </row>
    <row r="109" spans="1:25" ht="27.75" customHeight="1">
      <c r="A109" s="87" t="str">
        <f>IF(ISBLANK(C109)," ",104-COUNTBLANK($C$6:C109))</f>
        <v xml:space="preserve"> </v>
      </c>
      <c r="B109" s="88"/>
      <c r="C109" s="88"/>
      <c r="D109" s="89"/>
      <c r="E109" s="89"/>
      <c r="F109" s="73"/>
      <c r="G109" s="73"/>
      <c r="H109" s="73"/>
      <c r="I109" s="73"/>
      <c r="J109" s="73"/>
      <c r="K109" s="73"/>
      <c r="L109" s="73"/>
      <c r="M109" s="74"/>
      <c r="N109" s="71" t="str">
        <f t="shared" si="1"/>
        <v/>
      </c>
      <c r="O109" s="72"/>
      <c r="P109" s="72"/>
      <c r="Q109" s="72"/>
      <c r="R109" s="72"/>
      <c r="S109" s="72"/>
      <c r="T109" s="72"/>
      <c r="U109" s="72"/>
      <c r="V109" s="79"/>
      <c r="W109" s="72"/>
      <c r="X109" s="72"/>
      <c r="Y109" s="72"/>
    </row>
    <row r="110" spans="1:25" ht="27.75" customHeight="1">
      <c r="A110" s="80" t="s">
        <v>58</v>
      </c>
      <c r="B110" s="81"/>
      <c r="C110" s="96"/>
      <c r="D110" s="82"/>
      <c r="E110" s="82">
        <f>SUM(E90:E109)</f>
        <v>0</v>
      </c>
      <c r="F110" s="83"/>
      <c r="G110" s="83"/>
      <c r="H110" s="83"/>
      <c r="I110" s="83"/>
      <c r="J110" s="83"/>
      <c r="K110" s="83"/>
      <c r="L110" s="83"/>
      <c r="M110" s="84"/>
      <c r="N110" s="71" t="str">
        <f t="shared" si="1"/>
        <v/>
      </c>
      <c r="O110" s="75"/>
      <c r="P110" s="72"/>
      <c r="Q110" s="72"/>
      <c r="R110" s="72"/>
      <c r="S110" s="72"/>
      <c r="T110" s="72"/>
      <c r="U110" s="72"/>
      <c r="V110" s="79"/>
      <c r="W110" s="72"/>
      <c r="X110" s="72"/>
      <c r="Y110" s="72"/>
    </row>
    <row r="111" spans="1:25" ht="27.75" customHeight="1">
      <c r="A111" s="93" t="str">
        <f>IF(ISBLANK(C111)," ",106-COUNTBLANK($C$6:C111))</f>
        <v xml:space="preserve"> </v>
      </c>
      <c r="B111" s="94"/>
      <c r="C111" s="94"/>
      <c r="D111" s="95"/>
      <c r="E111" s="95"/>
      <c r="F111" s="85"/>
      <c r="G111" s="85"/>
      <c r="H111" s="85"/>
      <c r="I111" s="85"/>
      <c r="J111" s="85"/>
      <c r="K111" s="85"/>
      <c r="L111" s="85"/>
      <c r="M111" s="86"/>
      <c r="N111" s="71" t="str">
        <f t="shared" si="1"/>
        <v/>
      </c>
      <c r="O111" s="72"/>
      <c r="P111" s="72"/>
      <c r="Q111" s="72"/>
      <c r="R111" s="72"/>
      <c r="S111" s="72"/>
      <c r="T111" s="72"/>
      <c r="U111" s="72"/>
      <c r="V111" s="72"/>
    </row>
    <row r="112" spans="1:25" ht="27.75" customHeight="1">
      <c r="A112" s="87" t="str">
        <f>IF(ISBLANK(C112)," ",107-COUNTBLANK($C$6:C112))</f>
        <v xml:space="preserve"> </v>
      </c>
      <c r="B112" s="88"/>
      <c r="C112" s="88"/>
      <c r="D112" s="89"/>
      <c r="E112" s="89"/>
      <c r="F112" s="73"/>
      <c r="G112" s="73"/>
      <c r="H112" s="73"/>
      <c r="I112" s="73"/>
      <c r="J112" s="73"/>
      <c r="K112" s="73"/>
      <c r="L112" s="73"/>
      <c r="M112" s="74"/>
      <c r="N112" s="71" t="str">
        <f t="shared" si="1"/>
        <v/>
      </c>
      <c r="O112" s="72"/>
      <c r="P112" s="72"/>
      <c r="Q112" s="72"/>
      <c r="R112" s="72"/>
      <c r="S112" s="72"/>
      <c r="T112" s="72"/>
      <c r="U112" s="72"/>
      <c r="V112" s="72"/>
    </row>
    <row r="113" spans="1:22" ht="27.75" customHeight="1">
      <c r="A113" s="87" t="str">
        <f>IF(ISBLANK(C113)," ",108-COUNTBLANK($C$6:C113))</f>
        <v xml:space="preserve"> </v>
      </c>
      <c r="B113" s="88"/>
      <c r="C113" s="88"/>
      <c r="D113" s="89"/>
      <c r="E113" s="89"/>
      <c r="F113" s="73"/>
      <c r="G113" s="73"/>
      <c r="H113" s="73"/>
      <c r="I113" s="73"/>
      <c r="J113" s="73"/>
      <c r="K113" s="73"/>
      <c r="L113" s="73"/>
      <c r="M113" s="74"/>
      <c r="N113" s="71" t="str">
        <f t="shared" si="1"/>
        <v/>
      </c>
      <c r="O113" s="72"/>
      <c r="P113" s="72"/>
      <c r="Q113" s="72"/>
      <c r="R113" s="72"/>
      <c r="S113" s="72"/>
      <c r="T113" s="72"/>
      <c r="U113" s="72"/>
      <c r="V113" s="72"/>
    </row>
    <row r="114" spans="1:22" ht="27.75" customHeight="1">
      <c r="A114" s="87" t="str">
        <f>IF(ISBLANK(C114)," ",109-COUNTBLANK($C$6:C114))</f>
        <v xml:space="preserve"> </v>
      </c>
      <c r="B114" s="88"/>
      <c r="C114" s="88"/>
      <c r="D114" s="89"/>
      <c r="E114" s="89"/>
      <c r="F114" s="73"/>
      <c r="G114" s="73"/>
      <c r="H114" s="73"/>
      <c r="I114" s="73"/>
      <c r="J114" s="73"/>
      <c r="K114" s="73"/>
      <c r="L114" s="73"/>
      <c r="M114" s="74"/>
      <c r="N114" s="71" t="str">
        <f t="shared" si="1"/>
        <v/>
      </c>
      <c r="O114" s="72"/>
      <c r="P114" s="72"/>
      <c r="Q114" s="72"/>
      <c r="R114" s="72"/>
      <c r="S114" s="72"/>
      <c r="T114" s="72"/>
      <c r="U114" s="72"/>
      <c r="V114" s="72"/>
    </row>
    <row r="115" spans="1:22" ht="27.75" customHeight="1">
      <c r="A115" s="87" t="str">
        <f>IF(ISBLANK(C115)," ",110-COUNTBLANK($C$6:C115))</f>
        <v xml:space="preserve"> </v>
      </c>
      <c r="B115" s="88"/>
      <c r="C115" s="88"/>
      <c r="D115" s="89"/>
      <c r="E115" s="89"/>
      <c r="F115" s="73"/>
      <c r="G115" s="73"/>
      <c r="H115" s="73"/>
      <c r="I115" s="73"/>
      <c r="J115" s="73"/>
      <c r="K115" s="73"/>
      <c r="L115" s="73"/>
      <c r="M115" s="74"/>
      <c r="N115" s="71" t="str">
        <f t="shared" si="1"/>
        <v/>
      </c>
      <c r="O115" s="72"/>
      <c r="P115" s="72"/>
      <c r="Q115" s="72"/>
      <c r="R115" s="72"/>
      <c r="S115" s="72"/>
      <c r="T115" s="72"/>
      <c r="U115" s="72"/>
      <c r="V115" s="72"/>
    </row>
    <row r="116" spans="1:22" ht="27.75" customHeight="1">
      <c r="A116" s="87" t="str">
        <f>IF(ISBLANK(C116)," ",111-COUNTBLANK($C$6:C116))</f>
        <v xml:space="preserve"> </v>
      </c>
      <c r="B116" s="88"/>
      <c r="C116" s="88"/>
      <c r="D116" s="89"/>
      <c r="E116" s="89"/>
      <c r="F116" s="73"/>
      <c r="G116" s="73"/>
      <c r="H116" s="73"/>
      <c r="I116" s="73"/>
      <c r="J116" s="73"/>
      <c r="K116" s="73"/>
      <c r="L116" s="73"/>
      <c r="M116" s="74"/>
      <c r="N116" s="71" t="str">
        <f t="shared" si="1"/>
        <v/>
      </c>
      <c r="O116" s="72"/>
      <c r="P116" s="72"/>
      <c r="Q116" s="72"/>
      <c r="R116" s="72"/>
      <c r="S116" s="72"/>
      <c r="T116" s="72"/>
      <c r="U116" s="72"/>
      <c r="V116" s="72"/>
    </row>
    <row r="117" spans="1:22" ht="27.75" customHeight="1">
      <c r="A117" s="87" t="str">
        <f>IF(ISBLANK(C117)," ",112-COUNTBLANK($C$6:C117))</f>
        <v xml:space="preserve"> </v>
      </c>
      <c r="B117" s="88"/>
      <c r="C117" s="88"/>
      <c r="D117" s="89"/>
      <c r="E117" s="89"/>
      <c r="F117" s="73"/>
      <c r="G117" s="73"/>
      <c r="H117" s="73"/>
      <c r="I117" s="73"/>
      <c r="J117" s="73"/>
      <c r="K117" s="73"/>
      <c r="L117" s="73"/>
      <c r="M117" s="74"/>
      <c r="N117" s="71" t="str">
        <f t="shared" si="1"/>
        <v/>
      </c>
      <c r="O117" s="72"/>
      <c r="P117" s="72"/>
      <c r="Q117" s="72"/>
      <c r="R117" s="72"/>
      <c r="S117" s="72"/>
      <c r="T117" s="72"/>
      <c r="U117" s="72"/>
      <c r="V117" s="72"/>
    </row>
    <row r="118" spans="1:22" ht="27.75" customHeight="1">
      <c r="A118" s="87" t="str">
        <f>IF(ISBLANK(C118)," ",113-COUNTBLANK($C$6:C118))</f>
        <v xml:space="preserve"> </v>
      </c>
      <c r="B118" s="88"/>
      <c r="C118" s="88"/>
      <c r="D118" s="89"/>
      <c r="E118" s="89"/>
      <c r="F118" s="73"/>
      <c r="G118" s="73"/>
      <c r="H118" s="73"/>
      <c r="I118" s="73"/>
      <c r="J118" s="73"/>
      <c r="K118" s="73"/>
      <c r="L118" s="73"/>
      <c r="M118" s="74"/>
      <c r="N118" s="71" t="str">
        <f t="shared" si="1"/>
        <v/>
      </c>
      <c r="O118" s="72"/>
      <c r="P118" s="72"/>
      <c r="Q118" s="72"/>
      <c r="R118" s="72"/>
      <c r="S118" s="72"/>
      <c r="T118" s="72"/>
      <c r="U118" s="72"/>
      <c r="V118" s="72"/>
    </row>
    <row r="119" spans="1:22" ht="27.75" customHeight="1">
      <c r="A119" s="87" t="str">
        <f>IF(ISBLANK(C119)," ",114-COUNTBLANK($C$6:C119))</f>
        <v xml:space="preserve"> </v>
      </c>
      <c r="B119" s="88"/>
      <c r="C119" s="88"/>
      <c r="D119" s="89"/>
      <c r="E119" s="89"/>
      <c r="F119" s="73"/>
      <c r="G119" s="73"/>
      <c r="H119" s="73"/>
      <c r="I119" s="73"/>
      <c r="J119" s="73"/>
      <c r="K119" s="73"/>
      <c r="L119" s="73"/>
      <c r="M119" s="74"/>
      <c r="N119" s="71" t="str">
        <f t="shared" si="1"/>
        <v/>
      </c>
      <c r="O119" s="72"/>
      <c r="P119" s="72"/>
      <c r="Q119" s="72"/>
      <c r="R119" s="72"/>
      <c r="S119" s="72"/>
      <c r="T119" s="72"/>
      <c r="U119" s="72"/>
      <c r="V119" s="72"/>
    </row>
    <row r="120" spans="1:22" ht="27.75" customHeight="1">
      <c r="A120" s="87" t="str">
        <f>IF(ISBLANK(C120)," ",115-COUNTBLANK($C$6:C120))</f>
        <v xml:space="preserve"> </v>
      </c>
      <c r="B120" s="88"/>
      <c r="C120" s="88"/>
      <c r="D120" s="89"/>
      <c r="E120" s="89"/>
      <c r="F120" s="73"/>
      <c r="G120" s="73"/>
      <c r="H120" s="73"/>
      <c r="I120" s="73"/>
      <c r="J120" s="73"/>
      <c r="K120" s="73"/>
      <c r="L120" s="73"/>
      <c r="M120" s="74"/>
      <c r="N120" s="71" t="str">
        <f t="shared" si="1"/>
        <v/>
      </c>
      <c r="O120" s="72"/>
      <c r="P120" s="72"/>
      <c r="Q120" s="72"/>
      <c r="R120" s="72"/>
      <c r="S120" s="72"/>
      <c r="T120" s="72"/>
      <c r="U120" s="72"/>
      <c r="V120" s="72"/>
    </row>
    <row r="121" spans="1:22" ht="27.75" customHeight="1">
      <c r="A121" s="87" t="str">
        <f>IF(ISBLANK(C121)," ",116-COUNTBLANK($C$6:C121))</f>
        <v xml:space="preserve"> </v>
      </c>
      <c r="B121" s="88"/>
      <c r="C121" s="88"/>
      <c r="D121" s="89"/>
      <c r="E121" s="89"/>
      <c r="F121" s="73"/>
      <c r="G121" s="73"/>
      <c r="H121" s="73"/>
      <c r="I121" s="73"/>
      <c r="J121" s="73"/>
      <c r="K121" s="73"/>
      <c r="L121" s="73"/>
      <c r="M121" s="74"/>
      <c r="N121" s="71" t="str">
        <f t="shared" si="1"/>
        <v/>
      </c>
      <c r="O121" s="72"/>
      <c r="P121" s="72"/>
      <c r="Q121" s="72"/>
      <c r="R121" s="72"/>
      <c r="S121" s="72"/>
      <c r="T121" s="72"/>
      <c r="U121" s="72"/>
      <c r="V121" s="72"/>
    </row>
    <row r="122" spans="1:22" ht="27.75" customHeight="1">
      <c r="A122" s="87" t="str">
        <f>IF(ISBLANK(C122)," ",117-COUNTBLANK($C$6:C122))</f>
        <v xml:space="preserve"> </v>
      </c>
      <c r="B122" s="88"/>
      <c r="C122" s="88"/>
      <c r="D122" s="89"/>
      <c r="E122" s="89"/>
      <c r="F122" s="73"/>
      <c r="G122" s="73"/>
      <c r="H122" s="73"/>
      <c r="I122" s="73"/>
      <c r="J122" s="73"/>
      <c r="K122" s="73"/>
      <c r="L122" s="73"/>
      <c r="M122" s="74"/>
      <c r="N122" s="71" t="str">
        <f t="shared" si="1"/>
        <v/>
      </c>
      <c r="O122" s="72"/>
      <c r="P122" s="72"/>
      <c r="Q122" s="72"/>
      <c r="R122" s="72"/>
      <c r="S122" s="72"/>
      <c r="T122" s="72"/>
      <c r="U122" s="72"/>
      <c r="V122" s="72"/>
    </row>
    <row r="123" spans="1:22" ht="27.75" customHeight="1">
      <c r="A123" s="87" t="str">
        <f>IF(ISBLANK(C123)," ",118-COUNTBLANK($C$6:C123))</f>
        <v xml:space="preserve"> </v>
      </c>
      <c r="B123" s="88"/>
      <c r="C123" s="88"/>
      <c r="D123" s="89"/>
      <c r="E123" s="89"/>
      <c r="F123" s="73"/>
      <c r="G123" s="73"/>
      <c r="H123" s="73"/>
      <c r="I123" s="73"/>
      <c r="J123" s="73"/>
      <c r="K123" s="73"/>
      <c r="L123" s="73"/>
      <c r="M123" s="74"/>
      <c r="N123" s="71" t="str">
        <f t="shared" si="1"/>
        <v/>
      </c>
      <c r="O123" s="72"/>
      <c r="P123" s="72"/>
      <c r="Q123" s="72"/>
      <c r="R123" s="72"/>
      <c r="S123" s="72"/>
      <c r="T123" s="72"/>
      <c r="U123" s="72"/>
      <c r="V123" s="72"/>
    </row>
    <row r="124" spans="1:22" ht="27.75" customHeight="1">
      <c r="A124" s="87" t="str">
        <f>IF(ISBLANK(C124)," ",119-COUNTBLANK($C$6:C124))</f>
        <v xml:space="preserve"> </v>
      </c>
      <c r="B124" s="88"/>
      <c r="C124" s="88"/>
      <c r="D124" s="89"/>
      <c r="E124" s="89"/>
      <c r="F124" s="73"/>
      <c r="G124" s="73"/>
      <c r="H124" s="73"/>
      <c r="I124" s="73"/>
      <c r="J124" s="73"/>
      <c r="K124" s="73"/>
      <c r="L124" s="73"/>
      <c r="M124" s="74"/>
      <c r="N124" s="71" t="str">
        <f t="shared" si="1"/>
        <v/>
      </c>
      <c r="O124" s="72"/>
      <c r="P124" s="72"/>
      <c r="Q124" s="72"/>
      <c r="R124" s="72"/>
      <c r="S124" s="72"/>
      <c r="T124" s="72"/>
      <c r="U124" s="72"/>
      <c r="V124" s="72"/>
    </row>
    <row r="125" spans="1:22" ht="27.75" customHeight="1">
      <c r="A125" s="87" t="str">
        <f>IF(ISBLANK(C125)," ",120-COUNTBLANK($C$6:C125))</f>
        <v xml:space="preserve"> </v>
      </c>
      <c r="B125" s="88"/>
      <c r="C125" s="88"/>
      <c r="D125" s="89"/>
      <c r="E125" s="89"/>
      <c r="F125" s="73"/>
      <c r="G125" s="73"/>
      <c r="H125" s="73"/>
      <c r="I125" s="73"/>
      <c r="J125" s="73"/>
      <c r="K125" s="73"/>
      <c r="L125" s="73"/>
      <c r="M125" s="74"/>
      <c r="N125" s="71" t="str">
        <f t="shared" si="1"/>
        <v/>
      </c>
      <c r="O125" s="72"/>
      <c r="P125" s="72"/>
      <c r="Q125" s="72"/>
      <c r="R125" s="72"/>
      <c r="S125" s="72"/>
      <c r="T125" s="72"/>
      <c r="U125" s="72"/>
      <c r="V125" s="72"/>
    </row>
    <row r="126" spans="1:22" ht="27.75" customHeight="1">
      <c r="A126" s="87" t="str">
        <f>IF(ISBLANK(C126)," ",121-COUNTBLANK($C$6:C126))</f>
        <v xml:space="preserve"> </v>
      </c>
      <c r="B126" s="88"/>
      <c r="C126" s="88"/>
      <c r="D126" s="89"/>
      <c r="E126" s="89"/>
      <c r="F126" s="73"/>
      <c r="G126" s="73"/>
      <c r="H126" s="73"/>
      <c r="I126" s="73"/>
      <c r="J126" s="73"/>
      <c r="K126" s="73"/>
      <c r="L126" s="73"/>
      <c r="M126" s="74"/>
      <c r="N126" s="71" t="str">
        <f t="shared" si="1"/>
        <v/>
      </c>
      <c r="O126" s="75"/>
      <c r="P126" s="72"/>
      <c r="Q126" s="72"/>
      <c r="R126" s="72"/>
      <c r="S126" s="72"/>
      <c r="T126" s="72"/>
      <c r="U126" s="72"/>
      <c r="V126" s="76"/>
    </row>
    <row r="127" spans="1:22" ht="27.75" customHeight="1">
      <c r="A127" s="87" t="str">
        <f>IF(ISBLANK(C127)," ",122-COUNTBLANK($C$6:C127))</f>
        <v xml:space="preserve"> </v>
      </c>
      <c r="B127" s="88"/>
      <c r="C127" s="88"/>
      <c r="D127" s="89"/>
      <c r="E127" s="89"/>
      <c r="F127" s="73"/>
      <c r="G127" s="73"/>
      <c r="H127" s="73"/>
      <c r="I127" s="73"/>
      <c r="J127" s="73"/>
      <c r="K127" s="73"/>
      <c r="L127" s="73"/>
      <c r="M127" s="74"/>
      <c r="N127" s="71" t="str">
        <f t="shared" si="1"/>
        <v/>
      </c>
      <c r="O127" s="75"/>
      <c r="P127" s="72"/>
      <c r="Q127" s="72"/>
      <c r="R127" s="72"/>
      <c r="S127" s="72"/>
      <c r="T127" s="72"/>
      <c r="U127" s="72"/>
      <c r="V127" s="76"/>
    </row>
    <row r="128" spans="1:22" ht="27.75" customHeight="1">
      <c r="A128" s="87" t="str">
        <f>IF(ISBLANK(C128)," ",123-COUNTBLANK($C$6:C128))</f>
        <v xml:space="preserve"> </v>
      </c>
      <c r="B128" s="88"/>
      <c r="C128" s="88"/>
      <c r="D128" s="89"/>
      <c r="E128" s="89"/>
      <c r="F128" s="73"/>
      <c r="G128" s="73"/>
      <c r="H128" s="73"/>
      <c r="I128" s="73"/>
      <c r="J128" s="73"/>
      <c r="K128" s="73"/>
      <c r="L128" s="73"/>
      <c r="M128" s="74"/>
      <c r="N128" s="71" t="str">
        <f t="shared" si="1"/>
        <v/>
      </c>
      <c r="O128" s="75"/>
      <c r="P128" s="72"/>
      <c r="Q128" s="72"/>
      <c r="R128" s="72"/>
      <c r="S128" s="72"/>
      <c r="T128" s="72"/>
      <c r="U128" s="72"/>
      <c r="V128" s="76"/>
    </row>
    <row r="129" spans="1:25" ht="27.75" customHeight="1">
      <c r="A129" s="87" t="str">
        <f>IF(ISBLANK(C129)," ",124-COUNTBLANK($C$6:C129))</f>
        <v xml:space="preserve"> </v>
      </c>
      <c r="B129" s="88"/>
      <c r="C129" s="88"/>
      <c r="D129" s="89"/>
      <c r="E129" s="89"/>
      <c r="F129" s="73"/>
      <c r="G129" s="73"/>
      <c r="H129" s="73"/>
      <c r="I129" s="73"/>
      <c r="J129" s="73"/>
      <c r="K129" s="73"/>
      <c r="L129" s="73"/>
      <c r="M129" s="74"/>
      <c r="N129" s="71" t="str">
        <f t="shared" si="1"/>
        <v/>
      </c>
      <c r="O129" s="75"/>
      <c r="P129" s="72"/>
      <c r="Q129" s="72"/>
      <c r="R129" s="72"/>
      <c r="S129" s="72"/>
      <c r="T129" s="72"/>
      <c r="U129" s="72"/>
      <c r="V129" s="76"/>
    </row>
    <row r="130" spans="1:25" ht="27.75" customHeight="1">
      <c r="A130" s="87" t="str">
        <f>IF(ISBLANK(C130)," ",125-COUNTBLANK($C$6:C130))</f>
        <v xml:space="preserve"> </v>
      </c>
      <c r="B130" s="88"/>
      <c r="C130" s="88"/>
      <c r="D130" s="89"/>
      <c r="E130" s="89"/>
      <c r="F130" s="73"/>
      <c r="G130" s="73"/>
      <c r="H130" s="73"/>
      <c r="I130" s="73"/>
      <c r="J130" s="73"/>
      <c r="K130" s="73"/>
      <c r="L130" s="73"/>
      <c r="M130" s="74"/>
      <c r="N130" s="71" t="str">
        <f t="shared" si="1"/>
        <v/>
      </c>
      <c r="O130" s="72"/>
      <c r="P130" s="72"/>
      <c r="Q130" s="72"/>
      <c r="R130" s="72"/>
      <c r="S130" s="72"/>
      <c r="T130" s="72"/>
      <c r="U130" s="72"/>
      <c r="V130" s="79"/>
      <c r="W130" s="72"/>
      <c r="X130" s="72"/>
      <c r="Y130" s="72"/>
    </row>
    <row r="131" spans="1:25" ht="27.75" customHeight="1">
      <c r="A131" s="80" t="s">
        <v>58</v>
      </c>
      <c r="B131" s="81"/>
      <c r="C131" s="96"/>
      <c r="D131" s="82"/>
      <c r="E131" s="82">
        <f>SUM(E111:E130)</f>
        <v>0</v>
      </c>
      <c r="F131" s="83"/>
      <c r="G131" s="83"/>
      <c r="H131" s="83"/>
      <c r="I131" s="83"/>
      <c r="J131" s="83"/>
      <c r="K131" s="83"/>
      <c r="L131" s="83"/>
      <c r="M131" s="84"/>
      <c r="N131" s="71" t="str">
        <f t="shared" si="1"/>
        <v/>
      </c>
      <c r="O131" s="75"/>
      <c r="P131" s="72"/>
      <c r="Q131" s="72"/>
      <c r="R131" s="72"/>
      <c r="S131" s="72"/>
      <c r="T131" s="72"/>
      <c r="U131" s="72"/>
      <c r="V131" s="79"/>
      <c r="W131" s="72"/>
      <c r="X131" s="72"/>
      <c r="Y131" s="72"/>
    </row>
    <row r="132" spans="1:25" ht="27.75" customHeight="1">
      <c r="A132" s="93" t="str">
        <f>IF(ISBLANK(C132)," ",127-COUNTBLANK($C$6:C132))</f>
        <v xml:space="preserve"> </v>
      </c>
      <c r="B132" s="94"/>
      <c r="C132" s="94"/>
      <c r="D132" s="95"/>
      <c r="E132" s="95"/>
      <c r="F132" s="85"/>
      <c r="G132" s="85"/>
      <c r="H132" s="85"/>
      <c r="I132" s="85"/>
      <c r="J132" s="85"/>
      <c r="K132" s="85"/>
      <c r="L132" s="85"/>
      <c r="M132" s="86"/>
      <c r="N132" s="71" t="str">
        <f t="shared" si="1"/>
        <v/>
      </c>
      <c r="O132" s="72"/>
      <c r="P132" s="72"/>
      <c r="Q132" s="72"/>
      <c r="R132" s="72"/>
      <c r="S132" s="72"/>
      <c r="T132" s="72"/>
      <c r="U132" s="72"/>
      <c r="V132" s="72"/>
    </row>
    <row r="133" spans="1:25" ht="27.75" customHeight="1">
      <c r="A133" s="87" t="str">
        <f>IF(ISBLANK(C133)," ",128-COUNTBLANK($C$6:C133))</f>
        <v xml:space="preserve"> </v>
      </c>
      <c r="B133" s="88"/>
      <c r="C133" s="88"/>
      <c r="D133" s="89"/>
      <c r="E133" s="89"/>
      <c r="F133" s="73"/>
      <c r="G133" s="73"/>
      <c r="H133" s="73"/>
      <c r="I133" s="73"/>
      <c r="J133" s="73"/>
      <c r="K133" s="73"/>
      <c r="L133" s="73"/>
      <c r="M133" s="74"/>
      <c r="N133" s="71" t="str">
        <f t="shared" si="1"/>
        <v/>
      </c>
      <c r="O133" s="72"/>
      <c r="P133" s="72"/>
      <c r="Q133" s="72"/>
      <c r="R133" s="72"/>
      <c r="S133" s="72"/>
      <c r="T133" s="72"/>
      <c r="U133" s="72"/>
      <c r="V133" s="72"/>
    </row>
    <row r="134" spans="1:25" ht="27.75" customHeight="1">
      <c r="A134" s="87" t="str">
        <f>IF(ISBLANK(C134)," ",129-COUNTBLANK($C$6:C134))</f>
        <v xml:space="preserve"> </v>
      </c>
      <c r="B134" s="88"/>
      <c r="C134" s="88"/>
      <c r="D134" s="89"/>
      <c r="E134" s="89"/>
      <c r="F134" s="73"/>
      <c r="G134" s="73"/>
      <c r="H134" s="73"/>
      <c r="I134" s="73"/>
      <c r="J134" s="73"/>
      <c r="K134" s="73"/>
      <c r="L134" s="73"/>
      <c r="M134" s="74"/>
      <c r="N134" s="71" t="str">
        <f t="shared" ref="N134:N197" si="2">CONCATENATE(C134,H134)</f>
        <v/>
      </c>
      <c r="O134" s="72"/>
      <c r="P134" s="72"/>
      <c r="Q134" s="72"/>
      <c r="R134" s="72"/>
      <c r="S134" s="72"/>
      <c r="T134" s="72"/>
      <c r="U134" s="72"/>
      <c r="V134" s="72"/>
    </row>
    <row r="135" spans="1:25" ht="27.75" customHeight="1">
      <c r="A135" s="87" t="str">
        <f>IF(ISBLANK(C135)," ",130-COUNTBLANK($C$6:C135))</f>
        <v xml:space="preserve"> </v>
      </c>
      <c r="B135" s="88"/>
      <c r="C135" s="88"/>
      <c r="D135" s="89"/>
      <c r="E135" s="89"/>
      <c r="F135" s="73"/>
      <c r="G135" s="73"/>
      <c r="H135" s="73"/>
      <c r="I135" s="73"/>
      <c r="J135" s="73"/>
      <c r="K135" s="73"/>
      <c r="L135" s="73"/>
      <c r="M135" s="74"/>
      <c r="N135" s="71" t="str">
        <f t="shared" si="2"/>
        <v/>
      </c>
      <c r="O135" s="72"/>
      <c r="P135" s="72"/>
      <c r="Q135" s="72"/>
      <c r="R135" s="72"/>
      <c r="S135" s="72"/>
      <c r="T135" s="72"/>
      <c r="U135" s="72"/>
      <c r="V135" s="72"/>
    </row>
    <row r="136" spans="1:25" ht="27.75" customHeight="1">
      <c r="A136" s="87" t="str">
        <f>IF(ISBLANK(C136)," ",131-COUNTBLANK($C$6:C136))</f>
        <v xml:space="preserve"> </v>
      </c>
      <c r="B136" s="88"/>
      <c r="C136" s="88"/>
      <c r="D136" s="89"/>
      <c r="E136" s="89"/>
      <c r="F136" s="73"/>
      <c r="G136" s="73"/>
      <c r="H136" s="73"/>
      <c r="I136" s="73"/>
      <c r="J136" s="73"/>
      <c r="K136" s="73"/>
      <c r="L136" s="73"/>
      <c r="M136" s="74"/>
      <c r="N136" s="71" t="str">
        <f t="shared" si="2"/>
        <v/>
      </c>
      <c r="O136" s="72"/>
      <c r="P136" s="72"/>
      <c r="Q136" s="72"/>
      <c r="R136" s="72"/>
      <c r="S136" s="72"/>
      <c r="T136" s="72"/>
      <c r="U136" s="72"/>
      <c r="V136" s="72"/>
    </row>
    <row r="137" spans="1:25" ht="27.75" customHeight="1">
      <c r="A137" s="87" t="str">
        <f>IF(ISBLANK(C137)," ",132-COUNTBLANK($C$6:C137))</f>
        <v xml:space="preserve"> </v>
      </c>
      <c r="B137" s="88"/>
      <c r="C137" s="88"/>
      <c r="D137" s="89"/>
      <c r="E137" s="89"/>
      <c r="F137" s="73"/>
      <c r="G137" s="73"/>
      <c r="H137" s="73"/>
      <c r="I137" s="73"/>
      <c r="J137" s="73"/>
      <c r="K137" s="73"/>
      <c r="L137" s="73"/>
      <c r="M137" s="74"/>
      <c r="N137" s="71" t="str">
        <f t="shared" si="2"/>
        <v/>
      </c>
      <c r="O137" s="72"/>
      <c r="P137" s="72"/>
      <c r="Q137" s="72"/>
      <c r="R137" s="72"/>
      <c r="S137" s="72"/>
      <c r="T137" s="72"/>
      <c r="U137" s="72"/>
      <c r="V137" s="72"/>
    </row>
    <row r="138" spans="1:25" ht="27.75" customHeight="1">
      <c r="A138" s="87" t="str">
        <f>IF(ISBLANK(C138)," ",133-COUNTBLANK($C$6:C138))</f>
        <v xml:space="preserve"> </v>
      </c>
      <c r="B138" s="88"/>
      <c r="C138" s="88"/>
      <c r="D138" s="89"/>
      <c r="E138" s="89"/>
      <c r="F138" s="73"/>
      <c r="G138" s="73"/>
      <c r="H138" s="73"/>
      <c r="I138" s="73"/>
      <c r="J138" s="73"/>
      <c r="K138" s="73"/>
      <c r="L138" s="73"/>
      <c r="M138" s="74"/>
      <c r="N138" s="71" t="str">
        <f t="shared" si="2"/>
        <v/>
      </c>
      <c r="O138" s="72"/>
      <c r="P138" s="72"/>
      <c r="Q138" s="72"/>
      <c r="R138" s="72"/>
      <c r="S138" s="72"/>
      <c r="T138" s="72"/>
      <c r="U138" s="72"/>
      <c r="V138" s="72"/>
    </row>
    <row r="139" spans="1:25" ht="27.75" customHeight="1">
      <c r="A139" s="87" t="str">
        <f>IF(ISBLANK(C139)," ",134-COUNTBLANK($C$6:C139))</f>
        <v xml:space="preserve"> </v>
      </c>
      <c r="B139" s="88"/>
      <c r="C139" s="88"/>
      <c r="D139" s="89"/>
      <c r="E139" s="89"/>
      <c r="F139" s="73"/>
      <c r="G139" s="73"/>
      <c r="H139" s="73"/>
      <c r="I139" s="73"/>
      <c r="J139" s="73"/>
      <c r="K139" s="73"/>
      <c r="L139" s="73"/>
      <c r="M139" s="74"/>
      <c r="N139" s="71" t="str">
        <f t="shared" si="2"/>
        <v/>
      </c>
      <c r="O139" s="72"/>
      <c r="P139" s="72"/>
      <c r="Q139" s="72"/>
      <c r="R139" s="72"/>
      <c r="S139" s="72"/>
      <c r="T139" s="72"/>
      <c r="U139" s="72"/>
      <c r="V139" s="72"/>
    </row>
    <row r="140" spans="1:25" ht="27.75" customHeight="1">
      <c r="A140" s="87" t="str">
        <f>IF(ISBLANK(C140)," ",135-COUNTBLANK($C$6:C140))</f>
        <v xml:space="preserve"> </v>
      </c>
      <c r="B140" s="88"/>
      <c r="C140" s="88"/>
      <c r="D140" s="89"/>
      <c r="E140" s="89"/>
      <c r="F140" s="73"/>
      <c r="G140" s="73"/>
      <c r="H140" s="73"/>
      <c r="I140" s="73"/>
      <c r="J140" s="73"/>
      <c r="K140" s="73"/>
      <c r="L140" s="73"/>
      <c r="M140" s="74"/>
      <c r="N140" s="71" t="str">
        <f t="shared" si="2"/>
        <v/>
      </c>
      <c r="O140" s="72"/>
      <c r="P140" s="72"/>
      <c r="Q140" s="72"/>
      <c r="R140" s="72"/>
      <c r="S140" s="72"/>
      <c r="T140" s="72"/>
      <c r="U140" s="72"/>
      <c r="V140" s="72"/>
    </row>
    <row r="141" spans="1:25" ht="27.75" customHeight="1">
      <c r="A141" s="87" t="str">
        <f>IF(ISBLANK(C141)," ",136-COUNTBLANK($C$6:C141))</f>
        <v xml:space="preserve"> </v>
      </c>
      <c r="B141" s="88"/>
      <c r="C141" s="88"/>
      <c r="D141" s="89"/>
      <c r="E141" s="89"/>
      <c r="F141" s="73"/>
      <c r="G141" s="73"/>
      <c r="H141" s="73"/>
      <c r="I141" s="73"/>
      <c r="J141" s="73"/>
      <c r="K141" s="73"/>
      <c r="L141" s="73"/>
      <c r="M141" s="74"/>
      <c r="N141" s="71" t="str">
        <f t="shared" si="2"/>
        <v/>
      </c>
      <c r="O141" s="72"/>
      <c r="P141" s="72"/>
      <c r="Q141" s="72"/>
      <c r="R141" s="72"/>
      <c r="S141" s="72"/>
      <c r="T141" s="72"/>
      <c r="U141" s="72"/>
      <c r="V141" s="72"/>
    </row>
    <row r="142" spans="1:25" ht="27.75" customHeight="1">
      <c r="A142" s="87" t="str">
        <f>IF(ISBLANK(C142)," ",137-COUNTBLANK($C$6:C142))</f>
        <v xml:space="preserve"> </v>
      </c>
      <c r="B142" s="88"/>
      <c r="C142" s="88"/>
      <c r="D142" s="89"/>
      <c r="E142" s="89"/>
      <c r="F142" s="73"/>
      <c r="G142" s="73"/>
      <c r="H142" s="73"/>
      <c r="I142" s="73"/>
      <c r="J142" s="73"/>
      <c r="K142" s="73"/>
      <c r="L142" s="73"/>
      <c r="M142" s="74"/>
      <c r="N142" s="71" t="str">
        <f t="shared" si="2"/>
        <v/>
      </c>
      <c r="O142" s="72"/>
      <c r="P142" s="72"/>
      <c r="Q142" s="72"/>
      <c r="R142" s="72"/>
      <c r="S142" s="72"/>
      <c r="T142" s="72"/>
      <c r="U142" s="72"/>
      <c r="V142" s="72"/>
    </row>
    <row r="143" spans="1:25" ht="27.75" customHeight="1">
      <c r="A143" s="87" t="str">
        <f>IF(ISBLANK(C143)," ",138-COUNTBLANK($C$6:C143))</f>
        <v xml:space="preserve"> </v>
      </c>
      <c r="B143" s="88"/>
      <c r="C143" s="88"/>
      <c r="D143" s="89"/>
      <c r="E143" s="89"/>
      <c r="F143" s="73"/>
      <c r="G143" s="73"/>
      <c r="H143" s="73"/>
      <c r="I143" s="73"/>
      <c r="J143" s="73"/>
      <c r="K143" s="73"/>
      <c r="L143" s="73"/>
      <c r="M143" s="74"/>
      <c r="N143" s="71" t="str">
        <f t="shared" si="2"/>
        <v/>
      </c>
      <c r="O143" s="72"/>
      <c r="P143" s="72"/>
      <c r="Q143" s="72"/>
      <c r="R143" s="72"/>
      <c r="S143" s="72"/>
      <c r="T143" s="72"/>
      <c r="U143" s="72"/>
      <c r="V143" s="72"/>
    </row>
    <row r="144" spans="1:25" ht="27.75" customHeight="1">
      <c r="A144" s="87" t="str">
        <f>IF(ISBLANK(C144)," ",139-COUNTBLANK($C$6:C144))</f>
        <v xml:space="preserve"> </v>
      </c>
      <c r="B144" s="88"/>
      <c r="C144" s="88"/>
      <c r="D144" s="89"/>
      <c r="E144" s="89"/>
      <c r="F144" s="73"/>
      <c r="G144" s="73"/>
      <c r="H144" s="73"/>
      <c r="I144" s="73"/>
      <c r="J144" s="73"/>
      <c r="K144" s="73"/>
      <c r="L144" s="73"/>
      <c r="M144" s="74"/>
      <c r="N144" s="71" t="str">
        <f t="shared" si="2"/>
        <v/>
      </c>
      <c r="O144" s="72"/>
      <c r="P144" s="72"/>
      <c r="Q144" s="72"/>
      <c r="R144" s="72"/>
      <c r="S144" s="72"/>
      <c r="T144" s="72"/>
      <c r="U144" s="72"/>
      <c r="V144" s="72"/>
    </row>
    <row r="145" spans="1:25" ht="27.75" customHeight="1">
      <c r="A145" s="87" t="str">
        <f>IF(ISBLANK(C145)," ",140-COUNTBLANK($C$6:C145))</f>
        <v xml:space="preserve"> </v>
      </c>
      <c r="B145" s="88"/>
      <c r="C145" s="88"/>
      <c r="D145" s="89"/>
      <c r="E145" s="89"/>
      <c r="F145" s="73"/>
      <c r="G145" s="73"/>
      <c r="H145" s="73"/>
      <c r="I145" s="73"/>
      <c r="J145" s="73"/>
      <c r="K145" s="73"/>
      <c r="L145" s="73"/>
      <c r="M145" s="74"/>
      <c r="N145" s="71" t="str">
        <f t="shared" si="2"/>
        <v/>
      </c>
      <c r="O145" s="72"/>
      <c r="P145" s="72"/>
      <c r="Q145" s="72"/>
      <c r="R145" s="72"/>
      <c r="S145" s="72"/>
      <c r="T145" s="72"/>
      <c r="U145" s="72"/>
      <c r="V145" s="72"/>
    </row>
    <row r="146" spans="1:25" ht="27.75" customHeight="1">
      <c r="A146" s="87" t="str">
        <f>IF(ISBLANK(C146)," ",141-COUNTBLANK($C$6:C146))</f>
        <v xml:space="preserve"> </v>
      </c>
      <c r="B146" s="88"/>
      <c r="C146" s="88"/>
      <c r="D146" s="89"/>
      <c r="E146" s="89"/>
      <c r="F146" s="73"/>
      <c r="G146" s="73"/>
      <c r="H146" s="73"/>
      <c r="I146" s="73"/>
      <c r="J146" s="73"/>
      <c r="K146" s="73"/>
      <c r="L146" s="73"/>
      <c r="M146" s="74"/>
      <c r="N146" s="71" t="str">
        <f t="shared" si="2"/>
        <v/>
      </c>
      <c r="O146" s="72"/>
      <c r="P146" s="72"/>
      <c r="Q146" s="72"/>
      <c r="R146" s="72"/>
      <c r="S146" s="72"/>
      <c r="T146" s="72"/>
      <c r="U146" s="72"/>
      <c r="V146" s="72"/>
    </row>
    <row r="147" spans="1:25" ht="27.75" customHeight="1">
      <c r="A147" s="87" t="str">
        <f>IF(ISBLANK(C147)," ",142-COUNTBLANK($C$6:C147))</f>
        <v xml:space="preserve"> </v>
      </c>
      <c r="B147" s="88"/>
      <c r="C147" s="88"/>
      <c r="D147" s="89"/>
      <c r="E147" s="89"/>
      <c r="F147" s="73"/>
      <c r="G147" s="73"/>
      <c r="H147" s="73"/>
      <c r="I147" s="73"/>
      <c r="J147" s="73"/>
      <c r="K147" s="73"/>
      <c r="L147" s="73"/>
      <c r="M147" s="74"/>
      <c r="N147" s="71" t="str">
        <f t="shared" si="2"/>
        <v/>
      </c>
      <c r="O147" s="75"/>
      <c r="P147" s="72"/>
      <c r="Q147" s="72"/>
      <c r="R147" s="72"/>
      <c r="S147" s="72"/>
      <c r="T147" s="72"/>
      <c r="U147" s="72"/>
      <c r="V147" s="76"/>
    </row>
    <row r="148" spans="1:25" ht="27.75" customHeight="1">
      <c r="A148" s="87" t="str">
        <f>IF(ISBLANK(C148)," ",143-COUNTBLANK($C$6:C148))</f>
        <v xml:space="preserve"> </v>
      </c>
      <c r="B148" s="88"/>
      <c r="C148" s="88"/>
      <c r="D148" s="89"/>
      <c r="E148" s="89"/>
      <c r="F148" s="73"/>
      <c r="G148" s="73"/>
      <c r="H148" s="73"/>
      <c r="I148" s="73"/>
      <c r="J148" s="73"/>
      <c r="K148" s="73"/>
      <c r="L148" s="73"/>
      <c r="M148" s="74"/>
      <c r="N148" s="71" t="str">
        <f t="shared" si="2"/>
        <v/>
      </c>
      <c r="O148" s="75"/>
      <c r="P148" s="72"/>
      <c r="Q148" s="72"/>
      <c r="R148" s="72"/>
      <c r="S148" s="72"/>
      <c r="T148" s="72"/>
      <c r="U148" s="72"/>
      <c r="V148" s="76"/>
    </row>
    <row r="149" spans="1:25" ht="27.75" customHeight="1">
      <c r="A149" s="87" t="str">
        <f>IF(ISBLANK(C149)," ",144-COUNTBLANK($C$6:C149))</f>
        <v xml:space="preserve"> </v>
      </c>
      <c r="B149" s="88"/>
      <c r="C149" s="88"/>
      <c r="D149" s="89"/>
      <c r="E149" s="89"/>
      <c r="F149" s="73"/>
      <c r="G149" s="73"/>
      <c r="H149" s="73"/>
      <c r="I149" s="73"/>
      <c r="J149" s="73"/>
      <c r="K149" s="73"/>
      <c r="L149" s="73"/>
      <c r="M149" s="74"/>
      <c r="N149" s="71" t="str">
        <f t="shared" si="2"/>
        <v/>
      </c>
      <c r="O149" s="75"/>
      <c r="P149" s="72"/>
      <c r="Q149" s="72"/>
      <c r="R149" s="72"/>
      <c r="S149" s="72"/>
      <c r="T149" s="72"/>
      <c r="U149" s="72"/>
      <c r="V149" s="76"/>
    </row>
    <row r="150" spans="1:25" ht="27.75" customHeight="1">
      <c r="A150" s="87" t="str">
        <f>IF(ISBLANK(C150)," ",145-COUNTBLANK($C$6:C150))</f>
        <v xml:space="preserve"> </v>
      </c>
      <c r="B150" s="88"/>
      <c r="C150" s="88"/>
      <c r="D150" s="89"/>
      <c r="E150" s="89"/>
      <c r="F150" s="73"/>
      <c r="G150" s="73"/>
      <c r="H150" s="73"/>
      <c r="I150" s="73"/>
      <c r="J150" s="73"/>
      <c r="K150" s="73"/>
      <c r="L150" s="73"/>
      <c r="M150" s="74"/>
      <c r="N150" s="71" t="str">
        <f t="shared" si="2"/>
        <v/>
      </c>
      <c r="O150" s="75"/>
      <c r="P150" s="72"/>
      <c r="Q150" s="72"/>
      <c r="R150" s="72"/>
      <c r="S150" s="72"/>
      <c r="T150" s="72"/>
      <c r="U150" s="72"/>
      <c r="V150" s="76"/>
    </row>
    <row r="151" spans="1:25" ht="27.75" customHeight="1">
      <c r="A151" s="87" t="str">
        <f>IF(ISBLANK(C151)," ",146-COUNTBLANK($C$6:C151))</f>
        <v xml:space="preserve"> </v>
      </c>
      <c r="B151" s="88"/>
      <c r="C151" s="88"/>
      <c r="D151" s="89"/>
      <c r="E151" s="89"/>
      <c r="F151" s="73"/>
      <c r="G151" s="73"/>
      <c r="H151" s="73"/>
      <c r="I151" s="73"/>
      <c r="J151" s="73"/>
      <c r="K151" s="73"/>
      <c r="L151" s="73"/>
      <c r="M151" s="74"/>
      <c r="N151" s="71" t="str">
        <f t="shared" si="2"/>
        <v/>
      </c>
      <c r="O151" s="72"/>
      <c r="P151" s="72"/>
      <c r="Q151" s="72"/>
      <c r="R151" s="72"/>
      <c r="S151" s="72"/>
      <c r="T151" s="72"/>
      <c r="U151" s="72"/>
      <c r="V151" s="79"/>
      <c r="W151" s="72"/>
      <c r="X151" s="72"/>
      <c r="Y151" s="72"/>
    </row>
    <row r="152" spans="1:25" ht="27.75" customHeight="1">
      <c r="A152" s="80" t="s">
        <v>58</v>
      </c>
      <c r="B152" s="81"/>
      <c r="C152" s="96"/>
      <c r="D152" s="82"/>
      <c r="E152" s="82">
        <f>SUM(E132:E151)</f>
        <v>0</v>
      </c>
      <c r="F152" s="83"/>
      <c r="G152" s="83"/>
      <c r="H152" s="83"/>
      <c r="I152" s="83"/>
      <c r="J152" s="83"/>
      <c r="K152" s="83"/>
      <c r="L152" s="83"/>
      <c r="M152" s="84"/>
      <c r="N152" s="71" t="str">
        <f t="shared" si="2"/>
        <v/>
      </c>
      <c r="O152" s="75"/>
      <c r="P152" s="72"/>
      <c r="Q152" s="72"/>
      <c r="R152" s="72"/>
      <c r="S152" s="72"/>
      <c r="T152" s="72"/>
      <c r="U152" s="72"/>
      <c r="V152" s="79"/>
      <c r="W152" s="72"/>
      <c r="X152" s="72"/>
      <c r="Y152" s="72"/>
    </row>
    <row r="153" spans="1:25" ht="27.75" customHeight="1">
      <c r="A153" s="93" t="str">
        <f>IF(ISBLANK(C153)," ",148-COUNTBLANK($C$6:C153))</f>
        <v xml:space="preserve"> </v>
      </c>
      <c r="B153" s="94"/>
      <c r="C153" s="94"/>
      <c r="D153" s="95"/>
      <c r="E153" s="95"/>
      <c r="F153" s="85"/>
      <c r="G153" s="85"/>
      <c r="H153" s="85"/>
      <c r="I153" s="85"/>
      <c r="J153" s="85"/>
      <c r="K153" s="85"/>
      <c r="L153" s="85"/>
      <c r="M153" s="86"/>
      <c r="N153" s="71" t="str">
        <f t="shared" si="2"/>
        <v/>
      </c>
      <c r="O153" s="72"/>
      <c r="P153" s="72"/>
      <c r="Q153" s="72"/>
      <c r="R153" s="72"/>
      <c r="S153" s="72"/>
      <c r="T153" s="72"/>
      <c r="U153" s="72"/>
      <c r="V153" s="72"/>
    </row>
    <row r="154" spans="1:25" ht="27.75" customHeight="1">
      <c r="A154" s="87" t="str">
        <f>IF(ISBLANK(C154)," ",149-COUNTBLANK($C$6:C154))</f>
        <v xml:space="preserve"> </v>
      </c>
      <c r="B154" s="88"/>
      <c r="C154" s="88"/>
      <c r="D154" s="89"/>
      <c r="E154" s="89"/>
      <c r="F154" s="73"/>
      <c r="G154" s="73"/>
      <c r="H154" s="73"/>
      <c r="I154" s="73"/>
      <c r="J154" s="73"/>
      <c r="K154" s="73"/>
      <c r="L154" s="73"/>
      <c r="M154" s="74"/>
      <c r="N154" s="71" t="str">
        <f t="shared" si="2"/>
        <v/>
      </c>
      <c r="O154" s="72"/>
      <c r="P154" s="72"/>
      <c r="Q154" s="72"/>
      <c r="R154" s="72"/>
      <c r="S154" s="72"/>
      <c r="T154" s="72"/>
      <c r="U154" s="72"/>
      <c r="V154" s="72"/>
    </row>
    <row r="155" spans="1:25" ht="27.75" customHeight="1">
      <c r="A155" s="87" t="str">
        <f>IF(ISBLANK(C155)," ",150-COUNTBLANK($C$6:C155))</f>
        <v xml:space="preserve"> </v>
      </c>
      <c r="B155" s="88"/>
      <c r="C155" s="88"/>
      <c r="D155" s="89"/>
      <c r="E155" s="89"/>
      <c r="F155" s="73"/>
      <c r="G155" s="73"/>
      <c r="H155" s="73"/>
      <c r="I155" s="73"/>
      <c r="J155" s="73"/>
      <c r="K155" s="73"/>
      <c r="L155" s="73"/>
      <c r="M155" s="74"/>
      <c r="N155" s="71" t="str">
        <f t="shared" si="2"/>
        <v/>
      </c>
      <c r="O155" s="72"/>
      <c r="P155" s="72"/>
      <c r="Q155" s="72"/>
      <c r="R155" s="72"/>
      <c r="S155" s="72"/>
      <c r="T155" s="72"/>
      <c r="U155" s="72"/>
      <c r="V155" s="72"/>
    </row>
    <row r="156" spans="1:25" ht="27.75" customHeight="1">
      <c r="A156" s="87" t="str">
        <f>IF(ISBLANK(C156)," ",151-COUNTBLANK($C$6:C156))</f>
        <v xml:space="preserve"> </v>
      </c>
      <c r="B156" s="88"/>
      <c r="C156" s="88"/>
      <c r="D156" s="89"/>
      <c r="E156" s="89"/>
      <c r="F156" s="73"/>
      <c r="G156" s="73"/>
      <c r="H156" s="73"/>
      <c r="I156" s="73"/>
      <c r="J156" s="73"/>
      <c r="K156" s="73"/>
      <c r="L156" s="73"/>
      <c r="M156" s="74"/>
      <c r="N156" s="71" t="str">
        <f t="shared" si="2"/>
        <v/>
      </c>
      <c r="O156" s="72"/>
      <c r="P156" s="72"/>
      <c r="Q156" s="72"/>
      <c r="R156" s="72"/>
      <c r="S156" s="72"/>
      <c r="T156" s="72"/>
      <c r="U156" s="72"/>
      <c r="V156" s="72"/>
    </row>
    <row r="157" spans="1:25" ht="27.75" customHeight="1">
      <c r="A157" s="87" t="str">
        <f>IF(ISBLANK(C157)," ",152-COUNTBLANK($C$6:C157))</f>
        <v xml:space="preserve"> </v>
      </c>
      <c r="B157" s="88"/>
      <c r="C157" s="88"/>
      <c r="D157" s="89"/>
      <c r="E157" s="89"/>
      <c r="F157" s="73"/>
      <c r="G157" s="73"/>
      <c r="H157" s="73"/>
      <c r="I157" s="73"/>
      <c r="J157" s="73"/>
      <c r="K157" s="73"/>
      <c r="L157" s="73"/>
      <c r="M157" s="74"/>
      <c r="N157" s="71" t="str">
        <f t="shared" si="2"/>
        <v/>
      </c>
      <c r="O157" s="72"/>
      <c r="P157" s="72"/>
      <c r="Q157" s="72"/>
      <c r="R157" s="72"/>
      <c r="S157" s="72"/>
      <c r="T157" s="72"/>
      <c r="U157" s="72"/>
      <c r="V157" s="72"/>
    </row>
    <row r="158" spans="1:25" ht="27.75" customHeight="1">
      <c r="A158" s="87" t="str">
        <f>IF(ISBLANK(C158)," ",153-COUNTBLANK($C$6:C158))</f>
        <v xml:space="preserve"> </v>
      </c>
      <c r="B158" s="88"/>
      <c r="C158" s="88"/>
      <c r="D158" s="89"/>
      <c r="E158" s="89"/>
      <c r="F158" s="73"/>
      <c r="G158" s="73"/>
      <c r="H158" s="73"/>
      <c r="I158" s="73"/>
      <c r="J158" s="73"/>
      <c r="K158" s="73"/>
      <c r="L158" s="73"/>
      <c r="M158" s="74"/>
      <c r="N158" s="71" t="str">
        <f t="shared" si="2"/>
        <v/>
      </c>
      <c r="O158" s="72"/>
      <c r="P158" s="72"/>
      <c r="Q158" s="72"/>
      <c r="R158" s="72"/>
      <c r="S158" s="72"/>
      <c r="T158" s="72"/>
      <c r="U158" s="72"/>
      <c r="V158" s="72"/>
    </row>
    <row r="159" spans="1:25" ht="27.75" customHeight="1">
      <c r="A159" s="87" t="str">
        <f>IF(ISBLANK(C159)," ",154-COUNTBLANK($C$6:C159))</f>
        <v xml:space="preserve"> </v>
      </c>
      <c r="B159" s="88"/>
      <c r="C159" s="88"/>
      <c r="D159" s="89"/>
      <c r="E159" s="89"/>
      <c r="F159" s="73"/>
      <c r="G159" s="73"/>
      <c r="H159" s="73"/>
      <c r="I159" s="73"/>
      <c r="J159" s="73"/>
      <c r="K159" s="73"/>
      <c r="L159" s="73"/>
      <c r="M159" s="74"/>
      <c r="N159" s="71" t="str">
        <f t="shared" si="2"/>
        <v/>
      </c>
      <c r="O159" s="72"/>
      <c r="P159" s="72"/>
      <c r="Q159" s="72"/>
      <c r="R159" s="72"/>
      <c r="S159" s="72"/>
      <c r="T159" s="72"/>
      <c r="U159" s="72"/>
      <c r="V159" s="72"/>
    </row>
    <row r="160" spans="1:25" ht="27.75" customHeight="1">
      <c r="A160" s="87" t="str">
        <f>IF(ISBLANK(C160)," ",155-COUNTBLANK($C$6:C160))</f>
        <v xml:space="preserve"> </v>
      </c>
      <c r="B160" s="88"/>
      <c r="C160" s="88"/>
      <c r="D160" s="89"/>
      <c r="E160" s="89"/>
      <c r="F160" s="73"/>
      <c r="G160" s="73"/>
      <c r="H160" s="73"/>
      <c r="I160" s="73"/>
      <c r="J160" s="73"/>
      <c r="K160" s="73"/>
      <c r="L160" s="73"/>
      <c r="M160" s="74"/>
      <c r="N160" s="71" t="str">
        <f t="shared" si="2"/>
        <v/>
      </c>
      <c r="O160" s="72"/>
      <c r="P160" s="72"/>
      <c r="Q160" s="72"/>
      <c r="R160" s="72"/>
      <c r="S160" s="72"/>
      <c r="T160" s="72"/>
      <c r="U160" s="72"/>
      <c r="V160" s="72"/>
    </row>
    <row r="161" spans="1:25" ht="27.75" customHeight="1">
      <c r="A161" s="87" t="str">
        <f>IF(ISBLANK(C161)," ",156-COUNTBLANK($C$6:C161))</f>
        <v xml:space="preserve"> </v>
      </c>
      <c r="B161" s="88"/>
      <c r="C161" s="88"/>
      <c r="D161" s="89"/>
      <c r="E161" s="89"/>
      <c r="F161" s="73"/>
      <c r="G161" s="73"/>
      <c r="H161" s="73"/>
      <c r="I161" s="73"/>
      <c r="J161" s="73"/>
      <c r="K161" s="73"/>
      <c r="L161" s="73"/>
      <c r="M161" s="74"/>
      <c r="N161" s="71" t="str">
        <f t="shared" si="2"/>
        <v/>
      </c>
      <c r="O161" s="72"/>
      <c r="P161" s="72"/>
      <c r="Q161" s="72"/>
      <c r="R161" s="72"/>
      <c r="S161" s="72"/>
      <c r="T161" s="72"/>
      <c r="U161" s="72"/>
      <c r="V161" s="72"/>
    </row>
    <row r="162" spans="1:25" ht="27.75" customHeight="1">
      <c r="A162" s="87" t="str">
        <f>IF(ISBLANK(C162)," ",157-COUNTBLANK($C$6:C162))</f>
        <v xml:space="preserve"> </v>
      </c>
      <c r="B162" s="88"/>
      <c r="C162" s="88"/>
      <c r="D162" s="89"/>
      <c r="E162" s="89"/>
      <c r="F162" s="73"/>
      <c r="G162" s="73"/>
      <c r="H162" s="73"/>
      <c r="I162" s="73"/>
      <c r="J162" s="73"/>
      <c r="K162" s="73"/>
      <c r="L162" s="73"/>
      <c r="M162" s="74"/>
      <c r="N162" s="71" t="str">
        <f t="shared" si="2"/>
        <v/>
      </c>
      <c r="O162" s="72"/>
      <c r="P162" s="72"/>
      <c r="Q162" s="72"/>
      <c r="R162" s="72"/>
      <c r="S162" s="72"/>
      <c r="T162" s="72"/>
      <c r="U162" s="72"/>
      <c r="V162" s="72"/>
    </row>
    <row r="163" spans="1:25" ht="27.75" customHeight="1">
      <c r="A163" s="87" t="str">
        <f>IF(ISBLANK(C163)," ",158-COUNTBLANK($C$6:C163))</f>
        <v xml:space="preserve"> </v>
      </c>
      <c r="B163" s="88"/>
      <c r="C163" s="88"/>
      <c r="D163" s="89"/>
      <c r="E163" s="89"/>
      <c r="F163" s="73"/>
      <c r="G163" s="73"/>
      <c r="H163" s="73"/>
      <c r="I163" s="73"/>
      <c r="J163" s="73"/>
      <c r="K163" s="73"/>
      <c r="L163" s="73"/>
      <c r="M163" s="74"/>
      <c r="N163" s="71" t="str">
        <f t="shared" si="2"/>
        <v/>
      </c>
      <c r="O163" s="72"/>
      <c r="P163" s="72"/>
      <c r="Q163" s="72"/>
      <c r="R163" s="72"/>
      <c r="S163" s="72"/>
      <c r="T163" s="72"/>
      <c r="U163" s="72"/>
      <c r="V163" s="72"/>
    </row>
    <row r="164" spans="1:25" ht="27.75" customHeight="1">
      <c r="A164" s="87" t="str">
        <f>IF(ISBLANK(C164)," ",159-COUNTBLANK($C$6:C164))</f>
        <v xml:space="preserve"> </v>
      </c>
      <c r="B164" s="88"/>
      <c r="C164" s="88"/>
      <c r="D164" s="89"/>
      <c r="E164" s="89"/>
      <c r="F164" s="73"/>
      <c r="G164" s="73"/>
      <c r="H164" s="73"/>
      <c r="I164" s="73"/>
      <c r="J164" s="73"/>
      <c r="K164" s="73"/>
      <c r="L164" s="73"/>
      <c r="M164" s="74"/>
      <c r="N164" s="71" t="str">
        <f t="shared" si="2"/>
        <v/>
      </c>
      <c r="O164" s="72"/>
      <c r="P164" s="72"/>
      <c r="Q164" s="72"/>
      <c r="R164" s="72"/>
      <c r="S164" s="72"/>
      <c r="T164" s="72"/>
      <c r="U164" s="72"/>
      <c r="V164" s="72"/>
    </row>
    <row r="165" spans="1:25" ht="27.75" customHeight="1">
      <c r="A165" s="87" t="str">
        <f>IF(ISBLANK(C165)," ",160-COUNTBLANK($C$6:C165))</f>
        <v xml:space="preserve"> </v>
      </c>
      <c r="B165" s="88"/>
      <c r="C165" s="88"/>
      <c r="D165" s="89"/>
      <c r="E165" s="89"/>
      <c r="F165" s="73"/>
      <c r="G165" s="73"/>
      <c r="H165" s="73"/>
      <c r="I165" s="73"/>
      <c r="J165" s="73"/>
      <c r="K165" s="73"/>
      <c r="L165" s="73"/>
      <c r="M165" s="74"/>
      <c r="N165" s="71" t="str">
        <f t="shared" si="2"/>
        <v/>
      </c>
      <c r="O165" s="72"/>
      <c r="P165" s="72"/>
      <c r="Q165" s="72"/>
      <c r="R165" s="72"/>
      <c r="S165" s="72"/>
      <c r="T165" s="72"/>
      <c r="U165" s="72"/>
      <c r="V165" s="72"/>
    </row>
    <row r="166" spans="1:25" ht="27.75" customHeight="1">
      <c r="A166" s="87" t="str">
        <f>IF(ISBLANK(C166)," ",161-COUNTBLANK($C$6:C166))</f>
        <v xml:space="preserve"> </v>
      </c>
      <c r="B166" s="88"/>
      <c r="C166" s="88"/>
      <c r="D166" s="89"/>
      <c r="E166" s="89"/>
      <c r="F166" s="73"/>
      <c r="G166" s="73"/>
      <c r="H166" s="73"/>
      <c r="I166" s="73"/>
      <c r="J166" s="73"/>
      <c r="K166" s="73"/>
      <c r="L166" s="73"/>
      <c r="M166" s="74"/>
      <c r="N166" s="71" t="str">
        <f t="shared" si="2"/>
        <v/>
      </c>
      <c r="O166" s="72"/>
      <c r="P166" s="72"/>
      <c r="Q166" s="72"/>
      <c r="R166" s="72"/>
      <c r="S166" s="72"/>
      <c r="T166" s="72"/>
      <c r="U166" s="72"/>
      <c r="V166" s="72"/>
    </row>
    <row r="167" spans="1:25" ht="27.75" customHeight="1">
      <c r="A167" s="87" t="str">
        <f>IF(ISBLANK(C167)," ",162-COUNTBLANK($C$6:C167))</f>
        <v xml:space="preserve"> </v>
      </c>
      <c r="B167" s="88"/>
      <c r="C167" s="88"/>
      <c r="D167" s="89"/>
      <c r="E167" s="89"/>
      <c r="F167" s="73"/>
      <c r="G167" s="73"/>
      <c r="H167" s="73"/>
      <c r="I167" s="73"/>
      <c r="J167" s="73"/>
      <c r="K167" s="73"/>
      <c r="L167" s="73"/>
      <c r="M167" s="74"/>
      <c r="N167" s="71" t="str">
        <f t="shared" si="2"/>
        <v/>
      </c>
      <c r="O167" s="72"/>
      <c r="P167" s="72"/>
      <c r="Q167" s="72"/>
      <c r="R167" s="72"/>
      <c r="S167" s="72"/>
      <c r="T167" s="72"/>
      <c r="U167" s="72"/>
      <c r="V167" s="72"/>
    </row>
    <row r="168" spans="1:25" ht="27.75" customHeight="1">
      <c r="A168" s="87" t="str">
        <f>IF(ISBLANK(C168)," ",163-COUNTBLANK($C$6:C168))</f>
        <v xml:space="preserve"> </v>
      </c>
      <c r="B168" s="88"/>
      <c r="C168" s="88"/>
      <c r="D168" s="89"/>
      <c r="E168" s="89"/>
      <c r="F168" s="73"/>
      <c r="G168" s="73"/>
      <c r="H168" s="73"/>
      <c r="I168" s="73"/>
      <c r="J168" s="73"/>
      <c r="K168" s="73"/>
      <c r="L168" s="73"/>
      <c r="M168" s="74"/>
      <c r="N168" s="71" t="str">
        <f t="shared" si="2"/>
        <v/>
      </c>
      <c r="O168" s="75"/>
      <c r="P168" s="72"/>
      <c r="Q168" s="72"/>
      <c r="R168" s="72"/>
      <c r="S168" s="72"/>
      <c r="T168" s="72"/>
      <c r="U168" s="72"/>
      <c r="V168" s="76"/>
    </row>
    <row r="169" spans="1:25" ht="27.75" customHeight="1">
      <c r="A169" s="87" t="str">
        <f>IF(ISBLANK(C169)," ",164-COUNTBLANK($C$6:C169))</f>
        <v xml:space="preserve"> </v>
      </c>
      <c r="B169" s="88"/>
      <c r="C169" s="88"/>
      <c r="D169" s="89"/>
      <c r="E169" s="89"/>
      <c r="F169" s="73"/>
      <c r="G169" s="73"/>
      <c r="H169" s="73"/>
      <c r="I169" s="73"/>
      <c r="J169" s="73"/>
      <c r="K169" s="73"/>
      <c r="L169" s="73"/>
      <c r="M169" s="74"/>
      <c r="N169" s="71" t="str">
        <f t="shared" si="2"/>
        <v/>
      </c>
      <c r="O169" s="75"/>
      <c r="P169" s="72"/>
      <c r="Q169" s="72"/>
      <c r="R169" s="72"/>
      <c r="S169" s="72"/>
      <c r="T169" s="72"/>
      <c r="U169" s="72"/>
      <c r="V169" s="76"/>
    </row>
    <row r="170" spans="1:25" ht="27.75" customHeight="1">
      <c r="A170" s="87" t="str">
        <f>IF(ISBLANK(C170)," ",165-COUNTBLANK($C$6:C170))</f>
        <v xml:space="preserve"> </v>
      </c>
      <c r="B170" s="88"/>
      <c r="C170" s="88"/>
      <c r="D170" s="89"/>
      <c r="E170" s="89"/>
      <c r="F170" s="73"/>
      <c r="G170" s="73"/>
      <c r="H170" s="73"/>
      <c r="I170" s="73"/>
      <c r="J170" s="73"/>
      <c r="K170" s="73"/>
      <c r="L170" s="73"/>
      <c r="M170" s="74"/>
      <c r="N170" s="71" t="str">
        <f t="shared" si="2"/>
        <v/>
      </c>
      <c r="O170" s="75"/>
      <c r="P170" s="72"/>
      <c r="Q170" s="72"/>
      <c r="R170" s="72"/>
      <c r="S170" s="72"/>
      <c r="T170" s="72"/>
      <c r="U170" s="72"/>
      <c r="V170" s="76"/>
    </row>
    <row r="171" spans="1:25" ht="27.75" customHeight="1">
      <c r="A171" s="87" t="str">
        <f>IF(ISBLANK(C171)," ",166-COUNTBLANK($C$6:C171))</f>
        <v xml:space="preserve"> </v>
      </c>
      <c r="B171" s="88"/>
      <c r="C171" s="88"/>
      <c r="D171" s="89"/>
      <c r="E171" s="89"/>
      <c r="F171" s="73"/>
      <c r="G171" s="73"/>
      <c r="H171" s="73"/>
      <c r="I171" s="73"/>
      <c r="J171" s="73"/>
      <c r="K171" s="73"/>
      <c r="L171" s="73"/>
      <c r="M171" s="74"/>
      <c r="N171" s="71" t="str">
        <f t="shared" si="2"/>
        <v/>
      </c>
      <c r="O171" s="75"/>
      <c r="P171" s="72"/>
      <c r="Q171" s="72"/>
      <c r="R171" s="72"/>
      <c r="S171" s="72"/>
      <c r="T171" s="72"/>
      <c r="U171" s="72"/>
      <c r="V171" s="76"/>
    </row>
    <row r="172" spans="1:25" ht="27.75" customHeight="1">
      <c r="A172" s="87" t="str">
        <f>IF(ISBLANK(C172)," ",167-COUNTBLANK($C$6:C172))</f>
        <v xml:space="preserve"> </v>
      </c>
      <c r="B172" s="88"/>
      <c r="C172" s="88"/>
      <c r="D172" s="89"/>
      <c r="E172" s="89"/>
      <c r="F172" s="73"/>
      <c r="G172" s="73"/>
      <c r="H172" s="73"/>
      <c r="I172" s="73"/>
      <c r="J172" s="73"/>
      <c r="K172" s="73"/>
      <c r="L172" s="73"/>
      <c r="M172" s="74"/>
      <c r="N172" s="71" t="str">
        <f t="shared" si="2"/>
        <v/>
      </c>
      <c r="O172" s="72"/>
      <c r="P172" s="72"/>
      <c r="Q172" s="72"/>
      <c r="R172" s="72"/>
      <c r="S172" s="72"/>
      <c r="T172" s="72"/>
      <c r="U172" s="72"/>
      <c r="V172" s="79"/>
      <c r="W172" s="72"/>
      <c r="X172" s="72"/>
      <c r="Y172" s="72"/>
    </row>
    <row r="173" spans="1:25" ht="27.75" customHeight="1">
      <c r="A173" s="80" t="s">
        <v>58</v>
      </c>
      <c r="B173" s="81"/>
      <c r="C173" s="96"/>
      <c r="D173" s="82"/>
      <c r="E173" s="82">
        <f>SUM(E153:E172)</f>
        <v>0</v>
      </c>
      <c r="F173" s="83"/>
      <c r="G173" s="83"/>
      <c r="H173" s="83"/>
      <c r="I173" s="83"/>
      <c r="J173" s="83"/>
      <c r="K173" s="83"/>
      <c r="L173" s="83"/>
      <c r="M173" s="84"/>
      <c r="N173" s="71" t="str">
        <f t="shared" si="2"/>
        <v/>
      </c>
      <c r="O173" s="75"/>
      <c r="P173" s="72"/>
      <c r="Q173" s="72"/>
      <c r="R173" s="72"/>
      <c r="S173" s="72"/>
      <c r="T173" s="72"/>
      <c r="U173" s="72"/>
      <c r="V173" s="79"/>
      <c r="W173" s="72"/>
      <c r="X173" s="72"/>
      <c r="Y173" s="72"/>
    </row>
    <row r="174" spans="1:25" ht="27.75" customHeight="1">
      <c r="A174" s="93" t="str">
        <f>IF(ISBLANK(C174)," ",169-COUNTBLANK($C$6:C174))</f>
        <v xml:space="preserve"> </v>
      </c>
      <c r="B174" s="94"/>
      <c r="C174" s="94"/>
      <c r="D174" s="95"/>
      <c r="E174" s="95"/>
      <c r="F174" s="85"/>
      <c r="G174" s="85"/>
      <c r="H174" s="85"/>
      <c r="I174" s="85"/>
      <c r="J174" s="85"/>
      <c r="K174" s="85"/>
      <c r="L174" s="85"/>
      <c r="M174" s="86"/>
      <c r="N174" s="71" t="str">
        <f t="shared" si="2"/>
        <v/>
      </c>
      <c r="O174" s="72"/>
      <c r="P174" s="72"/>
      <c r="Q174" s="72"/>
      <c r="R174" s="72"/>
      <c r="S174" s="72"/>
      <c r="T174" s="72"/>
      <c r="U174" s="72"/>
      <c r="V174" s="72"/>
    </row>
    <row r="175" spans="1:25" ht="27.75" customHeight="1">
      <c r="A175" s="87" t="str">
        <f>IF(ISBLANK(C175)," ",170-COUNTBLANK($C$6:C175))</f>
        <v xml:space="preserve"> </v>
      </c>
      <c r="B175" s="88"/>
      <c r="C175" s="88"/>
      <c r="D175" s="89"/>
      <c r="E175" s="89"/>
      <c r="F175" s="73"/>
      <c r="G175" s="73"/>
      <c r="H175" s="73"/>
      <c r="I175" s="73"/>
      <c r="J175" s="73"/>
      <c r="K175" s="73"/>
      <c r="L175" s="73"/>
      <c r="M175" s="74"/>
      <c r="N175" s="71" t="str">
        <f t="shared" si="2"/>
        <v/>
      </c>
      <c r="O175" s="72"/>
      <c r="P175" s="72"/>
      <c r="Q175" s="72"/>
      <c r="R175" s="72"/>
      <c r="S175" s="72"/>
      <c r="T175" s="72"/>
      <c r="U175" s="72"/>
      <c r="V175" s="72"/>
    </row>
    <row r="176" spans="1:25" ht="27.75" customHeight="1">
      <c r="A176" s="87" t="str">
        <f>IF(ISBLANK(C176)," ",171-COUNTBLANK($C$6:C176))</f>
        <v xml:space="preserve"> </v>
      </c>
      <c r="B176" s="88"/>
      <c r="C176" s="88"/>
      <c r="D176" s="89"/>
      <c r="E176" s="89"/>
      <c r="F176" s="73"/>
      <c r="G176" s="73"/>
      <c r="H176" s="73"/>
      <c r="I176" s="73"/>
      <c r="J176" s="73"/>
      <c r="K176" s="73"/>
      <c r="L176" s="73"/>
      <c r="M176" s="74"/>
      <c r="N176" s="71" t="str">
        <f t="shared" si="2"/>
        <v/>
      </c>
      <c r="O176" s="72"/>
      <c r="P176" s="72"/>
      <c r="Q176" s="72"/>
      <c r="R176" s="72"/>
      <c r="S176" s="72"/>
      <c r="T176" s="72"/>
      <c r="U176" s="72"/>
      <c r="V176" s="72"/>
    </row>
    <row r="177" spans="1:22" ht="27.75" customHeight="1">
      <c r="A177" s="87" t="str">
        <f>IF(ISBLANK(C177)," ",172-COUNTBLANK($C$6:C177))</f>
        <v xml:space="preserve"> </v>
      </c>
      <c r="B177" s="88"/>
      <c r="C177" s="88"/>
      <c r="D177" s="89"/>
      <c r="E177" s="89"/>
      <c r="F177" s="73"/>
      <c r="G177" s="73"/>
      <c r="H177" s="73"/>
      <c r="I177" s="73"/>
      <c r="J177" s="73"/>
      <c r="K177" s="73"/>
      <c r="L177" s="73"/>
      <c r="M177" s="74"/>
      <c r="N177" s="71" t="str">
        <f t="shared" si="2"/>
        <v/>
      </c>
      <c r="O177" s="72"/>
      <c r="P177" s="72"/>
      <c r="Q177" s="72"/>
      <c r="R177" s="72"/>
      <c r="S177" s="72"/>
      <c r="T177" s="72"/>
      <c r="U177" s="72"/>
      <c r="V177" s="72"/>
    </row>
    <row r="178" spans="1:22" ht="27.75" customHeight="1">
      <c r="A178" s="87" t="str">
        <f>IF(ISBLANK(C178)," ",173-COUNTBLANK($C$6:C178))</f>
        <v xml:space="preserve"> </v>
      </c>
      <c r="B178" s="88"/>
      <c r="C178" s="88"/>
      <c r="D178" s="89"/>
      <c r="E178" s="89"/>
      <c r="F178" s="73"/>
      <c r="G178" s="73"/>
      <c r="H178" s="73"/>
      <c r="I178" s="73"/>
      <c r="J178" s="73"/>
      <c r="K178" s="73"/>
      <c r="L178" s="73"/>
      <c r="M178" s="74"/>
      <c r="N178" s="71" t="str">
        <f t="shared" si="2"/>
        <v/>
      </c>
      <c r="O178" s="72"/>
      <c r="P178" s="72"/>
      <c r="Q178" s="72"/>
      <c r="R178" s="72"/>
      <c r="S178" s="72"/>
      <c r="T178" s="72"/>
      <c r="U178" s="72"/>
      <c r="V178" s="72"/>
    </row>
    <row r="179" spans="1:22" ht="27.75" customHeight="1">
      <c r="A179" s="87" t="str">
        <f>IF(ISBLANK(C179)," ",174-COUNTBLANK($C$6:C179))</f>
        <v xml:space="preserve"> </v>
      </c>
      <c r="B179" s="88"/>
      <c r="C179" s="88"/>
      <c r="D179" s="89"/>
      <c r="E179" s="89"/>
      <c r="F179" s="73"/>
      <c r="G179" s="73"/>
      <c r="H179" s="73"/>
      <c r="I179" s="73"/>
      <c r="J179" s="73"/>
      <c r="K179" s="73"/>
      <c r="L179" s="73"/>
      <c r="M179" s="74"/>
      <c r="N179" s="71" t="str">
        <f t="shared" si="2"/>
        <v/>
      </c>
      <c r="O179" s="72"/>
      <c r="P179" s="72"/>
      <c r="Q179" s="72"/>
      <c r="R179" s="72"/>
      <c r="S179" s="72"/>
      <c r="T179" s="72"/>
      <c r="U179" s="72"/>
      <c r="V179" s="72"/>
    </row>
    <row r="180" spans="1:22" ht="27.75" customHeight="1">
      <c r="A180" s="87" t="str">
        <f>IF(ISBLANK(C180)," ",175-COUNTBLANK($C$6:C180))</f>
        <v xml:space="preserve"> </v>
      </c>
      <c r="B180" s="88"/>
      <c r="C180" s="88"/>
      <c r="D180" s="89"/>
      <c r="E180" s="89"/>
      <c r="F180" s="73"/>
      <c r="G180" s="73"/>
      <c r="H180" s="73"/>
      <c r="I180" s="73"/>
      <c r="J180" s="73"/>
      <c r="K180" s="73"/>
      <c r="L180" s="73"/>
      <c r="M180" s="74"/>
      <c r="N180" s="71" t="str">
        <f t="shared" si="2"/>
        <v/>
      </c>
      <c r="O180" s="72"/>
      <c r="P180" s="72"/>
      <c r="Q180" s="72"/>
      <c r="R180" s="72"/>
      <c r="S180" s="72"/>
      <c r="T180" s="72"/>
      <c r="U180" s="72"/>
      <c r="V180" s="72"/>
    </row>
    <row r="181" spans="1:22" ht="27.75" customHeight="1">
      <c r="A181" s="87" t="str">
        <f>IF(ISBLANK(C181)," ",176-COUNTBLANK($C$6:C181))</f>
        <v xml:space="preserve"> </v>
      </c>
      <c r="B181" s="88"/>
      <c r="C181" s="88"/>
      <c r="D181" s="89"/>
      <c r="E181" s="89"/>
      <c r="F181" s="73"/>
      <c r="G181" s="73"/>
      <c r="H181" s="73"/>
      <c r="I181" s="73"/>
      <c r="J181" s="73"/>
      <c r="K181" s="73"/>
      <c r="L181" s="73"/>
      <c r="M181" s="74"/>
      <c r="N181" s="71" t="str">
        <f t="shared" si="2"/>
        <v/>
      </c>
      <c r="O181" s="72"/>
      <c r="P181" s="72"/>
      <c r="Q181" s="72"/>
      <c r="R181" s="72"/>
      <c r="S181" s="72"/>
      <c r="T181" s="72"/>
      <c r="U181" s="72"/>
      <c r="V181" s="72"/>
    </row>
    <row r="182" spans="1:22" ht="27.75" customHeight="1">
      <c r="A182" s="87" t="str">
        <f>IF(ISBLANK(C182)," ",177-COUNTBLANK($C$6:C182))</f>
        <v xml:space="preserve"> </v>
      </c>
      <c r="B182" s="88"/>
      <c r="C182" s="88"/>
      <c r="D182" s="89"/>
      <c r="E182" s="89"/>
      <c r="F182" s="73"/>
      <c r="G182" s="73"/>
      <c r="H182" s="73"/>
      <c r="I182" s="73"/>
      <c r="J182" s="73"/>
      <c r="K182" s="73"/>
      <c r="L182" s="73"/>
      <c r="M182" s="74"/>
      <c r="N182" s="71" t="str">
        <f t="shared" si="2"/>
        <v/>
      </c>
      <c r="O182" s="72"/>
      <c r="P182" s="72"/>
      <c r="Q182" s="72"/>
      <c r="R182" s="72"/>
      <c r="S182" s="72"/>
      <c r="T182" s="72"/>
      <c r="U182" s="72"/>
      <c r="V182" s="72"/>
    </row>
    <row r="183" spans="1:22" ht="27.75" customHeight="1">
      <c r="A183" s="87" t="str">
        <f>IF(ISBLANK(C183)," ",178-COUNTBLANK($C$6:C183))</f>
        <v xml:space="preserve"> </v>
      </c>
      <c r="B183" s="88"/>
      <c r="C183" s="88"/>
      <c r="D183" s="89"/>
      <c r="E183" s="89"/>
      <c r="F183" s="73"/>
      <c r="G183" s="73"/>
      <c r="H183" s="73"/>
      <c r="I183" s="73"/>
      <c r="J183" s="73"/>
      <c r="K183" s="73"/>
      <c r="L183" s="73"/>
      <c r="M183" s="74"/>
      <c r="N183" s="71" t="str">
        <f t="shared" si="2"/>
        <v/>
      </c>
      <c r="O183" s="72"/>
      <c r="P183" s="72"/>
      <c r="Q183" s="72"/>
      <c r="R183" s="72"/>
      <c r="S183" s="72"/>
      <c r="T183" s="72"/>
      <c r="U183" s="72"/>
      <c r="V183" s="72"/>
    </row>
    <row r="184" spans="1:22" ht="27.75" customHeight="1">
      <c r="A184" s="87" t="str">
        <f>IF(ISBLANK(C184)," ",179-COUNTBLANK($C$6:C184))</f>
        <v xml:space="preserve"> </v>
      </c>
      <c r="B184" s="88"/>
      <c r="C184" s="88"/>
      <c r="D184" s="89"/>
      <c r="E184" s="89"/>
      <c r="F184" s="73"/>
      <c r="G184" s="73"/>
      <c r="H184" s="73"/>
      <c r="I184" s="73"/>
      <c r="J184" s="73"/>
      <c r="K184" s="73"/>
      <c r="L184" s="73"/>
      <c r="M184" s="74"/>
      <c r="N184" s="71" t="str">
        <f t="shared" si="2"/>
        <v/>
      </c>
      <c r="O184" s="72"/>
      <c r="P184" s="72"/>
      <c r="Q184" s="72"/>
      <c r="R184" s="72"/>
      <c r="S184" s="72"/>
      <c r="T184" s="72"/>
      <c r="U184" s="72"/>
      <c r="V184" s="72"/>
    </row>
    <row r="185" spans="1:22" ht="27.75" customHeight="1">
      <c r="A185" s="87" t="str">
        <f>IF(ISBLANK(C185)," ",180-COUNTBLANK($C$6:C185))</f>
        <v xml:space="preserve"> </v>
      </c>
      <c r="B185" s="88"/>
      <c r="C185" s="88"/>
      <c r="D185" s="89"/>
      <c r="E185" s="89"/>
      <c r="F185" s="73"/>
      <c r="G185" s="73"/>
      <c r="H185" s="73"/>
      <c r="I185" s="73"/>
      <c r="J185" s="73"/>
      <c r="K185" s="73"/>
      <c r="L185" s="73"/>
      <c r="M185" s="74"/>
      <c r="N185" s="71" t="str">
        <f t="shared" si="2"/>
        <v/>
      </c>
      <c r="O185" s="72"/>
      <c r="P185" s="72"/>
      <c r="Q185" s="72"/>
      <c r="R185" s="72"/>
      <c r="S185" s="72"/>
      <c r="T185" s="72"/>
      <c r="U185" s="72"/>
      <c r="V185" s="72"/>
    </row>
    <row r="186" spans="1:22" ht="27.75" customHeight="1">
      <c r="A186" s="87" t="str">
        <f>IF(ISBLANK(C186)," ",181-COUNTBLANK($C$6:C186))</f>
        <v xml:space="preserve"> </v>
      </c>
      <c r="B186" s="88"/>
      <c r="C186" s="88"/>
      <c r="D186" s="89"/>
      <c r="E186" s="89"/>
      <c r="F186" s="73"/>
      <c r="G186" s="73"/>
      <c r="H186" s="73"/>
      <c r="I186" s="73"/>
      <c r="J186" s="73"/>
      <c r="K186" s="73"/>
      <c r="L186" s="73"/>
      <c r="M186" s="74"/>
      <c r="N186" s="71" t="str">
        <f t="shared" si="2"/>
        <v/>
      </c>
      <c r="O186" s="72"/>
      <c r="P186" s="72"/>
      <c r="Q186" s="72"/>
      <c r="R186" s="72"/>
      <c r="S186" s="72"/>
      <c r="T186" s="72"/>
      <c r="U186" s="72"/>
      <c r="V186" s="72"/>
    </row>
    <row r="187" spans="1:22" ht="27.75" customHeight="1">
      <c r="A187" s="87" t="str">
        <f>IF(ISBLANK(C187)," ",182-COUNTBLANK($C$6:C187))</f>
        <v xml:space="preserve"> </v>
      </c>
      <c r="B187" s="88"/>
      <c r="C187" s="88"/>
      <c r="D187" s="89"/>
      <c r="E187" s="89"/>
      <c r="F187" s="73"/>
      <c r="G187" s="73"/>
      <c r="H187" s="73"/>
      <c r="I187" s="73"/>
      <c r="J187" s="73"/>
      <c r="K187" s="73"/>
      <c r="L187" s="73"/>
      <c r="M187" s="74"/>
      <c r="N187" s="71" t="str">
        <f t="shared" si="2"/>
        <v/>
      </c>
      <c r="O187" s="72"/>
      <c r="P187" s="72"/>
      <c r="Q187" s="72"/>
      <c r="R187" s="72"/>
      <c r="S187" s="72"/>
      <c r="T187" s="72"/>
      <c r="U187" s="72"/>
      <c r="V187" s="72"/>
    </row>
    <row r="188" spans="1:22" ht="27.75" customHeight="1">
      <c r="A188" s="87" t="str">
        <f>IF(ISBLANK(C188)," ",183-COUNTBLANK($C$6:C188))</f>
        <v xml:space="preserve"> </v>
      </c>
      <c r="B188" s="88"/>
      <c r="C188" s="88"/>
      <c r="D188" s="89"/>
      <c r="E188" s="89"/>
      <c r="F188" s="73"/>
      <c r="G188" s="73"/>
      <c r="H188" s="73"/>
      <c r="I188" s="73"/>
      <c r="J188" s="73"/>
      <c r="K188" s="73"/>
      <c r="L188" s="73"/>
      <c r="M188" s="74"/>
      <c r="N188" s="71" t="str">
        <f t="shared" si="2"/>
        <v/>
      </c>
      <c r="O188" s="72"/>
      <c r="P188" s="72"/>
      <c r="Q188" s="72"/>
      <c r="R188" s="72"/>
      <c r="S188" s="72"/>
      <c r="T188" s="72"/>
      <c r="U188" s="72"/>
      <c r="V188" s="72"/>
    </row>
    <row r="189" spans="1:22" ht="27.75" customHeight="1">
      <c r="A189" s="87" t="str">
        <f>IF(ISBLANK(C189)," ",184-COUNTBLANK($C$6:C189))</f>
        <v xml:space="preserve"> </v>
      </c>
      <c r="B189" s="88"/>
      <c r="C189" s="88"/>
      <c r="D189" s="89"/>
      <c r="E189" s="89"/>
      <c r="F189" s="73"/>
      <c r="G189" s="73"/>
      <c r="H189" s="73"/>
      <c r="I189" s="73"/>
      <c r="J189" s="73"/>
      <c r="K189" s="73"/>
      <c r="L189" s="73"/>
      <c r="M189" s="74"/>
      <c r="N189" s="71" t="str">
        <f t="shared" si="2"/>
        <v/>
      </c>
      <c r="O189" s="75"/>
      <c r="P189" s="72"/>
      <c r="Q189" s="72"/>
      <c r="R189" s="72"/>
      <c r="S189" s="72"/>
      <c r="T189" s="72"/>
      <c r="U189" s="72"/>
      <c r="V189" s="76"/>
    </row>
    <row r="190" spans="1:22" ht="27.75" customHeight="1">
      <c r="A190" s="87" t="str">
        <f>IF(ISBLANK(C190)," ",185-COUNTBLANK($C$6:C190))</f>
        <v xml:space="preserve"> </v>
      </c>
      <c r="B190" s="88"/>
      <c r="C190" s="88"/>
      <c r="D190" s="89"/>
      <c r="E190" s="89"/>
      <c r="F190" s="73"/>
      <c r="G190" s="73"/>
      <c r="H190" s="73"/>
      <c r="I190" s="73"/>
      <c r="J190" s="73"/>
      <c r="K190" s="73"/>
      <c r="L190" s="73"/>
      <c r="M190" s="74"/>
      <c r="N190" s="71" t="str">
        <f t="shared" si="2"/>
        <v/>
      </c>
      <c r="O190" s="75"/>
      <c r="P190" s="72"/>
      <c r="Q190" s="72"/>
      <c r="R190" s="72"/>
      <c r="S190" s="72"/>
      <c r="T190" s="72"/>
      <c r="U190" s="72"/>
      <c r="V190" s="76"/>
    </row>
    <row r="191" spans="1:22" ht="27.75" customHeight="1">
      <c r="A191" s="87" t="str">
        <f>IF(ISBLANK(C191)," ",186-COUNTBLANK($C$6:C191))</f>
        <v xml:space="preserve"> </v>
      </c>
      <c r="B191" s="88"/>
      <c r="C191" s="88"/>
      <c r="D191" s="89"/>
      <c r="E191" s="89"/>
      <c r="F191" s="73"/>
      <c r="G191" s="73"/>
      <c r="H191" s="73"/>
      <c r="I191" s="73"/>
      <c r="J191" s="73"/>
      <c r="K191" s="73"/>
      <c r="L191" s="73"/>
      <c r="M191" s="74"/>
      <c r="N191" s="71" t="str">
        <f t="shared" si="2"/>
        <v/>
      </c>
      <c r="O191" s="75"/>
      <c r="P191" s="72"/>
      <c r="Q191" s="72"/>
      <c r="R191" s="72"/>
      <c r="S191" s="72"/>
      <c r="T191" s="72"/>
      <c r="U191" s="72"/>
      <c r="V191" s="76"/>
    </row>
    <row r="192" spans="1:22" ht="27.75" customHeight="1">
      <c r="A192" s="87" t="str">
        <f>IF(ISBLANK(C192)," ",187-COUNTBLANK($C$6:C192))</f>
        <v xml:space="preserve"> </v>
      </c>
      <c r="B192" s="88"/>
      <c r="C192" s="88"/>
      <c r="D192" s="89"/>
      <c r="E192" s="89"/>
      <c r="F192" s="73"/>
      <c r="G192" s="73"/>
      <c r="H192" s="73"/>
      <c r="I192" s="73"/>
      <c r="J192" s="73"/>
      <c r="K192" s="73"/>
      <c r="L192" s="73"/>
      <c r="M192" s="74"/>
      <c r="N192" s="71" t="str">
        <f t="shared" si="2"/>
        <v/>
      </c>
      <c r="O192" s="75"/>
      <c r="P192" s="72"/>
      <c r="Q192" s="72"/>
      <c r="R192" s="72"/>
      <c r="S192" s="72"/>
      <c r="T192" s="72"/>
      <c r="U192" s="72"/>
      <c r="V192" s="76"/>
    </row>
    <row r="193" spans="1:25" ht="27.75" customHeight="1">
      <c r="A193" s="87" t="str">
        <f>IF(ISBLANK(C193)," ",188-COUNTBLANK($C$6:C193))</f>
        <v xml:space="preserve"> </v>
      </c>
      <c r="B193" s="88"/>
      <c r="C193" s="88"/>
      <c r="D193" s="89"/>
      <c r="E193" s="89"/>
      <c r="F193" s="73"/>
      <c r="G193" s="73"/>
      <c r="H193" s="73"/>
      <c r="I193" s="73"/>
      <c r="J193" s="73"/>
      <c r="K193" s="73"/>
      <c r="L193" s="73"/>
      <c r="M193" s="74"/>
      <c r="N193" s="71" t="str">
        <f t="shared" si="2"/>
        <v/>
      </c>
      <c r="O193" s="72"/>
      <c r="P193" s="72"/>
      <c r="Q193" s="72"/>
      <c r="R193" s="72"/>
      <c r="S193" s="72"/>
      <c r="T193" s="72"/>
      <c r="U193" s="72"/>
      <c r="V193" s="79"/>
      <c r="W193" s="72"/>
      <c r="X193" s="72"/>
      <c r="Y193" s="72"/>
    </row>
    <row r="194" spans="1:25" ht="27.75" customHeight="1">
      <c r="A194" s="80" t="s">
        <v>58</v>
      </c>
      <c r="B194" s="81"/>
      <c r="C194" s="96"/>
      <c r="D194" s="82"/>
      <c r="E194" s="82">
        <f>SUM(E174:E193)</f>
        <v>0</v>
      </c>
      <c r="F194" s="83"/>
      <c r="G194" s="83"/>
      <c r="H194" s="83"/>
      <c r="I194" s="83"/>
      <c r="J194" s="83"/>
      <c r="K194" s="83"/>
      <c r="L194" s="83"/>
      <c r="M194" s="84"/>
      <c r="N194" s="71" t="str">
        <f t="shared" si="2"/>
        <v/>
      </c>
      <c r="O194" s="75"/>
      <c r="P194" s="72"/>
      <c r="Q194" s="72"/>
      <c r="R194" s="72"/>
      <c r="S194" s="72"/>
      <c r="T194" s="72"/>
      <c r="U194" s="72"/>
      <c r="V194" s="79"/>
      <c r="W194" s="72"/>
      <c r="X194" s="72"/>
      <c r="Y194" s="72"/>
    </row>
    <row r="195" spans="1:25" ht="27.75" customHeight="1">
      <c r="A195" s="93" t="str">
        <f>IF(ISBLANK(C195)," ",190-COUNTBLANK($C$6:C195))</f>
        <v xml:space="preserve"> </v>
      </c>
      <c r="B195" s="94"/>
      <c r="C195" s="94"/>
      <c r="D195" s="95"/>
      <c r="E195" s="95"/>
      <c r="F195" s="85"/>
      <c r="G195" s="85"/>
      <c r="H195" s="85"/>
      <c r="I195" s="85"/>
      <c r="J195" s="85"/>
      <c r="K195" s="85"/>
      <c r="L195" s="85"/>
      <c r="M195" s="86"/>
      <c r="N195" s="71" t="str">
        <f t="shared" si="2"/>
        <v/>
      </c>
      <c r="O195" s="72"/>
      <c r="P195" s="72"/>
      <c r="Q195" s="72"/>
      <c r="R195" s="72"/>
      <c r="S195" s="72"/>
      <c r="T195" s="72"/>
      <c r="U195" s="72"/>
      <c r="V195" s="72"/>
    </row>
    <row r="196" spans="1:25" ht="27.75" customHeight="1">
      <c r="A196" s="87" t="str">
        <f>IF(ISBLANK(C196)," ",191-COUNTBLANK($C$6:C196))</f>
        <v xml:space="preserve"> </v>
      </c>
      <c r="B196" s="88"/>
      <c r="C196" s="88"/>
      <c r="D196" s="89"/>
      <c r="E196" s="89"/>
      <c r="F196" s="73"/>
      <c r="G196" s="73"/>
      <c r="H196" s="73"/>
      <c r="I196" s="73"/>
      <c r="J196" s="73"/>
      <c r="K196" s="73"/>
      <c r="L196" s="73"/>
      <c r="M196" s="74"/>
      <c r="N196" s="71" t="str">
        <f t="shared" si="2"/>
        <v/>
      </c>
      <c r="O196" s="72"/>
      <c r="P196" s="72"/>
      <c r="Q196" s="72"/>
      <c r="R196" s="72"/>
      <c r="S196" s="72"/>
      <c r="T196" s="72"/>
      <c r="U196" s="72"/>
      <c r="V196" s="72"/>
    </row>
    <row r="197" spans="1:25" ht="27.75" customHeight="1">
      <c r="A197" s="87" t="str">
        <f>IF(ISBLANK(C197)," ",192-COUNTBLANK($C$6:C197))</f>
        <v xml:space="preserve"> </v>
      </c>
      <c r="B197" s="88"/>
      <c r="C197" s="88"/>
      <c r="D197" s="89"/>
      <c r="E197" s="89"/>
      <c r="F197" s="73"/>
      <c r="G197" s="73"/>
      <c r="H197" s="73"/>
      <c r="I197" s="73"/>
      <c r="J197" s="73"/>
      <c r="K197" s="73"/>
      <c r="L197" s="73"/>
      <c r="M197" s="74"/>
      <c r="N197" s="71" t="str">
        <f t="shared" si="2"/>
        <v/>
      </c>
      <c r="O197" s="72"/>
      <c r="P197" s="72"/>
      <c r="Q197" s="72"/>
      <c r="R197" s="72"/>
      <c r="S197" s="72"/>
      <c r="T197" s="72"/>
      <c r="U197" s="72"/>
      <c r="V197" s="72"/>
    </row>
    <row r="198" spans="1:25" ht="27.75" customHeight="1">
      <c r="A198" s="87" t="str">
        <f>IF(ISBLANK(C198)," ",193-COUNTBLANK($C$6:C198))</f>
        <v xml:space="preserve"> </v>
      </c>
      <c r="B198" s="88"/>
      <c r="C198" s="88"/>
      <c r="D198" s="89"/>
      <c r="E198" s="89"/>
      <c r="F198" s="73"/>
      <c r="G198" s="73"/>
      <c r="H198" s="73"/>
      <c r="I198" s="73"/>
      <c r="J198" s="73"/>
      <c r="K198" s="73"/>
      <c r="L198" s="73"/>
      <c r="M198" s="74"/>
      <c r="N198" s="71" t="str">
        <f t="shared" ref="N198:N261" si="3">CONCATENATE(C198,H198)</f>
        <v/>
      </c>
      <c r="O198" s="72"/>
      <c r="P198" s="72"/>
      <c r="Q198" s="72"/>
      <c r="R198" s="72"/>
      <c r="S198" s="72"/>
      <c r="T198" s="72"/>
      <c r="U198" s="72"/>
      <c r="V198" s="72"/>
    </row>
    <row r="199" spans="1:25" ht="27.75" customHeight="1">
      <c r="A199" s="87" t="str">
        <f>IF(ISBLANK(C199)," ",194-COUNTBLANK($C$6:C199))</f>
        <v xml:space="preserve"> </v>
      </c>
      <c r="B199" s="88"/>
      <c r="C199" s="88"/>
      <c r="D199" s="89"/>
      <c r="E199" s="89"/>
      <c r="F199" s="73"/>
      <c r="G199" s="73"/>
      <c r="H199" s="73"/>
      <c r="I199" s="73"/>
      <c r="J199" s="73"/>
      <c r="K199" s="73"/>
      <c r="L199" s="73"/>
      <c r="M199" s="74"/>
      <c r="N199" s="71" t="str">
        <f t="shared" si="3"/>
        <v/>
      </c>
      <c r="O199" s="72"/>
      <c r="P199" s="72"/>
      <c r="Q199" s="72"/>
      <c r="R199" s="72"/>
      <c r="S199" s="72"/>
      <c r="T199" s="72"/>
      <c r="U199" s="72"/>
      <c r="V199" s="72"/>
    </row>
    <row r="200" spans="1:25" ht="27.75" customHeight="1">
      <c r="A200" s="87" t="str">
        <f>IF(ISBLANK(C200)," ",195-COUNTBLANK($C$6:C200))</f>
        <v xml:space="preserve"> </v>
      </c>
      <c r="B200" s="88"/>
      <c r="C200" s="88"/>
      <c r="D200" s="89"/>
      <c r="E200" s="89"/>
      <c r="F200" s="73"/>
      <c r="G200" s="73"/>
      <c r="H200" s="73"/>
      <c r="I200" s="73"/>
      <c r="J200" s="73"/>
      <c r="K200" s="73"/>
      <c r="L200" s="73"/>
      <c r="M200" s="74"/>
      <c r="N200" s="71" t="str">
        <f t="shared" si="3"/>
        <v/>
      </c>
      <c r="O200" s="72"/>
      <c r="P200" s="72"/>
      <c r="Q200" s="72"/>
      <c r="R200" s="72"/>
      <c r="S200" s="72"/>
      <c r="T200" s="72"/>
      <c r="U200" s="72"/>
      <c r="V200" s="72"/>
    </row>
    <row r="201" spans="1:25" ht="27.75" customHeight="1">
      <c r="A201" s="87" t="str">
        <f>IF(ISBLANK(C201)," ",196-COUNTBLANK($C$6:C201))</f>
        <v xml:space="preserve"> </v>
      </c>
      <c r="B201" s="88"/>
      <c r="C201" s="88"/>
      <c r="D201" s="89"/>
      <c r="E201" s="89"/>
      <c r="F201" s="73"/>
      <c r="G201" s="73"/>
      <c r="H201" s="73"/>
      <c r="I201" s="73"/>
      <c r="J201" s="73"/>
      <c r="K201" s="73"/>
      <c r="L201" s="73"/>
      <c r="M201" s="74"/>
      <c r="N201" s="71" t="str">
        <f t="shared" si="3"/>
        <v/>
      </c>
      <c r="O201" s="72"/>
      <c r="P201" s="72"/>
      <c r="Q201" s="72"/>
      <c r="R201" s="72"/>
      <c r="S201" s="72"/>
      <c r="T201" s="72"/>
      <c r="U201" s="72"/>
      <c r="V201" s="72"/>
    </row>
    <row r="202" spans="1:25" ht="27.75" customHeight="1">
      <c r="A202" s="87" t="str">
        <f>IF(ISBLANK(C202)," ",197-COUNTBLANK($C$6:C202))</f>
        <v xml:space="preserve"> </v>
      </c>
      <c r="B202" s="88"/>
      <c r="C202" s="88"/>
      <c r="D202" s="89"/>
      <c r="E202" s="89"/>
      <c r="F202" s="73"/>
      <c r="G202" s="73"/>
      <c r="H202" s="73"/>
      <c r="I202" s="73"/>
      <c r="J202" s="73"/>
      <c r="K202" s="73"/>
      <c r="L202" s="73"/>
      <c r="M202" s="74"/>
      <c r="N202" s="71" t="str">
        <f t="shared" si="3"/>
        <v/>
      </c>
      <c r="O202" s="72"/>
      <c r="P202" s="72"/>
      <c r="Q202" s="72"/>
      <c r="R202" s="72"/>
      <c r="S202" s="72"/>
      <c r="T202" s="72"/>
      <c r="U202" s="72"/>
      <c r="V202" s="72"/>
    </row>
    <row r="203" spans="1:25" ht="27.75" customHeight="1">
      <c r="A203" s="87" t="str">
        <f>IF(ISBLANK(C203)," ",198-COUNTBLANK($C$6:C203))</f>
        <v xml:space="preserve"> </v>
      </c>
      <c r="B203" s="88"/>
      <c r="C203" s="88"/>
      <c r="D203" s="89"/>
      <c r="E203" s="89"/>
      <c r="F203" s="73"/>
      <c r="G203" s="73"/>
      <c r="H203" s="73"/>
      <c r="I203" s="73"/>
      <c r="J203" s="73"/>
      <c r="K203" s="73"/>
      <c r="L203" s="73"/>
      <c r="M203" s="74"/>
      <c r="N203" s="71" t="str">
        <f t="shared" si="3"/>
        <v/>
      </c>
      <c r="O203" s="72"/>
      <c r="P203" s="72"/>
      <c r="Q203" s="72"/>
      <c r="R203" s="72"/>
      <c r="S203" s="72"/>
      <c r="T203" s="72"/>
      <c r="U203" s="72"/>
      <c r="V203" s="72"/>
    </row>
    <row r="204" spans="1:25" ht="27.75" customHeight="1">
      <c r="A204" s="87" t="str">
        <f>IF(ISBLANK(C204)," ",199-COUNTBLANK($C$6:C204))</f>
        <v xml:space="preserve"> </v>
      </c>
      <c r="B204" s="88"/>
      <c r="C204" s="88"/>
      <c r="D204" s="89"/>
      <c r="E204" s="89"/>
      <c r="F204" s="73"/>
      <c r="G204" s="73"/>
      <c r="H204" s="73"/>
      <c r="I204" s="73"/>
      <c r="J204" s="73"/>
      <c r="K204" s="73"/>
      <c r="L204" s="73"/>
      <c r="M204" s="74"/>
      <c r="N204" s="71" t="str">
        <f t="shared" si="3"/>
        <v/>
      </c>
      <c r="O204" s="72"/>
      <c r="P204" s="72"/>
      <c r="Q204" s="72"/>
      <c r="R204" s="72"/>
      <c r="S204" s="72"/>
      <c r="T204" s="72"/>
      <c r="U204" s="72"/>
      <c r="V204" s="72"/>
    </row>
    <row r="205" spans="1:25" ht="27.75" customHeight="1">
      <c r="A205" s="87" t="str">
        <f>IF(ISBLANK(C205)," ",200-COUNTBLANK($C$6:C205))</f>
        <v xml:space="preserve"> </v>
      </c>
      <c r="B205" s="88"/>
      <c r="C205" s="88"/>
      <c r="D205" s="89"/>
      <c r="E205" s="89"/>
      <c r="F205" s="73"/>
      <c r="G205" s="73"/>
      <c r="H205" s="73"/>
      <c r="I205" s="73"/>
      <c r="J205" s="73"/>
      <c r="K205" s="73"/>
      <c r="L205" s="73"/>
      <c r="M205" s="74"/>
      <c r="N205" s="71" t="str">
        <f t="shared" si="3"/>
        <v/>
      </c>
      <c r="O205" s="72"/>
      <c r="P205" s="72"/>
      <c r="Q205" s="72"/>
      <c r="R205" s="72"/>
      <c r="S205" s="72"/>
      <c r="T205" s="72"/>
      <c r="U205" s="72"/>
      <c r="V205" s="72"/>
    </row>
    <row r="206" spans="1:25" ht="27.75" customHeight="1">
      <c r="A206" s="87" t="str">
        <f>IF(ISBLANK(C206)," ",201-COUNTBLANK($C$6:C206))</f>
        <v xml:space="preserve"> </v>
      </c>
      <c r="B206" s="88"/>
      <c r="C206" s="88"/>
      <c r="D206" s="89"/>
      <c r="E206" s="89"/>
      <c r="F206" s="73"/>
      <c r="G206" s="73"/>
      <c r="H206" s="73"/>
      <c r="I206" s="73"/>
      <c r="J206" s="73"/>
      <c r="K206" s="73"/>
      <c r="L206" s="73"/>
      <c r="M206" s="74"/>
      <c r="N206" s="71" t="str">
        <f t="shared" si="3"/>
        <v/>
      </c>
      <c r="O206" s="72"/>
      <c r="P206" s="72"/>
      <c r="Q206" s="72"/>
      <c r="R206" s="72"/>
      <c r="S206" s="72"/>
      <c r="T206" s="72"/>
      <c r="U206" s="72"/>
      <c r="V206" s="72"/>
    </row>
    <row r="207" spans="1:25" ht="27.75" customHeight="1">
      <c r="A207" s="87" t="str">
        <f>IF(ISBLANK(C207)," ",202-COUNTBLANK($C$6:C207))</f>
        <v xml:space="preserve"> </v>
      </c>
      <c r="B207" s="88"/>
      <c r="C207" s="88"/>
      <c r="D207" s="89"/>
      <c r="E207" s="89"/>
      <c r="F207" s="73"/>
      <c r="G207" s="73"/>
      <c r="H207" s="73"/>
      <c r="I207" s="73"/>
      <c r="J207" s="73"/>
      <c r="K207" s="73"/>
      <c r="L207" s="73"/>
      <c r="M207" s="74"/>
      <c r="N207" s="71" t="str">
        <f t="shared" si="3"/>
        <v/>
      </c>
      <c r="O207" s="72"/>
      <c r="P207" s="72"/>
      <c r="Q207" s="72"/>
      <c r="R207" s="72"/>
      <c r="S207" s="72"/>
      <c r="T207" s="72"/>
      <c r="U207" s="72"/>
      <c r="V207" s="72"/>
    </row>
    <row r="208" spans="1:25" ht="27.75" customHeight="1">
      <c r="A208" s="87" t="str">
        <f>IF(ISBLANK(C208)," ",203-COUNTBLANK($C$6:C208))</f>
        <v xml:space="preserve"> </v>
      </c>
      <c r="B208" s="88"/>
      <c r="C208" s="88"/>
      <c r="D208" s="89"/>
      <c r="E208" s="89"/>
      <c r="F208" s="73"/>
      <c r="G208" s="73"/>
      <c r="H208" s="73"/>
      <c r="I208" s="73"/>
      <c r="J208" s="73"/>
      <c r="K208" s="73"/>
      <c r="L208" s="73"/>
      <c r="M208" s="74"/>
      <c r="N208" s="71" t="str">
        <f t="shared" si="3"/>
        <v/>
      </c>
      <c r="O208" s="72"/>
      <c r="P208" s="72"/>
      <c r="Q208" s="72"/>
      <c r="R208" s="72"/>
      <c r="S208" s="72"/>
      <c r="T208" s="72"/>
      <c r="U208" s="72"/>
      <c r="V208" s="72"/>
    </row>
    <row r="209" spans="1:25" ht="27.75" customHeight="1">
      <c r="A209" s="87" t="str">
        <f>IF(ISBLANK(C209)," ",204-COUNTBLANK($C$6:C209))</f>
        <v xml:space="preserve"> </v>
      </c>
      <c r="B209" s="88"/>
      <c r="C209" s="88"/>
      <c r="D209" s="89"/>
      <c r="E209" s="89"/>
      <c r="F209" s="73"/>
      <c r="G209" s="73"/>
      <c r="H209" s="73"/>
      <c r="I209" s="73"/>
      <c r="J209" s="73"/>
      <c r="K209" s="73"/>
      <c r="L209" s="73"/>
      <c r="M209" s="74"/>
      <c r="N209" s="71" t="str">
        <f t="shared" si="3"/>
        <v/>
      </c>
      <c r="O209" s="72"/>
      <c r="P209" s="72"/>
      <c r="Q209" s="72"/>
      <c r="R209" s="72"/>
      <c r="S209" s="72"/>
      <c r="T209" s="72"/>
      <c r="U209" s="72"/>
      <c r="V209" s="72"/>
    </row>
    <row r="210" spans="1:25" ht="27.75" customHeight="1">
      <c r="A210" s="87" t="str">
        <f>IF(ISBLANK(C210)," ",205-COUNTBLANK($C$6:C210))</f>
        <v xml:space="preserve"> </v>
      </c>
      <c r="B210" s="88"/>
      <c r="C210" s="88"/>
      <c r="D210" s="89"/>
      <c r="E210" s="89"/>
      <c r="F210" s="73"/>
      <c r="G210" s="73"/>
      <c r="H210" s="73"/>
      <c r="I210" s="73"/>
      <c r="J210" s="73"/>
      <c r="K210" s="73"/>
      <c r="L210" s="73"/>
      <c r="M210" s="74"/>
      <c r="N210" s="71" t="str">
        <f t="shared" si="3"/>
        <v/>
      </c>
      <c r="O210" s="75"/>
      <c r="P210" s="72"/>
      <c r="Q210" s="72"/>
      <c r="R210" s="72"/>
      <c r="S210" s="72"/>
      <c r="T210" s="72"/>
      <c r="U210" s="72"/>
      <c r="V210" s="76"/>
    </row>
    <row r="211" spans="1:25" ht="27.75" customHeight="1">
      <c r="A211" s="87" t="str">
        <f>IF(ISBLANK(C211)," ",206-COUNTBLANK($C$6:C211))</f>
        <v xml:space="preserve"> </v>
      </c>
      <c r="B211" s="88"/>
      <c r="C211" s="88"/>
      <c r="D211" s="89"/>
      <c r="E211" s="89"/>
      <c r="F211" s="73"/>
      <c r="G211" s="73"/>
      <c r="H211" s="73"/>
      <c r="I211" s="73"/>
      <c r="J211" s="73"/>
      <c r="K211" s="73"/>
      <c r="L211" s="73"/>
      <c r="M211" s="74"/>
      <c r="N211" s="71" t="str">
        <f t="shared" si="3"/>
        <v/>
      </c>
      <c r="O211" s="75"/>
      <c r="P211" s="72"/>
      <c r="Q211" s="72"/>
      <c r="R211" s="72"/>
      <c r="S211" s="72"/>
      <c r="T211" s="72"/>
      <c r="U211" s="72"/>
      <c r="V211" s="76"/>
    </row>
    <row r="212" spans="1:25" ht="27.75" customHeight="1">
      <c r="A212" s="87" t="str">
        <f>IF(ISBLANK(C212)," ",207-COUNTBLANK($C$6:C212))</f>
        <v xml:space="preserve"> </v>
      </c>
      <c r="B212" s="88"/>
      <c r="C212" s="88"/>
      <c r="D212" s="89"/>
      <c r="E212" s="89"/>
      <c r="F212" s="73"/>
      <c r="G212" s="73"/>
      <c r="H212" s="73"/>
      <c r="I212" s="73"/>
      <c r="J212" s="73"/>
      <c r="K212" s="73"/>
      <c r="L212" s="73"/>
      <c r="M212" s="74"/>
      <c r="N212" s="71" t="str">
        <f t="shared" si="3"/>
        <v/>
      </c>
      <c r="O212" s="75"/>
      <c r="P212" s="72"/>
      <c r="Q212" s="72"/>
      <c r="R212" s="72"/>
      <c r="S212" s="72"/>
      <c r="T212" s="72"/>
      <c r="U212" s="72"/>
      <c r="V212" s="76"/>
    </row>
    <row r="213" spans="1:25" ht="27.75" customHeight="1">
      <c r="A213" s="87" t="str">
        <f>IF(ISBLANK(C213)," ",208-COUNTBLANK($C$6:C213))</f>
        <v xml:space="preserve"> </v>
      </c>
      <c r="B213" s="88"/>
      <c r="C213" s="88"/>
      <c r="D213" s="89"/>
      <c r="E213" s="89"/>
      <c r="F213" s="73"/>
      <c r="G213" s="73"/>
      <c r="H213" s="73"/>
      <c r="I213" s="73"/>
      <c r="J213" s="73"/>
      <c r="K213" s="73"/>
      <c r="L213" s="73"/>
      <c r="M213" s="74"/>
      <c r="N213" s="71" t="str">
        <f t="shared" si="3"/>
        <v/>
      </c>
      <c r="O213" s="75"/>
      <c r="P213" s="72"/>
      <c r="Q213" s="72"/>
      <c r="R213" s="72"/>
      <c r="S213" s="72"/>
      <c r="T213" s="72"/>
      <c r="U213" s="72"/>
      <c r="V213" s="76"/>
    </row>
    <row r="214" spans="1:25" ht="27.75" customHeight="1">
      <c r="A214" s="87" t="str">
        <f>IF(ISBLANK(C214)," ",209-COUNTBLANK($C$6:C214))</f>
        <v xml:space="preserve"> </v>
      </c>
      <c r="B214" s="88"/>
      <c r="C214" s="88"/>
      <c r="D214" s="89"/>
      <c r="E214" s="89"/>
      <c r="F214" s="73"/>
      <c r="G214" s="73"/>
      <c r="H214" s="73"/>
      <c r="I214" s="73"/>
      <c r="J214" s="73"/>
      <c r="K214" s="73"/>
      <c r="L214" s="73"/>
      <c r="M214" s="74"/>
      <c r="N214" s="71" t="str">
        <f t="shared" si="3"/>
        <v/>
      </c>
      <c r="O214" s="72"/>
      <c r="P214" s="72"/>
      <c r="Q214" s="72"/>
      <c r="R214" s="72"/>
      <c r="S214" s="72"/>
      <c r="T214" s="72"/>
      <c r="U214" s="72"/>
      <c r="V214" s="79"/>
      <c r="W214" s="72"/>
      <c r="X214" s="72"/>
      <c r="Y214" s="72"/>
    </row>
    <row r="215" spans="1:25" ht="27.75" customHeight="1">
      <c r="A215" s="80" t="s">
        <v>58</v>
      </c>
      <c r="B215" s="81"/>
      <c r="C215" s="96"/>
      <c r="D215" s="82"/>
      <c r="E215" s="82">
        <f>SUM(E195:E214)</f>
        <v>0</v>
      </c>
      <c r="F215" s="83"/>
      <c r="G215" s="83"/>
      <c r="H215" s="83"/>
      <c r="I215" s="83"/>
      <c r="J215" s="83"/>
      <c r="K215" s="83"/>
      <c r="L215" s="83"/>
      <c r="M215" s="84"/>
      <c r="N215" s="71" t="str">
        <f t="shared" si="3"/>
        <v/>
      </c>
      <c r="O215" s="75"/>
      <c r="P215" s="72"/>
      <c r="Q215" s="72"/>
      <c r="R215" s="72"/>
      <c r="S215" s="72"/>
      <c r="T215" s="72"/>
      <c r="U215" s="72"/>
      <c r="V215" s="79"/>
      <c r="W215" s="72"/>
      <c r="X215" s="72"/>
      <c r="Y215" s="72"/>
    </row>
    <row r="216" spans="1:25" ht="27.75" customHeight="1">
      <c r="A216" s="93" t="str">
        <f>IF(ISBLANK(C216)," ",211-COUNTBLANK($C$6:C216))</f>
        <v xml:space="preserve"> </v>
      </c>
      <c r="B216" s="94"/>
      <c r="C216" s="94"/>
      <c r="D216" s="95"/>
      <c r="E216" s="95"/>
      <c r="F216" s="85"/>
      <c r="G216" s="85"/>
      <c r="H216" s="85"/>
      <c r="I216" s="85"/>
      <c r="J216" s="85"/>
      <c r="K216" s="85"/>
      <c r="L216" s="85"/>
      <c r="M216" s="86"/>
      <c r="N216" s="71" t="str">
        <f t="shared" si="3"/>
        <v/>
      </c>
      <c r="O216" s="72"/>
      <c r="P216" s="72"/>
      <c r="Q216" s="72"/>
      <c r="R216" s="72"/>
      <c r="S216" s="72"/>
      <c r="T216" s="72"/>
      <c r="U216" s="72"/>
      <c r="V216" s="72"/>
    </row>
    <row r="217" spans="1:25" ht="27.75" customHeight="1">
      <c r="A217" s="87" t="str">
        <f>IF(ISBLANK(C217)," ",212-COUNTBLANK($C$6:C217))</f>
        <v xml:space="preserve"> </v>
      </c>
      <c r="B217" s="88"/>
      <c r="C217" s="88"/>
      <c r="D217" s="89"/>
      <c r="E217" s="89"/>
      <c r="F217" s="73"/>
      <c r="G217" s="73"/>
      <c r="H217" s="73"/>
      <c r="I217" s="73"/>
      <c r="J217" s="73"/>
      <c r="K217" s="73"/>
      <c r="L217" s="73"/>
      <c r="M217" s="74"/>
      <c r="N217" s="71" t="str">
        <f t="shared" si="3"/>
        <v/>
      </c>
      <c r="O217" s="72"/>
      <c r="P217" s="72"/>
      <c r="Q217" s="72"/>
      <c r="R217" s="72"/>
      <c r="S217" s="72"/>
      <c r="T217" s="72"/>
      <c r="U217" s="72"/>
      <c r="V217" s="72"/>
    </row>
    <row r="218" spans="1:25" ht="27.75" customHeight="1">
      <c r="A218" s="87" t="str">
        <f>IF(ISBLANK(C218)," ",213-COUNTBLANK($C$6:C218))</f>
        <v xml:space="preserve"> </v>
      </c>
      <c r="B218" s="88"/>
      <c r="C218" s="88"/>
      <c r="D218" s="89"/>
      <c r="E218" s="89"/>
      <c r="F218" s="73"/>
      <c r="G218" s="73"/>
      <c r="H218" s="73"/>
      <c r="I218" s="73"/>
      <c r="J218" s="73"/>
      <c r="K218" s="73"/>
      <c r="L218" s="73"/>
      <c r="M218" s="74"/>
      <c r="N218" s="71" t="str">
        <f t="shared" si="3"/>
        <v/>
      </c>
      <c r="O218" s="72"/>
      <c r="P218" s="72"/>
      <c r="Q218" s="72"/>
      <c r="R218" s="72"/>
      <c r="S218" s="72"/>
      <c r="T218" s="72"/>
      <c r="U218" s="72"/>
      <c r="V218" s="72"/>
    </row>
    <row r="219" spans="1:25" ht="27.75" customHeight="1">
      <c r="A219" s="87" t="str">
        <f>IF(ISBLANK(C219)," ",214-COUNTBLANK($C$6:C219))</f>
        <v xml:space="preserve"> </v>
      </c>
      <c r="B219" s="88"/>
      <c r="C219" s="88"/>
      <c r="D219" s="89"/>
      <c r="E219" s="89"/>
      <c r="F219" s="73"/>
      <c r="G219" s="73"/>
      <c r="H219" s="73"/>
      <c r="I219" s="73"/>
      <c r="J219" s="73"/>
      <c r="K219" s="73"/>
      <c r="L219" s="73"/>
      <c r="M219" s="74"/>
      <c r="N219" s="71" t="str">
        <f t="shared" si="3"/>
        <v/>
      </c>
      <c r="O219" s="72"/>
      <c r="P219" s="72"/>
      <c r="Q219" s="72"/>
      <c r="R219" s="72"/>
      <c r="S219" s="72"/>
      <c r="T219" s="72"/>
      <c r="U219" s="72"/>
      <c r="V219" s="72"/>
    </row>
    <row r="220" spans="1:25" ht="27.75" customHeight="1">
      <c r="A220" s="87" t="str">
        <f>IF(ISBLANK(C220)," ",215-COUNTBLANK($C$6:C220))</f>
        <v xml:space="preserve"> </v>
      </c>
      <c r="B220" s="88"/>
      <c r="C220" s="88"/>
      <c r="D220" s="89"/>
      <c r="E220" s="89"/>
      <c r="F220" s="73"/>
      <c r="G220" s="73"/>
      <c r="H220" s="73"/>
      <c r="I220" s="73"/>
      <c r="J220" s="73"/>
      <c r="K220" s="73"/>
      <c r="L220" s="73"/>
      <c r="M220" s="74"/>
      <c r="N220" s="71" t="str">
        <f t="shared" si="3"/>
        <v/>
      </c>
      <c r="O220" s="72"/>
      <c r="P220" s="72"/>
      <c r="Q220" s="72"/>
      <c r="R220" s="72"/>
      <c r="S220" s="72"/>
      <c r="T220" s="72"/>
      <c r="U220" s="72"/>
      <c r="V220" s="72"/>
    </row>
    <row r="221" spans="1:25" ht="27.75" customHeight="1">
      <c r="A221" s="87" t="str">
        <f>IF(ISBLANK(C221)," ",216-COUNTBLANK($C$6:C221))</f>
        <v xml:space="preserve"> </v>
      </c>
      <c r="B221" s="88"/>
      <c r="C221" s="88"/>
      <c r="D221" s="89"/>
      <c r="E221" s="89"/>
      <c r="F221" s="73"/>
      <c r="G221" s="73"/>
      <c r="H221" s="73"/>
      <c r="I221" s="73"/>
      <c r="J221" s="73"/>
      <c r="K221" s="73"/>
      <c r="L221" s="73"/>
      <c r="M221" s="74"/>
      <c r="N221" s="71" t="str">
        <f t="shared" si="3"/>
        <v/>
      </c>
      <c r="O221" s="72"/>
      <c r="P221" s="72"/>
      <c r="Q221" s="72"/>
      <c r="R221" s="72"/>
      <c r="S221" s="72"/>
      <c r="T221" s="72"/>
      <c r="U221" s="72"/>
      <c r="V221" s="72"/>
    </row>
    <row r="222" spans="1:25" ht="27.75" customHeight="1">
      <c r="A222" s="87" t="str">
        <f>IF(ISBLANK(C222)," ",217-COUNTBLANK($C$6:C222))</f>
        <v xml:space="preserve"> </v>
      </c>
      <c r="B222" s="88"/>
      <c r="C222" s="88"/>
      <c r="D222" s="89"/>
      <c r="E222" s="89"/>
      <c r="F222" s="73"/>
      <c r="G222" s="73"/>
      <c r="H222" s="73"/>
      <c r="I222" s="73"/>
      <c r="J222" s="73"/>
      <c r="K222" s="73"/>
      <c r="L222" s="73"/>
      <c r="M222" s="74"/>
      <c r="N222" s="71" t="str">
        <f t="shared" si="3"/>
        <v/>
      </c>
      <c r="O222" s="72"/>
      <c r="P222" s="72"/>
      <c r="Q222" s="72"/>
      <c r="R222" s="72"/>
      <c r="S222" s="72"/>
      <c r="T222" s="72"/>
      <c r="U222" s="72"/>
      <c r="V222" s="72"/>
    </row>
    <row r="223" spans="1:25" ht="27.75" customHeight="1">
      <c r="A223" s="87" t="str">
        <f>IF(ISBLANK(C223)," ",218-COUNTBLANK($C$6:C223))</f>
        <v xml:space="preserve"> </v>
      </c>
      <c r="B223" s="88"/>
      <c r="C223" s="88"/>
      <c r="D223" s="89"/>
      <c r="E223" s="89"/>
      <c r="F223" s="73"/>
      <c r="G223" s="73"/>
      <c r="H223" s="73"/>
      <c r="I223" s="73"/>
      <c r="J223" s="73"/>
      <c r="K223" s="73"/>
      <c r="L223" s="73"/>
      <c r="M223" s="74"/>
      <c r="N223" s="71" t="str">
        <f t="shared" si="3"/>
        <v/>
      </c>
      <c r="O223" s="72"/>
      <c r="P223" s="72"/>
      <c r="Q223" s="72"/>
      <c r="R223" s="72"/>
      <c r="S223" s="72"/>
      <c r="T223" s="72"/>
      <c r="U223" s="72"/>
      <c r="V223" s="72"/>
    </row>
    <row r="224" spans="1:25" ht="27.75" customHeight="1">
      <c r="A224" s="87" t="str">
        <f>IF(ISBLANK(C224)," ",219-COUNTBLANK($C$6:C224))</f>
        <v xml:space="preserve"> </v>
      </c>
      <c r="B224" s="88"/>
      <c r="C224" s="88"/>
      <c r="D224" s="89"/>
      <c r="E224" s="89"/>
      <c r="F224" s="73"/>
      <c r="G224" s="73"/>
      <c r="H224" s="73"/>
      <c r="I224" s="73"/>
      <c r="J224" s="73"/>
      <c r="K224" s="73"/>
      <c r="L224" s="73"/>
      <c r="M224" s="74"/>
      <c r="N224" s="71" t="str">
        <f t="shared" si="3"/>
        <v/>
      </c>
      <c r="O224" s="72"/>
      <c r="P224" s="72"/>
      <c r="Q224" s="72"/>
      <c r="R224" s="72"/>
      <c r="S224" s="72"/>
      <c r="T224" s="72"/>
      <c r="U224" s="72"/>
      <c r="V224" s="72"/>
    </row>
    <row r="225" spans="1:25" ht="27.75" customHeight="1">
      <c r="A225" s="87" t="str">
        <f>IF(ISBLANK(C225)," ",220-COUNTBLANK($C$6:C225))</f>
        <v xml:space="preserve"> </v>
      </c>
      <c r="B225" s="88"/>
      <c r="C225" s="88"/>
      <c r="D225" s="89"/>
      <c r="E225" s="89"/>
      <c r="F225" s="73"/>
      <c r="G225" s="73"/>
      <c r="H225" s="73"/>
      <c r="I225" s="73"/>
      <c r="J225" s="73"/>
      <c r="K225" s="73"/>
      <c r="L225" s="73"/>
      <c r="M225" s="74"/>
      <c r="N225" s="71" t="str">
        <f t="shared" si="3"/>
        <v/>
      </c>
      <c r="O225" s="72"/>
      <c r="P225" s="72"/>
      <c r="Q225" s="72"/>
      <c r="R225" s="72"/>
      <c r="S225" s="72"/>
      <c r="T225" s="72"/>
      <c r="U225" s="72"/>
      <c r="V225" s="72"/>
    </row>
    <row r="226" spans="1:25" ht="27.75" customHeight="1">
      <c r="A226" s="87" t="str">
        <f>IF(ISBLANK(C226)," ",221-COUNTBLANK($C$6:C226))</f>
        <v xml:space="preserve"> </v>
      </c>
      <c r="B226" s="88"/>
      <c r="C226" s="88"/>
      <c r="D226" s="89"/>
      <c r="E226" s="89"/>
      <c r="F226" s="73"/>
      <c r="G226" s="73"/>
      <c r="H226" s="73"/>
      <c r="I226" s="73"/>
      <c r="J226" s="73"/>
      <c r="K226" s="73"/>
      <c r="L226" s="73"/>
      <c r="M226" s="74"/>
      <c r="N226" s="71" t="str">
        <f t="shared" si="3"/>
        <v/>
      </c>
      <c r="O226" s="72"/>
      <c r="P226" s="72"/>
      <c r="Q226" s="72"/>
      <c r="R226" s="72"/>
      <c r="S226" s="72"/>
      <c r="T226" s="72"/>
      <c r="U226" s="72"/>
      <c r="V226" s="72"/>
    </row>
    <row r="227" spans="1:25" ht="27.75" customHeight="1">
      <c r="A227" s="87" t="str">
        <f>IF(ISBLANK(C227)," ",222-COUNTBLANK($C$6:C227))</f>
        <v xml:space="preserve"> </v>
      </c>
      <c r="B227" s="88"/>
      <c r="C227" s="88"/>
      <c r="D227" s="89"/>
      <c r="E227" s="89"/>
      <c r="F227" s="73"/>
      <c r="G227" s="73"/>
      <c r="H227" s="73"/>
      <c r="I227" s="73"/>
      <c r="J227" s="73"/>
      <c r="K227" s="73"/>
      <c r="L227" s="73"/>
      <c r="M227" s="74"/>
      <c r="N227" s="71" t="str">
        <f t="shared" si="3"/>
        <v/>
      </c>
      <c r="O227" s="72"/>
      <c r="P227" s="72"/>
      <c r="Q227" s="72"/>
      <c r="R227" s="72"/>
      <c r="S227" s="72"/>
      <c r="T227" s="72"/>
      <c r="U227" s="72"/>
      <c r="V227" s="72"/>
    </row>
    <row r="228" spans="1:25" ht="27.75" customHeight="1">
      <c r="A228" s="87" t="str">
        <f>IF(ISBLANK(C228)," ",223-COUNTBLANK($C$6:C228))</f>
        <v xml:space="preserve"> </v>
      </c>
      <c r="B228" s="88"/>
      <c r="C228" s="88"/>
      <c r="D228" s="89"/>
      <c r="E228" s="89"/>
      <c r="F228" s="73"/>
      <c r="G228" s="73"/>
      <c r="H228" s="73"/>
      <c r="I228" s="73"/>
      <c r="J228" s="73"/>
      <c r="K228" s="73"/>
      <c r="L228" s="73"/>
      <c r="M228" s="74"/>
      <c r="N228" s="71" t="str">
        <f t="shared" si="3"/>
        <v/>
      </c>
      <c r="O228" s="72"/>
      <c r="P228" s="72"/>
      <c r="Q228" s="72"/>
      <c r="R228" s="72"/>
      <c r="S228" s="72"/>
      <c r="T228" s="72"/>
      <c r="U228" s="72"/>
      <c r="V228" s="72"/>
    </row>
    <row r="229" spans="1:25" ht="27.75" customHeight="1">
      <c r="A229" s="87" t="str">
        <f>IF(ISBLANK(C229)," ",224-COUNTBLANK($C$6:C229))</f>
        <v xml:space="preserve"> </v>
      </c>
      <c r="B229" s="88"/>
      <c r="C229" s="88"/>
      <c r="D229" s="89"/>
      <c r="E229" s="89"/>
      <c r="F229" s="73"/>
      <c r="G229" s="73"/>
      <c r="H229" s="73"/>
      <c r="I229" s="73"/>
      <c r="J229" s="73"/>
      <c r="K229" s="73"/>
      <c r="L229" s="73"/>
      <c r="M229" s="74"/>
      <c r="N229" s="71" t="str">
        <f t="shared" si="3"/>
        <v/>
      </c>
      <c r="O229" s="72"/>
      <c r="P229" s="72"/>
      <c r="Q229" s="72"/>
      <c r="R229" s="72"/>
      <c r="S229" s="72"/>
      <c r="T229" s="72"/>
      <c r="U229" s="72"/>
      <c r="V229" s="72"/>
    </row>
    <row r="230" spans="1:25" ht="27.75" customHeight="1">
      <c r="A230" s="87" t="str">
        <f>IF(ISBLANK(C230)," ",225-COUNTBLANK($C$6:C230))</f>
        <v xml:space="preserve"> </v>
      </c>
      <c r="B230" s="88"/>
      <c r="C230" s="88"/>
      <c r="D230" s="89"/>
      <c r="E230" s="89"/>
      <c r="F230" s="73"/>
      <c r="G230" s="73"/>
      <c r="H230" s="73"/>
      <c r="I230" s="73"/>
      <c r="J230" s="73"/>
      <c r="K230" s="73"/>
      <c r="L230" s="73"/>
      <c r="M230" s="74"/>
      <c r="N230" s="71" t="str">
        <f t="shared" si="3"/>
        <v/>
      </c>
      <c r="O230" s="72"/>
      <c r="P230" s="72"/>
      <c r="Q230" s="72"/>
      <c r="R230" s="72"/>
      <c r="S230" s="72"/>
      <c r="T230" s="72"/>
      <c r="U230" s="72"/>
      <c r="V230" s="72"/>
    </row>
    <row r="231" spans="1:25" ht="27.75" customHeight="1">
      <c r="A231" s="87" t="str">
        <f>IF(ISBLANK(C231)," ",226-COUNTBLANK($C$6:C231))</f>
        <v xml:space="preserve"> </v>
      </c>
      <c r="B231" s="88"/>
      <c r="C231" s="88"/>
      <c r="D231" s="89"/>
      <c r="E231" s="89"/>
      <c r="F231" s="73"/>
      <c r="G231" s="73"/>
      <c r="H231" s="73"/>
      <c r="I231" s="73"/>
      <c r="J231" s="73"/>
      <c r="K231" s="73"/>
      <c r="L231" s="73"/>
      <c r="M231" s="74"/>
      <c r="N231" s="71" t="str">
        <f t="shared" si="3"/>
        <v/>
      </c>
      <c r="O231" s="75"/>
      <c r="P231" s="72"/>
      <c r="Q231" s="72"/>
      <c r="R231" s="72"/>
      <c r="S231" s="72"/>
      <c r="T231" s="72"/>
      <c r="U231" s="72"/>
      <c r="V231" s="76"/>
    </row>
    <row r="232" spans="1:25" ht="27.75" customHeight="1">
      <c r="A232" s="87" t="str">
        <f>IF(ISBLANK(C232)," ",227-COUNTBLANK($C$6:C232))</f>
        <v xml:space="preserve"> </v>
      </c>
      <c r="B232" s="88"/>
      <c r="C232" s="88"/>
      <c r="D232" s="89"/>
      <c r="E232" s="89"/>
      <c r="F232" s="73"/>
      <c r="G232" s="73"/>
      <c r="H232" s="73"/>
      <c r="I232" s="73"/>
      <c r="J232" s="73"/>
      <c r="K232" s="73"/>
      <c r="L232" s="73"/>
      <c r="M232" s="74"/>
      <c r="N232" s="71" t="str">
        <f t="shared" si="3"/>
        <v/>
      </c>
      <c r="O232" s="75"/>
      <c r="P232" s="72"/>
      <c r="Q232" s="72"/>
      <c r="R232" s="72"/>
      <c r="S232" s="72"/>
      <c r="T232" s="72"/>
      <c r="U232" s="72"/>
      <c r="V232" s="76"/>
    </row>
    <row r="233" spans="1:25" ht="27.75" customHeight="1">
      <c r="A233" s="87" t="str">
        <f>IF(ISBLANK(C233)," ",228-COUNTBLANK($C$6:C233))</f>
        <v xml:space="preserve"> </v>
      </c>
      <c r="B233" s="88"/>
      <c r="C233" s="88"/>
      <c r="D233" s="89"/>
      <c r="E233" s="89"/>
      <c r="F233" s="73"/>
      <c r="G233" s="73"/>
      <c r="H233" s="73"/>
      <c r="I233" s="73"/>
      <c r="J233" s="73"/>
      <c r="K233" s="73"/>
      <c r="L233" s="73"/>
      <c r="M233" s="74"/>
      <c r="N233" s="71" t="str">
        <f t="shared" si="3"/>
        <v/>
      </c>
      <c r="O233" s="75"/>
      <c r="P233" s="72"/>
      <c r="Q233" s="72"/>
      <c r="R233" s="72"/>
      <c r="S233" s="72"/>
      <c r="T233" s="72"/>
      <c r="U233" s="72"/>
      <c r="V233" s="76"/>
    </row>
    <row r="234" spans="1:25" ht="27.75" customHeight="1">
      <c r="A234" s="87" t="str">
        <f>IF(ISBLANK(C234)," ",229-COUNTBLANK($C$6:C234))</f>
        <v xml:space="preserve"> </v>
      </c>
      <c r="B234" s="88"/>
      <c r="C234" s="88"/>
      <c r="D234" s="89"/>
      <c r="E234" s="89"/>
      <c r="F234" s="73"/>
      <c r="G234" s="73"/>
      <c r="H234" s="73"/>
      <c r="I234" s="73"/>
      <c r="J234" s="73"/>
      <c r="K234" s="73"/>
      <c r="L234" s="73"/>
      <c r="M234" s="74"/>
      <c r="N234" s="71" t="str">
        <f t="shared" si="3"/>
        <v/>
      </c>
      <c r="O234" s="75"/>
      <c r="P234" s="72"/>
      <c r="Q234" s="72"/>
      <c r="R234" s="72"/>
      <c r="S234" s="72"/>
      <c r="T234" s="72"/>
      <c r="U234" s="72"/>
      <c r="V234" s="76"/>
    </row>
    <row r="235" spans="1:25" ht="27.75" customHeight="1">
      <c r="A235" s="87" t="str">
        <f>IF(ISBLANK(C235)," ",230-COUNTBLANK($C$6:C235))</f>
        <v xml:space="preserve"> </v>
      </c>
      <c r="B235" s="88"/>
      <c r="C235" s="88"/>
      <c r="D235" s="89"/>
      <c r="E235" s="89"/>
      <c r="F235" s="73"/>
      <c r="G235" s="73"/>
      <c r="H235" s="73"/>
      <c r="I235" s="73"/>
      <c r="J235" s="73"/>
      <c r="K235" s="73"/>
      <c r="L235" s="73"/>
      <c r="M235" s="74"/>
      <c r="N235" s="71" t="str">
        <f t="shared" si="3"/>
        <v/>
      </c>
      <c r="O235" s="72"/>
      <c r="P235" s="72"/>
      <c r="Q235" s="72"/>
      <c r="R235" s="72"/>
      <c r="S235" s="72"/>
      <c r="T235" s="72"/>
      <c r="U235" s="72"/>
      <c r="V235" s="79"/>
      <c r="W235" s="72"/>
      <c r="X235" s="72"/>
      <c r="Y235" s="72"/>
    </row>
    <row r="236" spans="1:25" ht="27.75" customHeight="1">
      <c r="A236" s="80" t="s">
        <v>58</v>
      </c>
      <c r="B236" s="81"/>
      <c r="C236" s="96"/>
      <c r="D236" s="82"/>
      <c r="E236" s="82">
        <f>SUM(E216:E235)</f>
        <v>0</v>
      </c>
      <c r="F236" s="83"/>
      <c r="G236" s="83"/>
      <c r="H236" s="83"/>
      <c r="I236" s="83"/>
      <c r="J236" s="83"/>
      <c r="K236" s="83"/>
      <c r="L236" s="83"/>
      <c r="M236" s="84"/>
      <c r="N236" s="71" t="str">
        <f t="shared" si="3"/>
        <v/>
      </c>
      <c r="O236" s="75"/>
      <c r="P236" s="72"/>
      <c r="Q236" s="72"/>
      <c r="R236" s="72"/>
      <c r="S236" s="72"/>
      <c r="T236" s="72"/>
      <c r="U236" s="72"/>
      <c r="V236" s="79"/>
      <c r="W236" s="72"/>
      <c r="X236" s="72"/>
      <c r="Y236" s="72"/>
    </row>
    <row r="237" spans="1:25" ht="27.75" customHeight="1">
      <c r="A237" s="93" t="str">
        <f>IF(ISBLANK(C237)," ",232-COUNTBLANK($C$6:C237))</f>
        <v xml:space="preserve"> </v>
      </c>
      <c r="B237" s="94"/>
      <c r="C237" s="94"/>
      <c r="D237" s="95"/>
      <c r="E237" s="95"/>
      <c r="F237" s="85"/>
      <c r="G237" s="85"/>
      <c r="H237" s="85"/>
      <c r="I237" s="85"/>
      <c r="J237" s="85"/>
      <c r="K237" s="85"/>
      <c r="L237" s="85"/>
      <c r="M237" s="86"/>
      <c r="N237" s="71" t="str">
        <f t="shared" si="3"/>
        <v/>
      </c>
      <c r="O237" s="72"/>
      <c r="P237" s="72"/>
      <c r="Q237" s="72"/>
      <c r="R237" s="72"/>
      <c r="S237" s="72"/>
      <c r="T237" s="72"/>
      <c r="U237" s="72"/>
      <c r="V237" s="72"/>
    </row>
    <row r="238" spans="1:25" ht="27.75" customHeight="1">
      <c r="A238" s="87" t="str">
        <f>IF(ISBLANK(C238)," ",233-COUNTBLANK($C$6:C238))</f>
        <v xml:space="preserve"> </v>
      </c>
      <c r="B238" s="88"/>
      <c r="C238" s="88"/>
      <c r="D238" s="89"/>
      <c r="E238" s="89"/>
      <c r="F238" s="73"/>
      <c r="G238" s="73"/>
      <c r="H238" s="73"/>
      <c r="I238" s="73"/>
      <c r="J238" s="73"/>
      <c r="K238" s="73"/>
      <c r="L238" s="73"/>
      <c r="M238" s="74"/>
      <c r="N238" s="71" t="str">
        <f t="shared" si="3"/>
        <v/>
      </c>
      <c r="O238" s="72"/>
      <c r="P238" s="72"/>
      <c r="Q238" s="72"/>
      <c r="R238" s="72"/>
      <c r="S238" s="72"/>
      <c r="T238" s="72"/>
      <c r="U238" s="72"/>
      <c r="V238" s="72"/>
    </row>
    <row r="239" spans="1:25" ht="27.75" customHeight="1">
      <c r="A239" s="87" t="str">
        <f>IF(ISBLANK(C239)," ",234-COUNTBLANK($C$6:C239))</f>
        <v xml:space="preserve"> </v>
      </c>
      <c r="B239" s="88"/>
      <c r="C239" s="88"/>
      <c r="D239" s="89"/>
      <c r="E239" s="89"/>
      <c r="F239" s="73"/>
      <c r="G239" s="73"/>
      <c r="H239" s="73"/>
      <c r="I239" s="73"/>
      <c r="J239" s="73"/>
      <c r="K239" s="73"/>
      <c r="L239" s="73"/>
      <c r="M239" s="74"/>
      <c r="N239" s="71" t="str">
        <f t="shared" si="3"/>
        <v/>
      </c>
      <c r="O239" s="72"/>
      <c r="P239" s="72"/>
      <c r="Q239" s="72"/>
      <c r="R239" s="72"/>
      <c r="S239" s="72"/>
      <c r="T239" s="72"/>
      <c r="U239" s="72"/>
      <c r="V239" s="72"/>
    </row>
    <row r="240" spans="1:25" ht="27.75" customHeight="1">
      <c r="A240" s="87" t="str">
        <f>IF(ISBLANK(C240)," ",235-COUNTBLANK($C$6:C240))</f>
        <v xml:space="preserve"> </v>
      </c>
      <c r="B240" s="88"/>
      <c r="C240" s="88"/>
      <c r="D240" s="89"/>
      <c r="E240" s="89"/>
      <c r="F240" s="73"/>
      <c r="G240" s="73"/>
      <c r="H240" s="73"/>
      <c r="I240" s="73"/>
      <c r="J240" s="73"/>
      <c r="K240" s="73"/>
      <c r="L240" s="73"/>
      <c r="M240" s="74"/>
      <c r="N240" s="71" t="str">
        <f t="shared" si="3"/>
        <v/>
      </c>
      <c r="O240" s="72"/>
      <c r="P240" s="72"/>
      <c r="Q240" s="72"/>
      <c r="R240" s="72"/>
      <c r="S240" s="72"/>
      <c r="T240" s="72"/>
      <c r="U240" s="72"/>
      <c r="V240" s="72"/>
    </row>
    <row r="241" spans="1:25" ht="27.75" customHeight="1">
      <c r="A241" s="87" t="str">
        <f>IF(ISBLANK(C241)," ",236-COUNTBLANK($C$6:C241))</f>
        <v xml:space="preserve"> </v>
      </c>
      <c r="B241" s="88"/>
      <c r="C241" s="88"/>
      <c r="D241" s="89"/>
      <c r="E241" s="89"/>
      <c r="F241" s="73"/>
      <c r="G241" s="73"/>
      <c r="H241" s="73"/>
      <c r="I241" s="73"/>
      <c r="J241" s="73"/>
      <c r="K241" s="73"/>
      <c r="L241" s="73"/>
      <c r="M241" s="74"/>
      <c r="N241" s="71" t="str">
        <f t="shared" si="3"/>
        <v/>
      </c>
      <c r="O241" s="72"/>
      <c r="P241" s="72"/>
      <c r="Q241" s="72"/>
      <c r="R241" s="72"/>
      <c r="S241" s="72"/>
      <c r="T241" s="72"/>
      <c r="U241" s="72"/>
      <c r="V241" s="72"/>
    </row>
    <row r="242" spans="1:25" ht="27.75" customHeight="1">
      <c r="A242" s="87" t="str">
        <f>IF(ISBLANK(C242)," ",237-COUNTBLANK($C$6:C242))</f>
        <v xml:space="preserve"> </v>
      </c>
      <c r="B242" s="88"/>
      <c r="C242" s="88"/>
      <c r="D242" s="89"/>
      <c r="E242" s="89"/>
      <c r="F242" s="73"/>
      <c r="G242" s="73"/>
      <c r="H242" s="73"/>
      <c r="I242" s="73"/>
      <c r="J242" s="73"/>
      <c r="K242" s="73"/>
      <c r="L242" s="73"/>
      <c r="M242" s="74"/>
      <c r="N242" s="71" t="str">
        <f t="shared" si="3"/>
        <v/>
      </c>
      <c r="O242" s="72"/>
      <c r="P242" s="72"/>
      <c r="Q242" s="72"/>
      <c r="R242" s="72"/>
      <c r="S242" s="72"/>
      <c r="T242" s="72"/>
      <c r="U242" s="72"/>
      <c r="V242" s="72"/>
    </row>
    <row r="243" spans="1:25" ht="27.75" customHeight="1">
      <c r="A243" s="87" t="str">
        <f>IF(ISBLANK(C243)," ",238-COUNTBLANK($C$6:C243))</f>
        <v xml:space="preserve"> </v>
      </c>
      <c r="B243" s="88"/>
      <c r="C243" s="88"/>
      <c r="D243" s="89"/>
      <c r="E243" s="89"/>
      <c r="F243" s="73"/>
      <c r="G243" s="73"/>
      <c r="H243" s="73"/>
      <c r="I243" s="73"/>
      <c r="J243" s="73"/>
      <c r="K243" s="73"/>
      <c r="L243" s="73"/>
      <c r="M243" s="74"/>
      <c r="N243" s="71" t="str">
        <f t="shared" si="3"/>
        <v/>
      </c>
      <c r="O243" s="72"/>
      <c r="P243" s="72"/>
      <c r="Q243" s="72"/>
      <c r="R243" s="72"/>
      <c r="S243" s="72"/>
      <c r="T243" s="72"/>
      <c r="U243" s="72"/>
      <c r="V243" s="72"/>
    </row>
    <row r="244" spans="1:25" ht="27.75" customHeight="1">
      <c r="A244" s="87" t="str">
        <f>IF(ISBLANK(C244)," ",239-COUNTBLANK($C$6:C244))</f>
        <v xml:space="preserve"> </v>
      </c>
      <c r="B244" s="88"/>
      <c r="C244" s="88"/>
      <c r="D244" s="89"/>
      <c r="E244" s="89"/>
      <c r="F244" s="73"/>
      <c r="G244" s="73"/>
      <c r="H244" s="73"/>
      <c r="I244" s="73"/>
      <c r="J244" s="73"/>
      <c r="K244" s="73"/>
      <c r="L244" s="73"/>
      <c r="M244" s="74"/>
      <c r="N244" s="71" t="str">
        <f t="shared" si="3"/>
        <v/>
      </c>
      <c r="O244" s="72"/>
      <c r="P244" s="72"/>
      <c r="Q244" s="72"/>
      <c r="R244" s="72"/>
      <c r="S244" s="72"/>
      <c r="T244" s="72"/>
      <c r="U244" s="72"/>
      <c r="V244" s="72"/>
    </row>
    <row r="245" spans="1:25" ht="27.75" customHeight="1">
      <c r="A245" s="87" t="str">
        <f>IF(ISBLANK(C245)," ",240-COUNTBLANK($C$6:C245))</f>
        <v xml:space="preserve"> </v>
      </c>
      <c r="B245" s="88"/>
      <c r="C245" s="88"/>
      <c r="D245" s="89"/>
      <c r="E245" s="89"/>
      <c r="F245" s="73"/>
      <c r="G245" s="73"/>
      <c r="H245" s="73"/>
      <c r="I245" s="73"/>
      <c r="J245" s="73"/>
      <c r="K245" s="73"/>
      <c r="L245" s="73"/>
      <c r="M245" s="74"/>
      <c r="N245" s="71" t="str">
        <f t="shared" si="3"/>
        <v/>
      </c>
      <c r="O245" s="72"/>
      <c r="P245" s="72"/>
      <c r="Q245" s="72"/>
      <c r="R245" s="72"/>
      <c r="S245" s="72"/>
      <c r="T245" s="72"/>
      <c r="U245" s="72"/>
      <c r="V245" s="72"/>
    </row>
    <row r="246" spans="1:25" ht="27.75" customHeight="1">
      <c r="A246" s="87" t="str">
        <f>IF(ISBLANK(C246)," ",241-COUNTBLANK($C$6:C246))</f>
        <v xml:space="preserve"> </v>
      </c>
      <c r="B246" s="88"/>
      <c r="C246" s="88"/>
      <c r="D246" s="89"/>
      <c r="E246" s="89"/>
      <c r="F246" s="73"/>
      <c r="G246" s="73"/>
      <c r="H246" s="73"/>
      <c r="I246" s="73"/>
      <c r="J246" s="73"/>
      <c r="K246" s="73"/>
      <c r="L246" s="73"/>
      <c r="M246" s="74"/>
      <c r="N246" s="71" t="str">
        <f t="shared" si="3"/>
        <v/>
      </c>
      <c r="O246" s="72"/>
      <c r="P246" s="72"/>
      <c r="Q246" s="72"/>
      <c r="R246" s="72"/>
      <c r="S246" s="72"/>
      <c r="T246" s="72"/>
      <c r="U246" s="72"/>
      <c r="V246" s="72"/>
    </row>
    <row r="247" spans="1:25" ht="27.75" customHeight="1">
      <c r="A247" s="87" t="str">
        <f>IF(ISBLANK(C247)," ",242-COUNTBLANK($C$6:C247))</f>
        <v xml:space="preserve"> </v>
      </c>
      <c r="B247" s="88"/>
      <c r="C247" s="88"/>
      <c r="D247" s="89"/>
      <c r="E247" s="89"/>
      <c r="F247" s="73"/>
      <c r="G247" s="73"/>
      <c r="H247" s="73"/>
      <c r="I247" s="73"/>
      <c r="J247" s="73"/>
      <c r="K247" s="73"/>
      <c r="L247" s="73"/>
      <c r="M247" s="74"/>
      <c r="N247" s="71" t="str">
        <f t="shared" si="3"/>
        <v/>
      </c>
      <c r="O247" s="72"/>
      <c r="P247" s="72"/>
      <c r="Q247" s="72"/>
      <c r="R247" s="72"/>
      <c r="S247" s="72"/>
      <c r="T247" s="72"/>
      <c r="U247" s="72"/>
      <c r="V247" s="72"/>
    </row>
    <row r="248" spans="1:25" ht="27.75" customHeight="1">
      <c r="A248" s="87" t="str">
        <f>IF(ISBLANK(C248)," ",243-COUNTBLANK($C$6:C248))</f>
        <v xml:space="preserve"> </v>
      </c>
      <c r="B248" s="88"/>
      <c r="C248" s="88"/>
      <c r="D248" s="89"/>
      <c r="E248" s="89"/>
      <c r="F248" s="73"/>
      <c r="G248" s="73"/>
      <c r="H248" s="73"/>
      <c r="I248" s="73"/>
      <c r="J248" s="73"/>
      <c r="K248" s="73"/>
      <c r="L248" s="73"/>
      <c r="M248" s="74"/>
      <c r="N248" s="71" t="str">
        <f t="shared" si="3"/>
        <v/>
      </c>
      <c r="O248" s="72"/>
      <c r="P248" s="72"/>
      <c r="Q248" s="72"/>
      <c r="R248" s="72"/>
      <c r="S248" s="72"/>
      <c r="T248" s="72"/>
      <c r="U248" s="72"/>
      <c r="V248" s="72"/>
    </row>
    <row r="249" spans="1:25" ht="27.75" customHeight="1">
      <c r="A249" s="87" t="str">
        <f>IF(ISBLANK(C249)," ",244-COUNTBLANK($C$6:C249))</f>
        <v xml:space="preserve"> </v>
      </c>
      <c r="B249" s="88"/>
      <c r="C249" s="88"/>
      <c r="D249" s="89"/>
      <c r="E249" s="89"/>
      <c r="F249" s="73"/>
      <c r="G249" s="73"/>
      <c r="H249" s="73"/>
      <c r="I249" s="73"/>
      <c r="J249" s="73"/>
      <c r="K249" s="73"/>
      <c r="L249" s="73"/>
      <c r="M249" s="74"/>
      <c r="N249" s="71" t="str">
        <f t="shared" si="3"/>
        <v/>
      </c>
      <c r="O249" s="72"/>
      <c r="P249" s="72"/>
      <c r="Q249" s="72"/>
      <c r="R249" s="72"/>
      <c r="S249" s="72"/>
      <c r="T249" s="72"/>
      <c r="U249" s="72"/>
      <c r="V249" s="72"/>
    </row>
    <row r="250" spans="1:25" ht="27.75" customHeight="1">
      <c r="A250" s="87" t="str">
        <f>IF(ISBLANK(C250)," ",245-COUNTBLANK($C$6:C250))</f>
        <v xml:space="preserve"> </v>
      </c>
      <c r="B250" s="88"/>
      <c r="C250" s="88"/>
      <c r="D250" s="89"/>
      <c r="E250" s="89"/>
      <c r="F250" s="73"/>
      <c r="G250" s="73"/>
      <c r="H250" s="73"/>
      <c r="I250" s="73"/>
      <c r="J250" s="73"/>
      <c r="K250" s="73"/>
      <c r="L250" s="73"/>
      <c r="M250" s="74"/>
      <c r="N250" s="71" t="str">
        <f t="shared" si="3"/>
        <v/>
      </c>
      <c r="O250" s="72"/>
      <c r="P250" s="72"/>
      <c r="Q250" s="72"/>
      <c r="R250" s="72"/>
      <c r="S250" s="72"/>
      <c r="T250" s="72"/>
      <c r="U250" s="72"/>
      <c r="V250" s="72"/>
    </row>
    <row r="251" spans="1:25" ht="27.75" customHeight="1">
      <c r="A251" s="87" t="str">
        <f>IF(ISBLANK(C251)," ",246-COUNTBLANK($C$6:C251))</f>
        <v xml:space="preserve"> </v>
      </c>
      <c r="B251" s="88"/>
      <c r="C251" s="88"/>
      <c r="D251" s="89"/>
      <c r="E251" s="89"/>
      <c r="F251" s="73"/>
      <c r="G251" s="73"/>
      <c r="H251" s="73"/>
      <c r="I251" s="73"/>
      <c r="J251" s="73"/>
      <c r="K251" s="73"/>
      <c r="L251" s="73"/>
      <c r="M251" s="74"/>
      <c r="N251" s="71" t="str">
        <f t="shared" si="3"/>
        <v/>
      </c>
      <c r="O251" s="72"/>
      <c r="P251" s="72"/>
      <c r="Q251" s="72"/>
      <c r="R251" s="72"/>
      <c r="S251" s="72"/>
      <c r="T251" s="72"/>
      <c r="U251" s="72"/>
      <c r="V251" s="72"/>
    </row>
    <row r="252" spans="1:25" ht="27.75" customHeight="1">
      <c r="A252" s="87" t="str">
        <f>IF(ISBLANK(C252)," ",247-COUNTBLANK($C$6:C252))</f>
        <v xml:space="preserve"> </v>
      </c>
      <c r="B252" s="88"/>
      <c r="C252" s="88"/>
      <c r="D252" s="89"/>
      <c r="E252" s="89"/>
      <c r="F252" s="73"/>
      <c r="G252" s="73"/>
      <c r="H252" s="73"/>
      <c r="I252" s="73"/>
      <c r="J252" s="73"/>
      <c r="K252" s="73"/>
      <c r="L252" s="73"/>
      <c r="M252" s="74"/>
      <c r="N252" s="71" t="str">
        <f t="shared" si="3"/>
        <v/>
      </c>
      <c r="O252" s="75"/>
      <c r="P252" s="72"/>
      <c r="Q252" s="72"/>
      <c r="R252" s="72"/>
      <c r="S252" s="72"/>
      <c r="T252" s="72"/>
      <c r="U252" s="72"/>
      <c r="V252" s="76"/>
    </row>
    <row r="253" spans="1:25" ht="27.75" customHeight="1">
      <c r="A253" s="87" t="str">
        <f>IF(ISBLANK(C253)," ",248-COUNTBLANK($C$6:C253))</f>
        <v xml:space="preserve"> </v>
      </c>
      <c r="B253" s="88"/>
      <c r="C253" s="88"/>
      <c r="D253" s="89"/>
      <c r="E253" s="89"/>
      <c r="F253" s="73"/>
      <c r="G253" s="73"/>
      <c r="H253" s="73"/>
      <c r="I253" s="73"/>
      <c r="J253" s="73"/>
      <c r="K253" s="73"/>
      <c r="L253" s="73"/>
      <c r="M253" s="74"/>
      <c r="N253" s="71" t="str">
        <f t="shared" si="3"/>
        <v/>
      </c>
      <c r="O253" s="75"/>
      <c r="P253" s="72"/>
      <c r="Q253" s="72"/>
      <c r="R253" s="72"/>
      <c r="S253" s="72"/>
      <c r="T253" s="72"/>
      <c r="U253" s="72"/>
      <c r="V253" s="76"/>
    </row>
    <row r="254" spans="1:25" ht="27.75" customHeight="1">
      <c r="A254" s="87" t="str">
        <f>IF(ISBLANK(C254)," ",249-COUNTBLANK($C$6:C254))</f>
        <v xml:space="preserve"> </v>
      </c>
      <c r="B254" s="88"/>
      <c r="C254" s="88"/>
      <c r="D254" s="89"/>
      <c r="E254" s="89"/>
      <c r="F254" s="73"/>
      <c r="G254" s="73"/>
      <c r="H254" s="73"/>
      <c r="I254" s="73"/>
      <c r="J254" s="73"/>
      <c r="K254" s="73"/>
      <c r="L254" s="73"/>
      <c r="M254" s="74"/>
      <c r="N254" s="71" t="str">
        <f t="shared" si="3"/>
        <v/>
      </c>
      <c r="O254" s="75"/>
      <c r="P254" s="72"/>
      <c r="Q254" s="72"/>
      <c r="R254" s="72"/>
      <c r="S254" s="72"/>
      <c r="T254" s="72"/>
      <c r="U254" s="72"/>
      <c r="V254" s="76"/>
    </row>
    <row r="255" spans="1:25" ht="27.75" customHeight="1">
      <c r="A255" s="87" t="str">
        <f>IF(ISBLANK(C255)," ",250-COUNTBLANK($C$6:C255))</f>
        <v xml:space="preserve"> </v>
      </c>
      <c r="B255" s="88"/>
      <c r="C255" s="88"/>
      <c r="D255" s="89"/>
      <c r="E255" s="89"/>
      <c r="F255" s="73"/>
      <c r="G255" s="73"/>
      <c r="H255" s="73"/>
      <c r="I255" s="73"/>
      <c r="J255" s="73"/>
      <c r="K255" s="73"/>
      <c r="L255" s="73"/>
      <c r="M255" s="74"/>
      <c r="N255" s="71" t="str">
        <f t="shared" si="3"/>
        <v/>
      </c>
      <c r="O255" s="75"/>
      <c r="P255" s="72"/>
      <c r="Q255" s="72"/>
      <c r="R255" s="72"/>
      <c r="S255" s="72"/>
      <c r="T255" s="72"/>
      <c r="U255" s="72"/>
      <c r="V255" s="76"/>
    </row>
    <row r="256" spans="1:25" ht="27.75" customHeight="1">
      <c r="A256" s="87" t="str">
        <f>IF(ISBLANK(C256)," ",251-COUNTBLANK($C$6:C256))</f>
        <v xml:space="preserve"> </v>
      </c>
      <c r="B256" s="88"/>
      <c r="C256" s="88"/>
      <c r="D256" s="89"/>
      <c r="E256" s="89"/>
      <c r="F256" s="73"/>
      <c r="G256" s="73"/>
      <c r="H256" s="73"/>
      <c r="I256" s="73"/>
      <c r="J256" s="73"/>
      <c r="K256" s="73"/>
      <c r="L256" s="73"/>
      <c r="M256" s="74"/>
      <c r="N256" s="71" t="str">
        <f t="shared" si="3"/>
        <v/>
      </c>
      <c r="O256" s="72"/>
      <c r="P256" s="72"/>
      <c r="Q256" s="72"/>
      <c r="R256" s="72"/>
      <c r="S256" s="72"/>
      <c r="T256" s="72"/>
      <c r="U256" s="72"/>
      <c r="V256" s="79"/>
      <c r="W256" s="72"/>
      <c r="X256" s="72"/>
      <c r="Y256" s="72"/>
    </row>
    <row r="257" spans="1:25" ht="27.75" customHeight="1">
      <c r="A257" s="80" t="s">
        <v>58</v>
      </c>
      <c r="B257" s="81"/>
      <c r="C257" s="96"/>
      <c r="D257" s="82"/>
      <c r="E257" s="82">
        <f>SUM(E237:E256)</f>
        <v>0</v>
      </c>
      <c r="F257" s="83"/>
      <c r="G257" s="83"/>
      <c r="H257" s="83"/>
      <c r="I257" s="83"/>
      <c r="J257" s="83"/>
      <c r="K257" s="83"/>
      <c r="L257" s="83"/>
      <c r="M257" s="84"/>
      <c r="N257" s="71" t="str">
        <f t="shared" si="3"/>
        <v/>
      </c>
      <c r="O257" s="75"/>
      <c r="P257" s="72"/>
      <c r="Q257" s="72"/>
      <c r="R257" s="72"/>
      <c r="S257" s="72"/>
      <c r="T257" s="72"/>
      <c r="U257" s="72"/>
      <c r="V257" s="79"/>
      <c r="W257" s="72"/>
      <c r="X257" s="72"/>
      <c r="Y257" s="72"/>
    </row>
    <row r="258" spans="1:25" ht="27.75" customHeight="1">
      <c r="A258" s="93" t="str">
        <f>IF(ISBLANK(C258)," ",253-COUNTBLANK($C$6:C258))</f>
        <v xml:space="preserve"> </v>
      </c>
      <c r="B258" s="94"/>
      <c r="C258" s="94"/>
      <c r="D258" s="95"/>
      <c r="E258" s="95"/>
      <c r="F258" s="85"/>
      <c r="G258" s="85"/>
      <c r="H258" s="85"/>
      <c r="I258" s="85"/>
      <c r="J258" s="85"/>
      <c r="K258" s="85"/>
      <c r="L258" s="85"/>
      <c r="M258" s="86"/>
      <c r="N258" s="71" t="str">
        <f t="shared" si="3"/>
        <v/>
      </c>
      <c r="O258" s="72"/>
      <c r="P258" s="72"/>
      <c r="Q258" s="72"/>
      <c r="R258" s="72"/>
      <c r="S258" s="72"/>
      <c r="T258" s="72"/>
      <c r="U258" s="72"/>
      <c r="V258" s="72"/>
    </row>
    <row r="259" spans="1:25" ht="27.75" customHeight="1">
      <c r="A259" s="87" t="str">
        <f>IF(ISBLANK(C259)," ",254-COUNTBLANK($C$6:C259))</f>
        <v xml:space="preserve"> </v>
      </c>
      <c r="B259" s="88"/>
      <c r="C259" s="88"/>
      <c r="D259" s="89"/>
      <c r="E259" s="89"/>
      <c r="F259" s="73"/>
      <c r="G259" s="73"/>
      <c r="H259" s="73"/>
      <c r="I259" s="73"/>
      <c r="J259" s="73"/>
      <c r="K259" s="73"/>
      <c r="L259" s="73"/>
      <c r="M259" s="74"/>
      <c r="N259" s="71" t="str">
        <f t="shared" si="3"/>
        <v/>
      </c>
      <c r="O259" s="72"/>
      <c r="P259" s="72"/>
      <c r="Q259" s="72"/>
      <c r="R259" s="72"/>
      <c r="S259" s="72"/>
      <c r="T259" s="72"/>
      <c r="U259" s="72"/>
      <c r="V259" s="72"/>
    </row>
    <row r="260" spans="1:25" ht="27.75" customHeight="1">
      <c r="A260" s="87" t="str">
        <f>IF(ISBLANK(C260)," ",255-COUNTBLANK($C$6:C260))</f>
        <v xml:space="preserve"> </v>
      </c>
      <c r="B260" s="88"/>
      <c r="C260" s="88"/>
      <c r="D260" s="89"/>
      <c r="E260" s="89"/>
      <c r="F260" s="73"/>
      <c r="G260" s="73"/>
      <c r="H260" s="73"/>
      <c r="I260" s="73"/>
      <c r="J260" s="73"/>
      <c r="K260" s="73"/>
      <c r="L260" s="73"/>
      <c r="M260" s="74"/>
      <c r="N260" s="71" t="str">
        <f t="shared" si="3"/>
        <v/>
      </c>
      <c r="O260" s="72"/>
      <c r="P260" s="72"/>
      <c r="Q260" s="72"/>
      <c r="R260" s="72"/>
      <c r="S260" s="72"/>
      <c r="T260" s="72"/>
      <c r="U260" s="72"/>
      <c r="V260" s="72"/>
    </row>
    <row r="261" spans="1:25" ht="27.75" customHeight="1">
      <c r="A261" s="87" t="str">
        <f>IF(ISBLANK(C261)," ",256-COUNTBLANK($C$6:C261))</f>
        <v xml:space="preserve"> </v>
      </c>
      <c r="B261" s="88"/>
      <c r="C261" s="88"/>
      <c r="D261" s="89"/>
      <c r="E261" s="89"/>
      <c r="F261" s="73"/>
      <c r="G261" s="73"/>
      <c r="H261" s="73"/>
      <c r="I261" s="73"/>
      <c r="J261" s="73"/>
      <c r="K261" s="73"/>
      <c r="L261" s="73"/>
      <c r="M261" s="74"/>
      <c r="N261" s="71" t="str">
        <f t="shared" si="3"/>
        <v/>
      </c>
      <c r="O261" s="72"/>
      <c r="P261" s="72"/>
      <c r="Q261" s="72"/>
      <c r="R261" s="72"/>
      <c r="S261" s="72"/>
      <c r="T261" s="72"/>
      <c r="U261" s="72"/>
      <c r="V261" s="72"/>
    </row>
    <row r="262" spans="1:25" ht="27.75" customHeight="1">
      <c r="A262" s="87" t="str">
        <f>IF(ISBLANK(C262)," ",257-COUNTBLANK($C$6:C262))</f>
        <v xml:space="preserve"> </v>
      </c>
      <c r="B262" s="88"/>
      <c r="C262" s="88"/>
      <c r="D262" s="89"/>
      <c r="E262" s="89"/>
      <c r="F262" s="73"/>
      <c r="G262" s="73"/>
      <c r="H262" s="73"/>
      <c r="I262" s="73"/>
      <c r="J262" s="73"/>
      <c r="K262" s="73"/>
      <c r="L262" s="73"/>
      <c r="M262" s="74"/>
      <c r="N262" s="71" t="str">
        <f t="shared" ref="N262:N325" si="4">CONCATENATE(C262,H262)</f>
        <v/>
      </c>
      <c r="O262" s="72"/>
      <c r="P262" s="72"/>
      <c r="Q262" s="72"/>
      <c r="R262" s="72"/>
      <c r="S262" s="72"/>
      <c r="T262" s="72"/>
      <c r="U262" s="72"/>
      <c r="V262" s="72"/>
    </row>
    <row r="263" spans="1:25" ht="27.75" customHeight="1">
      <c r="A263" s="87" t="str">
        <f>IF(ISBLANK(C263)," ",258-COUNTBLANK($C$6:C263))</f>
        <v xml:space="preserve"> </v>
      </c>
      <c r="B263" s="88"/>
      <c r="C263" s="88"/>
      <c r="D263" s="89"/>
      <c r="E263" s="89"/>
      <c r="F263" s="73"/>
      <c r="G263" s="73"/>
      <c r="H263" s="73"/>
      <c r="I263" s="73"/>
      <c r="J263" s="73"/>
      <c r="K263" s="73"/>
      <c r="L263" s="73"/>
      <c r="M263" s="74"/>
      <c r="N263" s="71" t="str">
        <f t="shared" si="4"/>
        <v/>
      </c>
      <c r="O263" s="72"/>
      <c r="P263" s="72"/>
      <c r="Q263" s="72"/>
      <c r="R263" s="72"/>
      <c r="S263" s="72"/>
      <c r="T263" s="72"/>
      <c r="U263" s="72"/>
      <c r="V263" s="72"/>
    </row>
    <row r="264" spans="1:25" ht="27.75" customHeight="1">
      <c r="A264" s="87" t="str">
        <f>IF(ISBLANK(C264)," ",259-COUNTBLANK($C$6:C264))</f>
        <v xml:space="preserve"> </v>
      </c>
      <c r="B264" s="88"/>
      <c r="C264" s="88"/>
      <c r="D264" s="89"/>
      <c r="E264" s="89"/>
      <c r="F264" s="73"/>
      <c r="G264" s="73"/>
      <c r="H264" s="73"/>
      <c r="I264" s="73"/>
      <c r="J264" s="73"/>
      <c r="K264" s="73"/>
      <c r="L264" s="73"/>
      <c r="M264" s="74"/>
      <c r="N264" s="71" t="str">
        <f t="shared" si="4"/>
        <v/>
      </c>
      <c r="O264" s="72"/>
      <c r="P264" s="72"/>
      <c r="Q264" s="72"/>
      <c r="R264" s="72"/>
      <c r="S264" s="72"/>
      <c r="T264" s="72"/>
      <c r="U264" s="72"/>
      <c r="V264" s="72"/>
    </row>
    <row r="265" spans="1:25" ht="27.75" customHeight="1">
      <c r="A265" s="87" t="str">
        <f>IF(ISBLANK(C265)," ",260-COUNTBLANK($C$6:C265))</f>
        <v xml:space="preserve"> </v>
      </c>
      <c r="B265" s="88"/>
      <c r="C265" s="88"/>
      <c r="D265" s="89"/>
      <c r="E265" s="89"/>
      <c r="F265" s="73"/>
      <c r="G265" s="73"/>
      <c r="H265" s="73"/>
      <c r="I265" s="73"/>
      <c r="J265" s="73"/>
      <c r="K265" s="73"/>
      <c r="L265" s="73"/>
      <c r="M265" s="74"/>
      <c r="N265" s="71" t="str">
        <f t="shared" si="4"/>
        <v/>
      </c>
      <c r="O265" s="72"/>
      <c r="P265" s="72"/>
      <c r="Q265" s="72"/>
      <c r="R265" s="72"/>
      <c r="S265" s="72"/>
      <c r="T265" s="72"/>
      <c r="U265" s="72"/>
      <c r="V265" s="72"/>
    </row>
    <row r="266" spans="1:25" ht="27.75" customHeight="1">
      <c r="A266" s="87" t="str">
        <f>IF(ISBLANK(C266)," ",261-COUNTBLANK($C$6:C266))</f>
        <v xml:space="preserve"> </v>
      </c>
      <c r="B266" s="88"/>
      <c r="C266" s="88"/>
      <c r="D266" s="89"/>
      <c r="E266" s="89"/>
      <c r="F266" s="73"/>
      <c r="G266" s="73"/>
      <c r="H266" s="73"/>
      <c r="I266" s="73"/>
      <c r="J266" s="73"/>
      <c r="K266" s="73"/>
      <c r="L266" s="73"/>
      <c r="M266" s="74"/>
      <c r="N266" s="71" t="str">
        <f t="shared" si="4"/>
        <v/>
      </c>
      <c r="O266" s="72"/>
      <c r="P266" s="72"/>
      <c r="Q266" s="72"/>
      <c r="R266" s="72"/>
      <c r="S266" s="72"/>
      <c r="T266" s="72"/>
      <c r="U266" s="72"/>
      <c r="V266" s="72"/>
    </row>
    <row r="267" spans="1:25" ht="27.75" customHeight="1">
      <c r="A267" s="87" t="str">
        <f>IF(ISBLANK(C267)," ",262-COUNTBLANK($C$6:C267))</f>
        <v xml:space="preserve"> </v>
      </c>
      <c r="B267" s="88"/>
      <c r="C267" s="88"/>
      <c r="D267" s="89"/>
      <c r="E267" s="89"/>
      <c r="F267" s="73"/>
      <c r="G267" s="73"/>
      <c r="H267" s="73"/>
      <c r="I267" s="73"/>
      <c r="J267" s="73"/>
      <c r="K267" s="73"/>
      <c r="L267" s="73"/>
      <c r="M267" s="74"/>
      <c r="N267" s="71" t="str">
        <f t="shared" si="4"/>
        <v/>
      </c>
      <c r="O267" s="72"/>
      <c r="P267" s="72"/>
      <c r="Q267" s="72"/>
      <c r="R267" s="72"/>
      <c r="S267" s="72"/>
      <c r="T267" s="72"/>
      <c r="U267" s="72"/>
      <c r="V267" s="72"/>
    </row>
    <row r="268" spans="1:25" ht="27.75" customHeight="1">
      <c r="A268" s="87" t="str">
        <f>IF(ISBLANK(C268)," ",263-COUNTBLANK($C$6:C268))</f>
        <v xml:space="preserve"> </v>
      </c>
      <c r="B268" s="88"/>
      <c r="C268" s="88"/>
      <c r="D268" s="89"/>
      <c r="E268" s="89"/>
      <c r="F268" s="73"/>
      <c r="G268" s="73"/>
      <c r="H268" s="73"/>
      <c r="I268" s="73"/>
      <c r="J268" s="73"/>
      <c r="K268" s="73"/>
      <c r="L268" s="73"/>
      <c r="M268" s="74"/>
      <c r="N268" s="71" t="str">
        <f t="shared" si="4"/>
        <v/>
      </c>
      <c r="O268" s="72"/>
      <c r="P268" s="72"/>
      <c r="Q268" s="72"/>
      <c r="R268" s="72"/>
      <c r="S268" s="72"/>
      <c r="T268" s="72"/>
      <c r="U268" s="72"/>
      <c r="V268" s="72"/>
    </row>
    <row r="269" spans="1:25" ht="27.75" customHeight="1">
      <c r="A269" s="87" t="str">
        <f>IF(ISBLANK(C269)," ",264-COUNTBLANK($C$6:C269))</f>
        <v xml:space="preserve"> </v>
      </c>
      <c r="B269" s="88"/>
      <c r="C269" s="88"/>
      <c r="D269" s="89"/>
      <c r="E269" s="89"/>
      <c r="F269" s="73"/>
      <c r="G269" s="73"/>
      <c r="H269" s="73"/>
      <c r="I269" s="73"/>
      <c r="J269" s="73"/>
      <c r="K269" s="73"/>
      <c r="L269" s="73"/>
      <c r="M269" s="74"/>
      <c r="N269" s="71" t="str">
        <f t="shared" si="4"/>
        <v/>
      </c>
      <c r="O269" s="72"/>
      <c r="P269" s="72"/>
      <c r="Q269" s="72"/>
      <c r="R269" s="72"/>
      <c r="S269" s="72"/>
      <c r="T269" s="72"/>
      <c r="U269" s="72"/>
      <c r="V269" s="72"/>
    </row>
    <row r="270" spans="1:25" ht="27.75" customHeight="1">
      <c r="A270" s="87" t="str">
        <f>IF(ISBLANK(C270)," ",265-COUNTBLANK($C$6:C270))</f>
        <v xml:space="preserve"> </v>
      </c>
      <c r="B270" s="88"/>
      <c r="C270" s="88"/>
      <c r="D270" s="89"/>
      <c r="E270" s="89"/>
      <c r="F270" s="73"/>
      <c r="G270" s="73"/>
      <c r="H270" s="73"/>
      <c r="I270" s="73"/>
      <c r="J270" s="73"/>
      <c r="K270" s="73"/>
      <c r="L270" s="73"/>
      <c r="M270" s="74"/>
      <c r="N270" s="71" t="str">
        <f t="shared" si="4"/>
        <v/>
      </c>
      <c r="O270" s="72"/>
      <c r="P270" s="72"/>
      <c r="Q270" s="72"/>
      <c r="R270" s="72"/>
      <c r="S270" s="72"/>
      <c r="T270" s="72"/>
      <c r="U270" s="72"/>
      <c r="V270" s="72"/>
    </row>
    <row r="271" spans="1:25" ht="27.75" customHeight="1">
      <c r="A271" s="87" t="str">
        <f>IF(ISBLANK(C271)," ",266-COUNTBLANK($C$6:C271))</f>
        <v xml:space="preserve"> </v>
      </c>
      <c r="B271" s="88"/>
      <c r="C271" s="88"/>
      <c r="D271" s="89"/>
      <c r="E271" s="89"/>
      <c r="F271" s="73"/>
      <c r="G271" s="73"/>
      <c r="H271" s="73"/>
      <c r="I271" s="73"/>
      <c r="J271" s="73"/>
      <c r="K271" s="73"/>
      <c r="L271" s="73"/>
      <c r="M271" s="74"/>
      <c r="N271" s="71" t="str">
        <f t="shared" si="4"/>
        <v/>
      </c>
      <c r="O271" s="72"/>
      <c r="P271" s="72"/>
      <c r="Q271" s="72"/>
      <c r="R271" s="72"/>
      <c r="S271" s="72"/>
      <c r="T271" s="72"/>
      <c r="U271" s="72"/>
      <c r="V271" s="72"/>
    </row>
    <row r="272" spans="1:25" ht="27.75" customHeight="1">
      <c r="A272" s="87" t="str">
        <f>IF(ISBLANK(C272)," ",267-COUNTBLANK($C$6:C272))</f>
        <v xml:space="preserve"> </v>
      </c>
      <c r="B272" s="88"/>
      <c r="C272" s="88"/>
      <c r="D272" s="89"/>
      <c r="E272" s="89"/>
      <c r="F272" s="73"/>
      <c r="G272" s="73"/>
      <c r="H272" s="73"/>
      <c r="I272" s="73"/>
      <c r="J272" s="73"/>
      <c r="K272" s="73"/>
      <c r="L272" s="73"/>
      <c r="M272" s="74"/>
      <c r="N272" s="71" t="str">
        <f t="shared" si="4"/>
        <v/>
      </c>
      <c r="O272" s="72"/>
      <c r="P272" s="72"/>
      <c r="Q272" s="72"/>
      <c r="R272" s="72"/>
      <c r="S272" s="72"/>
      <c r="T272" s="72"/>
      <c r="U272" s="72"/>
      <c r="V272" s="72"/>
    </row>
    <row r="273" spans="1:25" ht="27.75" customHeight="1">
      <c r="A273" s="87" t="str">
        <f>IF(ISBLANK(C273)," ",268-COUNTBLANK($C$6:C273))</f>
        <v xml:space="preserve"> </v>
      </c>
      <c r="B273" s="88"/>
      <c r="C273" s="88"/>
      <c r="D273" s="89"/>
      <c r="E273" s="89"/>
      <c r="F273" s="73"/>
      <c r="G273" s="73"/>
      <c r="H273" s="73"/>
      <c r="I273" s="73"/>
      <c r="J273" s="73"/>
      <c r="K273" s="73"/>
      <c r="L273" s="73"/>
      <c r="M273" s="74"/>
      <c r="N273" s="71" t="str">
        <f t="shared" si="4"/>
        <v/>
      </c>
      <c r="O273" s="75"/>
      <c r="P273" s="72"/>
      <c r="Q273" s="72"/>
      <c r="R273" s="72"/>
      <c r="S273" s="72"/>
      <c r="T273" s="72"/>
      <c r="U273" s="72"/>
      <c r="V273" s="76"/>
    </row>
    <row r="274" spans="1:25" ht="27.75" customHeight="1">
      <c r="A274" s="87" t="str">
        <f>IF(ISBLANK(C274)," ",269-COUNTBLANK($C$6:C274))</f>
        <v xml:space="preserve"> </v>
      </c>
      <c r="B274" s="88"/>
      <c r="C274" s="88"/>
      <c r="D274" s="89"/>
      <c r="E274" s="89"/>
      <c r="F274" s="73"/>
      <c r="G274" s="73"/>
      <c r="H274" s="73"/>
      <c r="I274" s="73"/>
      <c r="J274" s="73"/>
      <c r="K274" s="73"/>
      <c r="L274" s="73"/>
      <c r="M274" s="74"/>
      <c r="N274" s="71" t="str">
        <f t="shared" si="4"/>
        <v/>
      </c>
      <c r="O274" s="75"/>
      <c r="P274" s="72"/>
      <c r="Q274" s="72"/>
      <c r="R274" s="72"/>
      <c r="S274" s="72"/>
      <c r="T274" s="72"/>
      <c r="U274" s="72"/>
      <c r="V274" s="76"/>
    </row>
    <row r="275" spans="1:25" ht="27.75" customHeight="1">
      <c r="A275" s="87" t="str">
        <f>IF(ISBLANK(C275)," ",270-COUNTBLANK($C$6:C275))</f>
        <v xml:space="preserve"> </v>
      </c>
      <c r="B275" s="88"/>
      <c r="C275" s="88"/>
      <c r="D275" s="89"/>
      <c r="E275" s="89"/>
      <c r="F275" s="73"/>
      <c r="G275" s="73"/>
      <c r="H275" s="73"/>
      <c r="I275" s="73"/>
      <c r="J275" s="73"/>
      <c r="K275" s="73"/>
      <c r="L275" s="73"/>
      <c r="M275" s="74"/>
      <c r="N275" s="71" t="str">
        <f t="shared" si="4"/>
        <v/>
      </c>
      <c r="O275" s="75"/>
      <c r="P275" s="72"/>
      <c r="Q275" s="72"/>
      <c r="R275" s="72"/>
      <c r="S275" s="72"/>
      <c r="T275" s="72"/>
      <c r="U275" s="72"/>
      <c r="V275" s="76"/>
    </row>
    <row r="276" spans="1:25" ht="27.75" customHeight="1">
      <c r="A276" s="87" t="str">
        <f>IF(ISBLANK(C276)," ",271-COUNTBLANK($C$6:C276))</f>
        <v xml:space="preserve"> </v>
      </c>
      <c r="B276" s="88"/>
      <c r="C276" s="88"/>
      <c r="D276" s="89"/>
      <c r="E276" s="89"/>
      <c r="F276" s="73"/>
      <c r="G276" s="73"/>
      <c r="H276" s="73"/>
      <c r="I276" s="73"/>
      <c r="J276" s="73"/>
      <c r="K276" s="73"/>
      <c r="L276" s="73"/>
      <c r="M276" s="74"/>
      <c r="N276" s="71" t="str">
        <f t="shared" si="4"/>
        <v/>
      </c>
      <c r="O276" s="75"/>
      <c r="P276" s="72"/>
      <c r="Q276" s="72"/>
      <c r="R276" s="72"/>
      <c r="S276" s="72"/>
      <c r="T276" s="72"/>
      <c r="U276" s="72"/>
      <c r="V276" s="76"/>
    </row>
    <row r="277" spans="1:25" ht="27.75" customHeight="1">
      <c r="A277" s="87" t="str">
        <f>IF(ISBLANK(C277)," ",272-COUNTBLANK($C$6:C277))</f>
        <v xml:space="preserve"> </v>
      </c>
      <c r="B277" s="88"/>
      <c r="C277" s="88"/>
      <c r="D277" s="89"/>
      <c r="E277" s="89"/>
      <c r="F277" s="73"/>
      <c r="G277" s="73"/>
      <c r="H277" s="73"/>
      <c r="I277" s="73"/>
      <c r="J277" s="73"/>
      <c r="K277" s="73"/>
      <c r="L277" s="73"/>
      <c r="M277" s="74"/>
      <c r="N277" s="71" t="str">
        <f t="shared" si="4"/>
        <v/>
      </c>
      <c r="O277" s="72"/>
      <c r="P277" s="72"/>
      <c r="Q277" s="72"/>
      <c r="R277" s="72"/>
      <c r="S277" s="72"/>
      <c r="T277" s="72"/>
      <c r="U277" s="72"/>
      <c r="V277" s="79"/>
      <c r="W277" s="72"/>
      <c r="X277" s="72"/>
      <c r="Y277" s="72"/>
    </row>
    <row r="278" spans="1:25" ht="27.75" customHeight="1">
      <c r="A278" s="80" t="s">
        <v>58</v>
      </c>
      <c r="B278" s="81"/>
      <c r="C278" s="96"/>
      <c r="D278" s="82"/>
      <c r="E278" s="82">
        <f>SUM(E258:E277)</f>
        <v>0</v>
      </c>
      <c r="F278" s="83"/>
      <c r="G278" s="83"/>
      <c r="H278" s="83"/>
      <c r="I278" s="83"/>
      <c r="J278" s="83"/>
      <c r="K278" s="83"/>
      <c r="L278" s="83"/>
      <c r="M278" s="84"/>
      <c r="N278" s="71" t="str">
        <f t="shared" si="4"/>
        <v/>
      </c>
      <c r="O278" s="75"/>
      <c r="P278" s="72"/>
      <c r="Q278" s="72"/>
      <c r="R278" s="72"/>
      <c r="S278" s="72"/>
      <c r="T278" s="72"/>
      <c r="U278" s="72"/>
      <c r="V278" s="79"/>
      <c r="W278" s="72"/>
      <c r="X278" s="72"/>
      <c r="Y278" s="72"/>
    </row>
    <row r="279" spans="1:25" ht="27.75" customHeight="1">
      <c r="A279" s="93" t="str">
        <f>IF(ISBLANK(C279)," ",274-COUNTBLANK($C$6:C279))</f>
        <v xml:space="preserve"> </v>
      </c>
      <c r="B279" s="94"/>
      <c r="C279" s="94"/>
      <c r="D279" s="95"/>
      <c r="E279" s="95"/>
      <c r="F279" s="85"/>
      <c r="G279" s="85"/>
      <c r="H279" s="85"/>
      <c r="I279" s="85"/>
      <c r="J279" s="85"/>
      <c r="K279" s="85"/>
      <c r="L279" s="85"/>
      <c r="M279" s="86"/>
      <c r="N279" s="71" t="str">
        <f t="shared" si="4"/>
        <v/>
      </c>
      <c r="O279" s="72"/>
      <c r="P279" s="72"/>
      <c r="Q279" s="72"/>
      <c r="R279" s="72"/>
      <c r="S279" s="72"/>
      <c r="T279" s="72"/>
      <c r="U279" s="72"/>
      <c r="V279" s="72"/>
    </row>
    <row r="280" spans="1:25" ht="27.75" customHeight="1">
      <c r="A280" s="87" t="str">
        <f>IF(ISBLANK(C280)," ",275-COUNTBLANK($C$6:C280))</f>
        <v xml:space="preserve"> </v>
      </c>
      <c r="B280" s="88"/>
      <c r="C280" s="88"/>
      <c r="D280" s="89"/>
      <c r="E280" s="89"/>
      <c r="F280" s="73"/>
      <c r="G280" s="73"/>
      <c r="H280" s="73"/>
      <c r="I280" s="73"/>
      <c r="J280" s="73"/>
      <c r="K280" s="73"/>
      <c r="L280" s="73"/>
      <c r="M280" s="74"/>
      <c r="N280" s="71" t="str">
        <f t="shared" si="4"/>
        <v/>
      </c>
      <c r="O280" s="72"/>
      <c r="P280" s="72"/>
      <c r="Q280" s="72"/>
      <c r="R280" s="72"/>
      <c r="S280" s="72"/>
      <c r="T280" s="72"/>
      <c r="U280" s="72"/>
      <c r="V280" s="72"/>
    </row>
    <row r="281" spans="1:25" ht="27.75" customHeight="1">
      <c r="A281" s="87" t="str">
        <f>IF(ISBLANK(C281)," ",276-COUNTBLANK($C$6:C281))</f>
        <v xml:space="preserve"> </v>
      </c>
      <c r="B281" s="88"/>
      <c r="C281" s="88"/>
      <c r="D281" s="89"/>
      <c r="E281" s="89"/>
      <c r="F281" s="73"/>
      <c r="G281" s="73"/>
      <c r="H281" s="73"/>
      <c r="I281" s="73"/>
      <c r="J281" s="73"/>
      <c r="K281" s="73"/>
      <c r="L281" s="73"/>
      <c r="M281" s="74"/>
      <c r="N281" s="71" t="str">
        <f t="shared" si="4"/>
        <v/>
      </c>
      <c r="O281" s="72"/>
      <c r="P281" s="72"/>
      <c r="Q281" s="72"/>
      <c r="R281" s="72"/>
      <c r="S281" s="72"/>
      <c r="T281" s="72"/>
      <c r="U281" s="72"/>
      <c r="V281" s="72"/>
    </row>
    <row r="282" spans="1:25" ht="27.75" customHeight="1">
      <c r="A282" s="87" t="str">
        <f>IF(ISBLANK(C282)," ",277-COUNTBLANK($C$6:C282))</f>
        <v xml:space="preserve"> </v>
      </c>
      <c r="B282" s="88"/>
      <c r="C282" s="88"/>
      <c r="D282" s="89"/>
      <c r="E282" s="89"/>
      <c r="F282" s="73"/>
      <c r="G282" s="73"/>
      <c r="H282" s="73"/>
      <c r="I282" s="73"/>
      <c r="J282" s="73"/>
      <c r="K282" s="73"/>
      <c r="L282" s="73"/>
      <c r="M282" s="74"/>
      <c r="N282" s="71" t="str">
        <f t="shared" si="4"/>
        <v/>
      </c>
      <c r="O282" s="72"/>
      <c r="P282" s="72"/>
      <c r="Q282" s="72"/>
      <c r="R282" s="72"/>
      <c r="S282" s="72"/>
      <c r="T282" s="72"/>
      <c r="U282" s="72"/>
      <c r="V282" s="72"/>
    </row>
    <row r="283" spans="1:25" ht="27.75" customHeight="1">
      <c r="A283" s="87" t="str">
        <f>IF(ISBLANK(C283)," ",278-COUNTBLANK($C$6:C283))</f>
        <v xml:space="preserve"> </v>
      </c>
      <c r="B283" s="88"/>
      <c r="C283" s="88"/>
      <c r="D283" s="89"/>
      <c r="E283" s="89"/>
      <c r="F283" s="73"/>
      <c r="G283" s="73"/>
      <c r="H283" s="73"/>
      <c r="I283" s="73"/>
      <c r="J283" s="73"/>
      <c r="K283" s="73"/>
      <c r="L283" s="73"/>
      <c r="M283" s="74"/>
      <c r="N283" s="71" t="str">
        <f t="shared" si="4"/>
        <v/>
      </c>
      <c r="O283" s="72"/>
      <c r="P283" s="72"/>
      <c r="Q283" s="72"/>
      <c r="R283" s="72"/>
      <c r="S283" s="72"/>
      <c r="T283" s="72"/>
      <c r="U283" s="72"/>
      <c r="V283" s="72"/>
    </row>
    <row r="284" spans="1:25" ht="27.75" customHeight="1">
      <c r="A284" s="87" t="str">
        <f>IF(ISBLANK(C284)," ",279-COUNTBLANK($C$6:C284))</f>
        <v xml:space="preserve"> </v>
      </c>
      <c r="B284" s="88"/>
      <c r="C284" s="88"/>
      <c r="D284" s="89"/>
      <c r="E284" s="89"/>
      <c r="F284" s="73"/>
      <c r="G284" s="73"/>
      <c r="H284" s="73"/>
      <c r="I284" s="73"/>
      <c r="J284" s="73"/>
      <c r="K284" s="73"/>
      <c r="L284" s="73"/>
      <c r="M284" s="74"/>
      <c r="N284" s="71" t="str">
        <f t="shared" si="4"/>
        <v/>
      </c>
      <c r="O284" s="72"/>
      <c r="P284" s="72"/>
      <c r="Q284" s="72"/>
      <c r="R284" s="72"/>
      <c r="S284" s="72"/>
      <c r="T284" s="72"/>
      <c r="U284" s="72"/>
      <c r="V284" s="72"/>
    </row>
    <row r="285" spans="1:25" ht="27.75" customHeight="1">
      <c r="A285" s="87" t="str">
        <f>IF(ISBLANK(C285)," ",280-COUNTBLANK($C$6:C285))</f>
        <v xml:space="preserve"> </v>
      </c>
      <c r="B285" s="88"/>
      <c r="C285" s="88"/>
      <c r="D285" s="89"/>
      <c r="E285" s="89"/>
      <c r="F285" s="73"/>
      <c r="G285" s="73"/>
      <c r="H285" s="73"/>
      <c r="I285" s="73"/>
      <c r="J285" s="73"/>
      <c r="K285" s="73"/>
      <c r="L285" s="73"/>
      <c r="M285" s="74"/>
      <c r="N285" s="71" t="str">
        <f t="shared" si="4"/>
        <v/>
      </c>
      <c r="O285" s="72"/>
      <c r="P285" s="72"/>
      <c r="Q285" s="72"/>
      <c r="R285" s="72"/>
      <c r="S285" s="72"/>
      <c r="T285" s="72"/>
      <c r="U285" s="72"/>
      <c r="V285" s="72"/>
    </row>
    <row r="286" spans="1:25" ht="27.75" customHeight="1">
      <c r="A286" s="87" t="str">
        <f>IF(ISBLANK(C286)," ",281-COUNTBLANK($C$6:C286))</f>
        <v xml:space="preserve"> </v>
      </c>
      <c r="B286" s="88"/>
      <c r="C286" s="88"/>
      <c r="D286" s="89"/>
      <c r="E286" s="89"/>
      <c r="F286" s="73"/>
      <c r="G286" s="73"/>
      <c r="H286" s="73"/>
      <c r="I286" s="73"/>
      <c r="J286" s="73"/>
      <c r="K286" s="73"/>
      <c r="L286" s="73"/>
      <c r="M286" s="74"/>
      <c r="N286" s="71" t="str">
        <f t="shared" si="4"/>
        <v/>
      </c>
      <c r="O286" s="72"/>
      <c r="P286" s="72"/>
      <c r="Q286" s="72"/>
      <c r="R286" s="72"/>
      <c r="S286" s="72"/>
      <c r="T286" s="72"/>
      <c r="U286" s="72"/>
      <c r="V286" s="72"/>
    </row>
    <row r="287" spans="1:25" ht="27.75" customHeight="1">
      <c r="A287" s="87" t="str">
        <f>IF(ISBLANK(C287)," ",282-COUNTBLANK($C$6:C287))</f>
        <v xml:space="preserve"> </v>
      </c>
      <c r="B287" s="88"/>
      <c r="C287" s="88"/>
      <c r="D287" s="89"/>
      <c r="E287" s="89"/>
      <c r="F287" s="73"/>
      <c r="G287" s="73"/>
      <c r="H287" s="73"/>
      <c r="I287" s="73"/>
      <c r="J287" s="73"/>
      <c r="K287" s="73"/>
      <c r="L287" s="73"/>
      <c r="M287" s="74"/>
      <c r="N287" s="71" t="str">
        <f t="shared" si="4"/>
        <v/>
      </c>
      <c r="O287" s="72"/>
      <c r="P287" s="72"/>
      <c r="Q287" s="72"/>
      <c r="R287" s="72"/>
      <c r="S287" s="72"/>
      <c r="T287" s="72"/>
      <c r="U287" s="72"/>
      <c r="V287" s="72"/>
    </row>
    <row r="288" spans="1:25" ht="27.75" customHeight="1">
      <c r="A288" s="87" t="str">
        <f>IF(ISBLANK(C288)," ",283-COUNTBLANK($C$6:C288))</f>
        <v xml:space="preserve"> </v>
      </c>
      <c r="B288" s="88"/>
      <c r="C288" s="88"/>
      <c r="D288" s="89"/>
      <c r="E288" s="89"/>
      <c r="F288" s="73"/>
      <c r="G288" s="73"/>
      <c r="H288" s="73"/>
      <c r="I288" s="73"/>
      <c r="J288" s="73"/>
      <c r="K288" s="73"/>
      <c r="L288" s="73"/>
      <c r="M288" s="74"/>
      <c r="N288" s="71" t="str">
        <f t="shared" si="4"/>
        <v/>
      </c>
      <c r="O288" s="72"/>
      <c r="P288" s="72"/>
      <c r="Q288" s="72"/>
      <c r="R288" s="72"/>
      <c r="S288" s="72"/>
      <c r="T288" s="72"/>
      <c r="U288" s="72"/>
      <c r="V288" s="72"/>
    </row>
    <row r="289" spans="1:25" ht="27.75" customHeight="1">
      <c r="A289" s="87" t="str">
        <f>IF(ISBLANK(C289)," ",284-COUNTBLANK($C$6:C289))</f>
        <v xml:space="preserve"> </v>
      </c>
      <c r="B289" s="88"/>
      <c r="C289" s="88"/>
      <c r="D289" s="89"/>
      <c r="E289" s="89"/>
      <c r="F289" s="73"/>
      <c r="G289" s="73"/>
      <c r="H289" s="73"/>
      <c r="I289" s="73"/>
      <c r="J289" s="73"/>
      <c r="K289" s="73"/>
      <c r="L289" s="73"/>
      <c r="M289" s="74"/>
      <c r="N289" s="71" t="str">
        <f t="shared" si="4"/>
        <v/>
      </c>
      <c r="O289" s="72"/>
      <c r="P289" s="72"/>
      <c r="Q289" s="72"/>
      <c r="R289" s="72"/>
      <c r="S289" s="72"/>
      <c r="T289" s="72"/>
      <c r="U289" s="72"/>
      <c r="V289" s="72"/>
    </row>
    <row r="290" spans="1:25" ht="27.75" customHeight="1">
      <c r="A290" s="87" t="str">
        <f>IF(ISBLANK(C290)," ",285-COUNTBLANK($C$6:C290))</f>
        <v xml:space="preserve"> </v>
      </c>
      <c r="B290" s="88"/>
      <c r="C290" s="88"/>
      <c r="D290" s="89"/>
      <c r="E290" s="89"/>
      <c r="F290" s="73"/>
      <c r="G290" s="73"/>
      <c r="H290" s="73"/>
      <c r="I290" s="73"/>
      <c r="J290" s="73"/>
      <c r="K290" s="73"/>
      <c r="L290" s="73"/>
      <c r="M290" s="74"/>
      <c r="N290" s="71" t="str">
        <f t="shared" si="4"/>
        <v/>
      </c>
      <c r="O290" s="72"/>
      <c r="P290" s="72"/>
      <c r="Q290" s="72"/>
      <c r="R290" s="72"/>
      <c r="S290" s="72"/>
      <c r="T290" s="72"/>
      <c r="U290" s="72"/>
      <c r="V290" s="72"/>
    </row>
    <row r="291" spans="1:25" ht="27.75" customHeight="1">
      <c r="A291" s="87" t="str">
        <f>IF(ISBLANK(C291)," ",286-COUNTBLANK($C$6:C291))</f>
        <v xml:space="preserve"> </v>
      </c>
      <c r="B291" s="88"/>
      <c r="C291" s="88"/>
      <c r="D291" s="89"/>
      <c r="E291" s="89"/>
      <c r="F291" s="73"/>
      <c r="G291" s="73"/>
      <c r="H291" s="73"/>
      <c r="I291" s="73"/>
      <c r="J291" s="73"/>
      <c r="K291" s="73"/>
      <c r="L291" s="73"/>
      <c r="M291" s="74"/>
      <c r="N291" s="71" t="str">
        <f t="shared" si="4"/>
        <v/>
      </c>
      <c r="O291" s="72"/>
      <c r="P291" s="72"/>
      <c r="Q291" s="72"/>
      <c r="R291" s="72"/>
      <c r="S291" s="72"/>
      <c r="T291" s="72"/>
      <c r="U291" s="72"/>
      <c r="V291" s="72"/>
    </row>
    <row r="292" spans="1:25" ht="27.75" customHeight="1">
      <c r="A292" s="87" t="str">
        <f>IF(ISBLANK(C292)," ",287-COUNTBLANK($C$6:C292))</f>
        <v xml:space="preserve"> </v>
      </c>
      <c r="B292" s="88"/>
      <c r="C292" s="88"/>
      <c r="D292" s="89"/>
      <c r="E292" s="89"/>
      <c r="F292" s="73"/>
      <c r="G292" s="73"/>
      <c r="H292" s="73"/>
      <c r="I292" s="73"/>
      <c r="J292" s="73"/>
      <c r="K292" s="73"/>
      <c r="L292" s="73"/>
      <c r="M292" s="74"/>
      <c r="N292" s="71" t="str">
        <f t="shared" si="4"/>
        <v/>
      </c>
      <c r="O292" s="72"/>
      <c r="P292" s="72"/>
      <c r="Q292" s="72"/>
      <c r="R292" s="72"/>
      <c r="S292" s="72"/>
      <c r="T292" s="72"/>
      <c r="U292" s="72"/>
      <c r="V292" s="72"/>
    </row>
    <row r="293" spans="1:25" ht="27.75" customHeight="1">
      <c r="A293" s="87" t="str">
        <f>IF(ISBLANK(C293)," ",288-COUNTBLANK($C$6:C293))</f>
        <v xml:space="preserve"> </v>
      </c>
      <c r="B293" s="88"/>
      <c r="C293" s="88"/>
      <c r="D293" s="89"/>
      <c r="E293" s="89"/>
      <c r="F293" s="73"/>
      <c r="G293" s="73"/>
      <c r="H293" s="73"/>
      <c r="I293" s="73"/>
      <c r="J293" s="73"/>
      <c r="K293" s="73"/>
      <c r="L293" s="73"/>
      <c r="M293" s="74"/>
      <c r="N293" s="71" t="str">
        <f t="shared" si="4"/>
        <v/>
      </c>
      <c r="O293" s="72"/>
      <c r="P293" s="72"/>
      <c r="Q293" s="72"/>
      <c r="R293" s="72"/>
      <c r="S293" s="72"/>
      <c r="T293" s="72"/>
      <c r="U293" s="72"/>
      <c r="V293" s="72"/>
    </row>
    <row r="294" spans="1:25" ht="27.75" customHeight="1">
      <c r="A294" s="87" t="str">
        <f>IF(ISBLANK(C294)," ",289-COUNTBLANK($C$6:C294))</f>
        <v xml:space="preserve"> </v>
      </c>
      <c r="B294" s="88"/>
      <c r="C294" s="88"/>
      <c r="D294" s="89"/>
      <c r="E294" s="89"/>
      <c r="F294" s="73"/>
      <c r="G294" s="73"/>
      <c r="H294" s="73"/>
      <c r="I294" s="73"/>
      <c r="J294" s="73"/>
      <c r="K294" s="73"/>
      <c r="L294" s="73"/>
      <c r="M294" s="74"/>
      <c r="N294" s="71" t="str">
        <f t="shared" si="4"/>
        <v/>
      </c>
      <c r="O294" s="75"/>
      <c r="P294" s="72"/>
      <c r="Q294" s="72"/>
      <c r="R294" s="72"/>
      <c r="S294" s="72"/>
      <c r="T294" s="72"/>
      <c r="U294" s="72"/>
      <c r="V294" s="76"/>
    </row>
    <row r="295" spans="1:25" ht="27.75" customHeight="1">
      <c r="A295" s="87" t="str">
        <f>IF(ISBLANK(C295)," ",290-COUNTBLANK($C$6:C295))</f>
        <v xml:space="preserve"> </v>
      </c>
      <c r="B295" s="88"/>
      <c r="C295" s="88"/>
      <c r="D295" s="89"/>
      <c r="E295" s="89"/>
      <c r="F295" s="73"/>
      <c r="G295" s="73"/>
      <c r="H295" s="73"/>
      <c r="I295" s="73"/>
      <c r="J295" s="73"/>
      <c r="K295" s="73"/>
      <c r="L295" s="73"/>
      <c r="M295" s="74"/>
      <c r="N295" s="71" t="str">
        <f t="shared" si="4"/>
        <v/>
      </c>
      <c r="O295" s="75"/>
      <c r="P295" s="72"/>
      <c r="Q295" s="72"/>
      <c r="R295" s="72"/>
      <c r="S295" s="72"/>
      <c r="T295" s="72"/>
      <c r="U295" s="72"/>
      <c r="V295" s="76"/>
    </row>
    <row r="296" spans="1:25" ht="27.75" customHeight="1">
      <c r="A296" s="87" t="str">
        <f>IF(ISBLANK(C296)," ",291-COUNTBLANK($C$6:C296))</f>
        <v xml:space="preserve"> </v>
      </c>
      <c r="B296" s="88"/>
      <c r="C296" s="88"/>
      <c r="D296" s="89"/>
      <c r="E296" s="89"/>
      <c r="F296" s="73"/>
      <c r="G296" s="73"/>
      <c r="H296" s="73"/>
      <c r="I296" s="73"/>
      <c r="J296" s="73"/>
      <c r="K296" s="73"/>
      <c r="L296" s="73"/>
      <c r="M296" s="74"/>
      <c r="N296" s="71" t="str">
        <f t="shared" si="4"/>
        <v/>
      </c>
      <c r="O296" s="75"/>
      <c r="P296" s="72"/>
      <c r="Q296" s="72"/>
      <c r="R296" s="72"/>
      <c r="S296" s="72"/>
      <c r="T296" s="72"/>
      <c r="U296" s="72"/>
      <c r="V296" s="76"/>
    </row>
    <row r="297" spans="1:25" ht="27.75" customHeight="1">
      <c r="A297" s="87" t="str">
        <f>IF(ISBLANK(C297)," ",292-COUNTBLANK($C$6:C297))</f>
        <v xml:space="preserve"> </v>
      </c>
      <c r="B297" s="88"/>
      <c r="C297" s="88"/>
      <c r="D297" s="89"/>
      <c r="E297" s="89"/>
      <c r="F297" s="73"/>
      <c r="G297" s="73"/>
      <c r="H297" s="73"/>
      <c r="I297" s="73"/>
      <c r="J297" s="73"/>
      <c r="K297" s="73"/>
      <c r="L297" s="73"/>
      <c r="M297" s="74"/>
      <c r="N297" s="71" t="str">
        <f t="shared" si="4"/>
        <v/>
      </c>
      <c r="O297" s="75"/>
      <c r="P297" s="72"/>
      <c r="Q297" s="72"/>
      <c r="R297" s="72"/>
      <c r="S297" s="72"/>
      <c r="T297" s="72"/>
      <c r="U297" s="72"/>
      <c r="V297" s="76"/>
    </row>
    <row r="298" spans="1:25" ht="27.75" customHeight="1">
      <c r="A298" s="87" t="str">
        <f>IF(ISBLANK(C298)," ",293-COUNTBLANK($C$6:C298))</f>
        <v xml:space="preserve"> </v>
      </c>
      <c r="B298" s="88"/>
      <c r="C298" s="88"/>
      <c r="D298" s="89"/>
      <c r="E298" s="89"/>
      <c r="F298" s="73"/>
      <c r="G298" s="73"/>
      <c r="H298" s="73"/>
      <c r="I298" s="73"/>
      <c r="J298" s="73"/>
      <c r="K298" s="73"/>
      <c r="L298" s="73"/>
      <c r="M298" s="74"/>
      <c r="N298" s="71" t="str">
        <f t="shared" si="4"/>
        <v/>
      </c>
      <c r="O298" s="72"/>
      <c r="P298" s="72"/>
      <c r="Q298" s="72"/>
      <c r="R298" s="72"/>
      <c r="S298" s="72"/>
      <c r="T298" s="72"/>
      <c r="U298" s="72"/>
      <c r="V298" s="79"/>
      <c r="W298" s="72"/>
      <c r="X298" s="72"/>
      <c r="Y298" s="72"/>
    </row>
    <row r="299" spans="1:25" ht="27.75" customHeight="1">
      <c r="A299" s="80" t="s">
        <v>58</v>
      </c>
      <c r="B299" s="81"/>
      <c r="C299" s="96"/>
      <c r="D299" s="82"/>
      <c r="E299" s="82">
        <f>SUM(E279:E298)</f>
        <v>0</v>
      </c>
      <c r="F299" s="83"/>
      <c r="G299" s="83"/>
      <c r="H299" s="83"/>
      <c r="I299" s="83"/>
      <c r="J299" s="83"/>
      <c r="K299" s="83"/>
      <c r="L299" s="83"/>
      <c r="M299" s="84"/>
      <c r="N299" s="71" t="str">
        <f t="shared" si="4"/>
        <v/>
      </c>
      <c r="O299" s="75"/>
      <c r="P299" s="72"/>
      <c r="Q299" s="72"/>
      <c r="R299" s="72"/>
      <c r="S299" s="72"/>
      <c r="T299" s="72"/>
      <c r="U299" s="72"/>
      <c r="V299" s="79"/>
      <c r="W299" s="72"/>
      <c r="X299" s="72"/>
      <c r="Y299" s="72"/>
    </row>
    <row r="300" spans="1:25" ht="27.75" customHeight="1">
      <c r="A300" s="93" t="str">
        <f>IF(ISBLANK(C300)," ",295-COUNTBLANK($C$6:C300))</f>
        <v xml:space="preserve"> </v>
      </c>
      <c r="B300" s="94"/>
      <c r="C300" s="94"/>
      <c r="D300" s="95"/>
      <c r="E300" s="95"/>
      <c r="F300" s="85"/>
      <c r="G300" s="85"/>
      <c r="H300" s="85"/>
      <c r="I300" s="85"/>
      <c r="J300" s="85"/>
      <c r="K300" s="85"/>
      <c r="L300" s="85"/>
      <c r="M300" s="86"/>
      <c r="N300" s="71" t="str">
        <f t="shared" si="4"/>
        <v/>
      </c>
      <c r="O300" s="72"/>
      <c r="P300" s="72"/>
      <c r="Q300" s="72"/>
      <c r="R300" s="72"/>
      <c r="S300" s="72"/>
      <c r="T300" s="72"/>
      <c r="U300" s="72"/>
      <c r="V300" s="72"/>
    </row>
    <row r="301" spans="1:25" ht="27.75" customHeight="1">
      <c r="A301" s="87" t="str">
        <f>IF(ISBLANK(C301)," ",296-COUNTBLANK($C$6:C301))</f>
        <v xml:space="preserve"> </v>
      </c>
      <c r="B301" s="88"/>
      <c r="C301" s="88"/>
      <c r="D301" s="89"/>
      <c r="E301" s="89"/>
      <c r="F301" s="73"/>
      <c r="G301" s="73"/>
      <c r="H301" s="73"/>
      <c r="I301" s="73"/>
      <c r="J301" s="73"/>
      <c r="K301" s="73"/>
      <c r="L301" s="73"/>
      <c r="M301" s="74"/>
      <c r="N301" s="71" t="str">
        <f t="shared" si="4"/>
        <v/>
      </c>
      <c r="O301" s="72"/>
      <c r="P301" s="72"/>
      <c r="Q301" s="72"/>
      <c r="R301" s="72"/>
      <c r="S301" s="72"/>
      <c r="T301" s="72"/>
      <c r="U301" s="72"/>
      <c r="V301" s="72"/>
    </row>
    <row r="302" spans="1:25" ht="27.75" customHeight="1">
      <c r="A302" s="87" t="str">
        <f>IF(ISBLANK(C302)," ",297-COUNTBLANK($C$6:C302))</f>
        <v xml:space="preserve"> </v>
      </c>
      <c r="B302" s="88"/>
      <c r="C302" s="88"/>
      <c r="D302" s="89"/>
      <c r="E302" s="89"/>
      <c r="F302" s="73"/>
      <c r="G302" s="73"/>
      <c r="H302" s="73"/>
      <c r="I302" s="73"/>
      <c r="J302" s="73"/>
      <c r="K302" s="73"/>
      <c r="L302" s="73"/>
      <c r="M302" s="74"/>
      <c r="N302" s="71" t="str">
        <f t="shared" si="4"/>
        <v/>
      </c>
      <c r="O302" s="72"/>
      <c r="P302" s="72"/>
      <c r="Q302" s="72"/>
      <c r="R302" s="72"/>
      <c r="S302" s="72"/>
      <c r="T302" s="72"/>
      <c r="U302" s="72"/>
      <c r="V302" s="72"/>
    </row>
    <row r="303" spans="1:25" ht="27.75" customHeight="1">
      <c r="A303" s="87" t="str">
        <f>IF(ISBLANK(C303)," ",298-COUNTBLANK($C$6:C303))</f>
        <v xml:space="preserve"> </v>
      </c>
      <c r="B303" s="88"/>
      <c r="C303" s="88"/>
      <c r="D303" s="89"/>
      <c r="E303" s="89"/>
      <c r="F303" s="73"/>
      <c r="G303" s="73"/>
      <c r="H303" s="73"/>
      <c r="I303" s="73"/>
      <c r="J303" s="73"/>
      <c r="K303" s="73"/>
      <c r="L303" s="73"/>
      <c r="M303" s="74"/>
      <c r="N303" s="71" t="str">
        <f t="shared" si="4"/>
        <v/>
      </c>
      <c r="O303" s="72"/>
      <c r="P303" s="72"/>
      <c r="Q303" s="72"/>
      <c r="R303" s="72"/>
      <c r="S303" s="72"/>
      <c r="T303" s="72"/>
      <c r="U303" s="72"/>
      <c r="V303" s="72"/>
    </row>
    <row r="304" spans="1:25" ht="27.75" customHeight="1">
      <c r="A304" s="87" t="str">
        <f>IF(ISBLANK(C304)," ",299-COUNTBLANK($C$6:C304))</f>
        <v xml:space="preserve"> </v>
      </c>
      <c r="B304" s="88"/>
      <c r="C304" s="88"/>
      <c r="D304" s="89"/>
      <c r="E304" s="89"/>
      <c r="F304" s="73"/>
      <c r="G304" s="73"/>
      <c r="H304" s="73"/>
      <c r="I304" s="73"/>
      <c r="J304" s="73"/>
      <c r="K304" s="73"/>
      <c r="L304" s="73"/>
      <c r="M304" s="74"/>
      <c r="N304" s="71" t="str">
        <f t="shared" si="4"/>
        <v/>
      </c>
      <c r="O304" s="72"/>
      <c r="P304" s="72"/>
      <c r="Q304" s="72"/>
      <c r="R304" s="72"/>
      <c r="S304" s="72"/>
      <c r="T304" s="72"/>
      <c r="U304" s="72"/>
      <c r="V304" s="72"/>
    </row>
    <row r="305" spans="1:25" ht="27.75" customHeight="1">
      <c r="A305" s="87" t="str">
        <f>IF(ISBLANK(C305)," ",300-COUNTBLANK($C$6:C305))</f>
        <v xml:space="preserve"> </v>
      </c>
      <c r="B305" s="88"/>
      <c r="C305" s="88"/>
      <c r="D305" s="89"/>
      <c r="E305" s="89"/>
      <c r="F305" s="73"/>
      <c r="G305" s="73"/>
      <c r="H305" s="73"/>
      <c r="I305" s="73"/>
      <c r="J305" s="73"/>
      <c r="K305" s="73"/>
      <c r="L305" s="73"/>
      <c r="M305" s="74"/>
      <c r="N305" s="71" t="str">
        <f t="shared" si="4"/>
        <v/>
      </c>
      <c r="O305" s="72"/>
      <c r="P305" s="72"/>
      <c r="Q305" s="72"/>
      <c r="R305" s="72"/>
      <c r="S305" s="72"/>
      <c r="T305" s="72"/>
      <c r="U305" s="72"/>
      <c r="V305" s="72"/>
    </row>
    <row r="306" spans="1:25" ht="27.75" customHeight="1">
      <c r="A306" s="87" t="str">
        <f>IF(ISBLANK(C306)," ",301-COUNTBLANK($C$6:C306))</f>
        <v xml:space="preserve"> </v>
      </c>
      <c r="B306" s="88"/>
      <c r="C306" s="88"/>
      <c r="D306" s="89"/>
      <c r="E306" s="89"/>
      <c r="F306" s="73"/>
      <c r="G306" s="73"/>
      <c r="H306" s="73"/>
      <c r="I306" s="73"/>
      <c r="J306" s="73"/>
      <c r="K306" s="73"/>
      <c r="L306" s="73"/>
      <c r="M306" s="74"/>
      <c r="N306" s="71" t="str">
        <f t="shared" si="4"/>
        <v/>
      </c>
      <c r="O306" s="72"/>
      <c r="P306" s="72"/>
      <c r="Q306" s="72"/>
      <c r="R306" s="72"/>
      <c r="S306" s="72"/>
      <c r="T306" s="72"/>
      <c r="U306" s="72"/>
      <c r="V306" s="72"/>
    </row>
    <row r="307" spans="1:25" ht="27.75" customHeight="1">
      <c r="A307" s="87" t="str">
        <f>IF(ISBLANK(C307)," ",302-COUNTBLANK($C$6:C307))</f>
        <v xml:space="preserve"> </v>
      </c>
      <c r="B307" s="88"/>
      <c r="C307" s="88"/>
      <c r="D307" s="89"/>
      <c r="E307" s="89"/>
      <c r="F307" s="73"/>
      <c r="G307" s="73"/>
      <c r="H307" s="73"/>
      <c r="I307" s="73"/>
      <c r="J307" s="73"/>
      <c r="K307" s="73"/>
      <c r="L307" s="73"/>
      <c r="M307" s="74"/>
      <c r="N307" s="71" t="str">
        <f t="shared" si="4"/>
        <v/>
      </c>
      <c r="O307" s="72"/>
      <c r="P307" s="72"/>
      <c r="Q307" s="72"/>
      <c r="R307" s="72"/>
      <c r="S307" s="72"/>
      <c r="T307" s="72"/>
      <c r="U307" s="72"/>
      <c r="V307" s="72"/>
    </row>
    <row r="308" spans="1:25" ht="27.75" customHeight="1">
      <c r="A308" s="87" t="str">
        <f>IF(ISBLANK(C308)," ",303-COUNTBLANK($C$6:C308))</f>
        <v xml:space="preserve"> </v>
      </c>
      <c r="B308" s="88"/>
      <c r="C308" s="88"/>
      <c r="D308" s="89"/>
      <c r="E308" s="89"/>
      <c r="F308" s="73"/>
      <c r="G308" s="73"/>
      <c r="H308" s="73"/>
      <c r="I308" s="73"/>
      <c r="J308" s="73"/>
      <c r="K308" s="73"/>
      <c r="L308" s="73"/>
      <c r="M308" s="74"/>
      <c r="N308" s="71" t="str">
        <f t="shared" si="4"/>
        <v/>
      </c>
      <c r="O308" s="72"/>
      <c r="P308" s="72"/>
      <c r="Q308" s="72"/>
      <c r="R308" s="72"/>
      <c r="S308" s="72"/>
      <c r="T308" s="72"/>
      <c r="U308" s="72"/>
      <c r="V308" s="72"/>
    </row>
    <row r="309" spans="1:25" ht="27.75" customHeight="1">
      <c r="A309" s="87" t="str">
        <f>IF(ISBLANK(C309)," ",304-COUNTBLANK($C$6:C309))</f>
        <v xml:space="preserve"> </v>
      </c>
      <c r="B309" s="88"/>
      <c r="C309" s="88"/>
      <c r="D309" s="89"/>
      <c r="E309" s="89"/>
      <c r="F309" s="73"/>
      <c r="G309" s="73"/>
      <c r="H309" s="73"/>
      <c r="I309" s="73"/>
      <c r="J309" s="73"/>
      <c r="K309" s="73"/>
      <c r="L309" s="73"/>
      <c r="M309" s="74"/>
      <c r="N309" s="71" t="str">
        <f t="shared" si="4"/>
        <v/>
      </c>
      <c r="O309" s="72"/>
      <c r="P309" s="72"/>
      <c r="Q309" s="72"/>
      <c r="R309" s="72"/>
      <c r="S309" s="72"/>
      <c r="T309" s="72"/>
      <c r="U309" s="72"/>
      <c r="V309" s="72"/>
    </row>
    <row r="310" spans="1:25" ht="27.75" customHeight="1">
      <c r="A310" s="87" t="str">
        <f>IF(ISBLANK(C310)," ",305-COUNTBLANK($C$6:C310))</f>
        <v xml:space="preserve"> </v>
      </c>
      <c r="B310" s="88"/>
      <c r="C310" s="88"/>
      <c r="D310" s="89"/>
      <c r="E310" s="89"/>
      <c r="F310" s="73"/>
      <c r="G310" s="73"/>
      <c r="H310" s="73"/>
      <c r="I310" s="73"/>
      <c r="J310" s="73"/>
      <c r="K310" s="73"/>
      <c r="L310" s="73"/>
      <c r="M310" s="74"/>
      <c r="N310" s="71" t="str">
        <f t="shared" si="4"/>
        <v/>
      </c>
      <c r="O310" s="72"/>
      <c r="P310" s="72"/>
      <c r="Q310" s="72"/>
      <c r="R310" s="72"/>
      <c r="S310" s="72"/>
      <c r="T310" s="72"/>
      <c r="U310" s="72"/>
      <c r="V310" s="72"/>
    </row>
    <row r="311" spans="1:25" ht="27.75" customHeight="1">
      <c r="A311" s="87" t="str">
        <f>IF(ISBLANK(C311)," ",306-COUNTBLANK($C$6:C311))</f>
        <v xml:space="preserve"> </v>
      </c>
      <c r="B311" s="88"/>
      <c r="C311" s="88"/>
      <c r="D311" s="89"/>
      <c r="E311" s="89"/>
      <c r="F311" s="73"/>
      <c r="G311" s="73"/>
      <c r="H311" s="73"/>
      <c r="I311" s="73"/>
      <c r="J311" s="73"/>
      <c r="K311" s="73"/>
      <c r="L311" s="73"/>
      <c r="M311" s="74"/>
      <c r="N311" s="71" t="str">
        <f t="shared" si="4"/>
        <v/>
      </c>
      <c r="O311" s="72"/>
      <c r="P311" s="72"/>
      <c r="Q311" s="72"/>
      <c r="R311" s="72"/>
      <c r="S311" s="72"/>
      <c r="T311" s="72"/>
      <c r="U311" s="72"/>
      <c r="V311" s="72"/>
    </row>
    <row r="312" spans="1:25" ht="27.75" customHeight="1">
      <c r="A312" s="87" t="str">
        <f>IF(ISBLANK(C312)," ",307-COUNTBLANK($C$6:C312))</f>
        <v xml:space="preserve"> </v>
      </c>
      <c r="B312" s="88"/>
      <c r="C312" s="88"/>
      <c r="D312" s="89"/>
      <c r="E312" s="89"/>
      <c r="F312" s="73"/>
      <c r="G312" s="73"/>
      <c r="H312" s="73"/>
      <c r="I312" s="73"/>
      <c r="J312" s="73"/>
      <c r="K312" s="73"/>
      <c r="L312" s="73"/>
      <c r="M312" s="74"/>
      <c r="N312" s="71" t="str">
        <f t="shared" si="4"/>
        <v/>
      </c>
      <c r="O312" s="72"/>
      <c r="P312" s="72"/>
      <c r="Q312" s="72"/>
      <c r="R312" s="72"/>
      <c r="S312" s="72"/>
      <c r="T312" s="72"/>
      <c r="U312" s="72"/>
      <c r="V312" s="72"/>
    </row>
    <row r="313" spans="1:25" ht="27.75" customHeight="1">
      <c r="A313" s="87" t="str">
        <f>IF(ISBLANK(C313)," ",308-COUNTBLANK($C$6:C313))</f>
        <v xml:space="preserve"> </v>
      </c>
      <c r="B313" s="88"/>
      <c r="C313" s="88"/>
      <c r="D313" s="89"/>
      <c r="E313" s="89"/>
      <c r="F313" s="73"/>
      <c r="G313" s="73"/>
      <c r="H313" s="73"/>
      <c r="I313" s="73"/>
      <c r="J313" s="73"/>
      <c r="K313" s="73"/>
      <c r="L313" s="73"/>
      <c r="M313" s="74"/>
      <c r="N313" s="71" t="str">
        <f t="shared" si="4"/>
        <v/>
      </c>
      <c r="O313" s="72"/>
      <c r="P313" s="72"/>
      <c r="Q313" s="72"/>
      <c r="R313" s="72"/>
      <c r="S313" s="72"/>
      <c r="T313" s="72"/>
      <c r="U313" s="72"/>
      <c r="V313" s="72"/>
    </row>
    <row r="314" spans="1:25" ht="27.75" customHeight="1">
      <c r="A314" s="87" t="str">
        <f>IF(ISBLANK(C314)," ",309-COUNTBLANK($C$6:C314))</f>
        <v xml:space="preserve"> </v>
      </c>
      <c r="B314" s="88"/>
      <c r="C314" s="88"/>
      <c r="D314" s="89"/>
      <c r="E314" s="89"/>
      <c r="F314" s="73"/>
      <c r="G314" s="73"/>
      <c r="H314" s="73"/>
      <c r="I314" s="73"/>
      <c r="J314" s="73"/>
      <c r="K314" s="73"/>
      <c r="L314" s="73"/>
      <c r="M314" s="74"/>
      <c r="N314" s="71" t="str">
        <f t="shared" si="4"/>
        <v/>
      </c>
      <c r="O314" s="72"/>
      <c r="P314" s="72"/>
      <c r="Q314" s="72"/>
      <c r="R314" s="72"/>
      <c r="S314" s="72"/>
      <c r="T314" s="72"/>
      <c r="U314" s="72"/>
      <c r="V314" s="72"/>
    </row>
    <row r="315" spans="1:25" ht="27.75" customHeight="1">
      <c r="A315" s="87" t="str">
        <f>IF(ISBLANK(C315)," ",310-COUNTBLANK($C$6:C315))</f>
        <v xml:space="preserve"> </v>
      </c>
      <c r="B315" s="88"/>
      <c r="C315" s="88"/>
      <c r="D315" s="89"/>
      <c r="E315" s="89"/>
      <c r="F315" s="73"/>
      <c r="G315" s="73"/>
      <c r="H315" s="73"/>
      <c r="I315" s="73"/>
      <c r="J315" s="73"/>
      <c r="K315" s="73"/>
      <c r="L315" s="73"/>
      <c r="M315" s="74"/>
      <c r="N315" s="71" t="str">
        <f t="shared" si="4"/>
        <v/>
      </c>
      <c r="O315" s="75"/>
      <c r="P315" s="72"/>
      <c r="Q315" s="72"/>
      <c r="R315" s="72"/>
      <c r="S315" s="72"/>
      <c r="T315" s="72"/>
      <c r="U315" s="72"/>
      <c r="V315" s="76"/>
    </row>
    <row r="316" spans="1:25" ht="27.75" customHeight="1">
      <c r="A316" s="87" t="str">
        <f>IF(ISBLANK(C316)," ",311-COUNTBLANK($C$6:C316))</f>
        <v xml:space="preserve"> </v>
      </c>
      <c r="B316" s="88"/>
      <c r="C316" s="88"/>
      <c r="D316" s="89"/>
      <c r="E316" s="89"/>
      <c r="F316" s="73"/>
      <c r="G316" s="73"/>
      <c r="H316" s="73"/>
      <c r="I316" s="73"/>
      <c r="J316" s="73"/>
      <c r="K316" s="73"/>
      <c r="L316" s="73"/>
      <c r="M316" s="74"/>
      <c r="N316" s="71" t="str">
        <f t="shared" si="4"/>
        <v/>
      </c>
      <c r="O316" s="75"/>
      <c r="P316" s="72"/>
      <c r="Q316" s="72"/>
      <c r="R316" s="72"/>
      <c r="S316" s="72"/>
      <c r="T316" s="72"/>
      <c r="U316" s="72"/>
      <c r="V316" s="76"/>
    </row>
    <row r="317" spans="1:25" ht="27.75" customHeight="1">
      <c r="A317" s="87" t="str">
        <f>IF(ISBLANK(C317)," ",312-COUNTBLANK($C$6:C317))</f>
        <v xml:space="preserve"> </v>
      </c>
      <c r="B317" s="88"/>
      <c r="C317" s="88"/>
      <c r="D317" s="89"/>
      <c r="E317" s="89"/>
      <c r="F317" s="73"/>
      <c r="G317" s="73"/>
      <c r="H317" s="73"/>
      <c r="I317" s="73"/>
      <c r="J317" s="73"/>
      <c r="K317" s="73"/>
      <c r="L317" s="73"/>
      <c r="M317" s="74"/>
      <c r="N317" s="71" t="str">
        <f t="shared" si="4"/>
        <v/>
      </c>
      <c r="O317" s="75"/>
      <c r="P317" s="72"/>
      <c r="Q317" s="72"/>
      <c r="R317" s="72"/>
      <c r="S317" s="72"/>
      <c r="T317" s="72"/>
      <c r="U317" s="72"/>
      <c r="V317" s="76"/>
    </row>
    <row r="318" spans="1:25" ht="27.75" customHeight="1">
      <c r="A318" s="87" t="str">
        <f>IF(ISBLANK(C318)," ",313-COUNTBLANK($C$6:C318))</f>
        <v xml:space="preserve"> </v>
      </c>
      <c r="B318" s="88"/>
      <c r="C318" s="88"/>
      <c r="D318" s="89"/>
      <c r="E318" s="89"/>
      <c r="F318" s="73"/>
      <c r="G318" s="73"/>
      <c r="H318" s="73"/>
      <c r="I318" s="73"/>
      <c r="J318" s="73"/>
      <c r="K318" s="73"/>
      <c r="L318" s="73"/>
      <c r="M318" s="74"/>
      <c r="N318" s="71" t="str">
        <f t="shared" si="4"/>
        <v/>
      </c>
      <c r="O318" s="75"/>
      <c r="P318" s="72"/>
      <c r="Q318" s="72"/>
      <c r="R318" s="72"/>
      <c r="S318" s="72"/>
      <c r="T318" s="72"/>
      <c r="U318" s="72"/>
      <c r="V318" s="76"/>
    </row>
    <row r="319" spans="1:25" ht="27.75" customHeight="1">
      <c r="A319" s="87" t="str">
        <f>IF(ISBLANK(C319)," ",314-COUNTBLANK($C$6:C319))</f>
        <v xml:space="preserve"> </v>
      </c>
      <c r="B319" s="88"/>
      <c r="C319" s="88"/>
      <c r="D319" s="89"/>
      <c r="E319" s="89"/>
      <c r="F319" s="73"/>
      <c r="G319" s="73"/>
      <c r="H319" s="73"/>
      <c r="I319" s="73"/>
      <c r="J319" s="73"/>
      <c r="K319" s="73"/>
      <c r="L319" s="73"/>
      <c r="M319" s="74"/>
      <c r="N319" s="71" t="str">
        <f t="shared" si="4"/>
        <v/>
      </c>
      <c r="O319" s="72"/>
      <c r="P319" s="72"/>
      <c r="Q319" s="72"/>
      <c r="R319" s="72"/>
      <c r="S319" s="72"/>
      <c r="T319" s="72"/>
      <c r="U319" s="72"/>
      <c r="V319" s="79"/>
      <c r="W319" s="72"/>
      <c r="X319" s="72"/>
      <c r="Y319" s="72"/>
    </row>
    <row r="320" spans="1:25" ht="27.75" customHeight="1">
      <c r="A320" s="80" t="s">
        <v>58</v>
      </c>
      <c r="B320" s="81"/>
      <c r="C320" s="96"/>
      <c r="D320" s="82"/>
      <c r="E320" s="82">
        <f>SUM(E300:E319)</f>
        <v>0</v>
      </c>
      <c r="F320" s="83"/>
      <c r="G320" s="83"/>
      <c r="H320" s="83"/>
      <c r="I320" s="83"/>
      <c r="J320" s="83"/>
      <c r="K320" s="83"/>
      <c r="L320" s="83"/>
      <c r="M320" s="84"/>
      <c r="N320" s="71" t="str">
        <f t="shared" si="4"/>
        <v/>
      </c>
      <c r="O320" s="75"/>
      <c r="P320" s="72"/>
      <c r="Q320" s="72"/>
      <c r="R320" s="72"/>
      <c r="S320" s="72"/>
      <c r="T320" s="72"/>
      <c r="U320" s="72"/>
      <c r="V320" s="79"/>
      <c r="W320" s="72"/>
      <c r="X320" s="72"/>
      <c r="Y320" s="72"/>
    </row>
    <row r="321" spans="1:22" ht="27.75" customHeight="1">
      <c r="A321" s="93" t="str">
        <f>IF(ISBLANK(C321)," ",316-COUNTBLANK($C$6:C321))</f>
        <v xml:space="preserve"> </v>
      </c>
      <c r="B321" s="94"/>
      <c r="C321" s="94"/>
      <c r="D321" s="95"/>
      <c r="E321" s="95"/>
      <c r="F321" s="85"/>
      <c r="G321" s="85"/>
      <c r="H321" s="85"/>
      <c r="I321" s="85"/>
      <c r="J321" s="85"/>
      <c r="K321" s="85"/>
      <c r="L321" s="85"/>
      <c r="M321" s="86"/>
      <c r="N321" s="71" t="str">
        <f t="shared" si="4"/>
        <v/>
      </c>
      <c r="O321" s="72"/>
      <c r="P321" s="72"/>
      <c r="Q321" s="72"/>
      <c r="R321" s="72"/>
      <c r="S321" s="72"/>
      <c r="T321" s="72"/>
      <c r="U321" s="72"/>
      <c r="V321" s="72"/>
    </row>
    <row r="322" spans="1:22" ht="27.75" customHeight="1">
      <c r="A322" s="87" t="str">
        <f>IF(ISBLANK(C322)," ",317-COUNTBLANK($C$6:C322))</f>
        <v xml:space="preserve"> </v>
      </c>
      <c r="B322" s="88"/>
      <c r="C322" s="88"/>
      <c r="D322" s="89"/>
      <c r="E322" s="89"/>
      <c r="F322" s="73"/>
      <c r="G322" s="73"/>
      <c r="H322" s="73"/>
      <c r="I322" s="73"/>
      <c r="J322" s="73"/>
      <c r="K322" s="73"/>
      <c r="L322" s="73"/>
      <c r="M322" s="74"/>
      <c r="N322" s="71" t="str">
        <f t="shared" si="4"/>
        <v/>
      </c>
      <c r="O322" s="72"/>
      <c r="P322" s="72"/>
      <c r="Q322" s="72"/>
      <c r="R322" s="72"/>
      <c r="S322" s="72"/>
      <c r="T322" s="72"/>
      <c r="U322" s="72"/>
      <c r="V322" s="72"/>
    </row>
    <row r="323" spans="1:22" ht="27.75" customHeight="1">
      <c r="A323" s="87" t="str">
        <f>IF(ISBLANK(C323)," ",318-COUNTBLANK($C$6:C323))</f>
        <v xml:space="preserve"> </v>
      </c>
      <c r="B323" s="88"/>
      <c r="C323" s="88"/>
      <c r="D323" s="89"/>
      <c r="E323" s="89"/>
      <c r="F323" s="73"/>
      <c r="G323" s="73"/>
      <c r="H323" s="73"/>
      <c r="I323" s="73"/>
      <c r="J323" s="73"/>
      <c r="K323" s="73"/>
      <c r="L323" s="73"/>
      <c r="M323" s="74"/>
      <c r="N323" s="71" t="str">
        <f t="shared" si="4"/>
        <v/>
      </c>
      <c r="O323" s="72"/>
      <c r="P323" s="72"/>
      <c r="Q323" s="72"/>
      <c r="R323" s="72"/>
      <c r="S323" s="72"/>
      <c r="T323" s="72"/>
      <c r="U323" s="72"/>
      <c r="V323" s="72"/>
    </row>
    <row r="324" spans="1:22" ht="27.75" customHeight="1">
      <c r="A324" s="87" t="str">
        <f>IF(ISBLANK(C324)," ",319-COUNTBLANK($C$6:C324))</f>
        <v xml:space="preserve"> </v>
      </c>
      <c r="B324" s="88"/>
      <c r="C324" s="88"/>
      <c r="D324" s="89"/>
      <c r="E324" s="89"/>
      <c r="F324" s="73"/>
      <c r="G324" s="73"/>
      <c r="H324" s="73"/>
      <c r="I324" s="73"/>
      <c r="J324" s="73"/>
      <c r="K324" s="73"/>
      <c r="L324" s="73"/>
      <c r="M324" s="74"/>
      <c r="N324" s="71" t="str">
        <f t="shared" si="4"/>
        <v/>
      </c>
      <c r="O324" s="72"/>
      <c r="P324" s="72"/>
      <c r="Q324" s="72"/>
      <c r="R324" s="72"/>
      <c r="S324" s="72"/>
      <c r="T324" s="72"/>
      <c r="U324" s="72"/>
      <c r="V324" s="72"/>
    </row>
    <row r="325" spans="1:22" ht="27.75" customHeight="1">
      <c r="A325" s="87" t="str">
        <f>IF(ISBLANK(C325)," ",320-COUNTBLANK($C$6:C325))</f>
        <v xml:space="preserve"> </v>
      </c>
      <c r="B325" s="88"/>
      <c r="C325" s="88"/>
      <c r="D325" s="89"/>
      <c r="E325" s="89"/>
      <c r="F325" s="73"/>
      <c r="G325" s="73"/>
      <c r="H325" s="73"/>
      <c r="I325" s="73"/>
      <c r="J325" s="73"/>
      <c r="K325" s="73"/>
      <c r="L325" s="73"/>
      <c r="M325" s="74"/>
      <c r="N325" s="71" t="str">
        <f t="shared" si="4"/>
        <v/>
      </c>
      <c r="O325" s="72"/>
      <c r="P325" s="72"/>
      <c r="Q325" s="72"/>
      <c r="R325" s="72"/>
      <c r="S325" s="72"/>
      <c r="T325" s="72"/>
      <c r="U325" s="72"/>
      <c r="V325" s="72"/>
    </row>
    <row r="326" spans="1:22" ht="27.75" customHeight="1">
      <c r="A326" s="87" t="str">
        <f>IF(ISBLANK(C326)," ",321-COUNTBLANK($C$6:C326))</f>
        <v xml:space="preserve"> </v>
      </c>
      <c r="B326" s="88"/>
      <c r="C326" s="88"/>
      <c r="D326" s="89"/>
      <c r="E326" s="89"/>
      <c r="F326" s="73"/>
      <c r="G326" s="73"/>
      <c r="H326" s="73"/>
      <c r="I326" s="73"/>
      <c r="J326" s="73"/>
      <c r="K326" s="73"/>
      <c r="L326" s="73"/>
      <c r="M326" s="74"/>
      <c r="N326" s="71" t="str">
        <f t="shared" ref="N326:N389" si="5">CONCATENATE(C326,H326)</f>
        <v/>
      </c>
      <c r="O326" s="72"/>
      <c r="P326" s="72"/>
      <c r="Q326" s="72"/>
      <c r="R326" s="72"/>
      <c r="S326" s="72"/>
      <c r="T326" s="72"/>
      <c r="U326" s="72"/>
      <c r="V326" s="72"/>
    </row>
    <row r="327" spans="1:22" ht="27.75" customHeight="1">
      <c r="A327" s="87" t="str">
        <f>IF(ISBLANK(C327)," ",322-COUNTBLANK($C$6:C327))</f>
        <v xml:space="preserve"> </v>
      </c>
      <c r="B327" s="88"/>
      <c r="C327" s="88"/>
      <c r="D327" s="89"/>
      <c r="E327" s="89"/>
      <c r="F327" s="73"/>
      <c r="G327" s="73"/>
      <c r="H327" s="73"/>
      <c r="I327" s="73"/>
      <c r="J327" s="73"/>
      <c r="K327" s="73"/>
      <c r="L327" s="73"/>
      <c r="M327" s="74"/>
      <c r="N327" s="71" t="str">
        <f t="shared" si="5"/>
        <v/>
      </c>
      <c r="O327" s="72"/>
      <c r="P327" s="72"/>
      <c r="Q327" s="72"/>
      <c r="R327" s="72"/>
      <c r="S327" s="72"/>
      <c r="T327" s="72"/>
      <c r="U327" s="72"/>
      <c r="V327" s="72"/>
    </row>
    <row r="328" spans="1:22" ht="27.75" customHeight="1">
      <c r="A328" s="87" t="str">
        <f>IF(ISBLANK(C328)," ",323-COUNTBLANK($C$6:C328))</f>
        <v xml:space="preserve"> </v>
      </c>
      <c r="B328" s="88"/>
      <c r="C328" s="88"/>
      <c r="D328" s="89"/>
      <c r="E328" s="89"/>
      <c r="F328" s="73"/>
      <c r="G328" s="73"/>
      <c r="H328" s="73"/>
      <c r="I328" s="73"/>
      <c r="J328" s="73"/>
      <c r="K328" s="73"/>
      <c r="L328" s="73"/>
      <c r="M328" s="74"/>
      <c r="N328" s="71" t="str">
        <f t="shared" si="5"/>
        <v/>
      </c>
      <c r="O328" s="72"/>
      <c r="P328" s="72"/>
      <c r="Q328" s="72"/>
      <c r="R328" s="72"/>
      <c r="S328" s="72"/>
      <c r="T328" s="72"/>
      <c r="U328" s="72"/>
      <c r="V328" s="72"/>
    </row>
    <row r="329" spans="1:22" ht="27.75" customHeight="1">
      <c r="A329" s="87" t="str">
        <f>IF(ISBLANK(C329)," ",324-COUNTBLANK($C$6:C329))</f>
        <v xml:space="preserve"> </v>
      </c>
      <c r="B329" s="88"/>
      <c r="C329" s="88"/>
      <c r="D329" s="89"/>
      <c r="E329" s="89"/>
      <c r="F329" s="73"/>
      <c r="G329" s="73"/>
      <c r="H329" s="73"/>
      <c r="I329" s="73"/>
      <c r="J329" s="73"/>
      <c r="K329" s="73"/>
      <c r="L329" s="73"/>
      <c r="M329" s="74"/>
      <c r="N329" s="71" t="str">
        <f t="shared" si="5"/>
        <v/>
      </c>
      <c r="O329" s="72"/>
      <c r="P329" s="72"/>
      <c r="Q329" s="72"/>
      <c r="R329" s="72"/>
      <c r="S329" s="72"/>
      <c r="T329" s="72"/>
      <c r="U329" s="72"/>
      <c r="V329" s="72"/>
    </row>
    <row r="330" spans="1:22" ht="27.75" customHeight="1">
      <c r="A330" s="87" t="str">
        <f>IF(ISBLANK(C330)," ",325-COUNTBLANK($C$6:C330))</f>
        <v xml:space="preserve"> </v>
      </c>
      <c r="B330" s="88"/>
      <c r="C330" s="88"/>
      <c r="D330" s="89"/>
      <c r="E330" s="89"/>
      <c r="F330" s="73"/>
      <c r="G330" s="73"/>
      <c r="H330" s="73"/>
      <c r="I330" s="73"/>
      <c r="J330" s="73"/>
      <c r="K330" s="73"/>
      <c r="L330" s="73"/>
      <c r="M330" s="74"/>
      <c r="N330" s="71" t="str">
        <f t="shared" si="5"/>
        <v/>
      </c>
      <c r="O330" s="72"/>
      <c r="P330" s="72"/>
      <c r="Q330" s="72"/>
      <c r="R330" s="72"/>
      <c r="S330" s="72"/>
      <c r="T330" s="72"/>
      <c r="U330" s="72"/>
      <c r="V330" s="72"/>
    </row>
    <row r="331" spans="1:22" ht="27.75" customHeight="1">
      <c r="A331" s="87" t="str">
        <f>IF(ISBLANK(C331)," ",326-COUNTBLANK($C$6:C331))</f>
        <v xml:space="preserve"> </v>
      </c>
      <c r="B331" s="88"/>
      <c r="C331" s="88"/>
      <c r="D331" s="89"/>
      <c r="E331" s="89"/>
      <c r="F331" s="73"/>
      <c r="G331" s="73"/>
      <c r="H331" s="73"/>
      <c r="I331" s="73"/>
      <c r="J331" s="73"/>
      <c r="K331" s="73"/>
      <c r="L331" s="73"/>
      <c r="M331" s="74"/>
      <c r="N331" s="71" t="str">
        <f t="shared" si="5"/>
        <v/>
      </c>
      <c r="O331" s="72"/>
      <c r="P331" s="72"/>
      <c r="Q331" s="72"/>
      <c r="R331" s="72"/>
      <c r="S331" s="72"/>
      <c r="T331" s="72"/>
      <c r="U331" s="72"/>
      <c r="V331" s="72"/>
    </row>
    <row r="332" spans="1:22" ht="27.75" customHeight="1">
      <c r="A332" s="87" t="str">
        <f>IF(ISBLANK(C332)," ",327-COUNTBLANK($C$6:C332))</f>
        <v xml:space="preserve"> </v>
      </c>
      <c r="B332" s="88"/>
      <c r="C332" s="88"/>
      <c r="D332" s="89"/>
      <c r="E332" s="89"/>
      <c r="F332" s="73"/>
      <c r="G332" s="73"/>
      <c r="H332" s="73"/>
      <c r="I332" s="73"/>
      <c r="J332" s="73"/>
      <c r="K332" s="73"/>
      <c r="L332" s="73"/>
      <c r="M332" s="74"/>
      <c r="N332" s="71" t="str">
        <f t="shared" si="5"/>
        <v/>
      </c>
      <c r="O332" s="72"/>
      <c r="P332" s="72"/>
      <c r="Q332" s="72"/>
      <c r="R332" s="72"/>
      <c r="S332" s="72"/>
      <c r="T332" s="72"/>
      <c r="U332" s="72"/>
      <c r="V332" s="72"/>
    </row>
    <row r="333" spans="1:22" ht="27.75" customHeight="1">
      <c r="A333" s="87" t="str">
        <f>IF(ISBLANK(C333)," ",328-COUNTBLANK($C$6:C333))</f>
        <v xml:space="preserve"> </v>
      </c>
      <c r="B333" s="88"/>
      <c r="C333" s="88"/>
      <c r="D333" s="89"/>
      <c r="E333" s="89"/>
      <c r="F333" s="73"/>
      <c r="G333" s="73"/>
      <c r="H333" s="73"/>
      <c r="I333" s="73"/>
      <c r="J333" s="73"/>
      <c r="K333" s="73"/>
      <c r="L333" s="73"/>
      <c r="M333" s="74"/>
      <c r="N333" s="71" t="str">
        <f t="shared" si="5"/>
        <v/>
      </c>
      <c r="O333" s="72"/>
      <c r="P333" s="72"/>
      <c r="Q333" s="72"/>
      <c r="R333" s="72"/>
      <c r="S333" s="72"/>
      <c r="T333" s="72"/>
      <c r="U333" s="72"/>
      <c r="V333" s="72"/>
    </row>
    <row r="334" spans="1:22" ht="27.75" customHeight="1">
      <c r="A334" s="87" t="str">
        <f>IF(ISBLANK(C334)," ",329-COUNTBLANK($C$6:C334))</f>
        <v xml:space="preserve"> </v>
      </c>
      <c r="B334" s="88"/>
      <c r="C334" s="88"/>
      <c r="D334" s="89"/>
      <c r="E334" s="89"/>
      <c r="F334" s="73"/>
      <c r="G334" s="73"/>
      <c r="H334" s="73"/>
      <c r="I334" s="73"/>
      <c r="J334" s="73"/>
      <c r="K334" s="73"/>
      <c r="L334" s="73"/>
      <c r="M334" s="74"/>
      <c r="N334" s="71" t="str">
        <f t="shared" si="5"/>
        <v/>
      </c>
      <c r="O334" s="72"/>
      <c r="P334" s="72"/>
      <c r="Q334" s="72"/>
      <c r="R334" s="72"/>
      <c r="S334" s="72"/>
      <c r="T334" s="72"/>
      <c r="U334" s="72"/>
      <c r="V334" s="72"/>
    </row>
    <row r="335" spans="1:22" ht="27.75" customHeight="1">
      <c r="A335" s="87" t="str">
        <f>IF(ISBLANK(C335)," ",330-COUNTBLANK($C$6:C335))</f>
        <v xml:space="preserve"> </v>
      </c>
      <c r="B335" s="88"/>
      <c r="C335" s="88"/>
      <c r="D335" s="89"/>
      <c r="E335" s="89"/>
      <c r="F335" s="73"/>
      <c r="G335" s="73"/>
      <c r="H335" s="73"/>
      <c r="I335" s="73"/>
      <c r="J335" s="73"/>
      <c r="K335" s="73"/>
      <c r="L335" s="73"/>
      <c r="M335" s="74"/>
      <c r="N335" s="71" t="str">
        <f t="shared" si="5"/>
        <v/>
      </c>
      <c r="O335" s="72"/>
      <c r="P335" s="72"/>
      <c r="Q335" s="72"/>
      <c r="R335" s="72"/>
      <c r="S335" s="72"/>
      <c r="T335" s="72"/>
      <c r="U335" s="72"/>
      <c r="V335" s="72"/>
    </row>
    <row r="336" spans="1:22" ht="27.75" customHeight="1">
      <c r="A336" s="87" t="str">
        <f>IF(ISBLANK(C336)," ",331-COUNTBLANK($C$6:C336))</f>
        <v xml:space="preserve"> </v>
      </c>
      <c r="B336" s="88"/>
      <c r="C336" s="88"/>
      <c r="D336" s="89"/>
      <c r="E336" s="89"/>
      <c r="F336" s="73"/>
      <c r="G336" s="73"/>
      <c r="H336" s="73"/>
      <c r="I336" s="73"/>
      <c r="J336" s="73"/>
      <c r="K336" s="73"/>
      <c r="L336" s="73"/>
      <c r="M336" s="74"/>
      <c r="N336" s="71" t="str">
        <f t="shared" si="5"/>
        <v/>
      </c>
      <c r="O336" s="75"/>
      <c r="P336" s="72"/>
      <c r="Q336" s="72"/>
      <c r="R336" s="72"/>
      <c r="S336" s="72"/>
      <c r="T336" s="72"/>
      <c r="U336" s="72"/>
      <c r="V336" s="76"/>
    </row>
    <row r="337" spans="1:25" ht="27.75" customHeight="1">
      <c r="A337" s="87" t="str">
        <f>IF(ISBLANK(C337)," ",332-COUNTBLANK($C$6:C337))</f>
        <v xml:space="preserve"> </v>
      </c>
      <c r="B337" s="88"/>
      <c r="C337" s="88"/>
      <c r="D337" s="89"/>
      <c r="E337" s="89"/>
      <c r="F337" s="73"/>
      <c r="G337" s="73"/>
      <c r="H337" s="73"/>
      <c r="I337" s="73"/>
      <c r="J337" s="73"/>
      <c r="K337" s="73"/>
      <c r="L337" s="73"/>
      <c r="M337" s="74"/>
      <c r="N337" s="71" t="str">
        <f t="shared" si="5"/>
        <v/>
      </c>
      <c r="O337" s="75"/>
      <c r="P337" s="72"/>
      <c r="Q337" s="72"/>
      <c r="R337" s="72"/>
      <c r="S337" s="72"/>
      <c r="T337" s="72"/>
      <c r="U337" s="72"/>
      <c r="V337" s="76"/>
    </row>
    <row r="338" spans="1:25" ht="27.75" customHeight="1">
      <c r="A338" s="87" t="str">
        <f>IF(ISBLANK(C338)," ",333-COUNTBLANK($C$6:C338))</f>
        <v xml:space="preserve"> </v>
      </c>
      <c r="B338" s="88"/>
      <c r="C338" s="88"/>
      <c r="D338" s="89"/>
      <c r="E338" s="89"/>
      <c r="F338" s="73"/>
      <c r="G338" s="73"/>
      <c r="H338" s="73"/>
      <c r="I338" s="73"/>
      <c r="J338" s="73"/>
      <c r="K338" s="73"/>
      <c r="L338" s="73"/>
      <c r="M338" s="74"/>
      <c r="N338" s="71" t="str">
        <f t="shared" si="5"/>
        <v/>
      </c>
      <c r="O338" s="75"/>
      <c r="P338" s="72"/>
      <c r="Q338" s="72"/>
      <c r="R338" s="72"/>
      <c r="S338" s="72"/>
      <c r="T338" s="72"/>
      <c r="U338" s="72"/>
      <c r="V338" s="76"/>
    </row>
    <row r="339" spans="1:25" ht="27.75" customHeight="1">
      <c r="A339" s="87" t="str">
        <f>IF(ISBLANK(C339)," ",334-COUNTBLANK($C$6:C339))</f>
        <v xml:space="preserve"> </v>
      </c>
      <c r="B339" s="88"/>
      <c r="C339" s="88"/>
      <c r="D339" s="89"/>
      <c r="E339" s="89"/>
      <c r="F339" s="73"/>
      <c r="G339" s="73"/>
      <c r="H339" s="73"/>
      <c r="I339" s="73"/>
      <c r="J339" s="73"/>
      <c r="K339" s="73"/>
      <c r="L339" s="73"/>
      <c r="M339" s="74"/>
      <c r="N339" s="71" t="str">
        <f t="shared" si="5"/>
        <v/>
      </c>
      <c r="O339" s="75"/>
      <c r="P339" s="72"/>
      <c r="Q339" s="72"/>
      <c r="R339" s="72"/>
      <c r="S339" s="72"/>
      <c r="T339" s="72"/>
      <c r="U339" s="72"/>
      <c r="V339" s="76"/>
    </row>
    <row r="340" spans="1:25" ht="27.75" customHeight="1">
      <c r="A340" s="87" t="str">
        <f>IF(ISBLANK(C340)," ",335-COUNTBLANK($C$6:C340))</f>
        <v xml:space="preserve"> </v>
      </c>
      <c r="B340" s="88"/>
      <c r="C340" s="88"/>
      <c r="D340" s="89"/>
      <c r="E340" s="89"/>
      <c r="F340" s="73"/>
      <c r="G340" s="73"/>
      <c r="H340" s="73"/>
      <c r="I340" s="73"/>
      <c r="J340" s="73"/>
      <c r="K340" s="73"/>
      <c r="L340" s="73"/>
      <c r="M340" s="74"/>
      <c r="N340" s="71" t="str">
        <f t="shared" si="5"/>
        <v/>
      </c>
      <c r="O340" s="72"/>
      <c r="P340" s="72"/>
      <c r="Q340" s="72"/>
      <c r="R340" s="72"/>
      <c r="S340" s="72"/>
      <c r="T340" s="72"/>
      <c r="U340" s="72"/>
      <c r="V340" s="79"/>
      <c r="W340" s="72"/>
      <c r="X340" s="72"/>
      <c r="Y340" s="72"/>
    </row>
    <row r="341" spans="1:25" ht="27.75" customHeight="1">
      <c r="A341" s="80" t="s">
        <v>58</v>
      </c>
      <c r="B341" s="81"/>
      <c r="C341" s="96"/>
      <c r="D341" s="82"/>
      <c r="E341" s="82">
        <f>SUM(E321:E340)</f>
        <v>0</v>
      </c>
      <c r="F341" s="83"/>
      <c r="G341" s="83"/>
      <c r="H341" s="83"/>
      <c r="I341" s="83"/>
      <c r="J341" s="83"/>
      <c r="K341" s="83"/>
      <c r="L341" s="83"/>
      <c r="M341" s="84"/>
      <c r="N341" s="71" t="str">
        <f t="shared" si="5"/>
        <v/>
      </c>
      <c r="O341" s="75"/>
      <c r="P341" s="72"/>
      <c r="Q341" s="72"/>
      <c r="R341" s="72"/>
      <c r="S341" s="72"/>
      <c r="T341" s="72"/>
      <c r="U341" s="72"/>
      <c r="V341" s="79"/>
      <c r="W341" s="72"/>
      <c r="X341" s="72"/>
      <c r="Y341" s="72"/>
    </row>
    <row r="342" spans="1:25" ht="27.75" customHeight="1">
      <c r="A342" s="93" t="str">
        <f>IF(ISBLANK(C342)," ",337-COUNTBLANK($C$6:C342))</f>
        <v xml:space="preserve"> </v>
      </c>
      <c r="B342" s="94"/>
      <c r="C342" s="94"/>
      <c r="D342" s="95"/>
      <c r="E342" s="95"/>
      <c r="F342" s="85"/>
      <c r="G342" s="85"/>
      <c r="H342" s="85"/>
      <c r="I342" s="85"/>
      <c r="J342" s="85"/>
      <c r="K342" s="85"/>
      <c r="L342" s="85"/>
      <c r="M342" s="86"/>
      <c r="N342" s="71" t="str">
        <f t="shared" si="5"/>
        <v/>
      </c>
      <c r="O342" s="72"/>
      <c r="P342" s="72"/>
      <c r="Q342" s="72"/>
      <c r="R342" s="72"/>
      <c r="S342" s="72"/>
      <c r="T342" s="72"/>
      <c r="U342" s="72"/>
      <c r="V342" s="72"/>
    </row>
    <row r="343" spans="1:25" ht="27.75" customHeight="1">
      <c r="A343" s="87" t="str">
        <f>IF(ISBLANK(C343)," ",338-COUNTBLANK($C$6:C343))</f>
        <v xml:space="preserve"> </v>
      </c>
      <c r="B343" s="88"/>
      <c r="C343" s="88"/>
      <c r="D343" s="89"/>
      <c r="E343" s="89"/>
      <c r="F343" s="73"/>
      <c r="G343" s="73"/>
      <c r="H343" s="73"/>
      <c r="I343" s="73"/>
      <c r="J343" s="73"/>
      <c r="K343" s="73"/>
      <c r="L343" s="73"/>
      <c r="M343" s="74"/>
      <c r="N343" s="71" t="str">
        <f t="shared" si="5"/>
        <v/>
      </c>
      <c r="O343" s="72"/>
      <c r="P343" s="72"/>
      <c r="Q343" s="72"/>
      <c r="R343" s="72"/>
      <c r="S343" s="72"/>
      <c r="T343" s="72"/>
      <c r="U343" s="72"/>
      <c r="V343" s="72"/>
    </row>
    <row r="344" spans="1:25" ht="27.75" customHeight="1">
      <c r="A344" s="87" t="str">
        <f>IF(ISBLANK(C344)," ",339-COUNTBLANK($C$6:C344))</f>
        <v xml:space="preserve"> </v>
      </c>
      <c r="B344" s="88"/>
      <c r="C344" s="88"/>
      <c r="D344" s="89"/>
      <c r="E344" s="89"/>
      <c r="F344" s="73"/>
      <c r="G344" s="73"/>
      <c r="H344" s="73"/>
      <c r="I344" s="73"/>
      <c r="J344" s="73"/>
      <c r="K344" s="73"/>
      <c r="L344" s="73"/>
      <c r="M344" s="74"/>
      <c r="N344" s="71" t="str">
        <f t="shared" si="5"/>
        <v/>
      </c>
      <c r="O344" s="72"/>
      <c r="P344" s="72"/>
      <c r="Q344" s="72"/>
      <c r="R344" s="72"/>
      <c r="S344" s="72"/>
      <c r="T344" s="72"/>
      <c r="U344" s="72"/>
      <c r="V344" s="72"/>
    </row>
    <row r="345" spans="1:25" ht="27.75" customHeight="1">
      <c r="A345" s="87" t="str">
        <f>IF(ISBLANK(C345)," ",340-COUNTBLANK($C$6:C345))</f>
        <v xml:space="preserve"> </v>
      </c>
      <c r="B345" s="88"/>
      <c r="C345" s="88"/>
      <c r="D345" s="89"/>
      <c r="E345" s="89"/>
      <c r="F345" s="73"/>
      <c r="G345" s="73"/>
      <c r="H345" s="73"/>
      <c r="I345" s="73"/>
      <c r="J345" s="73"/>
      <c r="K345" s="73"/>
      <c r="L345" s="73"/>
      <c r="M345" s="74"/>
      <c r="N345" s="71" t="str">
        <f t="shared" si="5"/>
        <v/>
      </c>
      <c r="O345" s="72"/>
      <c r="P345" s="72"/>
      <c r="Q345" s="72"/>
      <c r="R345" s="72"/>
      <c r="S345" s="72"/>
      <c r="T345" s="72"/>
      <c r="U345" s="72"/>
      <c r="V345" s="72"/>
    </row>
    <row r="346" spans="1:25" ht="27.75" customHeight="1">
      <c r="A346" s="87" t="str">
        <f>IF(ISBLANK(C346)," ",341-COUNTBLANK($C$6:C346))</f>
        <v xml:space="preserve"> </v>
      </c>
      <c r="B346" s="88"/>
      <c r="C346" s="88"/>
      <c r="D346" s="89"/>
      <c r="E346" s="89"/>
      <c r="F346" s="73"/>
      <c r="G346" s="73"/>
      <c r="H346" s="73"/>
      <c r="I346" s="73"/>
      <c r="J346" s="73"/>
      <c r="K346" s="73"/>
      <c r="L346" s="73"/>
      <c r="M346" s="74"/>
      <c r="N346" s="71" t="str">
        <f t="shared" si="5"/>
        <v/>
      </c>
      <c r="O346" s="72"/>
      <c r="P346" s="72"/>
      <c r="Q346" s="72"/>
      <c r="R346" s="72"/>
      <c r="S346" s="72"/>
      <c r="T346" s="72"/>
      <c r="U346" s="72"/>
      <c r="V346" s="72"/>
    </row>
    <row r="347" spans="1:25" ht="27.75" customHeight="1">
      <c r="A347" s="87" t="str">
        <f>IF(ISBLANK(C347)," ",342-COUNTBLANK($C$6:C347))</f>
        <v xml:space="preserve"> </v>
      </c>
      <c r="B347" s="88"/>
      <c r="C347" s="88"/>
      <c r="D347" s="89"/>
      <c r="E347" s="89"/>
      <c r="F347" s="73"/>
      <c r="G347" s="73"/>
      <c r="H347" s="73"/>
      <c r="I347" s="73"/>
      <c r="J347" s="73"/>
      <c r="K347" s="73"/>
      <c r="L347" s="73"/>
      <c r="M347" s="74"/>
      <c r="N347" s="71" t="str">
        <f t="shared" si="5"/>
        <v/>
      </c>
      <c r="O347" s="72"/>
      <c r="P347" s="72"/>
      <c r="Q347" s="72"/>
      <c r="R347" s="72"/>
      <c r="S347" s="72"/>
      <c r="T347" s="72"/>
      <c r="U347" s="72"/>
      <c r="V347" s="72"/>
    </row>
    <row r="348" spans="1:25" ht="27.75" customHeight="1">
      <c r="A348" s="87" t="str">
        <f>IF(ISBLANK(C348)," ",343-COUNTBLANK($C$6:C348))</f>
        <v xml:space="preserve"> </v>
      </c>
      <c r="B348" s="88"/>
      <c r="C348" s="88"/>
      <c r="D348" s="89"/>
      <c r="E348" s="89"/>
      <c r="F348" s="73"/>
      <c r="G348" s="73"/>
      <c r="H348" s="73"/>
      <c r="I348" s="73"/>
      <c r="J348" s="73"/>
      <c r="K348" s="73"/>
      <c r="L348" s="73"/>
      <c r="M348" s="74"/>
      <c r="N348" s="71" t="str">
        <f t="shared" si="5"/>
        <v/>
      </c>
      <c r="O348" s="72"/>
      <c r="P348" s="72"/>
      <c r="Q348" s="72"/>
      <c r="R348" s="72"/>
      <c r="S348" s="72"/>
      <c r="T348" s="72"/>
      <c r="U348" s="72"/>
      <c r="V348" s="72"/>
    </row>
    <row r="349" spans="1:25" ht="27.75" customHeight="1">
      <c r="A349" s="87" t="str">
        <f>IF(ISBLANK(C349)," ",344-COUNTBLANK($C$6:C349))</f>
        <v xml:space="preserve"> </v>
      </c>
      <c r="B349" s="88"/>
      <c r="C349" s="88"/>
      <c r="D349" s="89"/>
      <c r="E349" s="89"/>
      <c r="F349" s="73"/>
      <c r="G349" s="73"/>
      <c r="H349" s="73"/>
      <c r="I349" s="73"/>
      <c r="J349" s="73"/>
      <c r="K349" s="73"/>
      <c r="L349" s="73"/>
      <c r="M349" s="74"/>
      <c r="N349" s="71" t="str">
        <f t="shared" si="5"/>
        <v/>
      </c>
      <c r="O349" s="72"/>
      <c r="P349" s="72"/>
      <c r="Q349" s="72"/>
      <c r="R349" s="72"/>
      <c r="S349" s="72"/>
      <c r="T349" s="72"/>
      <c r="U349" s="72"/>
      <c r="V349" s="72"/>
    </row>
    <row r="350" spans="1:25" ht="27.75" customHeight="1">
      <c r="A350" s="87" t="str">
        <f>IF(ISBLANK(C350)," ",345-COUNTBLANK($C$6:C350))</f>
        <v xml:space="preserve"> </v>
      </c>
      <c r="B350" s="88"/>
      <c r="C350" s="88"/>
      <c r="D350" s="89"/>
      <c r="E350" s="89"/>
      <c r="F350" s="73"/>
      <c r="G350" s="73"/>
      <c r="H350" s="73"/>
      <c r="I350" s="73"/>
      <c r="J350" s="73"/>
      <c r="K350" s="73"/>
      <c r="L350" s="73"/>
      <c r="M350" s="74"/>
      <c r="N350" s="71" t="str">
        <f t="shared" si="5"/>
        <v/>
      </c>
      <c r="O350" s="72"/>
      <c r="P350" s="72"/>
      <c r="Q350" s="72"/>
      <c r="R350" s="72"/>
      <c r="S350" s="72"/>
      <c r="T350" s="72"/>
      <c r="U350" s="72"/>
      <c r="V350" s="72"/>
    </row>
    <row r="351" spans="1:25" ht="27.75" customHeight="1">
      <c r="A351" s="87" t="str">
        <f>IF(ISBLANK(C351)," ",346-COUNTBLANK($C$6:C351))</f>
        <v xml:space="preserve"> </v>
      </c>
      <c r="B351" s="88"/>
      <c r="C351" s="88"/>
      <c r="D351" s="89"/>
      <c r="E351" s="89"/>
      <c r="F351" s="73"/>
      <c r="G351" s="73"/>
      <c r="H351" s="73"/>
      <c r="I351" s="73"/>
      <c r="J351" s="73"/>
      <c r="K351" s="73"/>
      <c r="L351" s="73"/>
      <c r="M351" s="74"/>
      <c r="N351" s="71" t="str">
        <f t="shared" si="5"/>
        <v/>
      </c>
      <c r="O351" s="72"/>
      <c r="P351" s="72"/>
      <c r="Q351" s="72"/>
      <c r="R351" s="72"/>
      <c r="S351" s="72"/>
      <c r="T351" s="72"/>
      <c r="U351" s="72"/>
      <c r="V351" s="72"/>
    </row>
    <row r="352" spans="1:25" ht="27.75" customHeight="1">
      <c r="A352" s="87" t="str">
        <f>IF(ISBLANK(C352)," ",347-COUNTBLANK($C$6:C352))</f>
        <v xml:space="preserve"> </v>
      </c>
      <c r="B352" s="88"/>
      <c r="C352" s="88"/>
      <c r="D352" s="89"/>
      <c r="E352" s="89"/>
      <c r="F352" s="73"/>
      <c r="G352" s="73"/>
      <c r="H352" s="73"/>
      <c r="I352" s="73"/>
      <c r="J352" s="73"/>
      <c r="K352" s="73"/>
      <c r="L352" s="73"/>
      <c r="M352" s="74"/>
      <c r="N352" s="71" t="str">
        <f t="shared" si="5"/>
        <v/>
      </c>
      <c r="O352" s="72"/>
      <c r="P352" s="72"/>
      <c r="Q352" s="72"/>
      <c r="R352" s="72"/>
      <c r="S352" s="72"/>
      <c r="T352" s="72"/>
      <c r="U352" s="72"/>
      <c r="V352" s="72"/>
    </row>
    <row r="353" spans="1:25" ht="27.75" customHeight="1">
      <c r="A353" s="87" t="str">
        <f>IF(ISBLANK(C353)," ",348-COUNTBLANK($C$6:C353))</f>
        <v xml:space="preserve"> </v>
      </c>
      <c r="B353" s="88"/>
      <c r="C353" s="88"/>
      <c r="D353" s="89"/>
      <c r="E353" s="89"/>
      <c r="F353" s="73"/>
      <c r="G353" s="73"/>
      <c r="H353" s="73"/>
      <c r="I353" s="73"/>
      <c r="J353" s="73"/>
      <c r="K353" s="73"/>
      <c r="L353" s="73"/>
      <c r="M353" s="74"/>
      <c r="N353" s="71" t="str">
        <f t="shared" si="5"/>
        <v/>
      </c>
      <c r="O353" s="72"/>
      <c r="P353" s="72"/>
      <c r="Q353" s="72"/>
      <c r="R353" s="72"/>
      <c r="S353" s="72"/>
      <c r="T353" s="72"/>
      <c r="U353" s="72"/>
      <c r="V353" s="72"/>
    </row>
    <row r="354" spans="1:25" ht="27.75" customHeight="1">
      <c r="A354" s="87" t="str">
        <f>IF(ISBLANK(C354)," ",349-COUNTBLANK($C$6:C354))</f>
        <v xml:space="preserve"> </v>
      </c>
      <c r="B354" s="88"/>
      <c r="C354" s="88"/>
      <c r="D354" s="89"/>
      <c r="E354" s="89"/>
      <c r="F354" s="73"/>
      <c r="G354" s="73"/>
      <c r="H354" s="73"/>
      <c r="I354" s="73"/>
      <c r="J354" s="73"/>
      <c r="K354" s="73"/>
      <c r="L354" s="73"/>
      <c r="M354" s="74"/>
      <c r="N354" s="71" t="str">
        <f t="shared" si="5"/>
        <v/>
      </c>
      <c r="O354" s="72"/>
      <c r="P354" s="72"/>
      <c r="Q354" s="72"/>
      <c r="R354" s="72"/>
      <c r="S354" s="72"/>
      <c r="T354" s="72"/>
      <c r="U354" s="72"/>
      <c r="V354" s="72"/>
    </row>
    <row r="355" spans="1:25" ht="27.75" customHeight="1">
      <c r="A355" s="87" t="str">
        <f>IF(ISBLANK(C355)," ",350-COUNTBLANK($C$6:C355))</f>
        <v xml:space="preserve"> </v>
      </c>
      <c r="B355" s="88"/>
      <c r="C355" s="88"/>
      <c r="D355" s="89"/>
      <c r="E355" s="89"/>
      <c r="F355" s="73"/>
      <c r="G355" s="73"/>
      <c r="H355" s="73"/>
      <c r="I355" s="73"/>
      <c r="J355" s="73"/>
      <c r="K355" s="73"/>
      <c r="L355" s="73"/>
      <c r="M355" s="74"/>
      <c r="N355" s="71" t="str">
        <f t="shared" si="5"/>
        <v/>
      </c>
      <c r="O355" s="72"/>
      <c r="P355" s="72"/>
      <c r="Q355" s="72"/>
      <c r="R355" s="72"/>
      <c r="S355" s="72"/>
      <c r="T355" s="72"/>
      <c r="U355" s="72"/>
      <c r="V355" s="72"/>
    </row>
    <row r="356" spans="1:25" ht="27.75" customHeight="1">
      <c r="A356" s="87" t="str">
        <f>IF(ISBLANK(C356)," ",351-COUNTBLANK($C$6:C356))</f>
        <v xml:space="preserve"> </v>
      </c>
      <c r="B356" s="88"/>
      <c r="C356" s="88"/>
      <c r="D356" s="89"/>
      <c r="E356" s="89"/>
      <c r="F356" s="73"/>
      <c r="G356" s="73"/>
      <c r="H356" s="73"/>
      <c r="I356" s="73"/>
      <c r="J356" s="73"/>
      <c r="K356" s="73"/>
      <c r="L356" s="73"/>
      <c r="M356" s="74"/>
      <c r="N356" s="71" t="str">
        <f t="shared" si="5"/>
        <v/>
      </c>
      <c r="O356" s="72"/>
      <c r="P356" s="72"/>
      <c r="Q356" s="72"/>
      <c r="R356" s="72"/>
      <c r="S356" s="72"/>
      <c r="T356" s="72"/>
      <c r="U356" s="72"/>
      <c r="V356" s="72"/>
    </row>
    <row r="357" spans="1:25" ht="27.75" customHeight="1">
      <c r="A357" s="87" t="str">
        <f>IF(ISBLANK(C357)," ",352-COUNTBLANK($C$6:C357))</f>
        <v xml:space="preserve"> </v>
      </c>
      <c r="B357" s="88"/>
      <c r="C357" s="88"/>
      <c r="D357" s="89"/>
      <c r="E357" s="89"/>
      <c r="F357" s="73"/>
      <c r="G357" s="73"/>
      <c r="H357" s="73"/>
      <c r="I357" s="73"/>
      <c r="J357" s="73"/>
      <c r="K357" s="73"/>
      <c r="L357" s="73"/>
      <c r="M357" s="74"/>
      <c r="N357" s="71" t="str">
        <f t="shared" si="5"/>
        <v/>
      </c>
      <c r="O357" s="75"/>
      <c r="P357" s="72"/>
      <c r="Q357" s="72"/>
      <c r="R357" s="72"/>
      <c r="S357" s="72"/>
      <c r="T357" s="72"/>
      <c r="U357" s="72"/>
      <c r="V357" s="76"/>
    </row>
    <row r="358" spans="1:25" ht="27.75" customHeight="1">
      <c r="A358" s="87" t="str">
        <f>IF(ISBLANK(C358)," ",353-COUNTBLANK($C$6:C358))</f>
        <v xml:space="preserve"> </v>
      </c>
      <c r="B358" s="88"/>
      <c r="C358" s="88"/>
      <c r="D358" s="89"/>
      <c r="E358" s="89"/>
      <c r="F358" s="73"/>
      <c r="G358" s="73"/>
      <c r="H358" s="73"/>
      <c r="I358" s="73"/>
      <c r="J358" s="73"/>
      <c r="K358" s="73"/>
      <c r="L358" s="73"/>
      <c r="M358" s="74"/>
      <c r="N358" s="71" t="str">
        <f t="shared" si="5"/>
        <v/>
      </c>
      <c r="O358" s="75"/>
      <c r="P358" s="72"/>
      <c r="Q358" s="72"/>
      <c r="R358" s="72"/>
      <c r="S358" s="72"/>
      <c r="T358" s="72"/>
      <c r="U358" s="72"/>
      <c r="V358" s="76"/>
    </row>
    <row r="359" spans="1:25" ht="27.75" customHeight="1">
      <c r="A359" s="87" t="str">
        <f>IF(ISBLANK(C359)," ",354-COUNTBLANK($C$6:C359))</f>
        <v xml:space="preserve"> </v>
      </c>
      <c r="B359" s="88"/>
      <c r="C359" s="88"/>
      <c r="D359" s="89"/>
      <c r="E359" s="89"/>
      <c r="F359" s="73"/>
      <c r="G359" s="73"/>
      <c r="H359" s="73"/>
      <c r="I359" s="73"/>
      <c r="J359" s="73"/>
      <c r="K359" s="73"/>
      <c r="L359" s="73"/>
      <c r="M359" s="74"/>
      <c r="N359" s="71" t="str">
        <f t="shared" si="5"/>
        <v/>
      </c>
      <c r="O359" s="75"/>
      <c r="P359" s="72"/>
      <c r="Q359" s="72"/>
      <c r="R359" s="72"/>
      <c r="S359" s="72"/>
      <c r="T359" s="72"/>
      <c r="U359" s="72"/>
      <c r="V359" s="76"/>
    </row>
    <row r="360" spans="1:25" ht="27.75" customHeight="1">
      <c r="A360" s="87" t="str">
        <f>IF(ISBLANK(C360)," ",355-COUNTBLANK($C$6:C360))</f>
        <v xml:space="preserve"> </v>
      </c>
      <c r="B360" s="88"/>
      <c r="C360" s="88"/>
      <c r="D360" s="89"/>
      <c r="E360" s="89"/>
      <c r="F360" s="73"/>
      <c r="G360" s="73"/>
      <c r="H360" s="73"/>
      <c r="I360" s="73"/>
      <c r="J360" s="73"/>
      <c r="K360" s="73"/>
      <c r="L360" s="73"/>
      <c r="M360" s="74"/>
      <c r="N360" s="71" t="str">
        <f t="shared" si="5"/>
        <v/>
      </c>
      <c r="O360" s="75"/>
      <c r="P360" s="72"/>
      <c r="Q360" s="72"/>
      <c r="R360" s="72"/>
      <c r="S360" s="72"/>
      <c r="T360" s="72"/>
      <c r="U360" s="72"/>
      <c r="V360" s="76"/>
    </row>
    <row r="361" spans="1:25" ht="27.75" customHeight="1">
      <c r="A361" s="87" t="str">
        <f>IF(ISBLANK(C361)," ",356-COUNTBLANK($C$6:C361))</f>
        <v xml:space="preserve"> </v>
      </c>
      <c r="B361" s="88"/>
      <c r="C361" s="88"/>
      <c r="D361" s="89"/>
      <c r="E361" s="89"/>
      <c r="F361" s="73"/>
      <c r="G361" s="73"/>
      <c r="H361" s="73"/>
      <c r="I361" s="73"/>
      <c r="J361" s="73"/>
      <c r="K361" s="73"/>
      <c r="L361" s="73"/>
      <c r="M361" s="74"/>
      <c r="N361" s="71" t="str">
        <f t="shared" si="5"/>
        <v/>
      </c>
      <c r="O361" s="72"/>
      <c r="P361" s="72"/>
      <c r="Q361" s="72"/>
      <c r="R361" s="72"/>
      <c r="S361" s="72"/>
      <c r="T361" s="72"/>
      <c r="U361" s="72"/>
      <c r="V361" s="79"/>
      <c r="W361" s="72"/>
      <c r="X361" s="72"/>
      <c r="Y361" s="72"/>
    </row>
    <row r="362" spans="1:25" ht="27.75" customHeight="1">
      <c r="A362" s="80" t="s">
        <v>58</v>
      </c>
      <c r="B362" s="81"/>
      <c r="C362" s="96"/>
      <c r="D362" s="82"/>
      <c r="E362" s="82">
        <f>SUM(E342:E361)</f>
        <v>0</v>
      </c>
      <c r="F362" s="83"/>
      <c r="G362" s="83"/>
      <c r="H362" s="83"/>
      <c r="I362" s="83"/>
      <c r="J362" s="83"/>
      <c r="K362" s="83"/>
      <c r="L362" s="83"/>
      <c r="M362" s="84"/>
      <c r="N362" s="71" t="str">
        <f t="shared" si="5"/>
        <v/>
      </c>
      <c r="O362" s="75"/>
      <c r="P362" s="72"/>
      <c r="Q362" s="72"/>
      <c r="R362" s="72"/>
      <c r="S362" s="72"/>
      <c r="T362" s="72"/>
      <c r="U362" s="72"/>
      <c r="V362" s="79"/>
      <c r="W362" s="72"/>
      <c r="X362" s="72"/>
      <c r="Y362" s="72"/>
    </row>
    <row r="363" spans="1:25" ht="27.75" customHeight="1">
      <c r="A363" s="93" t="str">
        <f>IF(ISBLANK(C363)," ",358-COUNTBLANK($C$6:C363))</f>
        <v xml:space="preserve"> </v>
      </c>
      <c r="B363" s="94"/>
      <c r="C363" s="94"/>
      <c r="D363" s="95"/>
      <c r="E363" s="95"/>
      <c r="F363" s="85"/>
      <c r="G363" s="85"/>
      <c r="H363" s="85"/>
      <c r="I363" s="85"/>
      <c r="J363" s="85"/>
      <c r="K363" s="85"/>
      <c r="L363" s="85"/>
      <c r="M363" s="86"/>
      <c r="N363" s="71" t="str">
        <f t="shared" si="5"/>
        <v/>
      </c>
      <c r="O363" s="72"/>
      <c r="P363" s="72"/>
      <c r="Q363" s="72"/>
      <c r="R363" s="72"/>
      <c r="S363" s="72"/>
      <c r="T363" s="72"/>
      <c r="U363" s="72"/>
      <c r="V363" s="72"/>
    </row>
    <row r="364" spans="1:25" ht="27.75" customHeight="1">
      <c r="A364" s="87" t="str">
        <f>IF(ISBLANK(C364)," ",359-COUNTBLANK($C$6:C364))</f>
        <v xml:space="preserve"> </v>
      </c>
      <c r="B364" s="88"/>
      <c r="C364" s="88"/>
      <c r="D364" s="89"/>
      <c r="E364" s="89"/>
      <c r="F364" s="73"/>
      <c r="G364" s="73"/>
      <c r="H364" s="73"/>
      <c r="I364" s="73"/>
      <c r="J364" s="73"/>
      <c r="K364" s="73"/>
      <c r="L364" s="73"/>
      <c r="M364" s="74"/>
      <c r="N364" s="71" t="str">
        <f t="shared" si="5"/>
        <v/>
      </c>
      <c r="O364" s="72"/>
      <c r="P364" s="72"/>
      <c r="Q364" s="72"/>
      <c r="R364" s="72"/>
      <c r="S364" s="72"/>
      <c r="T364" s="72"/>
      <c r="U364" s="72"/>
      <c r="V364" s="72"/>
    </row>
    <row r="365" spans="1:25" ht="27.75" customHeight="1">
      <c r="A365" s="87" t="str">
        <f>IF(ISBLANK(C365)," ",360-COUNTBLANK($C$6:C365))</f>
        <v xml:space="preserve"> </v>
      </c>
      <c r="B365" s="88"/>
      <c r="C365" s="88"/>
      <c r="D365" s="89"/>
      <c r="E365" s="89"/>
      <c r="F365" s="73"/>
      <c r="G365" s="73"/>
      <c r="H365" s="73"/>
      <c r="I365" s="73"/>
      <c r="J365" s="73"/>
      <c r="K365" s="73"/>
      <c r="L365" s="73"/>
      <c r="M365" s="74"/>
      <c r="N365" s="71" t="str">
        <f t="shared" si="5"/>
        <v/>
      </c>
      <c r="O365" s="72"/>
      <c r="P365" s="72"/>
      <c r="Q365" s="72"/>
      <c r="R365" s="72"/>
      <c r="S365" s="72"/>
      <c r="T365" s="72"/>
      <c r="U365" s="72"/>
      <c r="V365" s="72"/>
    </row>
    <row r="366" spans="1:25" ht="27.75" customHeight="1">
      <c r="A366" s="87" t="str">
        <f>IF(ISBLANK(C366)," ",361-COUNTBLANK($C$6:C366))</f>
        <v xml:space="preserve"> </v>
      </c>
      <c r="B366" s="88"/>
      <c r="C366" s="88"/>
      <c r="D366" s="89"/>
      <c r="E366" s="89"/>
      <c r="F366" s="73"/>
      <c r="G366" s="73"/>
      <c r="H366" s="73"/>
      <c r="I366" s="73"/>
      <c r="J366" s="73"/>
      <c r="K366" s="73"/>
      <c r="L366" s="73"/>
      <c r="M366" s="74"/>
      <c r="N366" s="71" t="str">
        <f t="shared" si="5"/>
        <v/>
      </c>
      <c r="O366" s="72"/>
      <c r="P366" s="72"/>
      <c r="Q366" s="72"/>
      <c r="R366" s="72"/>
      <c r="S366" s="72"/>
      <c r="T366" s="72"/>
      <c r="U366" s="72"/>
      <c r="V366" s="72"/>
    </row>
    <row r="367" spans="1:25" ht="27.75" customHeight="1">
      <c r="A367" s="87" t="str">
        <f>IF(ISBLANK(C367)," ",362-COUNTBLANK($C$6:C367))</f>
        <v xml:space="preserve"> </v>
      </c>
      <c r="B367" s="88"/>
      <c r="C367" s="88"/>
      <c r="D367" s="89"/>
      <c r="E367" s="89"/>
      <c r="F367" s="73"/>
      <c r="G367" s="73"/>
      <c r="H367" s="73"/>
      <c r="I367" s="73"/>
      <c r="J367" s="73"/>
      <c r="K367" s="73"/>
      <c r="L367" s="73"/>
      <c r="M367" s="74"/>
      <c r="N367" s="71" t="str">
        <f t="shared" si="5"/>
        <v/>
      </c>
      <c r="O367" s="72"/>
      <c r="P367" s="72"/>
      <c r="Q367" s="72"/>
      <c r="R367" s="72"/>
      <c r="S367" s="72"/>
      <c r="T367" s="72"/>
      <c r="U367" s="72"/>
      <c r="V367" s="72"/>
    </row>
    <row r="368" spans="1:25" ht="27.75" customHeight="1">
      <c r="A368" s="87" t="str">
        <f>IF(ISBLANK(C368)," ",363-COUNTBLANK($C$6:C368))</f>
        <v xml:space="preserve"> </v>
      </c>
      <c r="B368" s="88"/>
      <c r="C368" s="88"/>
      <c r="D368" s="89"/>
      <c r="E368" s="89"/>
      <c r="F368" s="73"/>
      <c r="G368" s="73"/>
      <c r="H368" s="73"/>
      <c r="I368" s="73"/>
      <c r="J368" s="73"/>
      <c r="K368" s="73"/>
      <c r="L368" s="73"/>
      <c r="M368" s="74"/>
      <c r="N368" s="71" t="str">
        <f t="shared" si="5"/>
        <v/>
      </c>
      <c r="O368" s="72"/>
      <c r="P368" s="72"/>
      <c r="Q368" s="72"/>
      <c r="R368" s="72"/>
      <c r="S368" s="72"/>
      <c r="T368" s="72"/>
      <c r="U368" s="72"/>
      <c r="V368" s="72"/>
    </row>
    <row r="369" spans="1:25" ht="27.75" customHeight="1">
      <c r="A369" s="87" t="str">
        <f>IF(ISBLANK(C369)," ",364-COUNTBLANK($C$6:C369))</f>
        <v xml:space="preserve"> </v>
      </c>
      <c r="B369" s="88"/>
      <c r="C369" s="88"/>
      <c r="D369" s="89"/>
      <c r="E369" s="89"/>
      <c r="F369" s="73"/>
      <c r="G369" s="73"/>
      <c r="H369" s="73"/>
      <c r="I369" s="73"/>
      <c r="J369" s="73"/>
      <c r="K369" s="73"/>
      <c r="L369" s="73"/>
      <c r="M369" s="74"/>
      <c r="N369" s="71" t="str">
        <f t="shared" si="5"/>
        <v/>
      </c>
      <c r="O369" s="72"/>
      <c r="P369" s="72"/>
      <c r="Q369" s="72"/>
      <c r="R369" s="72"/>
      <c r="S369" s="72"/>
      <c r="T369" s="72"/>
      <c r="U369" s="72"/>
      <c r="V369" s="72"/>
    </row>
    <row r="370" spans="1:25" ht="27.75" customHeight="1">
      <c r="A370" s="87" t="str">
        <f>IF(ISBLANK(C370)," ",365-COUNTBLANK($C$6:C370))</f>
        <v xml:space="preserve"> </v>
      </c>
      <c r="B370" s="88"/>
      <c r="C370" s="88"/>
      <c r="D370" s="89"/>
      <c r="E370" s="89"/>
      <c r="F370" s="73"/>
      <c r="G370" s="73"/>
      <c r="H370" s="73"/>
      <c r="I370" s="73"/>
      <c r="J370" s="73"/>
      <c r="K370" s="73"/>
      <c r="L370" s="73"/>
      <c r="M370" s="74"/>
      <c r="N370" s="71" t="str">
        <f t="shared" si="5"/>
        <v/>
      </c>
      <c r="O370" s="72"/>
      <c r="P370" s="72"/>
      <c r="Q370" s="72"/>
      <c r="R370" s="72"/>
      <c r="S370" s="72"/>
      <c r="T370" s="72"/>
      <c r="U370" s="72"/>
      <c r="V370" s="72"/>
    </row>
    <row r="371" spans="1:25" ht="27.75" customHeight="1">
      <c r="A371" s="87" t="str">
        <f>IF(ISBLANK(C371)," ",366-COUNTBLANK($C$6:C371))</f>
        <v xml:space="preserve"> </v>
      </c>
      <c r="B371" s="88"/>
      <c r="C371" s="88"/>
      <c r="D371" s="89"/>
      <c r="E371" s="89"/>
      <c r="F371" s="73"/>
      <c r="G371" s="73"/>
      <c r="H371" s="73"/>
      <c r="I371" s="73"/>
      <c r="J371" s="73"/>
      <c r="K371" s="73"/>
      <c r="L371" s="73"/>
      <c r="M371" s="74"/>
      <c r="N371" s="71" t="str">
        <f t="shared" si="5"/>
        <v/>
      </c>
      <c r="O371" s="72"/>
      <c r="P371" s="72"/>
      <c r="Q371" s="72"/>
      <c r="R371" s="72"/>
      <c r="S371" s="72"/>
      <c r="T371" s="72"/>
      <c r="U371" s="72"/>
      <c r="V371" s="72"/>
    </row>
    <row r="372" spans="1:25" ht="27.75" customHeight="1">
      <c r="A372" s="87" t="str">
        <f>IF(ISBLANK(C372)," ",367-COUNTBLANK($C$6:C372))</f>
        <v xml:space="preserve"> </v>
      </c>
      <c r="B372" s="88"/>
      <c r="C372" s="88"/>
      <c r="D372" s="89"/>
      <c r="E372" s="89"/>
      <c r="F372" s="73"/>
      <c r="G372" s="73"/>
      <c r="H372" s="73"/>
      <c r="I372" s="73"/>
      <c r="J372" s="73"/>
      <c r="K372" s="73"/>
      <c r="L372" s="73"/>
      <c r="M372" s="74"/>
      <c r="N372" s="71" t="str">
        <f t="shared" si="5"/>
        <v/>
      </c>
      <c r="O372" s="72"/>
      <c r="P372" s="72"/>
      <c r="Q372" s="72"/>
      <c r="R372" s="72"/>
      <c r="S372" s="72"/>
      <c r="T372" s="72"/>
      <c r="U372" s="72"/>
      <c r="V372" s="72"/>
    </row>
    <row r="373" spans="1:25" ht="27.75" customHeight="1">
      <c r="A373" s="87" t="str">
        <f>IF(ISBLANK(C373)," ",368-COUNTBLANK($C$6:C373))</f>
        <v xml:space="preserve"> </v>
      </c>
      <c r="B373" s="88"/>
      <c r="C373" s="88"/>
      <c r="D373" s="89"/>
      <c r="E373" s="89"/>
      <c r="F373" s="73"/>
      <c r="G373" s="73"/>
      <c r="H373" s="73"/>
      <c r="I373" s="73"/>
      <c r="J373" s="73"/>
      <c r="K373" s="73"/>
      <c r="L373" s="73"/>
      <c r="M373" s="74"/>
      <c r="N373" s="71" t="str">
        <f t="shared" si="5"/>
        <v/>
      </c>
      <c r="O373" s="72"/>
      <c r="P373" s="72"/>
      <c r="Q373" s="72"/>
      <c r="R373" s="72"/>
      <c r="S373" s="72"/>
      <c r="T373" s="72"/>
      <c r="U373" s="72"/>
      <c r="V373" s="72"/>
    </row>
    <row r="374" spans="1:25" ht="27.75" customHeight="1">
      <c r="A374" s="87" t="str">
        <f>IF(ISBLANK(C374)," ",369-COUNTBLANK($C$6:C374))</f>
        <v xml:space="preserve"> </v>
      </c>
      <c r="B374" s="88"/>
      <c r="C374" s="88"/>
      <c r="D374" s="89"/>
      <c r="E374" s="89"/>
      <c r="F374" s="73"/>
      <c r="G374" s="73"/>
      <c r="H374" s="73"/>
      <c r="I374" s="73"/>
      <c r="J374" s="73"/>
      <c r="K374" s="73"/>
      <c r="L374" s="73"/>
      <c r="M374" s="74"/>
      <c r="N374" s="71" t="str">
        <f t="shared" si="5"/>
        <v/>
      </c>
      <c r="O374" s="72"/>
      <c r="P374" s="72"/>
      <c r="Q374" s="72"/>
      <c r="R374" s="72"/>
      <c r="S374" s="72"/>
      <c r="T374" s="72"/>
      <c r="U374" s="72"/>
      <c r="V374" s="72"/>
    </row>
    <row r="375" spans="1:25" ht="27.75" customHeight="1">
      <c r="A375" s="87" t="str">
        <f>IF(ISBLANK(C375)," ",370-COUNTBLANK($C$6:C375))</f>
        <v xml:space="preserve"> </v>
      </c>
      <c r="B375" s="88"/>
      <c r="C375" s="88"/>
      <c r="D375" s="89"/>
      <c r="E375" s="89"/>
      <c r="F375" s="73"/>
      <c r="G375" s="73"/>
      <c r="H375" s="73"/>
      <c r="I375" s="73"/>
      <c r="J375" s="73"/>
      <c r="K375" s="73"/>
      <c r="L375" s="73"/>
      <c r="M375" s="74"/>
      <c r="N375" s="71" t="str">
        <f t="shared" si="5"/>
        <v/>
      </c>
      <c r="O375" s="72"/>
      <c r="P375" s="72"/>
      <c r="Q375" s="72"/>
      <c r="R375" s="72"/>
      <c r="S375" s="72"/>
      <c r="T375" s="72"/>
      <c r="U375" s="72"/>
      <c r="V375" s="72"/>
    </row>
    <row r="376" spans="1:25" ht="27.75" customHeight="1">
      <c r="A376" s="87" t="str">
        <f>IF(ISBLANK(C376)," ",371-COUNTBLANK($C$6:C376))</f>
        <v xml:space="preserve"> </v>
      </c>
      <c r="B376" s="88"/>
      <c r="C376" s="88"/>
      <c r="D376" s="89"/>
      <c r="E376" s="89"/>
      <c r="F376" s="73"/>
      <c r="G376" s="73"/>
      <c r="H376" s="73"/>
      <c r="I376" s="73"/>
      <c r="J376" s="73"/>
      <c r="K376" s="73"/>
      <c r="L376" s="73"/>
      <c r="M376" s="74"/>
      <c r="N376" s="71" t="str">
        <f t="shared" si="5"/>
        <v/>
      </c>
      <c r="O376" s="72"/>
      <c r="P376" s="72"/>
      <c r="Q376" s="72"/>
      <c r="R376" s="72"/>
      <c r="S376" s="72"/>
      <c r="T376" s="72"/>
      <c r="U376" s="72"/>
      <c r="V376" s="72"/>
    </row>
    <row r="377" spans="1:25" ht="27.75" customHeight="1">
      <c r="A377" s="87" t="str">
        <f>IF(ISBLANK(C377)," ",372-COUNTBLANK($C$6:C377))</f>
        <v xml:space="preserve"> </v>
      </c>
      <c r="B377" s="88"/>
      <c r="C377" s="88"/>
      <c r="D377" s="89"/>
      <c r="E377" s="89"/>
      <c r="F377" s="73"/>
      <c r="G377" s="73"/>
      <c r="H377" s="73"/>
      <c r="I377" s="73"/>
      <c r="J377" s="73"/>
      <c r="K377" s="73"/>
      <c r="L377" s="73"/>
      <c r="M377" s="74"/>
      <c r="N377" s="71" t="str">
        <f t="shared" si="5"/>
        <v/>
      </c>
      <c r="O377" s="72"/>
      <c r="P377" s="72"/>
      <c r="Q377" s="72"/>
      <c r="R377" s="72"/>
      <c r="S377" s="72"/>
      <c r="T377" s="72"/>
      <c r="U377" s="72"/>
      <c r="V377" s="72"/>
    </row>
    <row r="378" spans="1:25" ht="27.75" customHeight="1">
      <c r="A378" s="87" t="str">
        <f>IF(ISBLANK(C378)," ",373-COUNTBLANK($C$6:C378))</f>
        <v xml:space="preserve"> </v>
      </c>
      <c r="B378" s="88"/>
      <c r="C378" s="88"/>
      <c r="D378" s="89"/>
      <c r="E378" s="89"/>
      <c r="F378" s="73"/>
      <c r="G378" s="73"/>
      <c r="H378" s="73"/>
      <c r="I378" s="73"/>
      <c r="J378" s="73"/>
      <c r="K378" s="73"/>
      <c r="L378" s="73"/>
      <c r="M378" s="74"/>
      <c r="N378" s="71" t="str">
        <f t="shared" si="5"/>
        <v/>
      </c>
      <c r="O378" s="75"/>
      <c r="P378" s="72"/>
      <c r="Q378" s="72"/>
      <c r="R378" s="72"/>
      <c r="S378" s="72"/>
      <c r="T378" s="72"/>
      <c r="U378" s="72"/>
      <c r="V378" s="76"/>
    </row>
    <row r="379" spans="1:25" ht="27.75" customHeight="1">
      <c r="A379" s="87" t="str">
        <f>IF(ISBLANK(C379)," ",374-COUNTBLANK($C$6:C379))</f>
        <v xml:space="preserve"> </v>
      </c>
      <c r="B379" s="88"/>
      <c r="C379" s="88"/>
      <c r="D379" s="89"/>
      <c r="E379" s="89"/>
      <c r="F379" s="73"/>
      <c r="G379" s="73"/>
      <c r="H379" s="73"/>
      <c r="I379" s="73"/>
      <c r="J379" s="73"/>
      <c r="K379" s="73"/>
      <c r="L379" s="73"/>
      <c r="M379" s="74"/>
      <c r="N379" s="71" t="str">
        <f t="shared" si="5"/>
        <v/>
      </c>
      <c r="O379" s="75"/>
      <c r="P379" s="72"/>
      <c r="Q379" s="72"/>
      <c r="R379" s="72"/>
      <c r="S379" s="72"/>
      <c r="T379" s="72"/>
      <c r="U379" s="72"/>
      <c r="V379" s="76"/>
    </row>
    <row r="380" spans="1:25" ht="27.75" customHeight="1">
      <c r="A380" s="87" t="str">
        <f>IF(ISBLANK(C380)," ",375-COUNTBLANK($C$6:C380))</f>
        <v xml:space="preserve"> </v>
      </c>
      <c r="B380" s="88"/>
      <c r="C380" s="88"/>
      <c r="D380" s="89"/>
      <c r="E380" s="89"/>
      <c r="F380" s="73"/>
      <c r="G380" s="73"/>
      <c r="H380" s="73"/>
      <c r="I380" s="73"/>
      <c r="J380" s="73"/>
      <c r="K380" s="73"/>
      <c r="L380" s="73"/>
      <c r="M380" s="74"/>
      <c r="N380" s="71" t="str">
        <f t="shared" si="5"/>
        <v/>
      </c>
      <c r="O380" s="75"/>
      <c r="P380" s="72"/>
      <c r="Q380" s="72"/>
      <c r="R380" s="72"/>
      <c r="S380" s="72"/>
      <c r="T380" s="72"/>
      <c r="U380" s="72"/>
      <c r="V380" s="76"/>
    </row>
    <row r="381" spans="1:25" ht="27.75" customHeight="1">
      <c r="A381" s="87" t="str">
        <f>IF(ISBLANK(C381)," ",376-COUNTBLANK($C$6:C381))</f>
        <v xml:space="preserve"> </v>
      </c>
      <c r="B381" s="88"/>
      <c r="C381" s="88"/>
      <c r="D381" s="89"/>
      <c r="E381" s="89"/>
      <c r="F381" s="73"/>
      <c r="G381" s="73"/>
      <c r="H381" s="73"/>
      <c r="I381" s="73"/>
      <c r="J381" s="73"/>
      <c r="K381" s="73"/>
      <c r="L381" s="73"/>
      <c r="M381" s="74"/>
      <c r="N381" s="71" t="str">
        <f t="shared" si="5"/>
        <v/>
      </c>
      <c r="O381" s="75"/>
      <c r="P381" s="72"/>
      <c r="Q381" s="72"/>
      <c r="R381" s="72"/>
      <c r="S381" s="72"/>
      <c r="T381" s="72"/>
      <c r="U381" s="72"/>
      <c r="V381" s="76"/>
    </row>
    <row r="382" spans="1:25" ht="27.75" customHeight="1">
      <c r="A382" s="87" t="str">
        <f>IF(ISBLANK(C382)," ",377-COUNTBLANK($C$6:C382))</f>
        <v xml:space="preserve"> </v>
      </c>
      <c r="B382" s="88"/>
      <c r="C382" s="88"/>
      <c r="D382" s="89"/>
      <c r="E382" s="89"/>
      <c r="F382" s="73"/>
      <c r="G382" s="73"/>
      <c r="H382" s="73"/>
      <c r="I382" s="73"/>
      <c r="J382" s="73"/>
      <c r="K382" s="73"/>
      <c r="L382" s="73"/>
      <c r="M382" s="74"/>
      <c r="N382" s="71" t="str">
        <f t="shared" si="5"/>
        <v/>
      </c>
      <c r="O382" s="72"/>
      <c r="P382" s="72"/>
      <c r="Q382" s="72"/>
      <c r="R382" s="72"/>
      <c r="S382" s="72"/>
      <c r="T382" s="72"/>
      <c r="U382" s="72"/>
      <c r="V382" s="79"/>
      <c r="W382" s="72"/>
      <c r="X382" s="72"/>
      <c r="Y382" s="72"/>
    </row>
    <row r="383" spans="1:25" ht="27.75" customHeight="1">
      <c r="A383" s="80" t="s">
        <v>58</v>
      </c>
      <c r="B383" s="81"/>
      <c r="C383" s="96"/>
      <c r="D383" s="82"/>
      <c r="E383" s="82">
        <f>SUM(E363:E382)</f>
        <v>0</v>
      </c>
      <c r="F383" s="83"/>
      <c r="G383" s="83"/>
      <c r="H383" s="83"/>
      <c r="I383" s="83"/>
      <c r="J383" s="83"/>
      <c r="K383" s="83"/>
      <c r="L383" s="83"/>
      <c r="M383" s="84"/>
      <c r="N383" s="71" t="str">
        <f t="shared" si="5"/>
        <v/>
      </c>
      <c r="O383" s="75"/>
      <c r="P383" s="72"/>
      <c r="Q383" s="72"/>
      <c r="R383" s="72"/>
      <c r="S383" s="72"/>
      <c r="T383" s="72"/>
      <c r="U383" s="72"/>
      <c r="V383" s="79"/>
      <c r="W383" s="72"/>
      <c r="X383" s="72"/>
      <c r="Y383" s="72"/>
    </row>
    <row r="384" spans="1:25" ht="27.75" customHeight="1">
      <c r="A384" s="93" t="str">
        <f>IF(ISBLANK(C384)," ",379-COUNTBLANK($C$6:C384))</f>
        <v xml:space="preserve"> </v>
      </c>
      <c r="B384" s="94"/>
      <c r="C384" s="94"/>
      <c r="D384" s="95"/>
      <c r="E384" s="95"/>
      <c r="F384" s="85"/>
      <c r="G384" s="85"/>
      <c r="H384" s="85"/>
      <c r="I384" s="85"/>
      <c r="J384" s="85"/>
      <c r="K384" s="85"/>
      <c r="L384" s="85"/>
      <c r="M384" s="86"/>
      <c r="N384" s="71" t="str">
        <f t="shared" si="5"/>
        <v/>
      </c>
      <c r="O384" s="72"/>
      <c r="P384" s="72"/>
      <c r="Q384" s="72"/>
      <c r="R384" s="72"/>
      <c r="S384" s="72"/>
      <c r="T384" s="72"/>
      <c r="U384" s="72"/>
      <c r="V384" s="72"/>
    </row>
    <row r="385" spans="1:22" ht="27.75" customHeight="1">
      <c r="A385" s="87" t="str">
        <f>IF(ISBLANK(C385)," ",380-COUNTBLANK($C$6:C385))</f>
        <v xml:space="preserve"> </v>
      </c>
      <c r="B385" s="88"/>
      <c r="C385" s="88"/>
      <c r="D385" s="89"/>
      <c r="E385" s="89"/>
      <c r="F385" s="73"/>
      <c r="G385" s="73"/>
      <c r="H385" s="73"/>
      <c r="I385" s="73"/>
      <c r="J385" s="73"/>
      <c r="K385" s="73"/>
      <c r="L385" s="73"/>
      <c r="M385" s="74"/>
      <c r="N385" s="71" t="str">
        <f t="shared" si="5"/>
        <v/>
      </c>
      <c r="O385" s="72"/>
      <c r="P385" s="72"/>
      <c r="Q385" s="72"/>
      <c r="R385" s="72"/>
      <c r="S385" s="72"/>
      <c r="T385" s="72"/>
      <c r="U385" s="72"/>
      <c r="V385" s="72"/>
    </row>
    <row r="386" spans="1:22" ht="27.75" customHeight="1">
      <c r="A386" s="87" t="str">
        <f>IF(ISBLANK(C386)," ",381-COUNTBLANK($C$6:C386))</f>
        <v xml:space="preserve"> </v>
      </c>
      <c r="B386" s="88"/>
      <c r="C386" s="88"/>
      <c r="D386" s="89"/>
      <c r="E386" s="89"/>
      <c r="F386" s="73"/>
      <c r="G386" s="73"/>
      <c r="H386" s="73"/>
      <c r="I386" s="73"/>
      <c r="J386" s="73"/>
      <c r="K386" s="73"/>
      <c r="L386" s="73"/>
      <c r="M386" s="74"/>
      <c r="N386" s="71" t="str">
        <f t="shared" si="5"/>
        <v/>
      </c>
      <c r="O386" s="72"/>
      <c r="P386" s="72"/>
      <c r="Q386" s="72"/>
      <c r="R386" s="72"/>
      <c r="S386" s="72"/>
      <c r="T386" s="72"/>
      <c r="U386" s="72"/>
      <c r="V386" s="72"/>
    </row>
    <row r="387" spans="1:22" ht="27.75" customHeight="1">
      <c r="A387" s="87" t="str">
        <f>IF(ISBLANK(C387)," ",382-COUNTBLANK($C$6:C387))</f>
        <v xml:space="preserve"> </v>
      </c>
      <c r="B387" s="88"/>
      <c r="C387" s="88"/>
      <c r="D387" s="89"/>
      <c r="E387" s="89"/>
      <c r="F387" s="73"/>
      <c r="G387" s="73"/>
      <c r="H387" s="73"/>
      <c r="I387" s="73"/>
      <c r="J387" s="73"/>
      <c r="K387" s="73"/>
      <c r="L387" s="73"/>
      <c r="M387" s="74"/>
      <c r="N387" s="71" t="str">
        <f t="shared" si="5"/>
        <v/>
      </c>
      <c r="O387" s="72"/>
      <c r="P387" s="72"/>
      <c r="Q387" s="72"/>
      <c r="R387" s="72"/>
      <c r="S387" s="72"/>
      <c r="T387" s="72"/>
      <c r="U387" s="72"/>
      <c r="V387" s="72"/>
    </row>
    <row r="388" spans="1:22" ht="27.75" customHeight="1">
      <c r="A388" s="87" t="str">
        <f>IF(ISBLANK(C388)," ",383-COUNTBLANK($C$6:C388))</f>
        <v xml:space="preserve"> </v>
      </c>
      <c r="B388" s="88"/>
      <c r="C388" s="88"/>
      <c r="D388" s="89"/>
      <c r="E388" s="89"/>
      <c r="F388" s="73"/>
      <c r="G388" s="73"/>
      <c r="H388" s="73"/>
      <c r="I388" s="73"/>
      <c r="J388" s="73"/>
      <c r="K388" s="73"/>
      <c r="L388" s="73"/>
      <c r="M388" s="74"/>
      <c r="N388" s="71" t="str">
        <f t="shared" si="5"/>
        <v/>
      </c>
      <c r="O388" s="72"/>
      <c r="P388" s="72"/>
      <c r="Q388" s="72"/>
      <c r="R388" s="72"/>
      <c r="S388" s="72"/>
      <c r="T388" s="72"/>
      <c r="U388" s="72"/>
      <c r="V388" s="72"/>
    </row>
    <row r="389" spans="1:22" ht="27.75" customHeight="1">
      <c r="A389" s="87" t="str">
        <f>IF(ISBLANK(C389)," ",384-COUNTBLANK($C$6:C389))</f>
        <v xml:space="preserve"> </v>
      </c>
      <c r="B389" s="88"/>
      <c r="C389" s="88"/>
      <c r="D389" s="89"/>
      <c r="E389" s="89"/>
      <c r="F389" s="73"/>
      <c r="G389" s="73"/>
      <c r="H389" s="73"/>
      <c r="I389" s="73"/>
      <c r="J389" s="73"/>
      <c r="K389" s="73"/>
      <c r="L389" s="73"/>
      <c r="M389" s="74"/>
      <c r="N389" s="71" t="str">
        <f t="shared" si="5"/>
        <v/>
      </c>
      <c r="O389" s="72"/>
      <c r="P389" s="72"/>
      <c r="Q389" s="72"/>
      <c r="R389" s="72"/>
      <c r="S389" s="72"/>
      <c r="T389" s="72"/>
      <c r="U389" s="72"/>
      <c r="V389" s="72"/>
    </row>
    <row r="390" spans="1:22" ht="27.75" customHeight="1">
      <c r="A390" s="87" t="str">
        <f>IF(ISBLANK(C390)," ",385-COUNTBLANK($C$6:C390))</f>
        <v xml:space="preserve"> </v>
      </c>
      <c r="B390" s="88"/>
      <c r="C390" s="88"/>
      <c r="D390" s="89"/>
      <c r="E390" s="89"/>
      <c r="F390" s="73"/>
      <c r="G390" s="73"/>
      <c r="H390" s="73"/>
      <c r="I390" s="73"/>
      <c r="J390" s="73"/>
      <c r="K390" s="73"/>
      <c r="L390" s="73"/>
      <c r="M390" s="74"/>
      <c r="N390" s="71" t="str">
        <f t="shared" ref="N390:N453" si="6">CONCATENATE(C390,H390)</f>
        <v/>
      </c>
      <c r="O390" s="72"/>
      <c r="P390" s="72"/>
      <c r="Q390" s="72"/>
      <c r="R390" s="72"/>
      <c r="S390" s="72"/>
      <c r="T390" s="72"/>
      <c r="U390" s="72"/>
      <c r="V390" s="72"/>
    </row>
    <row r="391" spans="1:22" ht="27.75" customHeight="1">
      <c r="A391" s="87" t="str">
        <f>IF(ISBLANK(C391)," ",386-COUNTBLANK($C$6:C391))</f>
        <v xml:space="preserve"> </v>
      </c>
      <c r="B391" s="88"/>
      <c r="C391" s="88"/>
      <c r="D391" s="89"/>
      <c r="E391" s="89"/>
      <c r="F391" s="73"/>
      <c r="G391" s="73"/>
      <c r="H391" s="73"/>
      <c r="I391" s="73"/>
      <c r="J391" s="73"/>
      <c r="K391" s="73"/>
      <c r="L391" s="73"/>
      <c r="M391" s="74"/>
      <c r="N391" s="71" t="str">
        <f t="shared" si="6"/>
        <v/>
      </c>
      <c r="O391" s="72"/>
      <c r="P391" s="72"/>
      <c r="Q391" s="72"/>
      <c r="R391" s="72"/>
      <c r="S391" s="72"/>
      <c r="T391" s="72"/>
      <c r="U391" s="72"/>
      <c r="V391" s="72"/>
    </row>
    <row r="392" spans="1:22" ht="27.75" customHeight="1">
      <c r="A392" s="87" t="str">
        <f>IF(ISBLANK(C392)," ",387-COUNTBLANK($C$6:C392))</f>
        <v xml:space="preserve"> </v>
      </c>
      <c r="B392" s="88"/>
      <c r="C392" s="88"/>
      <c r="D392" s="89"/>
      <c r="E392" s="89"/>
      <c r="F392" s="73"/>
      <c r="G392" s="73"/>
      <c r="H392" s="73"/>
      <c r="I392" s="73"/>
      <c r="J392" s="73"/>
      <c r="K392" s="73"/>
      <c r="L392" s="73"/>
      <c r="M392" s="74"/>
      <c r="N392" s="71" t="str">
        <f t="shared" si="6"/>
        <v/>
      </c>
      <c r="O392" s="72"/>
      <c r="P392" s="72"/>
      <c r="Q392" s="72"/>
      <c r="R392" s="72"/>
      <c r="S392" s="72"/>
      <c r="T392" s="72"/>
      <c r="U392" s="72"/>
      <c r="V392" s="72"/>
    </row>
    <row r="393" spans="1:22" ht="27.75" customHeight="1">
      <c r="A393" s="87" t="str">
        <f>IF(ISBLANK(C393)," ",388-COUNTBLANK($C$6:C393))</f>
        <v xml:space="preserve"> </v>
      </c>
      <c r="B393" s="88"/>
      <c r="C393" s="88"/>
      <c r="D393" s="89"/>
      <c r="E393" s="89"/>
      <c r="F393" s="73"/>
      <c r="G393" s="73"/>
      <c r="H393" s="73"/>
      <c r="I393" s="73"/>
      <c r="J393" s="73"/>
      <c r="K393" s="73"/>
      <c r="L393" s="73"/>
      <c r="M393" s="74"/>
      <c r="N393" s="71" t="str">
        <f t="shared" si="6"/>
        <v/>
      </c>
      <c r="O393" s="72"/>
      <c r="P393" s="72"/>
      <c r="Q393" s="72"/>
      <c r="R393" s="72"/>
      <c r="S393" s="72"/>
      <c r="T393" s="72"/>
      <c r="U393" s="72"/>
      <c r="V393" s="72"/>
    </row>
    <row r="394" spans="1:22" ht="27.75" customHeight="1">
      <c r="A394" s="87" t="str">
        <f>IF(ISBLANK(C394)," ",389-COUNTBLANK($C$6:C394))</f>
        <v xml:space="preserve"> </v>
      </c>
      <c r="B394" s="88"/>
      <c r="C394" s="88"/>
      <c r="D394" s="89"/>
      <c r="E394" s="89"/>
      <c r="F394" s="73"/>
      <c r="G394" s="73"/>
      <c r="H394" s="73"/>
      <c r="I394" s="73"/>
      <c r="J394" s="73"/>
      <c r="K394" s="73"/>
      <c r="L394" s="73"/>
      <c r="M394" s="74"/>
      <c r="N394" s="71" t="str">
        <f t="shared" si="6"/>
        <v/>
      </c>
      <c r="O394" s="72"/>
      <c r="P394" s="72"/>
      <c r="Q394" s="72"/>
      <c r="R394" s="72"/>
      <c r="S394" s="72"/>
      <c r="T394" s="72"/>
      <c r="U394" s="72"/>
      <c r="V394" s="72"/>
    </row>
    <row r="395" spans="1:22" ht="27.75" customHeight="1">
      <c r="A395" s="87" t="str">
        <f>IF(ISBLANK(C395)," ",390-COUNTBLANK($C$6:C395))</f>
        <v xml:space="preserve"> </v>
      </c>
      <c r="B395" s="88"/>
      <c r="C395" s="88"/>
      <c r="D395" s="89"/>
      <c r="E395" s="89"/>
      <c r="F395" s="73"/>
      <c r="G395" s="73"/>
      <c r="H395" s="73"/>
      <c r="I395" s="73"/>
      <c r="J395" s="73"/>
      <c r="K395" s="73"/>
      <c r="L395" s="73"/>
      <c r="M395" s="74"/>
      <c r="N395" s="71" t="str">
        <f t="shared" si="6"/>
        <v/>
      </c>
      <c r="O395" s="72"/>
      <c r="P395" s="72"/>
      <c r="Q395" s="72"/>
      <c r="R395" s="72"/>
      <c r="S395" s="72"/>
      <c r="T395" s="72"/>
      <c r="U395" s="72"/>
      <c r="V395" s="72"/>
    </row>
    <row r="396" spans="1:22" ht="27.75" customHeight="1">
      <c r="A396" s="87" t="str">
        <f>IF(ISBLANK(C396)," ",391-COUNTBLANK($C$6:C396))</f>
        <v xml:space="preserve"> </v>
      </c>
      <c r="B396" s="88"/>
      <c r="C396" s="88"/>
      <c r="D396" s="89"/>
      <c r="E396" s="89"/>
      <c r="F396" s="73"/>
      <c r="G396" s="73"/>
      <c r="H396" s="73"/>
      <c r="I396" s="73"/>
      <c r="J396" s="73"/>
      <c r="K396" s="73"/>
      <c r="L396" s="73"/>
      <c r="M396" s="74"/>
      <c r="N396" s="71" t="str">
        <f t="shared" si="6"/>
        <v/>
      </c>
      <c r="O396" s="72"/>
      <c r="P396" s="72"/>
      <c r="Q396" s="72"/>
      <c r="R396" s="72"/>
      <c r="S396" s="72"/>
      <c r="T396" s="72"/>
      <c r="U396" s="72"/>
      <c r="V396" s="72"/>
    </row>
    <row r="397" spans="1:22" ht="27.75" customHeight="1">
      <c r="A397" s="87" t="str">
        <f>IF(ISBLANK(C397)," ",392-COUNTBLANK($C$6:C397))</f>
        <v xml:space="preserve"> </v>
      </c>
      <c r="B397" s="88"/>
      <c r="C397" s="88"/>
      <c r="D397" s="89"/>
      <c r="E397" s="89"/>
      <c r="F397" s="73"/>
      <c r="G397" s="73"/>
      <c r="H397" s="73"/>
      <c r="I397" s="73"/>
      <c r="J397" s="73"/>
      <c r="K397" s="73"/>
      <c r="L397" s="73"/>
      <c r="M397" s="74"/>
      <c r="N397" s="71" t="str">
        <f t="shared" si="6"/>
        <v/>
      </c>
      <c r="O397" s="72"/>
      <c r="P397" s="72"/>
      <c r="Q397" s="72"/>
      <c r="R397" s="72"/>
      <c r="S397" s="72"/>
      <c r="T397" s="72"/>
      <c r="U397" s="72"/>
      <c r="V397" s="72"/>
    </row>
    <row r="398" spans="1:22" ht="27.75" customHeight="1">
      <c r="A398" s="87" t="str">
        <f>IF(ISBLANK(C398)," ",393-COUNTBLANK($C$6:C398))</f>
        <v xml:space="preserve"> </v>
      </c>
      <c r="B398" s="88"/>
      <c r="C398" s="88"/>
      <c r="D398" s="89"/>
      <c r="E398" s="89"/>
      <c r="F398" s="73"/>
      <c r="G398" s="73"/>
      <c r="H398" s="73"/>
      <c r="I398" s="73"/>
      <c r="J398" s="73"/>
      <c r="K398" s="73"/>
      <c r="L398" s="73"/>
      <c r="M398" s="74"/>
      <c r="N398" s="71" t="str">
        <f t="shared" si="6"/>
        <v/>
      </c>
      <c r="O398" s="72"/>
      <c r="P398" s="72"/>
      <c r="Q398" s="72"/>
      <c r="R398" s="72"/>
      <c r="S398" s="72"/>
      <c r="T398" s="72"/>
      <c r="U398" s="72"/>
      <c r="V398" s="72"/>
    </row>
    <row r="399" spans="1:22" ht="27.75" customHeight="1">
      <c r="A399" s="87" t="str">
        <f>IF(ISBLANK(C399)," ",394-COUNTBLANK($C$6:C399))</f>
        <v xml:space="preserve"> </v>
      </c>
      <c r="B399" s="88"/>
      <c r="C399" s="88"/>
      <c r="D399" s="89"/>
      <c r="E399" s="89"/>
      <c r="F399" s="73"/>
      <c r="G399" s="73"/>
      <c r="H399" s="73"/>
      <c r="I399" s="73"/>
      <c r="J399" s="73"/>
      <c r="K399" s="73"/>
      <c r="L399" s="73"/>
      <c r="M399" s="74"/>
      <c r="N399" s="71" t="str">
        <f t="shared" si="6"/>
        <v/>
      </c>
      <c r="O399" s="75"/>
      <c r="P399" s="72"/>
      <c r="Q399" s="72"/>
      <c r="R399" s="72"/>
      <c r="S399" s="72"/>
      <c r="T399" s="72"/>
      <c r="U399" s="72"/>
      <c r="V399" s="76"/>
    </row>
    <row r="400" spans="1:22" ht="27.75" customHeight="1">
      <c r="A400" s="87" t="str">
        <f>IF(ISBLANK(C400)," ",395-COUNTBLANK($C$6:C400))</f>
        <v xml:space="preserve"> </v>
      </c>
      <c r="B400" s="88"/>
      <c r="C400" s="88"/>
      <c r="D400" s="89"/>
      <c r="E400" s="89"/>
      <c r="F400" s="73"/>
      <c r="G400" s="73"/>
      <c r="H400" s="73"/>
      <c r="I400" s="73"/>
      <c r="J400" s="73"/>
      <c r="K400" s="73"/>
      <c r="L400" s="73"/>
      <c r="M400" s="74"/>
      <c r="N400" s="71" t="str">
        <f t="shared" si="6"/>
        <v/>
      </c>
      <c r="O400" s="75"/>
      <c r="P400" s="72"/>
      <c r="Q400" s="72"/>
      <c r="R400" s="72"/>
      <c r="S400" s="72"/>
      <c r="T400" s="72"/>
      <c r="U400" s="72"/>
      <c r="V400" s="76"/>
    </row>
    <row r="401" spans="1:25" ht="27.75" customHeight="1">
      <c r="A401" s="87" t="str">
        <f>IF(ISBLANK(C401)," ",396-COUNTBLANK($C$6:C401))</f>
        <v xml:space="preserve"> </v>
      </c>
      <c r="B401" s="88"/>
      <c r="C401" s="88"/>
      <c r="D401" s="89"/>
      <c r="E401" s="89"/>
      <c r="F401" s="73"/>
      <c r="G401" s="73"/>
      <c r="H401" s="73"/>
      <c r="I401" s="73"/>
      <c r="J401" s="73"/>
      <c r="K401" s="73"/>
      <c r="L401" s="73"/>
      <c r="M401" s="74"/>
      <c r="N401" s="71" t="str">
        <f t="shared" si="6"/>
        <v/>
      </c>
      <c r="O401" s="75"/>
      <c r="P401" s="72"/>
      <c r="Q401" s="72"/>
      <c r="R401" s="72"/>
      <c r="S401" s="72"/>
      <c r="T401" s="72"/>
      <c r="U401" s="72"/>
      <c r="V401" s="76"/>
    </row>
    <row r="402" spans="1:25" ht="27.75" customHeight="1">
      <c r="A402" s="87" t="str">
        <f>IF(ISBLANK(C402)," ",397-COUNTBLANK($C$6:C402))</f>
        <v xml:space="preserve"> </v>
      </c>
      <c r="B402" s="88"/>
      <c r="C402" s="88"/>
      <c r="D402" s="89"/>
      <c r="E402" s="89"/>
      <c r="F402" s="73"/>
      <c r="G402" s="73"/>
      <c r="H402" s="73"/>
      <c r="I402" s="73"/>
      <c r="J402" s="73"/>
      <c r="K402" s="73"/>
      <c r="L402" s="73"/>
      <c r="M402" s="74"/>
      <c r="N402" s="71" t="str">
        <f t="shared" si="6"/>
        <v/>
      </c>
      <c r="O402" s="75"/>
      <c r="P402" s="72"/>
      <c r="Q402" s="72"/>
      <c r="R402" s="72"/>
      <c r="S402" s="72"/>
      <c r="T402" s="72"/>
      <c r="U402" s="72"/>
      <c r="V402" s="76"/>
    </row>
    <row r="403" spans="1:25" ht="27.75" customHeight="1">
      <c r="A403" s="87" t="str">
        <f>IF(ISBLANK(C403)," ",398-COUNTBLANK($C$6:C403))</f>
        <v xml:space="preserve"> </v>
      </c>
      <c r="B403" s="88"/>
      <c r="C403" s="88"/>
      <c r="D403" s="89"/>
      <c r="E403" s="89"/>
      <c r="F403" s="73"/>
      <c r="G403" s="73"/>
      <c r="H403" s="73"/>
      <c r="I403" s="73"/>
      <c r="J403" s="73"/>
      <c r="K403" s="73"/>
      <c r="L403" s="73"/>
      <c r="M403" s="74"/>
      <c r="N403" s="71" t="str">
        <f t="shared" si="6"/>
        <v/>
      </c>
      <c r="O403" s="72"/>
      <c r="P403" s="72"/>
      <c r="Q403" s="72"/>
      <c r="R403" s="72"/>
      <c r="S403" s="72"/>
      <c r="T403" s="72"/>
      <c r="U403" s="72"/>
      <c r="V403" s="79"/>
      <c r="W403" s="72"/>
      <c r="X403" s="72"/>
      <c r="Y403" s="72"/>
    </row>
    <row r="404" spans="1:25" ht="27.75" customHeight="1">
      <c r="A404" s="80" t="s">
        <v>58</v>
      </c>
      <c r="B404" s="81"/>
      <c r="C404" s="96"/>
      <c r="D404" s="82"/>
      <c r="E404" s="82">
        <f>SUM(E384:E403)</f>
        <v>0</v>
      </c>
      <c r="F404" s="83"/>
      <c r="G404" s="83"/>
      <c r="H404" s="83"/>
      <c r="I404" s="83"/>
      <c r="J404" s="83"/>
      <c r="K404" s="83"/>
      <c r="L404" s="83"/>
      <c r="M404" s="84"/>
      <c r="N404" s="71" t="str">
        <f t="shared" si="6"/>
        <v/>
      </c>
      <c r="O404" s="75"/>
      <c r="P404" s="72"/>
      <c r="Q404" s="72"/>
      <c r="R404" s="72"/>
      <c r="S404" s="72"/>
      <c r="T404" s="72"/>
      <c r="U404" s="72"/>
      <c r="V404" s="79"/>
      <c r="W404" s="72"/>
      <c r="X404" s="72"/>
      <c r="Y404" s="72"/>
    </row>
    <row r="405" spans="1:25" ht="27.75" customHeight="1">
      <c r="A405" s="93" t="str">
        <f>IF(ISBLANK(C405)," ",400-COUNTBLANK($C$6:C405))</f>
        <v xml:space="preserve"> </v>
      </c>
      <c r="B405" s="94"/>
      <c r="C405" s="94"/>
      <c r="D405" s="95"/>
      <c r="E405" s="95"/>
      <c r="F405" s="85"/>
      <c r="G405" s="85"/>
      <c r="H405" s="85"/>
      <c r="I405" s="85"/>
      <c r="J405" s="85"/>
      <c r="K405" s="85"/>
      <c r="L405" s="85"/>
      <c r="M405" s="86"/>
      <c r="N405" s="71" t="str">
        <f t="shared" si="6"/>
        <v/>
      </c>
      <c r="O405" s="72"/>
      <c r="P405" s="72"/>
      <c r="Q405" s="72"/>
      <c r="R405" s="72"/>
      <c r="S405" s="72"/>
      <c r="T405" s="72"/>
      <c r="U405" s="72"/>
      <c r="V405" s="72"/>
    </row>
    <row r="406" spans="1:25" ht="27.75" customHeight="1">
      <c r="A406" s="87" t="str">
        <f>IF(ISBLANK(C406)," ",401-COUNTBLANK($C$6:C406))</f>
        <v xml:space="preserve"> </v>
      </c>
      <c r="B406" s="88"/>
      <c r="C406" s="88"/>
      <c r="D406" s="89"/>
      <c r="E406" s="89"/>
      <c r="F406" s="73"/>
      <c r="G406" s="73"/>
      <c r="H406" s="73"/>
      <c r="I406" s="73"/>
      <c r="J406" s="73"/>
      <c r="K406" s="73"/>
      <c r="L406" s="73"/>
      <c r="M406" s="74"/>
      <c r="N406" s="71" t="str">
        <f t="shared" si="6"/>
        <v/>
      </c>
      <c r="O406" s="72"/>
      <c r="P406" s="72"/>
      <c r="Q406" s="72"/>
      <c r="R406" s="72"/>
      <c r="S406" s="72"/>
      <c r="T406" s="72"/>
      <c r="U406" s="72"/>
      <c r="V406" s="72"/>
    </row>
    <row r="407" spans="1:25" ht="27.75" customHeight="1">
      <c r="A407" s="87" t="str">
        <f>IF(ISBLANK(C407)," ",402-COUNTBLANK($C$6:C407))</f>
        <v xml:space="preserve"> </v>
      </c>
      <c r="B407" s="88"/>
      <c r="C407" s="88"/>
      <c r="D407" s="89"/>
      <c r="E407" s="89"/>
      <c r="F407" s="73"/>
      <c r="G407" s="73"/>
      <c r="H407" s="73"/>
      <c r="I407" s="73"/>
      <c r="J407" s="73"/>
      <c r="K407" s="73"/>
      <c r="L407" s="73"/>
      <c r="M407" s="74"/>
      <c r="N407" s="71" t="str">
        <f t="shared" si="6"/>
        <v/>
      </c>
      <c r="O407" s="72"/>
      <c r="P407" s="72"/>
      <c r="Q407" s="72"/>
      <c r="R407" s="72"/>
      <c r="S407" s="72"/>
      <c r="T407" s="72"/>
      <c r="U407" s="72"/>
      <c r="V407" s="72"/>
    </row>
    <row r="408" spans="1:25" ht="27.75" customHeight="1">
      <c r="A408" s="87" t="str">
        <f>IF(ISBLANK(C408)," ",403-COUNTBLANK($C$6:C408))</f>
        <v xml:space="preserve"> </v>
      </c>
      <c r="B408" s="88"/>
      <c r="C408" s="88"/>
      <c r="D408" s="89"/>
      <c r="E408" s="89"/>
      <c r="F408" s="73"/>
      <c r="G408" s="73"/>
      <c r="H408" s="73"/>
      <c r="I408" s="73"/>
      <c r="J408" s="73"/>
      <c r="K408" s="73"/>
      <c r="L408" s="73"/>
      <c r="M408" s="74"/>
      <c r="N408" s="71" t="str">
        <f t="shared" si="6"/>
        <v/>
      </c>
      <c r="O408" s="72"/>
      <c r="P408" s="72"/>
      <c r="Q408" s="72"/>
      <c r="R408" s="72"/>
      <c r="S408" s="72"/>
      <c r="T408" s="72"/>
      <c r="U408" s="72"/>
      <c r="V408" s="72"/>
    </row>
    <row r="409" spans="1:25" ht="27.75" customHeight="1">
      <c r="A409" s="87" t="str">
        <f>IF(ISBLANK(C409)," ",404-COUNTBLANK($C$6:C409))</f>
        <v xml:space="preserve"> </v>
      </c>
      <c r="B409" s="88"/>
      <c r="C409" s="88"/>
      <c r="D409" s="89"/>
      <c r="E409" s="89"/>
      <c r="F409" s="73"/>
      <c r="G409" s="73"/>
      <c r="H409" s="73"/>
      <c r="I409" s="73"/>
      <c r="J409" s="73"/>
      <c r="K409" s="73"/>
      <c r="L409" s="73"/>
      <c r="M409" s="74"/>
      <c r="N409" s="71" t="str">
        <f t="shared" si="6"/>
        <v/>
      </c>
      <c r="O409" s="72"/>
      <c r="P409" s="72"/>
      <c r="Q409" s="72"/>
      <c r="R409" s="72"/>
      <c r="S409" s="72"/>
      <c r="T409" s="72"/>
      <c r="U409" s="72"/>
      <c r="V409" s="72"/>
    </row>
    <row r="410" spans="1:25" ht="27.75" customHeight="1">
      <c r="A410" s="87" t="str">
        <f>IF(ISBLANK(C410)," ",405-COUNTBLANK($C$6:C410))</f>
        <v xml:space="preserve"> </v>
      </c>
      <c r="B410" s="88"/>
      <c r="C410" s="88"/>
      <c r="D410" s="89"/>
      <c r="E410" s="89"/>
      <c r="F410" s="73"/>
      <c r="G410" s="73"/>
      <c r="H410" s="73"/>
      <c r="I410" s="73"/>
      <c r="J410" s="73"/>
      <c r="K410" s="73"/>
      <c r="L410" s="73"/>
      <c r="M410" s="74"/>
      <c r="N410" s="71" t="str">
        <f t="shared" si="6"/>
        <v/>
      </c>
      <c r="O410" s="72"/>
      <c r="P410" s="72"/>
      <c r="Q410" s="72"/>
      <c r="R410" s="72"/>
      <c r="S410" s="72"/>
      <c r="T410" s="72"/>
      <c r="U410" s="72"/>
      <c r="V410" s="72"/>
    </row>
    <row r="411" spans="1:25" ht="27.75" customHeight="1">
      <c r="A411" s="87" t="str">
        <f>IF(ISBLANK(C411)," ",406-COUNTBLANK($C$6:C411))</f>
        <v xml:space="preserve"> </v>
      </c>
      <c r="B411" s="88"/>
      <c r="C411" s="88"/>
      <c r="D411" s="89"/>
      <c r="E411" s="89"/>
      <c r="F411" s="73"/>
      <c r="G411" s="73"/>
      <c r="H411" s="73"/>
      <c r="I411" s="73"/>
      <c r="J411" s="73"/>
      <c r="K411" s="73"/>
      <c r="L411" s="73"/>
      <c r="M411" s="74"/>
      <c r="N411" s="71" t="str">
        <f t="shared" si="6"/>
        <v/>
      </c>
      <c r="O411" s="72"/>
      <c r="P411" s="72"/>
      <c r="Q411" s="72"/>
      <c r="R411" s="72"/>
      <c r="S411" s="72"/>
      <c r="T411" s="72"/>
      <c r="U411" s="72"/>
      <c r="V411" s="72"/>
    </row>
    <row r="412" spans="1:25" ht="27.75" customHeight="1">
      <c r="A412" s="87" t="str">
        <f>IF(ISBLANK(C412)," ",407-COUNTBLANK($C$6:C412))</f>
        <v xml:space="preserve"> </v>
      </c>
      <c r="B412" s="88"/>
      <c r="C412" s="88"/>
      <c r="D412" s="89"/>
      <c r="E412" s="89"/>
      <c r="F412" s="73"/>
      <c r="G412" s="73"/>
      <c r="H412" s="73"/>
      <c r="I412" s="73"/>
      <c r="J412" s="73"/>
      <c r="K412" s="73"/>
      <c r="L412" s="73"/>
      <c r="M412" s="74"/>
      <c r="N412" s="71" t="str">
        <f t="shared" si="6"/>
        <v/>
      </c>
      <c r="O412" s="72"/>
      <c r="P412" s="72"/>
      <c r="Q412" s="72"/>
      <c r="R412" s="72"/>
      <c r="S412" s="72"/>
      <c r="T412" s="72"/>
      <c r="U412" s="72"/>
      <c r="V412" s="72"/>
    </row>
    <row r="413" spans="1:25" ht="27.75" customHeight="1">
      <c r="A413" s="87" t="str">
        <f>IF(ISBLANK(C413)," ",408-COUNTBLANK($C$6:C413))</f>
        <v xml:space="preserve"> </v>
      </c>
      <c r="B413" s="88"/>
      <c r="C413" s="88"/>
      <c r="D413" s="89"/>
      <c r="E413" s="89"/>
      <c r="F413" s="73"/>
      <c r="G413" s="73"/>
      <c r="H413" s="73"/>
      <c r="I413" s="73"/>
      <c r="J413" s="73"/>
      <c r="K413" s="73"/>
      <c r="L413" s="73"/>
      <c r="M413" s="74"/>
      <c r="N413" s="71" t="str">
        <f t="shared" si="6"/>
        <v/>
      </c>
      <c r="O413" s="72"/>
      <c r="P413" s="72"/>
      <c r="Q413" s="72"/>
      <c r="R413" s="72"/>
      <c r="S413" s="72"/>
      <c r="T413" s="72"/>
      <c r="U413" s="72"/>
      <c r="V413" s="72"/>
    </row>
    <row r="414" spans="1:25" ht="27.75" customHeight="1">
      <c r="A414" s="87" t="str">
        <f>IF(ISBLANK(C414)," ",409-COUNTBLANK($C$6:C414))</f>
        <v xml:space="preserve"> </v>
      </c>
      <c r="B414" s="88"/>
      <c r="C414" s="88"/>
      <c r="D414" s="89"/>
      <c r="E414" s="89"/>
      <c r="F414" s="73"/>
      <c r="G414" s="73"/>
      <c r="H414" s="73"/>
      <c r="I414" s="73"/>
      <c r="J414" s="73"/>
      <c r="K414" s="73"/>
      <c r="L414" s="73"/>
      <c r="M414" s="74"/>
      <c r="N414" s="71" t="str">
        <f t="shared" si="6"/>
        <v/>
      </c>
      <c r="O414" s="72"/>
      <c r="P414" s="72"/>
      <c r="Q414" s="72"/>
      <c r="R414" s="72"/>
      <c r="S414" s="72"/>
      <c r="T414" s="72"/>
      <c r="U414" s="72"/>
      <c r="V414" s="72"/>
    </row>
    <row r="415" spans="1:25" ht="27.75" customHeight="1">
      <c r="A415" s="87" t="str">
        <f>IF(ISBLANK(C415)," ",410-COUNTBLANK($C$6:C415))</f>
        <v xml:space="preserve"> </v>
      </c>
      <c r="B415" s="88"/>
      <c r="C415" s="88"/>
      <c r="D415" s="89"/>
      <c r="E415" s="89"/>
      <c r="F415" s="73"/>
      <c r="G415" s="73"/>
      <c r="H415" s="73"/>
      <c r="I415" s="73"/>
      <c r="J415" s="73"/>
      <c r="K415" s="73"/>
      <c r="L415" s="73"/>
      <c r="M415" s="74"/>
      <c r="N415" s="71" t="str">
        <f t="shared" si="6"/>
        <v/>
      </c>
      <c r="O415" s="72"/>
      <c r="P415" s="72"/>
      <c r="Q415" s="72"/>
      <c r="R415" s="72"/>
      <c r="S415" s="72"/>
      <c r="T415" s="72"/>
      <c r="U415" s="72"/>
      <c r="V415" s="72"/>
    </row>
    <row r="416" spans="1:25" ht="27.75" customHeight="1">
      <c r="A416" s="87" t="str">
        <f>IF(ISBLANK(C416)," ",411-COUNTBLANK($C$6:C416))</f>
        <v xml:space="preserve"> </v>
      </c>
      <c r="B416" s="88"/>
      <c r="C416" s="88"/>
      <c r="D416" s="89"/>
      <c r="E416" s="89"/>
      <c r="F416" s="73"/>
      <c r="G416" s="73"/>
      <c r="H416" s="73"/>
      <c r="I416" s="73"/>
      <c r="J416" s="73"/>
      <c r="K416" s="73"/>
      <c r="L416" s="73"/>
      <c r="M416" s="74"/>
      <c r="N416" s="71" t="str">
        <f t="shared" si="6"/>
        <v/>
      </c>
      <c r="O416" s="72"/>
      <c r="P416" s="72"/>
      <c r="Q416" s="72"/>
      <c r="R416" s="72"/>
      <c r="S416" s="72"/>
      <c r="T416" s="72"/>
      <c r="U416" s="72"/>
      <c r="V416" s="72"/>
    </row>
    <row r="417" spans="1:25" ht="27.75" customHeight="1">
      <c r="A417" s="87" t="str">
        <f>IF(ISBLANK(C417)," ",412-COUNTBLANK($C$6:C417))</f>
        <v xml:space="preserve"> </v>
      </c>
      <c r="B417" s="88"/>
      <c r="C417" s="88"/>
      <c r="D417" s="89"/>
      <c r="E417" s="89"/>
      <c r="F417" s="73"/>
      <c r="G417" s="73"/>
      <c r="H417" s="73"/>
      <c r="I417" s="73"/>
      <c r="J417" s="73"/>
      <c r="K417" s="73"/>
      <c r="L417" s="73"/>
      <c r="M417" s="74"/>
      <c r="N417" s="71" t="str">
        <f t="shared" si="6"/>
        <v/>
      </c>
      <c r="O417" s="72"/>
      <c r="P417" s="72"/>
      <c r="Q417" s="72"/>
      <c r="R417" s="72"/>
      <c r="S417" s="72"/>
      <c r="T417" s="72"/>
      <c r="U417" s="72"/>
      <c r="V417" s="72"/>
    </row>
    <row r="418" spans="1:25" ht="27.75" customHeight="1">
      <c r="A418" s="87" t="str">
        <f>IF(ISBLANK(C418)," ",413-COUNTBLANK($C$6:C418))</f>
        <v xml:space="preserve"> </v>
      </c>
      <c r="B418" s="88"/>
      <c r="C418" s="88"/>
      <c r="D418" s="89"/>
      <c r="E418" s="89"/>
      <c r="F418" s="73"/>
      <c r="G418" s="73"/>
      <c r="H418" s="73"/>
      <c r="I418" s="73"/>
      <c r="J418" s="73"/>
      <c r="K418" s="73"/>
      <c r="L418" s="73"/>
      <c r="M418" s="74"/>
      <c r="N418" s="71" t="str">
        <f t="shared" si="6"/>
        <v/>
      </c>
      <c r="O418" s="72"/>
      <c r="P418" s="72"/>
      <c r="Q418" s="72"/>
      <c r="R418" s="72"/>
      <c r="S418" s="72"/>
      <c r="T418" s="72"/>
      <c r="U418" s="72"/>
      <c r="V418" s="72"/>
    </row>
    <row r="419" spans="1:25" ht="27.75" customHeight="1">
      <c r="A419" s="87" t="str">
        <f>IF(ISBLANK(C419)," ",414-COUNTBLANK($C$6:C419))</f>
        <v xml:space="preserve"> </v>
      </c>
      <c r="B419" s="88"/>
      <c r="C419" s="88"/>
      <c r="D419" s="89"/>
      <c r="E419" s="89"/>
      <c r="F419" s="73"/>
      <c r="G419" s="73"/>
      <c r="H419" s="73"/>
      <c r="I419" s="73"/>
      <c r="J419" s="73"/>
      <c r="K419" s="73"/>
      <c r="L419" s="73"/>
      <c r="M419" s="74"/>
      <c r="N419" s="71" t="str">
        <f t="shared" si="6"/>
        <v/>
      </c>
      <c r="O419" s="72"/>
      <c r="P419" s="72"/>
      <c r="Q419" s="72"/>
      <c r="R419" s="72"/>
      <c r="S419" s="72"/>
      <c r="T419" s="72"/>
      <c r="U419" s="72"/>
      <c r="V419" s="72"/>
    </row>
    <row r="420" spans="1:25" ht="27.75" customHeight="1">
      <c r="A420" s="87" t="str">
        <f>IF(ISBLANK(C420)," ",415-COUNTBLANK($C$6:C420))</f>
        <v xml:space="preserve"> </v>
      </c>
      <c r="B420" s="88"/>
      <c r="C420" s="88"/>
      <c r="D420" s="89"/>
      <c r="E420" s="89"/>
      <c r="F420" s="73"/>
      <c r="G420" s="73"/>
      <c r="H420" s="73"/>
      <c r="I420" s="73"/>
      <c r="J420" s="73"/>
      <c r="K420" s="73"/>
      <c r="L420" s="73"/>
      <c r="M420" s="74"/>
      <c r="N420" s="71" t="str">
        <f t="shared" si="6"/>
        <v/>
      </c>
      <c r="O420" s="75"/>
      <c r="P420" s="72"/>
      <c r="Q420" s="72"/>
      <c r="R420" s="72"/>
      <c r="S420" s="72"/>
      <c r="T420" s="72"/>
      <c r="U420" s="72"/>
      <c r="V420" s="76"/>
    </row>
    <row r="421" spans="1:25" ht="27.75" customHeight="1">
      <c r="A421" s="87" t="str">
        <f>IF(ISBLANK(C421)," ",416-COUNTBLANK($C$6:C421))</f>
        <v xml:space="preserve"> </v>
      </c>
      <c r="B421" s="88"/>
      <c r="C421" s="88"/>
      <c r="D421" s="89"/>
      <c r="E421" s="89"/>
      <c r="F421" s="73"/>
      <c r="G421" s="73"/>
      <c r="H421" s="73"/>
      <c r="I421" s="73"/>
      <c r="J421" s="73"/>
      <c r="K421" s="73"/>
      <c r="L421" s="73"/>
      <c r="M421" s="74"/>
      <c r="N421" s="71" t="str">
        <f t="shared" si="6"/>
        <v/>
      </c>
      <c r="O421" s="75"/>
      <c r="P421" s="72"/>
      <c r="Q421" s="72"/>
      <c r="R421" s="72"/>
      <c r="S421" s="72"/>
      <c r="T421" s="72"/>
      <c r="U421" s="72"/>
      <c r="V421" s="76"/>
    </row>
    <row r="422" spans="1:25" ht="27.75" customHeight="1">
      <c r="A422" s="87" t="str">
        <f>IF(ISBLANK(C422)," ",417-COUNTBLANK($C$6:C422))</f>
        <v xml:space="preserve"> </v>
      </c>
      <c r="B422" s="88"/>
      <c r="C422" s="88"/>
      <c r="D422" s="89"/>
      <c r="E422" s="89"/>
      <c r="F422" s="73"/>
      <c r="G422" s="73"/>
      <c r="H422" s="73"/>
      <c r="I422" s="73"/>
      <c r="J422" s="73"/>
      <c r="K422" s="73"/>
      <c r="L422" s="73"/>
      <c r="M422" s="74"/>
      <c r="N422" s="71" t="str">
        <f t="shared" si="6"/>
        <v/>
      </c>
      <c r="O422" s="75"/>
      <c r="P422" s="72"/>
      <c r="Q422" s="72"/>
      <c r="R422" s="72"/>
      <c r="S422" s="72"/>
      <c r="T422" s="72"/>
      <c r="U422" s="72"/>
      <c r="V422" s="76"/>
    </row>
    <row r="423" spans="1:25" ht="27.75" customHeight="1">
      <c r="A423" s="87" t="str">
        <f>IF(ISBLANK(C423)," ",418-COUNTBLANK($C$6:C423))</f>
        <v xml:space="preserve"> </v>
      </c>
      <c r="B423" s="88"/>
      <c r="C423" s="88"/>
      <c r="D423" s="89"/>
      <c r="E423" s="89"/>
      <c r="F423" s="73"/>
      <c r="G423" s="73"/>
      <c r="H423" s="73"/>
      <c r="I423" s="73"/>
      <c r="J423" s="73"/>
      <c r="K423" s="73"/>
      <c r="L423" s="73"/>
      <c r="M423" s="74"/>
      <c r="N423" s="71" t="str">
        <f t="shared" si="6"/>
        <v/>
      </c>
      <c r="O423" s="75"/>
      <c r="P423" s="72"/>
      <c r="Q423" s="72"/>
      <c r="R423" s="72"/>
      <c r="S423" s="72"/>
      <c r="T423" s="72"/>
      <c r="U423" s="72"/>
      <c r="V423" s="76"/>
    </row>
    <row r="424" spans="1:25" ht="27.75" customHeight="1">
      <c r="A424" s="87" t="str">
        <f>IF(ISBLANK(C424)," ",419-COUNTBLANK($C$6:C424))</f>
        <v xml:space="preserve"> </v>
      </c>
      <c r="B424" s="88"/>
      <c r="C424" s="88"/>
      <c r="D424" s="89"/>
      <c r="E424" s="89"/>
      <c r="F424" s="73"/>
      <c r="G424" s="73"/>
      <c r="H424" s="73"/>
      <c r="I424" s="73"/>
      <c r="J424" s="73"/>
      <c r="K424" s="73"/>
      <c r="L424" s="73"/>
      <c r="M424" s="74"/>
      <c r="N424" s="71" t="str">
        <f t="shared" si="6"/>
        <v/>
      </c>
      <c r="O424" s="72"/>
      <c r="P424" s="72"/>
      <c r="Q424" s="72"/>
      <c r="R424" s="72"/>
      <c r="S424" s="72"/>
      <c r="T424" s="72"/>
      <c r="U424" s="72"/>
      <c r="V424" s="79"/>
      <c r="W424" s="72"/>
      <c r="X424" s="72"/>
      <c r="Y424" s="72"/>
    </row>
    <row r="425" spans="1:25" ht="27.75" customHeight="1">
      <c r="A425" s="80" t="s">
        <v>58</v>
      </c>
      <c r="B425" s="81"/>
      <c r="C425" s="96"/>
      <c r="D425" s="82"/>
      <c r="E425" s="82">
        <f>SUM(E405:E424)</f>
        <v>0</v>
      </c>
      <c r="F425" s="83"/>
      <c r="G425" s="83"/>
      <c r="H425" s="83"/>
      <c r="I425" s="83"/>
      <c r="J425" s="83"/>
      <c r="K425" s="83"/>
      <c r="L425" s="83"/>
      <c r="M425" s="84"/>
      <c r="N425" s="71" t="str">
        <f t="shared" si="6"/>
        <v/>
      </c>
      <c r="O425" s="75"/>
      <c r="P425" s="72"/>
      <c r="Q425" s="72"/>
      <c r="R425" s="72"/>
      <c r="S425" s="72"/>
      <c r="T425" s="72"/>
      <c r="U425" s="72"/>
      <c r="V425" s="79"/>
      <c r="W425" s="72"/>
      <c r="X425" s="72"/>
      <c r="Y425" s="72"/>
    </row>
    <row r="426" spans="1:25" ht="27.75" customHeight="1">
      <c r="A426" s="93" t="str">
        <f>IF(ISBLANK(C426)," ",421-COUNTBLANK($C$6:C426))</f>
        <v xml:space="preserve"> </v>
      </c>
      <c r="B426" s="94"/>
      <c r="C426" s="94"/>
      <c r="D426" s="95"/>
      <c r="E426" s="95"/>
      <c r="F426" s="85"/>
      <c r="G426" s="85"/>
      <c r="H426" s="85"/>
      <c r="I426" s="85"/>
      <c r="J426" s="85"/>
      <c r="K426" s="85"/>
      <c r="L426" s="85"/>
      <c r="M426" s="86"/>
      <c r="N426" s="71" t="str">
        <f t="shared" si="6"/>
        <v/>
      </c>
      <c r="O426" s="72"/>
      <c r="P426" s="72"/>
      <c r="Q426" s="72"/>
      <c r="R426" s="72"/>
      <c r="S426" s="72"/>
      <c r="T426" s="72"/>
      <c r="U426" s="72"/>
      <c r="V426" s="72"/>
    </row>
    <row r="427" spans="1:25" ht="27.75" customHeight="1">
      <c r="A427" s="87" t="str">
        <f>IF(ISBLANK(C427)," ",422-COUNTBLANK($C$6:C427))</f>
        <v xml:space="preserve"> </v>
      </c>
      <c r="B427" s="88"/>
      <c r="C427" s="88"/>
      <c r="D427" s="89"/>
      <c r="E427" s="89"/>
      <c r="F427" s="73"/>
      <c r="G427" s="73"/>
      <c r="H427" s="73"/>
      <c r="I427" s="73"/>
      <c r="J427" s="73"/>
      <c r="K427" s="73"/>
      <c r="L427" s="73"/>
      <c r="M427" s="74"/>
      <c r="N427" s="71" t="str">
        <f t="shared" si="6"/>
        <v/>
      </c>
      <c r="O427" s="72"/>
      <c r="P427" s="72"/>
      <c r="Q427" s="72"/>
      <c r="R427" s="72"/>
      <c r="S427" s="72"/>
      <c r="T427" s="72"/>
      <c r="U427" s="72"/>
      <c r="V427" s="72"/>
    </row>
    <row r="428" spans="1:25" ht="27.75" customHeight="1">
      <c r="A428" s="87" t="str">
        <f>IF(ISBLANK(C428)," ",423-COUNTBLANK($C$6:C428))</f>
        <v xml:space="preserve"> </v>
      </c>
      <c r="B428" s="88"/>
      <c r="C428" s="88"/>
      <c r="D428" s="89"/>
      <c r="E428" s="89"/>
      <c r="F428" s="73"/>
      <c r="G428" s="73"/>
      <c r="H428" s="73"/>
      <c r="I428" s="73"/>
      <c r="J428" s="73"/>
      <c r="K428" s="73"/>
      <c r="L428" s="73"/>
      <c r="M428" s="74"/>
      <c r="N428" s="71" t="str">
        <f t="shared" si="6"/>
        <v/>
      </c>
      <c r="O428" s="72"/>
      <c r="P428" s="72"/>
      <c r="Q428" s="72"/>
      <c r="R428" s="72"/>
      <c r="S428" s="72"/>
      <c r="T428" s="72"/>
      <c r="U428" s="72"/>
      <c r="V428" s="72"/>
    </row>
    <row r="429" spans="1:25" ht="27.75" customHeight="1">
      <c r="A429" s="87" t="str">
        <f>IF(ISBLANK(C429)," ",424-COUNTBLANK($C$6:C429))</f>
        <v xml:space="preserve"> </v>
      </c>
      <c r="B429" s="88"/>
      <c r="C429" s="88"/>
      <c r="D429" s="89"/>
      <c r="E429" s="89"/>
      <c r="F429" s="73"/>
      <c r="G429" s="73"/>
      <c r="H429" s="73"/>
      <c r="I429" s="73"/>
      <c r="J429" s="73"/>
      <c r="K429" s="73"/>
      <c r="L429" s="73"/>
      <c r="M429" s="74"/>
      <c r="N429" s="71" t="str">
        <f t="shared" si="6"/>
        <v/>
      </c>
      <c r="O429" s="72"/>
      <c r="P429" s="72"/>
      <c r="Q429" s="72"/>
      <c r="R429" s="72"/>
      <c r="S429" s="72"/>
      <c r="T429" s="72"/>
      <c r="U429" s="72"/>
      <c r="V429" s="72"/>
    </row>
    <row r="430" spans="1:25" ht="27.75" customHeight="1">
      <c r="A430" s="87" t="str">
        <f>IF(ISBLANK(C430)," ",425-COUNTBLANK($C$6:C430))</f>
        <v xml:space="preserve"> </v>
      </c>
      <c r="B430" s="88"/>
      <c r="C430" s="88"/>
      <c r="D430" s="89"/>
      <c r="E430" s="89"/>
      <c r="F430" s="73"/>
      <c r="G430" s="73"/>
      <c r="H430" s="73"/>
      <c r="I430" s="73"/>
      <c r="J430" s="73"/>
      <c r="K430" s="73"/>
      <c r="L430" s="73"/>
      <c r="M430" s="74"/>
      <c r="N430" s="71" t="str">
        <f t="shared" si="6"/>
        <v/>
      </c>
      <c r="O430" s="72"/>
      <c r="P430" s="72"/>
      <c r="Q430" s="72"/>
      <c r="R430" s="72"/>
      <c r="S430" s="72"/>
      <c r="T430" s="72"/>
      <c r="U430" s="72"/>
      <c r="V430" s="72"/>
    </row>
    <row r="431" spans="1:25" ht="27.75" customHeight="1">
      <c r="A431" s="87" t="str">
        <f>IF(ISBLANK(C431)," ",426-COUNTBLANK($C$6:C431))</f>
        <v xml:space="preserve"> </v>
      </c>
      <c r="B431" s="88"/>
      <c r="C431" s="88"/>
      <c r="D431" s="89"/>
      <c r="E431" s="89"/>
      <c r="F431" s="73"/>
      <c r="G431" s="73"/>
      <c r="H431" s="73"/>
      <c r="I431" s="73"/>
      <c r="J431" s="73"/>
      <c r="K431" s="73"/>
      <c r="L431" s="73"/>
      <c r="M431" s="74"/>
      <c r="N431" s="71" t="str">
        <f t="shared" si="6"/>
        <v/>
      </c>
      <c r="O431" s="72"/>
      <c r="P431" s="72"/>
      <c r="Q431" s="72"/>
      <c r="R431" s="72"/>
      <c r="S431" s="72"/>
      <c r="T431" s="72"/>
      <c r="U431" s="72"/>
      <c r="V431" s="72"/>
    </row>
    <row r="432" spans="1:25" ht="27.75" customHeight="1">
      <c r="A432" s="87" t="str">
        <f>IF(ISBLANK(C432)," ",427-COUNTBLANK($C$6:C432))</f>
        <v xml:space="preserve"> </v>
      </c>
      <c r="B432" s="88"/>
      <c r="C432" s="88"/>
      <c r="D432" s="89"/>
      <c r="E432" s="89"/>
      <c r="F432" s="73"/>
      <c r="G432" s="73"/>
      <c r="H432" s="73"/>
      <c r="I432" s="73"/>
      <c r="J432" s="73"/>
      <c r="K432" s="73"/>
      <c r="L432" s="73"/>
      <c r="M432" s="74"/>
      <c r="N432" s="71" t="str">
        <f t="shared" si="6"/>
        <v/>
      </c>
      <c r="O432" s="72"/>
      <c r="P432" s="72"/>
      <c r="Q432" s="72"/>
      <c r="R432" s="72"/>
      <c r="S432" s="72"/>
      <c r="T432" s="72"/>
      <c r="U432" s="72"/>
      <c r="V432" s="72"/>
    </row>
    <row r="433" spans="1:25" ht="27.75" customHeight="1">
      <c r="A433" s="87" t="str">
        <f>IF(ISBLANK(C433)," ",428-COUNTBLANK($C$6:C433))</f>
        <v xml:space="preserve"> </v>
      </c>
      <c r="B433" s="88"/>
      <c r="C433" s="88"/>
      <c r="D433" s="89"/>
      <c r="E433" s="89"/>
      <c r="F433" s="73"/>
      <c r="G433" s="73"/>
      <c r="H433" s="73"/>
      <c r="I433" s="73"/>
      <c r="J433" s="73"/>
      <c r="K433" s="73"/>
      <c r="L433" s="73"/>
      <c r="M433" s="74"/>
      <c r="N433" s="71" t="str">
        <f t="shared" si="6"/>
        <v/>
      </c>
      <c r="O433" s="72"/>
      <c r="P433" s="72"/>
      <c r="Q433" s="72"/>
      <c r="R433" s="72"/>
      <c r="S433" s="72"/>
      <c r="T433" s="72"/>
      <c r="U433" s="72"/>
      <c r="V433" s="72"/>
    </row>
    <row r="434" spans="1:25" ht="27.75" customHeight="1">
      <c r="A434" s="87" t="str">
        <f>IF(ISBLANK(C434)," ",429-COUNTBLANK($C$6:C434))</f>
        <v xml:space="preserve"> </v>
      </c>
      <c r="B434" s="88"/>
      <c r="C434" s="88"/>
      <c r="D434" s="89"/>
      <c r="E434" s="89"/>
      <c r="F434" s="73"/>
      <c r="G434" s="73"/>
      <c r="H434" s="73"/>
      <c r="I434" s="73"/>
      <c r="J434" s="73"/>
      <c r="K434" s="73"/>
      <c r="L434" s="73"/>
      <c r="M434" s="74"/>
      <c r="N434" s="71" t="str">
        <f t="shared" si="6"/>
        <v/>
      </c>
      <c r="O434" s="72"/>
      <c r="P434" s="72"/>
      <c r="Q434" s="72"/>
      <c r="R434" s="72"/>
      <c r="S434" s="72"/>
      <c r="T434" s="72"/>
      <c r="U434" s="72"/>
      <c r="V434" s="72"/>
    </row>
    <row r="435" spans="1:25" ht="27.75" customHeight="1">
      <c r="A435" s="87" t="str">
        <f>IF(ISBLANK(C435)," ",430-COUNTBLANK($C$6:C435))</f>
        <v xml:space="preserve"> </v>
      </c>
      <c r="B435" s="88"/>
      <c r="C435" s="88"/>
      <c r="D435" s="89"/>
      <c r="E435" s="89"/>
      <c r="F435" s="73"/>
      <c r="G435" s="73"/>
      <c r="H435" s="73"/>
      <c r="I435" s="73"/>
      <c r="J435" s="73"/>
      <c r="K435" s="73"/>
      <c r="L435" s="73"/>
      <c r="M435" s="74"/>
      <c r="N435" s="71" t="str">
        <f t="shared" si="6"/>
        <v/>
      </c>
      <c r="O435" s="72"/>
      <c r="P435" s="72"/>
      <c r="Q435" s="72"/>
      <c r="R435" s="72"/>
      <c r="S435" s="72"/>
      <c r="T435" s="72"/>
      <c r="U435" s="72"/>
      <c r="V435" s="72"/>
    </row>
    <row r="436" spans="1:25" ht="27.75" customHeight="1">
      <c r="A436" s="87" t="str">
        <f>IF(ISBLANK(C436)," ",431-COUNTBLANK($C$6:C436))</f>
        <v xml:space="preserve"> </v>
      </c>
      <c r="B436" s="88"/>
      <c r="C436" s="88"/>
      <c r="D436" s="89"/>
      <c r="E436" s="89"/>
      <c r="F436" s="73"/>
      <c r="G436" s="73"/>
      <c r="H436" s="73"/>
      <c r="I436" s="73"/>
      <c r="J436" s="73"/>
      <c r="K436" s="73"/>
      <c r="L436" s="73"/>
      <c r="M436" s="74"/>
      <c r="N436" s="71" t="str">
        <f t="shared" si="6"/>
        <v/>
      </c>
      <c r="O436" s="72"/>
      <c r="P436" s="72"/>
      <c r="Q436" s="72"/>
      <c r="R436" s="72"/>
      <c r="S436" s="72"/>
      <c r="T436" s="72"/>
      <c r="U436" s="72"/>
      <c r="V436" s="72"/>
    </row>
    <row r="437" spans="1:25" ht="27.75" customHeight="1">
      <c r="A437" s="87" t="str">
        <f>IF(ISBLANK(C437)," ",432-COUNTBLANK($C$6:C437))</f>
        <v xml:space="preserve"> </v>
      </c>
      <c r="B437" s="88"/>
      <c r="C437" s="88"/>
      <c r="D437" s="89"/>
      <c r="E437" s="89"/>
      <c r="F437" s="73"/>
      <c r="G437" s="73"/>
      <c r="H437" s="73"/>
      <c r="I437" s="73"/>
      <c r="J437" s="73"/>
      <c r="K437" s="73"/>
      <c r="L437" s="73"/>
      <c r="M437" s="74"/>
      <c r="N437" s="71" t="str">
        <f t="shared" si="6"/>
        <v/>
      </c>
      <c r="O437" s="72"/>
      <c r="P437" s="72"/>
      <c r="Q437" s="72"/>
      <c r="R437" s="72"/>
      <c r="S437" s="72"/>
      <c r="T437" s="72"/>
      <c r="U437" s="72"/>
      <c r="V437" s="72"/>
    </row>
    <row r="438" spans="1:25" ht="27.75" customHeight="1">
      <c r="A438" s="87" t="str">
        <f>IF(ISBLANK(C438)," ",433-COUNTBLANK($C$6:C438))</f>
        <v xml:space="preserve"> </v>
      </c>
      <c r="B438" s="88"/>
      <c r="C438" s="88"/>
      <c r="D438" s="89"/>
      <c r="E438" s="89"/>
      <c r="F438" s="73"/>
      <c r="G438" s="73"/>
      <c r="H438" s="73"/>
      <c r="I438" s="73"/>
      <c r="J438" s="73"/>
      <c r="K438" s="73"/>
      <c r="L438" s="73"/>
      <c r="M438" s="74"/>
      <c r="N438" s="71" t="str">
        <f t="shared" si="6"/>
        <v/>
      </c>
      <c r="O438" s="72"/>
      <c r="P438" s="72"/>
      <c r="Q438" s="72"/>
      <c r="R438" s="72"/>
      <c r="S438" s="72"/>
      <c r="T438" s="72"/>
      <c r="U438" s="72"/>
      <c r="V438" s="72"/>
    </row>
    <row r="439" spans="1:25" ht="27.75" customHeight="1">
      <c r="A439" s="87" t="str">
        <f>IF(ISBLANK(C439)," ",434-COUNTBLANK($C$6:C439))</f>
        <v xml:space="preserve"> </v>
      </c>
      <c r="B439" s="88"/>
      <c r="C439" s="88"/>
      <c r="D439" s="89"/>
      <c r="E439" s="89"/>
      <c r="F439" s="73"/>
      <c r="G439" s="73"/>
      <c r="H439" s="73"/>
      <c r="I439" s="73"/>
      <c r="J439" s="73"/>
      <c r="K439" s="73"/>
      <c r="L439" s="73"/>
      <c r="M439" s="74"/>
      <c r="N439" s="71" t="str">
        <f t="shared" si="6"/>
        <v/>
      </c>
      <c r="O439" s="72"/>
      <c r="P439" s="72"/>
      <c r="Q439" s="72"/>
      <c r="R439" s="72"/>
      <c r="S439" s="72"/>
      <c r="T439" s="72"/>
      <c r="U439" s="72"/>
      <c r="V439" s="72"/>
    </row>
    <row r="440" spans="1:25" ht="27.75" customHeight="1">
      <c r="A440" s="87" t="str">
        <f>IF(ISBLANK(C440)," ",435-COUNTBLANK($C$6:C440))</f>
        <v xml:space="preserve"> </v>
      </c>
      <c r="B440" s="88"/>
      <c r="C440" s="88"/>
      <c r="D440" s="89"/>
      <c r="E440" s="89"/>
      <c r="F440" s="73"/>
      <c r="G440" s="73"/>
      <c r="H440" s="73"/>
      <c r="I440" s="73"/>
      <c r="J440" s="73"/>
      <c r="K440" s="73"/>
      <c r="L440" s="73"/>
      <c r="M440" s="74"/>
      <c r="N440" s="71" t="str">
        <f t="shared" si="6"/>
        <v/>
      </c>
      <c r="O440" s="72"/>
      <c r="P440" s="72"/>
      <c r="Q440" s="72"/>
      <c r="R440" s="72"/>
      <c r="S440" s="72"/>
      <c r="T440" s="72"/>
      <c r="U440" s="72"/>
      <c r="V440" s="72"/>
    </row>
    <row r="441" spans="1:25" ht="27.75" customHeight="1">
      <c r="A441" s="87" t="str">
        <f>IF(ISBLANK(C441)," ",436-COUNTBLANK($C$6:C441))</f>
        <v xml:space="preserve"> </v>
      </c>
      <c r="B441" s="88"/>
      <c r="C441" s="88"/>
      <c r="D441" s="89"/>
      <c r="E441" s="89"/>
      <c r="F441" s="73"/>
      <c r="G441" s="73"/>
      <c r="H441" s="73"/>
      <c r="I441" s="73"/>
      <c r="J441" s="73"/>
      <c r="K441" s="73"/>
      <c r="L441" s="73"/>
      <c r="M441" s="74"/>
      <c r="N441" s="71" t="str">
        <f t="shared" si="6"/>
        <v/>
      </c>
      <c r="O441" s="75"/>
      <c r="P441" s="72"/>
      <c r="Q441" s="72"/>
      <c r="R441" s="72"/>
      <c r="S441" s="72"/>
      <c r="T441" s="72"/>
      <c r="U441" s="72"/>
      <c r="V441" s="76"/>
    </row>
    <row r="442" spans="1:25" ht="27.75" customHeight="1">
      <c r="A442" s="87" t="str">
        <f>IF(ISBLANK(C442)," ",437-COUNTBLANK($C$6:C442))</f>
        <v xml:space="preserve"> </v>
      </c>
      <c r="B442" s="88"/>
      <c r="C442" s="88"/>
      <c r="D442" s="89"/>
      <c r="E442" s="89"/>
      <c r="F442" s="73"/>
      <c r="G442" s="73"/>
      <c r="H442" s="73"/>
      <c r="I442" s="73"/>
      <c r="J442" s="73"/>
      <c r="K442" s="73"/>
      <c r="L442" s="73"/>
      <c r="M442" s="74"/>
      <c r="N442" s="71" t="str">
        <f t="shared" si="6"/>
        <v/>
      </c>
      <c r="O442" s="75"/>
      <c r="P442" s="72"/>
      <c r="Q442" s="72"/>
      <c r="R442" s="72"/>
      <c r="S442" s="72"/>
      <c r="T442" s="72"/>
      <c r="U442" s="72"/>
      <c r="V442" s="76"/>
    </row>
    <row r="443" spans="1:25" ht="27.75" customHeight="1">
      <c r="A443" s="87" t="str">
        <f>IF(ISBLANK(C443)," ",438-COUNTBLANK($C$6:C443))</f>
        <v xml:space="preserve"> </v>
      </c>
      <c r="B443" s="88"/>
      <c r="C443" s="88"/>
      <c r="D443" s="89"/>
      <c r="E443" s="89"/>
      <c r="F443" s="73"/>
      <c r="G443" s="73"/>
      <c r="H443" s="73"/>
      <c r="I443" s="73"/>
      <c r="J443" s="73"/>
      <c r="K443" s="73"/>
      <c r="L443" s="73"/>
      <c r="M443" s="74"/>
      <c r="N443" s="71" t="str">
        <f t="shared" si="6"/>
        <v/>
      </c>
      <c r="O443" s="75"/>
      <c r="P443" s="72"/>
      <c r="Q443" s="72"/>
      <c r="R443" s="72"/>
      <c r="S443" s="72"/>
      <c r="T443" s="72"/>
      <c r="U443" s="72"/>
      <c r="V443" s="76"/>
    </row>
    <row r="444" spans="1:25" ht="27.75" customHeight="1">
      <c r="A444" s="87" t="str">
        <f>IF(ISBLANK(C444)," ",439-COUNTBLANK($C$6:C444))</f>
        <v xml:space="preserve"> </v>
      </c>
      <c r="B444" s="88"/>
      <c r="C444" s="88"/>
      <c r="D444" s="89"/>
      <c r="E444" s="89"/>
      <c r="F444" s="73"/>
      <c r="G444" s="73"/>
      <c r="H444" s="73"/>
      <c r="I444" s="73"/>
      <c r="J444" s="73"/>
      <c r="K444" s="73"/>
      <c r="L444" s="73"/>
      <c r="M444" s="74"/>
      <c r="N444" s="71" t="str">
        <f t="shared" si="6"/>
        <v/>
      </c>
      <c r="O444" s="75"/>
      <c r="P444" s="72"/>
      <c r="Q444" s="72"/>
      <c r="R444" s="72"/>
      <c r="S444" s="72"/>
      <c r="T444" s="72"/>
      <c r="U444" s="72"/>
      <c r="V444" s="76"/>
    </row>
    <row r="445" spans="1:25" ht="27.75" customHeight="1">
      <c r="A445" s="87" t="str">
        <f>IF(ISBLANK(C445)," ",440-COUNTBLANK($C$6:C445))</f>
        <v xml:space="preserve"> </v>
      </c>
      <c r="B445" s="88"/>
      <c r="C445" s="88"/>
      <c r="D445" s="89"/>
      <c r="E445" s="89"/>
      <c r="F445" s="73"/>
      <c r="G445" s="73"/>
      <c r="H445" s="73"/>
      <c r="I445" s="73"/>
      <c r="J445" s="73"/>
      <c r="K445" s="73"/>
      <c r="L445" s="73"/>
      <c r="M445" s="74"/>
      <c r="N445" s="71" t="str">
        <f t="shared" si="6"/>
        <v/>
      </c>
      <c r="O445" s="72"/>
      <c r="P445" s="72"/>
      <c r="Q445" s="72"/>
      <c r="R445" s="72"/>
      <c r="S445" s="72"/>
      <c r="T445" s="72"/>
      <c r="U445" s="72"/>
      <c r="V445" s="79"/>
      <c r="W445" s="72"/>
      <c r="X445" s="72"/>
      <c r="Y445" s="72"/>
    </row>
    <row r="446" spans="1:25" ht="27.75" customHeight="1">
      <c r="A446" s="80" t="s">
        <v>58</v>
      </c>
      <c r="B446" s="81"/>
      <c r="C446" s="96"/>
      <c r="D446" s="82"/>
      <c r="E446" s="82">
        <f>SUM(E426:E445)</f>
        <v>0</v>
      </c>
      <c r="F446" s="83"/>
      <c r="G446" s="83"/>
      <c r="H446" s="83"/>
      <c r="I446" s="83"/>
      <c r="J446" s="83"/>
      <c r="K446" s="83"/>
      <c r="L446" s="83"/>
      <c r="M446" s="84"/>
      <c r="N446" s="71" t="str">
        <f t="shared" si="6"/>
        <v/>
      </c>
      <c r="O446" s="75"/>
      <c r="P446" s="72"/>
      <c r="Q446" s="72"/>
      <c r="R446" s="72"/>
      <c r="S446" s="72"/>
      <c r="T446" s="72"/>
      <c r="U446" s="72"/>
      <c r="V446" s="79"/>
      <c r="W446" s="72"/>
      <c r="X446" s="72"/>
      <c r="Y446" s="72"/>
    </row>
    <row r="447" spans="1:25" ht="27.75" customHeight="1">
      <c r="A447" s="93" t="str">
        <f>IF(ISBLANK(C447)," ",442-COUNTBLANK($C$6:C447))</f>
        <v xml:space="preserve"> </v>
      </c>
      <c r="B447" s="94"/>
      <c r="C447" s="94"/>
      <c r="D447" s="95"/>
      <c r="E447" s="95"/>
      <c r="F447" s="85"/>
      <c r="G447" s="85"/>
      <c r="H447" s="85"/>
      <c r="I447" s="85"/>
      <c r="J447" s="85"/>
      <c r="K447" s="85"/>
      <c r="L447" s="85"/>
      <c r="M447" s="86"/>
      <c r="N447" s="71" t="str">
        <f t="shared" si="6"/>
        <v/>
      </c>
      <c r="O447" s="72"/>
      <c r="P447" s="72"/>
      <c r="Q447" s="72"/>
      <c r="R447" s="72"/>
      <c r="S447" s="72"/>
      <c r="T447" s="72"/>
      <c r="U447" s="72"/>
      <c r="V447" s="72"/>
    </row>
    <row r="448" spans="1:25" ht="27.75" customHeight="1">
      <c r="A448" s="87" t="str">
        <f>IF(ISBLANK(C448)," ",443-COUNTBLANK($C$6:C448))</f>
        <v xml:space="preserve"> </v>
      </c>
      <c r="B448" s="88"/>
      <c r="C448" s="88"/>
      <c r="D448" s="89"/>
      <c r="E448" s="89"/>
      <c r="F448" s="73"/>
      <c r="G448" s="73"/>
      <c r="H448" s="73"/>
      <c r="I448" s="73"/>
      <c r="J448" s="73"/>
      <c r="K448" s="73"/>
      <c r="L448" s="73"/>
      <c r="M448" s="74"/>
      <c r="N448" s="71" t="str">
        <f t="shared" si="6"/>
        <v/>
      </c>
      <c r="O448" s="72"/>
      <c r="P448" s="72"/>
      <c r="Q448" s="72"/>
      <c r="R448" s="72"/>
      <c r="S448" s="72"/>
      <c r="T448" s="72"/>
      <c r="U448" s="72"/>
      <c r="V448" s="72"/>
    </row>
    <row r="449" spans="1:22" ht="27.75" customHeight="1">
      <c r="A449" s="87" t="str">
        <f>IF(ISBLANK(C449)," ",444-COUNTBLANK($C$6:C449))</f>
        <v xml:space="preserve"> </v>
      </c>
      <c r="B449" s="88"/>
      <c r="C449" s="88"/>
      <c r="D449" s="89"/>
      <c r="E449" s="89"/>
      <c r="F449" s="73"/>
      <c r="G449" s="73"/>
      <c r="H449" s="73"/>
      <c r="I449" s="73"/>
      <c r="J449" s="73"/>
      <c r="K449" s="73"/>
      <c r="L449" s="73"/>
      <c r="M449" s="74"/>
      <c r="N449" s="71" t="str">
        <f t="shared" si="6"/>
        <v/>
      </c>
      <c r="O449" s="72"/>
      <c r="P449" s="72"/>
      <c r="Q449" s="72"/>
      <c r="R449" s="72"/>
      <c r="S449" s="72"/>
      <c r="T449" s="72"/>
      <c r="U449" s="72"/>
      <c r="V449" s="72"/>
    </row>
    <row r="450" spans="1:22" ht="27.75" customHeight="1">
      <c r="A450" s="87" t="str">
        <f>IF(ISBLANK(C450)," ",445-COUNTBLANK($C$6:C450))</f>
        <v xml:space="preserve"> </v>
      </c>
      <c r="B450" s="88"/>
      <c r="C450" s="88"/>
      <c r="D450" s="89"/>
      <c r="E450" s="89"/>
      <c r="F450" s="73"/>
      <c r="G450" s="73"/>
      <c r="H450" s="73"/>
      <c r="I450" s="73"/>
      <c r="J450" s="73"/>
      <c r="K450" s="73"/>
      <c r="L450" s="73"/>
      <c r="M450" s="74"/>
      <c r="N450" s="71" t="str">
        <f t="shared" si="6"/>
        <v/>
      </c>
      <c r="O450" s="72"/>
      <c r="P450" s="72"/>
      <c r="Q450" s="72"/>
      <c r="R450" s="72"/>
      <c r="S450" s="72"/>
      <c r="T450" s="72"/>
      <c r="U450" s="72"/>
      <c r="V450" s="72"/>
    </row>
    <row r="451" spans="1:22" ht="27.75" customHeight="1">
      <c r="A451" s="87" t="str">
        <f>IF(ISBLANK(C451)," ",446-COUNTBLANK($C$6:C451))</f>
        <v xml:space="preserve"> </v>
      </c>
      <c r="B451" s="88"/>
      <c r="C451" s="88"/>
      <c r="D451" s="89"/>
      <c r="E451" s="89"/>
      <c r="F451" s="73"/>
      <c r="G451" s="73"/>
      <c r="H451" s="73"/>
      <c r="I451" s="73"/>
      <c r="J451" s="73"/>
      <c r="K451" s="73"/>
      <c r="L451" s="73"/>
      <c r="M451" s="74"/>
      <c r="N451" s="71" t="str">
        <f t="shared" si="6"/>
        <v/>
      </c>
      <c r="O451" s="72"/>
      <c r="P451" s="72"/>
      <c r="Q451" s="72"/>
      <c r="R451" s="72"/>
      <c r="S451" s="72"/>
      <c r="T451" s="72"/>
      <c r="U451" s="72"/>
      <c r="V451" s="72"/>
    </row>
    <row r="452" spans="1:22" ht="27.75" customHeight="1">
      <c r="A452" s="87" t="str">
        <f>IF(ISBLANK(C452)," ",447-COUNTBLANK($C$6:C452))</f>
        <v xml:space="preserve"> </v>
      </c>
      <c r="B452" s="88"/>
      <c r="C452" s="88"/>
      <c r="D452" s="89"/>
      <c r="E452" s="89"/>
      <c r="F452" s="73"/>
      <c r="G452" s="73"/>
      <c r="H452" s="73"/>
      <c r="I452" s="73"/>
      <c r="J452" s="73"/>
      <c r="K452" s="73"/>
      <c r="L452" s="73"/>
      <c r="M452" s="74"/>
      <c r="N452" s="71" t="str">
        <f t="shared" si="6"/>
        <v/>
      </c>
      <c r="O452" s="72"/>
      <c r="P452" s="72"/>
      <c r="Q452" s="72"/>
      <c r="R452" s="72"/>
      <c r="S452" s="72"/>
      <c r="T452" s="72"/>
      <c r="U452" s="72"/>
      <c r="V452" s="72"/>
    </row>
    <row r="453" spans="1:22" ht="27.75" customHeight="1">
      <c r="A453" s="87" t="str">
        <f>IF(ISBLANK(C453)," ",448-COUNTBLANK($C$6:C453))</f>
        <v xml:space="preserve"> </v>
      </c>
      <c r="B453" s="88"/>
      <c r="C453" s="88"/>
      <c r="D453" s="89"/>
      <c r="E453" s="89"/>
      <c r="F453" s="73"/>
      <c r="G453" s="73"/>
      <c r="H453" s="73"/>
      <c r="I453" s="73"/>
      <c r="J453" s="73"/>
      <c r="K453" s="73"/>
      <c r="L453" s="73"/>
      <c r="M453" s="74"/>
      <c r="N453" s="71" t="str">
        <f t="shared" si="6"/>
        <v/>
      </c>
      <c r="O453" s="72"/>
      <c r="P453" s="72"/>
      <c r="Q453" s="72"/>
      <c r="R453" s="72"/>
      <c r="S453" s="72"/>
      <c r="T453" s="72"/>
      <c r="U453" s="72"/>
      <c r="V453" s="72"/>
    </row>
    <row r="454" spans="1:22" ht="27.75" customHeight="1">
      <c r="A454" s="87" t="str">
        <f>IF(ISBLANK(C454)," ",449-COUNTBLANK($C$6:C454))</f>
        <v xml:space="preserve"> </v>
      </c>
      <c r="B454" s="88"/>
      <c r="C454" s="88"/>
      <c r="D454" s="89"/>
      <c r="E454" s="89"/>
      <c r="F454" s="73"/>
      <c r="G454" s="73"/>
      <c r="H454" s="73"/>
      <c r="I454" s="73"/>
      <c r="J454" s="73"/>
      <c r="K454" s="73"/>
      <c r="L454" s="73"/>
      <c r="M454" s="74"/>
      <c r="N454" s="71" t="str">
        <f t="shared" ref="N454:N517" si="7">CONCATENATE(C454,H454)</f>
        <v/>
      </c>
      <c r="O454" s="72"/>
      <c r="P454" s="72"/>
      <c r="Q454" s="72"/>
      <c r="R454" s="72"/>
      <c r="S454" s="72"/>
      <c r="T454" s="72"/>
      <c r="U454" s="72"/>
      <c r="V454" s="72"/>
    </row>
    <row r="455" spans="1:22" ht="27.75" customHeight="1">
      <c r="A455" s="87" t="str">
        <f>IF(ISBLANK(C455)," ",450-COUNTBLANK($C$6:C455))</f>
        <v xml:space="preserve"> </v>
      </c>
      <c r="B455" s="88"/>
      <c r="C455" s="88"/>
      <c r="D455" s="89"/>
      <c r="E455" s="89"/>
      <c r="F455" s="73"/>
      <c r="G455" s="73"/>
      <c r="H455" s="73"/>
      <c r="I455" s="73"/>
      <c r="J455" s="73"/>
      <c r="K455" s="73"/>
      <c r="L455" s="73"/>
      <c r="M455" s="74"/>
      <c r="N455" s="71" t="str">
        <f t="shared" si="7"/>
        <v/>
      </c>
      <c r="O455" s="72"/>
      <c r="P455" s="72"/>
      <c r="Q455" s="72"/>
      <c r="R455" s="72"/>
      <c r="S455" s="72"/>
      <c r="T455" s="72"/>
      <c r="U455" s="72"/>
      <c r="V455" s="72"/>
    </row>
    <row r="456" spans="1:22" ht="27.75" customHeight="1">
      <c r="A456" s="87" t="str">
        <f>IF(ISBLANK(C456)," ",451-COUNTBLANK($C$6:C456))</f>
        <v xml:space="preserve"> </v>
      </c>
      <c r="B456" s="88"/>
      <c r="C456" s="88"/>
      <c r="D456" s="89"/>
      <c r="E456" s="89"/>
      <c r="F456" s="73"/>
      <c r="G456" s="73"/>
      <c r="H456" s="73"/>
      <c r="I456" s="73"/>
      <c r="J456" s="73"/>
      <c r="K456" s="73"/>
      <c r="L456" s="73"/>
      <c r="M456" s="74"/>
      <c r="N456" s="71" t="str">
        <f t="shared" si="7"/>
        <v/>
      </c>
      <c r="O456" s="72"/>
      <c r="P456" s="72"/>
      <c r="Q456" s="72"/>
      <c r="R456" s="72"/>
      <c r="S456" s="72"/>
      <c r="T456" s="72"/>
      <c r="U456" s="72"/>
      <c r="V456" s="72"/>
    </row>
    <row r="457" spans="1:22" ht="27.75" customHeight="1">
      <c r="A457" s="87" t="str">
        <f>IF(ISBLANK(C457)," ",452-COUNTBLANK($C$6:C457))</f>
        <v xml:space="preserve"> </v>
      </c>
      <c r="B457" s="88"/>
      <c r="C457" s="88"/>
      <c r="D457" s="89"/>
      <c r="E457" s="89"/>
      <c r="F457" s="73"/>
      <c r="G457" s="73"/>
      <c r="H457" s="73"/>
      <c r="I457" s="73"/>
      <c r="J457" s="73"/>
      <c r="K457" s="73"/>
      <c r="L457" s="73"/>
      <c r="M457" s="74"/>
      <c r="N457" s="71" t="str">
        <f t="shared" si="7"/>
        <v/>
      </c>
      <c r="O457" s="72"/>
      <c r="P457" s="72"/>
      <c r="Q457" s="72"/>
      <c r="R457" s="72"/>
      <c r="S457" s="72"/>
      <c r="T457" s="72"/>
      <c r="U457" s="72"/>
      <c r="V457" s="72"/>
    </row>
    <row r="458" spans="1:22" ht="27.75" customHeight="1">
      <c r="A458" s="87" t="str">
        <f>IF(ISBLANK(C458)," ",453-COUNTBLANK($C$6:C458))</f>
        <v xml:space="preserve"> </v>
      </c>
      <c r="B458" s="88"/>
      <c r="C458" s="88"/>
      <c r="D458" s="89"/>
      <c r="E458" s="89"/>
      <c r="F458" s="73"/>
      <c r="G458" s="73"/>
      <c r="H458" s="73"/>
      <c r="I458" s="73"/>
      <c r="J458" s="73"/>
      <c r="K458" s="73"/>
      <c r="L458" s="73"/>
      <c r="M458" s="74"/>
      <c r="N458" s="71" t="str">
        <f t="shared" si="7"/>
        <v/>
      </c>
      <c r="O458" s="72"/>
      <c r="P458" s="72"/>
      <c r="Q458" s="72"/>
      <c r="R458" s="72"/>
      <c r="S458" s="72"/>
      <c r="T458" s="72"/>
      <c r="U458" s="72"/>
      <c r="V458" s="72"/>
    </row>
    <row r="459" spans="1:22" ht="27.75" customHeight="1">
      <c r="A459" s="87" t="str">
        <f>IF(ISBLANK(C459)," ",454-COUNTBLANK($C$6:C459))</f>
        <v xml:space="preserve"> </v>
      </c>
      <c r="B459" s="88"/>
      <c r="C459" s="88"/>
      <c r="D459" s="89"/>
      <c r="E459" s="89"/>
      <c r="F459" s="73"/>
      <c r="G459" s="73"/>
      <c r="H459" s="73"/>
      <c r="I459" s="73"/>
      <c r="J459" s="73"/>
      <c r="K459" s="73"/>
      <c r="L459" s="73"/>
      <c r="M459" s="74"/>
      <c r="N459" s="71" t="str">
        <f t="shared" si="7"/>
        <v/>
      </c>
      <c r="O459" s="72"/>
      <c r="P459" s="72"/>
      <c r="Q459" s="72"/>
      <c r="R459" s="72"/>
      <c r="S459" s="72"/>
      <c r="T459" s="72"/>
      <c r="U459" s="72"/>
      <c r="V459" s="72"/>
    </row>
    <row r="460" spans="1:22" ht="27.75" customHeight="1">
      <c r="A460" s="87" t="str">
        <f>IF(ISBLANK(C460)," ",455-COUNTBLANK($C$6:C460))</f>
        <v xml:space="preserve"> </v>
      </c>
      <c r="B460" s="88"/>
      <c r="C460" s="88"/>
      <c r="D460" s="89"/>
      <c r="E460" s="89"/>
      <c r="F460" s="73"/>
      <c r="G460" s="73"/>
      <c r="H460" s="73"/>
      <c r="I460" s="73"/>
      <c r="J460" s="73"/>
      <c r="K460" s="73"/>
      <c r="L460" s="73"/>
      <c r="M460" s="74"/>
      <c r="N460" s="71" t="str">
        <f t="shared" si="7"/>
        <v/>
      </c>
      <c r="O460" s="72"/>
      <c r="P460" s="72"/>
      <c r="Q460" s="72"/>
      <c r="R460" s="72"/>
      <c r="S460" s="72"/>
      <c r="T460" s="72"/>
      <c r="U460" s="72"/>
      <c r="V460" s="72"/>
    </row>
    <row r="461" spans="1:22" ht="27.75" customHeight="1">
      <c r="A461" s="87" t="str">
        <f>IF(ISBLANK(C461)," ",456-COUNTBLANK($C$6:C461))</f>
        <v xml:space="preserve"> </v>
      </c>
      <c r="B461" s="88"/>
      <c r="C461" s="88"/>
      <c r="D461" s="89"/>
      <c r="E461" s="89"/>
      <c r="F461" s="73"/>
      <c r="G461" s="73"/>
      <c r="H461" s="73"/>
      <c r="I461" s="73"/>
      <c r="J461" s="73"/>
      <c r="K461" s="73"/>
      <c r="L461" s="73"/>
      <c r="M461" s="74"/>
      <c r="N461" s="71" t="str">
        <f t="shared" si="7"/>
        <v/>
      </c>
      <c r="O461" s="72"/>
      <c r="P461" s="72"/>
      <c r="Q461" s="72"/>
      <c r="R461" s="72"/>
      <c r="S461" s="72"/>
      <c r="T461" s="72"/>
      <c r="U461" s="72"/>
      <c r="V461" s="72"/>
    </row>
    <row r="462" spans="1:22" ht="27.75" customHeight="1">
      <c r="A462" s="87" t="str">
        <f>IF(ISBLANK(C462)," ",457-COUNTBLANK($C$6:C462))</f>
        <v xml:space="preserve"> </v>
      </c>
      <c r="B462" s="88"/>
      <c r="C462" s="88"/>
      <c r="D462" s="89"/>
      <c r="E462" s="89"/>
      <c r="F462" s="73"/>
      <c r="G462" s="73"/>
      <c r="H462" s="73"/>
      <c r="I462" s="73"/>
      <c r="J462" s="73"/>
      <c r="K462" s="73"/>
      <c r="L462" s="73"/>
      <c r="M462" s="74"/>
      <c r="N462" s="71" t="str">
        <f t="shared" si="7"/>
        <v/>
      </c>
      <c r="O462" s="75"/>
      <c r="P462" s="72"/>
      <c r="Q462" s="72"/>
      <c r="R462" s="72"/>
      <c r="S462" s="72"/>
      <c r="T462" s="72"/>
      <c r="U462" s="72"/>
      <c r="V462" s="76"/>
    </row>
    <row r="463" spans="1:22" ht="27.75" customHeight="1">
      <c r="A463" s="87" t="str">
        <f>IF(ISBLANK(C463)," ",458-COUNTBLANK($C$6:C463))</f>
        <v xml:space="preserve"> </v>
      </c>
      <c r="B463" s="88"/>
      <c r="C463" s="88"/>
      <c r="D463" s="89"/>
      <c r="E463" s="89"/>
      <c r="F463" s="73"/>
      <c r="G463" s="73"/>
      <c r="H463" s="73"/>
      <c r="I463" s="73"/>
      <c r="J463" s="73"/>
      <c r="K463" s="73"/>
      <c r="L463" s="73"/>
      <c r="M463" s="74"/>
      <c r="N463" s="71" t="str">
        <f t="shared" si="7"/>
        <v/>
      </c>
      <c r="O463" s="75"/>
      <c r="P463" s="72"/>
      <c r="Q463" s="72"/>
      <c r="R463" s="72"/>
      <c r="S463" s="72"/>
      <c r="T463" s="72"/>
      <c r="U463" s="72"/>
      <c r="V463" s="76"/>
    </row>
    <row r="464" spans="1:22" ht="27.75" customHeight="1">
      <c r="A464" s="87" t="str">
        <f>IF(ISBLANK(C464)," ",459-COUNTBLANK($C$6:C464))</f>
        <v xml:space="preserve"> </v>
      </c>
      <c r="B464" s="88"/>
      <c r="C464" s="88"/>
      <c r="D464" s="89"/>
      <c r="E464" s="89"/>
      <c r="F464" s="73"/>
      <c r="G464" s="73"/>
      <c r="H464" s="73"/>
      <c r="I464" s="73"/>
      <c r="J464" s="73"/>
      <c r="K464" s="73"/>
      <c r="L464" s="73"/>
      <c r="M464" s="74"/>
      <c r="N464" s="71" t="str">
        <f t="shared" si="7"/>
        <v/>
      </c>
      <c r="O464" s="75"/>
      <c r="P464" s="72"/>
      <c r="Q464" s="72"/>
      <c r="R464" s="72"/>
      <c r="S464" s="72"/>
      <c r="T464" s="72"/>
      <c r="U464" s="72"/>
      <c r="V464" s="76"/>
    </row>
    <row r="465" spans="1:25" ht="27.75" customHeight="1">
      <c r="A465" s="87" t="str">
        <f>IF(ISBLANK(C465)," ",460-COUNTBLANK($C$6:C465))</f>
        <v xml:space="preserve"> </v>
      </c>
      <c r="B465" s="88"/>
      <c r="C465" s="88"/>
      <c r="D465" s="89"/>
      <c r="E465" s="89"/>
      <c r="F465" s="73"/>
      <c r="G465" s="73"/>
      <c r="H465" s="73"/>
      <c r="I465" s="73"/>
      <c r="J465" s="73"/>
      <c r="K465" s="73"/>
      <c r="L465" s="73"/>
      <c r="M465" s="74"/>
      <c r="N465" s="71" t="str">
        <f t="shared" si="7"/>
        <v/>
      </c>
      <c r="O465" s="75"/>
      <c r="P465" s="72"/>
      <c r="Q465" s="72"/>
      <c r="R465" s="72"/>
      <c r="S465" s="72"/>
      <c r="T465" s="72"/>
      <c r="U465" s="72"/>
      <c r="V465" s="76"/>
    </row>
    <row r="466" spans="1:25" ht="27.75" customHeight="1">
      <c r="A466" s="87" t="str">
        <f>IF(ISBLANK(C466)," ",461-COUNTBLANK($C$6:C466))</f>
        <v xml:space="preserve"> </v>
      </c>
      <c r="B466" s="88"/>
      <c r="C466" s="88"/>
      <c r="D466" s="89"/>
      <c r="E466" s="89"/>
      <c r="F466" s="73"/>
      <c r="G466" s="73"/>
      <c r="H466" s="73"/>
      <c r="I466" s="73"/>
      <c r="J466" s="73"/>
      <c r="K466" s="73"/>
      <c r="L466" s="73"/>
      <c r="M466" s="74"/>
      <c r="N466" s="71" t="str">
        <f t="shared" si="7"/>
        <v/>
      </c>
      <c r="O466" s="72"/>
      <c r="P466" s="72"/>
      <c r="Q466" s="72"/>
      <c r="R466" s="72"/>
      <c r="S466" s="72"/>
      <c r="T466" s="72"/>
      <c r="U466" s="72"/>
      <c r="V466" s="79"/>
      <c r="W466" s="72"/>
      <c r="X466" s="72"/>
      <c r="Y466" s="72"/>
    </row>
    <row r="467" spans="1:25" ht="27.75" customHeight="1">
      <c r="A467" s="80" t="s">
        <v>58</v>
      </c>
      <c r="B467" s="81"/>
      <c r="C467" s="96"/>
      <c r="D467" s="82"/>
      <c r="E467" s="82">
        <f>SUM(E447:E466)</f>
        <v>0</v>
      </c>
      <c r="F467" s="83"/>
      <c r="G467" s="83"/>
      <c r="H467" s="83"/>
      <c r="I467" s="83"/>
      <c r="J467" s="83"/>
      <c r="K467" s="83"/>
      <c r="L467" s="83"/>
      <c r="M467" s="84"/>
      <c r="N467" s="71" t="str">
        <f t="shared" si="7"/>
        <v/>
      </c>
      <c r="O467" s="75"/>
      <c r="P467" s="72"/>
      <c r="Q467" s="72"/>
      <c r="R467" s="72"/>
      <c r="S467" s="72"/>
      <c r="T467" s="72"/>
      <c r="U467" s="72"/>
      <c r="V467" s="79"/>
      <c r="W467" s="72"/>
      <c r="X467" s="72"/>
      <c r="Y467" s="72"/>
    </row>
    <row r="468" spans="1:25" ht="27.75" customHeight="1">
      <c r="A468" s="93" t="str">
        <f>IF(ISBLANK(C468)," ",463-COUNTBLANK($C$6:C468))</f>
        <v xml:space="preserve"> </v>
      </c>
      <c r="B468" s="94"/>
      <c r="C468" s="94"/>
      <c r="D468" s="95"/>
      <c r="E468" s="95"/>
      <c r="F468" s="85"/>
      <c r="G468" s="85"/>
      <c r="H468" s="85"/>
      <c r="I468" s="85"/>
      <c r="J468" s="85"/>
      <c r="K468" s="85"/>
      <c r="L468" s="85"/>
      <c r="M468" s="86"/>
      <c r="N468" s="71" t="str">
        <f t="shared" si="7"/>
        <v/>
      </c>
      <c r="O468" s="72"/>
      <c r="P468" s="72"/>
      <c r="Q468" s="72"/>
      <c r="R468" s="72"/>
      <c r="S468" s="72"/>
      <c r="T468" s="72"/>
      <c r="U468" s="72"/>
      <c r="V468" s="72"/>
    </row>
    <row r="469" spans="1:25" ht="27.75" customHeight="1">
      <c r="A469" s="87" t="str">
        <f>IF(ISBLANK(C469)," ",464-COUNTBLANK($C$6:C469))</f>
        <v xml:space="preserve"> </v>
      </c>
      <c r="B469" s="88"/>
      <c r="C469" s="88"/>
      <c r="D469" s="89"/>
      <c r="E469" s="89"/>
      <c r="F469" s="73"/>
      <c r="G469" s="73"/>
      <c r="H469" s="73"/>
      <c r="I469" s="73"/>
      <c r="J469" s="73"/>
      <c r="K469" s="73"/>
      <c r="L469" s="73"/>
      <c r="M469" s="74"/>
      <c r="N469" s="71" t="str">
        <f t="shared" si="7"/>
        <v/>
      </c>
      <c r="O469" s="72"/>
      <c r="P469" s="72"/>
      <c r="Q469" s="72"/>
      <c r="R469" s="72"/>
      <c r="S469" s="72"/>
      <c r="T469" s="72"/>
      <c r="U469" s="72"/>
      <c r="V469" s="72"/>
    </row>
    <row r="470" spans="1:25" ht="27.75" customHeight="1">
      <c r="A470" s="87" t="str">
        <f>IF(ISBLANK(C470)," ",465-COUNTBLANK($C$6:C470))</f>
        <v xml:space="preserve"> </v>
      </c>
      <c r="B470" s="88"/>
      <c r="C470" s="88"/>
      <c r="D470" s="89"/>
      <c r="E470" s="89"/>
      <c r="F470" s="73"/>
      <c r="G470" s="73"/>
      <c r="H470" s="73"/>
      <c r="I470" s="73"/>
      <c r="J470" s="73"/>
      <c r="K470" s="73"/>
      <c r="L470" s="73"/>
      <c r="M470" s="74"/>
      <c r="N470" s="71" t="str">
        <f t="shared" si="7"/>
        <v/>
      </c>
      <c r="O470" s="72"/>
      <c r="P470" s="72"/>
      <c r="Q470" s="72"/>
      <c r="R470" s="72"/>
      <c r="S470" s="72"/>
      <c r="T470" s="72"/>
      <c r="U470" s="72"/>
      <c r="V470" s="72"/>
    </row>
    <row r="471" spans="1:25" ht="27.75" customHeight="1">
      <c r="A471" s="87" t="str">
        <f>IF(ISBLANK(C471)," ",466-COUNTBLANK($C$6:C471))</f>
        <v xml:space="preserve"> </v>
      </c>
      <c r="B471" s="88"/>
      <c r="C471" s="88"/>
      <c r="D471" s="89"/>
      <c r="E471" s="89"/>
      <c r="F471" s="73"/>
      <c r="G471" s="73"/>
      <c r="H471" s="73"/>
      <c r="I471" s="73"/>
      <c r="J471" s="73"/>
      <c r="K471" s="73"/>
      <c r="L471" s="73"/>
      <c r="M471" s="74"/>
      <c r="N471" s="71" t="str">
        <f t="shared" si="7"/>
        <v/>
      </c>
      <c r="O471" s="72"/>
      <c r="P471" s="72"/>
      <c r="Q471" s="72"/>
      <c r="R471" s="72"/>
      <c r="S471" s="72"/>
      <c r="T471" s="72"/>
      <c r="U471" s="72"/>
      <c r="V471" s="72"/>
    </row>
    <row r="472" spans="1:25" ht="27.75" customHeight="1">
      <c r="A472" s="87" t="str">
        <f>IF(ISBLANK(C472)," ",467-COUNTBLANK($C$6:C472))</f>
        <v xml:space="preserve"> </v>
      </c>
      <c r="B472" s="88"/>
      <c r="C472" s="88"/>
      <c r="D472" s="89"/>
      <c r="E472" s="89"/>
      <c r="F472" s="73"/>
      <c r="G472" s="73"/>
      <c r="H472" s="73"/>
      <c r="I472" s="73"/>
      <c r="J472" s="73"/>
      <c r="K472" s="73"/>
      <c r="L472" s="73"/>
      <c r="M472" s="74"/>
      <c r="N472" s="71" t="str">
        <f t="shared" si="7"/>
        <v/>
      </c>
      <c r="O472" s="72"/>
      <c r="P472" s="72"/>
      <c r="Q472" s="72"/>
      <c r="R472" s="72"/>
      <c r="S472" s="72"/>
      <c r="T472" s="72"/>
      <c r="U472" s="72"/>
      <c r="V472" s="72"/>
    </row>
    <row r="473" spans="1:25" ht="27.75" customHeight="1">
      <c r="A473" s="87" t="str">
        <f>IF(ISBLANK(C473)," ",468-COUNTBLANK($C$6:C473))</f>
        <v xml:space="preserve"> </v>
      </c>
      <c r="B473" s="88"/>
      <c r="C473" s="88"/>
      <c r="D473" s="89"/>
      <c r="E473" s="89"/>
      <c r="F473" s="73"/>
      <c r="G473" s="73"/>
      <c r="H473" s="73"/>
      <c r="I473" s="73"/>
      <c r="J473" s="73"/>
      <c r="K473" s="73"/>
      <c r="L473" s="73"/>
      <c r="M473" s="74"/>
      <c r="N473" s="71" t="str">
        <f t="shared" si="7"/>
        <v/>
      </c>
      <c r="O473" s="72"/>
      <c r="P473" s="72"/>
      <c r="Q473" s="72"/>
      <c r="R473" s="72"/>
      <c r="S473" s="72"/>
      <c r="T473" s="72"/>
      <c r="U473" s="72"/>
      <c r="V473" s="72"/>
    </row>
    <row r="474" spans="1:25" ht="27.75" customHeight="1">
      <c r="A474" s="87" t="str">
        <f>IF(ISBLANK(C474)," ",469-COUNTBLANK($C$6:C474))</f>
        <v xml:space="preserve"> </v>
      </c>
      <c r="B474" s="88"/>
      <c r="C474" s="88"/>
      <c r="D474" s="89"/>
      <c r="E474" s="89"/>
      <c r="F474" s="73"/>
      <c r="G474" s="73"/>
      <c r="H474" s="73"/>
      <c r="I474" s="73"/>
      <c r="J474" s="73"/>
      <c r="K474" s="73"/>
      <c r="L474" s="73"/>
      <c r="M474" s="74"/>
      <c r="N474" s="71" t="str">
        <f t="shared" si="7"/>
        <v/>
      </c>
      <c r="O474" s="72"/>
      <c r="P474" s="72"/>
      <c r="Q474" s="72"/>
      <c r="R474" s="72"/>
      <c r="S474" s="72"/>
      <c r="T474" s="72"/>
      <c r="U474" s="72"/>
      <c r="V474" s="72"/>
    </row>
    <row r="475" spans="1:25" ht="27.75" customHeight="1">
      <c r="A475" s="87" t="str">
        <f>IF(ISBLANK(C475)," ",470-COUNTBLANK($C$6:C475))</f>
        <v xml:space="preserve"> </v>
      </c>
      <c r="B475" s="88"/>
      <c r="C475" s="88"/>
      <c r="D475" s="89"/>
      <c r="E475" s="89"/>
      <c r="F475" s="73"/>
      <c r="G475" s="73"/>
      <c r="H475" s="73"/>
      <c r="I475" s="73"/>
      <c r="J475" s="73"/>
      <c r="K475" s="73"/>
      <c r="L475" s="73"/>
      <c r="M475" s="74"/>
      <c r="N475" s="71" t="str">
        <f t="shared" si="7"/>
        <v/>
      </c>
      <c r="O475" s="72"/>
      <c r="P475" s="72"/>
      <c r="Q475" s="72"/>
      <c r="R475" s="72"/>
      <c r="S475" s="72"/>
      <c r="T475" s="72"/>
      <c r="U475" s="72"/>
      <c r="V475" s="72"/>
    </row>
    <row r="476" spans="1:25" ht="27.75" customHeight="1">
      <c r="A476" s="87" t="str">
        <f>IF(ISBLANK(C476)," ",471-COUNTBLANK($C$6:C476))</f>
        <v xml:space="preserve"> </v>
      </c>
      <c r="B476" s="88"/>
      <c r="C476" s="88"/>
      <c r="D476" s="89"/>
      <c r="E476" s="89"/>
      <c r="F476" s="73"/>
      <c r="G476" s="73"/>
      <c r="H476" s="73"/>
      <c r="I476" s="73"/>
      <c r="J476" s="73"/>
      <c r="K476" s="73"/>
      <c r="L476" s="73"/>
      <c r="M476" s="74"/>
      <c r="N476" s="71" t="str">
        <f t="shared" si="7"/>
        <v/>
      </c>
      <c r="O476" s="72"/>
      <c r="P476" s="72"/>
      <c r="Q476" s="72"/>
      <c r="R476" s="72"/>
      <c r="S476" s="72"/>
      <c r="T476" s="72"/>
      <c r="U476" s="72"/>
      <c r="V476" s="72"/>
    </row>
    <row r="477" spans="1:25" ht="27.75" customHeight="1">
      <c r="A477" s="87" t="str">
        <f>IF(ISBLANK(C477)," ",472-COUNTBLANK($C$6:C477))</f>
        <v xml:space="preserve"> </v>
      </c>
      <c r="B477" s="88"/>
      <c r="C477" s="88"/>
      <c r="D477" s="89"/>
      <c r="E477" s="89"/>
      <c r="F477" s="73"/>
      <c r="G477" s="73"/>
      <c r="H477" s="73"/>
      <c r="I477" s="73"/>
      <c r="J477" s="73"/>
      <c r="K477" s="73"/>
      <c r="L477" s="73"/>
      <c r="M477" s="74"/>
      <c r="N477" s="71" t="str">
        <f t="shared" si="7"/>
        <v/>
      </c>
      <c r="O477" s="72"/>
      <c r="P477" s="72"/>
      <c r="Q477" s="72"/>
      <c r="R477" s="72"/>
      <c r="S477" s="72"/>
      <c r="T477" s="72"/>
      <c r="U477" s="72"/>
      <c r="V477" s="72"/>
    </row>
    <row r="478" spans="1:25" ht="27.75" customHeight="1">
      <c r="A478" s="87" t="str">
        <f>IF(ISBLANK(C478)," ",473-COUNTBLANK($C$6:C478))</f>
        <v xml:space="preserve"> </v>
      </c>
      <c r="B478" s="88"/>
      <c r="C478" s="88"/>
      <c r="D478" s="89"/>
      <c r="E478" s="89"/>
      <c r="F478" s="73"/>
      <c r="G478" s="73"/>
      <c r="H478" s="73"/>
      <c r="I478" s="73"/>
      <c r="J478" s="73"/>
      <c r="K478" s="73"/>
      <c r="L478" s="73"/>
      <c r="M478" s="74"/>
      <c r="N478" s="71" t="str">
        <f t="shared" si="7"/>
        <v/>
      </c>
      <c r="O478" s="72"/>
      <c r="P478" s="72"/>
      <c r="Q478" s="72"/>
      <c r="R478" s="72"/>
      <c r="S478" s="72"/>
      <c r="T478" s="72"/>
      <c r="U478" s="72"/>
      <c r="V478" s="72"/>
    </row>
    <row r="479" spans="1:25" ht="27.75" customHeight="1">
      <c r="A479" s="87" t="str">
        <f>IF(ISBLANK(C479)," ",474-COUNTBLANK($C$6:C479))</f>
        <v xml:space="preserve"> </v>
      </c>
      <c r="B479" s="88"/>
      <c r="C479" s="88"/>
      <c r="D479" s="89"/>
      <c r="E479" s="89"/>
      <c r="F479" s="73"/>
      <c r="G479" s="73"/>
      <c r="H479" s="73"/>
      <c r="I479" s="73"/>
      <c r="J479" s="73"/>
      <c r="K479" s="73"/>
      <c r="L479" s="73"/>
      <c r="M479" s="74"/>
      <c r="N479" s="71" t="str">
        <f t="shared" si="7"/>
        <v/>
      </c>
      <c r="O479" s="72"/>
      <c r="P479" s="72"/>
      <c r="Q479" s="72"/>
      <c r="R479" s="72"/>
      <c r="S479" s="72"/>
      <c r="T479" s="72"/>
      <c r="U479" s="72"/>
      <c r="V479" s="72"/>
    </row>
    <row r="480" spans="1:25" ht="27.75" customHeight="1">
      <c r="A480" s="87" t="str">
        <f>IF(ISBLANK(C480)," ",475-COUNTBLANK($C$6:C480))</f>
        <v xml:space="preserve"> </v>
      </c>
      <c r="B480" s="88"/>
      <c r="C480" s="88"/>
      <c r="D480" s="89"/>
      <c r="E480" s="89"/>
      <c r="F480" s="73"/>
      <c r="G480" s="73"/>
      <c r="H480" s="73"/>
      <c r="I480" s="73"/>
      <c r="J480" s="73"/>
      <c r="K480" s="73"/>
      <c r="L480" s="73"/>
      <c r="M480" s="74"/>
      <c r="N480" s="71" t="str">
        <f t="shared" si="7"/>
        <v/>
      </c>
      <c r="O480" s="72"/>
      <c r="P480" s="72"/>
      <c r="Q480" s="72"/>
      <c r="R480" s="72"/>
      <c r="S480" s="72"/>
      <c r="T480" s="72"/>
      <c r="U480" s="72"/>
      <c r="V480" s="72"/>
    </row>
    <row r="481" spans="1:25" ht="27.75" customHeight="1">
      <c r="A481" s="87" t="str">
        <f>IF(ISBLANK(C481)," ",476-COUNTBLANK($C$6:C481))</f>
        <v xml:space="preserve"> </v>
      </c>
      <c r="B481" s="88"/>
      <c r="C481" s="88"/>
      <c r="D481" s="89"/>
      <c r="E481" s="89"/>
      <c r="F481" s="73"/>
      <c r="G481" s="73"/>
      <c r="H481" s="73"/>
      <c r="I481" s="73"/>
      <c r="J481" s="73"/>
      <c r="K481" s="73"/>
      <c r="L481" s="73"/>
      <c r="M481" s="74"/>
      <c r="N481" s="71" t="str">
        <f t="shared" si="7"/>
        <v/>
      </c>
      <c r="O481" s="72"/>
      <c r="P481" s="72"/>
      <c r="Q481" s="72"/>
      <c r="R481" s="72"/>
      <c r="S481" s="72"/>
      <c r="T481" s="72"/>
      <c r="U481" s="72"/>
      <c r="V481" s="72"/>
    </row>
    <row r="482" spans="1:25" ht="27.75" customHeight="1">
      <c r="A482" s="87" t="str">
        <f>IF(ISBLANK(C482)," ",477-COUNTBLANK($C$6:C482))</f>
        <v xml:space="preserve"> </v>
      </c>
      <c r="B482" s="88"/>
      <c r="C482" s="88"/>
      <c r="D482" s="89"/>
      <c r="E482" s="89"/>
      <c r="F482" s="73"/>
      <c r="G482" s="73"/>
      <c r="H482" s="73"/>
      <c r="I482" s="73"/>
      <c r="J482" s="73"/>
      <c r="K482" s="73"/>
      <c r="L482" s="73"/>
      <c r="M482" s="74"/>
      <c r="N482" s="71" t="str">
        <f t="shared" si="7"/>
        <v/>
      </c>
      <c r="O482" s="72"/>
      <c r="P482" s="72"/>
      <c r="Q482" s="72"/>
      <c r="R482" s="72"/>
      <c r="S482" s="72"/>
      <c r="T482" s="72"/>
      <c r="U482" s="72"/>
      <c r="V482" s="72"/>
    </row>
    <row r="483" spans="1:25" ht="27.75" customHeight="1">
      <c r="A483" s="87" t="str">
        <f>IF(ISBLANK(C483)," ",478-COUNTBLANK($C$6:C483))</f>
        <v xml:space="preserve"> </v>
      </c>
      <c r="B483" s="88"/>
      <c r="C483" s="88"/>
      <c r="D483" s="89"/>
      <c r="E483" s="89"/>
      <c r="F483" s="73"/>
      <c r="G483" s="73"/>
      <c r="H483" s="73"/>
      <c r="I483" s="73"/>
      <c r="J483" s="73"/>
      <c r="K483" s="73"/>
      <c r="L483" s="73"/>
      <c r="M483" s="74"/>
      <c r="N483" s="71" t="str">
        <f t="shared" si="7"/>
        <v/>
      </c>
      <c r="O483" s="75"/>
      <c r="P483" s="72"/>
      <c r="Q483" s="72"/>
      <c r="R483" s="72"/>
      <c r="S483" s="72"/>
      <c r="T483" s="72"/>
      <c r="U483" s="72"/>
      <c r="V483" s="76"/>
    </row>
    <row r="484" spans="1:25" ht="27.75" customHeight="1">
      <c r="A484" s="87" t="str">
        <f>IF(ISBLANK(C484)," ",479-COUNTBLANK($C$6:C484))</f>
        <v xml:space="preserve"> </v>
      </c>
      <c r="B484" s="88"/>
      <c r="C484" s="88"/>
      <c r="D484" s="89"/>
      <c r="E484" s="89"/>
      <c r="F484" s="73"/>
      <c r="G484" s="73"/>
      <c r="H484" s="73"/>
      <c r="I484" s="73"/>
      <c r="J484" s="73"/>
      <c r="K484" s="73"/>
      <c r="L484" s="73"/>
      <c r="M484" s="74"/>
      <c r="N484" s="71" t="str">
        <f t="shared" si="7"/>
        <v/>
      </c>
      <c r="O484" s="75"/>
      <c r="P484" s="72"/>
      <c r="Q484" s="72"/>
      <c r="R484" s="72"/>
      <c r="S484" s="72"/>
      <c r="T484" s="72"/>
      <c r="U484" s="72"/>
      <c r="V484" s="76"/>
    </row>
    <row r="485" spans="1:25" ht="27.75" customHeight="1">
      <c r="A485" s="87" t="str">
        <f>IF(ISBLANK(C485)," ",480-COUNTBLANK($C$6:C485))</f>
        <v xml:space="preserve"> </v>
      </c>
      <c r="B485" s="88"/>
      <c r="C485" s="88"/>
      <c r="D485" s="89"/>
      <c r="E485" s="89"/>
      <c r="F485" s="73"/>
      <c r="G485" s="73"/>
      <c r="H485" s="73"/>
      <c r="I485" s="73"/>
      <c r="J485" s="73"/>
      <c r="K485" s="73"/>
      <c r="L485" s="73"/>
      <c r="M485" s="74"/>
      <c r="N485" s="71" t="str">
        <f t="shared" si="7"/>
        <v/>
      </c>
      <c r="O485" s="75"/>
      <c r="P485" s="72"/>
      <c r="Q485" s="72"/>
      <c r="R485" s="72"/>
      <c r="S485" s="72"/>
      <c r="T485" s="72"/>
      <c r="U485" s="72"/>
      <c r="V485" s="76"/>
    </row>
    <row r="486" spans="1:25" ht="27.75" customHeight="1">
      <c r="A486" s="87" t="str">
        <f>IF(ISBLANK(C486)," ",481-COUNTBLANK($C$6:C486))</f>
        <v xml:space="preserve"> </v>
      </c>
      <c r="B486" s="88"/>
      <c r="C486" s="88"/>
      <c r="D486" s="89"/>
      <c r="E486" s="89"/>
      <c r="F486" s="73"/>
      <c r="G486" s="73"/>
      <c r="H486" s="73"/>
      <c r="I486" s="73"/>
      <c r="J486" s="73"/>
      <c r="K486" s="73"/>
      <c r="L486" s="73"/>
      <c r="M486" s="74"/>
      <c r="N486" s="71" t="str">
        <f t="shared" si="7"/>
        <v/>
      </c>
      <c r="O486" s="75"/>
      <c r="P486" s="72"/>
      <c r="Q486" s="72"/>
      <c r="R486" s="72"/>
      <c r="S486" s="72"/>
      <c r="T486" s="72"/>
      <c r="U486" s="72"/>
      <c r="V486" s="76"/>
    </row>
    <row r="487" spans="1:25" ht="27.75" customHeight="1">
      <c r="A487" s="87" t="str">
        <f>IF(ISBLANK(C487)," ",482-COUNTBLANK($C$6:C487))</f>
        <v xml:space="preserve"> </v>
      </c>
      <c r="B487" s="88"/>
      <c r="C487" s="88"/>
      <c r="D487" s="89"/>
      <c r="E487" s="89"/>
      <c r="F487" s="73"/>
      <c r="G487" s="73"/>
      <c r="H487" s="73"/>
      <c r="I487" s="73"/>
      <c r="J487" s="73"/>
      <c r="K487" s="73"/>
      <c r="L487" s="73"/>
      <c r="M487" s="74"/>
      <c r="N487" s="71" t="str">
        <f t="shared" si="7"/>
        <v/>
      </c>
      <c r="O487" s="72"/>
      <c r="P487" s="72"/>
      <c r="Q487" s="72"/>
      <c r="R487" s="72"/>
      <c r="S487" s="72"/>
      <c r="T487" s="72"/>
      <c r="U487" s="72"/>
      <c r="V487" s="79"/>
      <c r="W487" s="72"/>
      <c r="X487" s="72"/>
      <c r="Y487" s="72"/>
    </row>
    <row r="488" spans="1:25" ht="27.75" customHeight="1">
      <c r="A488" s="80" t="s">
        <v>58</v>
      </c>
      <c r="B488" s="81"/>
      <c r="C488" s="96"/>
      <c r="D488" s="82"/>
      <c r="E488" s="82">
        <f>SUM(E468:E487)</f>
        <v>0</v>
      </c>
      <c r="F488" s="83"/>
      <c r="G488" s="83"/>
      <c r="H488" s="83"/>
      <c r="I488" s="83"/>
      <c r="J488" s="83"/>
      <c r="K488" s="83"/>
      <c r="L488" s="83"/>
      <c r="M488" s="84"/>
      <c r="N488" s="71" t="str">
        <f t="shared" si="7"/>
        <v/>
      </c>
      <c r="O488" s="75"/>
      <c r="P488" s="72"/>
      <c r="Q488" s="72"/>
      <c r="R488" s="72"/>
      <c r="S488" s="72"/>
      <c r="T488" s="72"/>
      <c r="U488" s="72"/>
      <c r="V488" s="79"/>
      <c r="W488" s="72"/>
      <c r="X488" s="72"/>
      <c r="Y488" s="72"/>
    </row>
    <row r="489" spans="1:25" ht="27.75" customHeight="1">
      <c r="A489" s="93" t="str">
        <f>IF(ISBLANK(C489)," ",484-COUNTBLANK($C$6:C489))</f>
        <v xml:space="preserve"> </v>
      </c>
      <c r="B489" s="94"/>
      <c r="C489" s="94"/>
      <c r="D489" s="95"/>
      <c r="E489" s="95"/>
      <c r="F489" s="85"/>
      <c r="G489" s="85"/>
      <c r="H489" s="85"/>
      <c r="I489" s="85"/>
      <c r="J489" s="85"/>
      <c r="K489" s="85"/>
      <c r="L489" s="85"/>
      <c r="M489" s="86"/>
      <c r="N489" s="71" t="str">
        <f t="shared" si="7"/>
        <v/>
      </c>
      <c r="O489" s="72"/>
      <c r="P489" s="72"/>
      <c r="Q489" s="72"/>
      <c r="R489" s="72"/>
      <c r="S489" s="72"/>
      <c r="T489" s="72"/>
      <c r="U489" s="72"/>
      <c r="V489" s="72"/>
    </row>
    <row r="490" spans="1:25" ht="27.75" customHeight="1">
      <c r="A490" s="87" t="str">
        <f>IF(ISBLANK(C490)," ",485-COUNTBLANK($C$6:C490))</f>
        <v xml:space="preserve"> </v>
      </c>
      <c r="B490" s="88"/>
      <c r="C490" s="88"/>
      <c r="D490" s="89"/>
      <c r="E490" s="89"/>
      <c r="F490" s="73"/>
      <c r="G490" s="73"/>
      <c r="H490" s="73"/>
      <c r="I490" s="73"/>
      <c r="J490" s="73"/>
      <c r="K490" s="73"/>
      <c r="L490" s="73"/>
      <c r="M490" s="74"/>
      <c r="N490" s="71" t="str">
        <f t="shared" si="7"/>
        <v/>
      </c>
      <c r="O490" s="72"/>
      <c r="P490" s="72"/>
      <c r="Q490" s="72"/>
      <c r="R490" s="72"/>
      <c r="S490" s="72"/>
      <c r="T490" s="72"/>
      <c r="U490" s="72"/>
      <c r="V490" s="72"/>
    </row>
    <row r="491" spans="1:25" ht="27.75" customHeight="1">
      <c r="A491" s="87" t="str">
        <f>IF(ISBLANK(C491)," ",486-COUNTBLANK($C$6:C491))</f>
        <v xml:space="preserve"> </v>
      </c>
      <c r="B491" s="88"/>
      <c r="C491" s="88"/>
      <c r="D491" s="89"/>
      <c r="E491" s="89"/>
      <c r="F491" s="73"/>
      <c r="G491" s="73"/>
      <c r="H491" s="73"/>
      <c r="I491" s="73"/>
      <c r="J491" s="73"/>
      <c r="K491" s="73"/>
      <c r="L491" s="73"/>
      <c r="M491" s="74"/>
      <c r="N491" s="71" t="str">
        <f t="shared" si="7"/>
        <v/>
      </c>
      <c r="O491" s="72"/>
      <c r="P491" s="72"/>
      <c r="Q491" s="72"/>
      <c r="R491" s="72"/>
      <c r="S491" s="72"/>
      <c r="T491" s="72"/>
      <c r="U491" s="72"/>
      <c r="V491" s="72"/>
    </row>
    <row r="492" spans="1:25" ht="27.75" customHeight="1">
      <c r="A492" s="87" t="str">
        <f>IF(ISBLANK(C492)," ",487-COUNTBLANK($C$6:C492))</f>
        <v xml:space="preserve"> </v>
      </c>
      <c r="B492" s="88"/>
      <c r="C492" s="88"/>
      <c r="D492" s="89"/>
      <c r="E492" s="89"/>
      <c r="F492" s="73"/>
      <c r="G492" s="73"/>
      <c r="H492" s="73"/>
      <c r="I492" s="73"/>
      <c r="J492" s="73"/>
      <c r="K492" s="73"/>
      <c r="L492" s="73"/>
      <c r="M492" s="74"/>
      <c r="N492" s="71" t="str">
        <f t="shared" si="7"/>
        <v/>
      </c>
      <c r="O492" s="72"/>
      <c r="P492" s="72"/>
      <c r="Q492" s="72"/>
      <c r="R492" s="72"/>
      <c r="S492" s="72"/>
      <c r="T492" s="72"/>
      <c r="U492" s="72"/>
      <c r="V492" s="72"/>
    </row>
    <row r="493" spans="1:25" ht="27.75" customHeight="1">
      <c r="A493" s="87" t="str">
        <f>IF(ISBLANK(C493)," ",488-COUNTBLANK($C$6:C493))</f>
        <v xml:space="preserve"> </v>
      </c>
      <c r="B493" s="88"/>
      <c r="C493" s="88"/>
      <c r="D493" s="89"/>
      <c r="E493" s="89"/>
      <c r="F493" s="73"/>
      <c r="G493" s="73"/>
      <c r="H493" s="73"/>
      <c r="I493" s="73"/>
      <c r="J493" s="73"/>
      <c r="K493" s="73"/>
      <c r="L493" s="73"/>
      <c r="M493" s="74"/>
      <c r="N493" s="71" t="str">
        <f t="shared" si="7"/>
        <v/>
      </c>
      <c r="O493" s="72"/>
      <c r="P493" s="72"/>
      <c r="Q493" s="72"/>
      <c r="R493" s="72"/>
      <c r="S493" s="72"/>
      <c r="T493" s="72"/>
      <c r="U493" s="72"/>
      <c r="V493" s="72"/>
    </row>
    <row r="494" spans="1:25" ht="27.75" customHeight="1">
      <c r="A494" s="87" t="str">
        <f>IF(ISBLANK(C494)," ",489-COUNTBLANK($C$6:C494))</f>
        <v xml:space="preserve"> </v>
      </c>
      <c r="B494" s="88"/>
      <c r="C494" s="88"/>
      <c r="D494" s="89"/>
      <c r="E494" s="89"/>
      <c r="F494" s="73"/>
      <c r="G494" s="73"/>
      <c r="H494" s="73"/>
      <c r="I494" s="73"/>
      <c r="J494" s="73"/>
      <c r="K494" s="73"/>
      <c r="L494" s="73"/>
      <c r="M494" s="74"/>
      <c r="N494" s="71" t="str">
        <f t="shared" si="7"/>
        <v/>
      </c>
      <c r="O494" s="72"/>
      <c r="P494" s="72"/>
      <c r="Q494" s="72"/>
      <c r="R494" s="72"/>
      <c r="S494" s="72"/>
      <c r="T494" s="72"/>
      <c r="U494" s="72"/>
      <c r="V494" s="72"/>
    </row>
    <row r="495" spans="1:25" ht="27.75" customHeight="1">
      <c r="A495" s="87" t="str">
        <f>IF(ISBLANK(C495)," ",490-COUNTBLANK($C$6:C495))</f>
        <v xml:space="preserve"> </v>
      </c>
      <c r="B495" s="88"/>
      <c r="C495" s="88"/>
      <c r="D495" s="89"/>
      <c r="E495" s="89"/>
      <c r="F495" s="73"/>
      <c r="G495" s="73"/>
      <c r="H495" s="73"/>
      <c r="I495" s="73"/>
      <c r="J495" s="73"/>
      <c r="K495" s="73"/>
      <c r="L495" s="73"/>
      <c r="M495" s="74"/>
      <c r="N495" s="71" t="str">
        <f t="shared" si="7"/>
        <v/>
      </c>
      <c r="O495" s="72"/>
      <c r="P495" s="72"/>
      <c r="Q495" s="72"/>
      <c r="R495" s="72"/>
      <c r="S495" s="72"/>
      <c r="T495" s="72"/>
      <c r="U495" s="72"/>
      <c r="V495" s="72"/>
    </row>
    <row r="496" spans="1:25" ht="27.75" customHeight="1">
      <c r="A496" s="87" t="str">
        <f>IF(ISBLANK(C496)," ",491-COUNTBLANK($C$6:C496))</f>
        <v xml:space="preserve"> </v>
      </c>
      <c r="B496" s="88"/>
      <c r="C496" s="88"/>
      <c r="D496" s="89"/>
      <c r="E496" s="89"/>
      <c r="F496" s="73"/>
      <c r="G496" s="73"/>
      <c r="H496" s="73"/>
      <c r="I496" s="73"/>
      <c r="J496" s="73"/>
      <c r="K496" s="73"/>
      <c r="L496" s="73"/>
      <c r="M496" s="74"/>
      <c r="N496" s="71" t="str">
        <f t="shared" si="7"/>
        <v/>
      </c>
      <c r="O496" s="72"/>
      <c r="P496" s="72"/>
      <c r="Q496" s="72"/>
      <c r="R496" s="72"/>
      <c r="S496" s="72"/>
      <c r="T496" s="72"/>
      <c r="U496" s="72"/>
      <c r="V496" s="72"/>
    </row>
    <row r="497" spans="1:25" ht="27.75" customHeight="1">
      <c r="A497" s="87" t="str">
        <f>IF(ISBLANK(C497)," ",492-COUNTBLANK($C$6:C497))</f>
        <v xml:space="preserve"> </v>
      </c>
      <c r="B497" s="88"/>
      <c r="C497" s="88"/>
      <c r="D497" s="89"/>
      <c r="E497" s="89"/>
      <c r="F497" s="73"/>
      <c r="G497" s="73"/>
      <c r="H497" s="73"/>
      <c r="I497" s="73"/>
      <c r="J497" s="73"/>
      <c r="K497" s="73"/>
      <c r="L497" s="73"/>
      <c r="M497" s="74"/>
      <c r="N497" s="71" t="str">
        <f t="shared" si="7"/>
        <v/>
      </c>
      <c r="O497" s="72"/>
      <c r="P497" s="72"/>
      <c r="Q497" s="72"/>
      <c r="R497" s="72"/>
      <c r="S497" s="72"/>
      <c r="T497" s="72"/>
      <c r="U497" s="72"/>
      <c r="V497" s="72"/>
    </row>
    <row r="498" spans="1:25" ht="27.75" customHeight="1">
      <c r="A498" s="87" t="str">
        <f>IF(ISBLANK(C498)," ",493-COUNTBLANK($C$6:C498))</f>
        <v xml:space="preserve"> </v>
      </c>
      <c r="B498" s="88"/>
      <c r="C498" s="88"/>
      <c r="D498" s="89"/>
      <c r="E498" s="89"/>
      <c r="F498" s="73"/>
      <c r="G498" s="73"/>
      <c r="H498" s="73"/>
      <c r="I498" s="73"/>
      <c r="J498" s="73"/>
      <c r="K498" s="73"/>
      <c r="L498" s="73"/>
      <c r="M498" s="74"/>
      <c r="N498" s="71" t="str">
        <f t="shared" si="7"/>
        <v/>
      </c>
      <c r="O498" s="72"/>
      <c r="P498" s="72"/>
      <c r="Q498" s="72"/>
      <c r="R498" s="72"/>
      <c r="S498" s="72"/>
      <c r="T498" s="72"/>
      <c r="U498" s="72"/>
      <c r="V498" s="72"/>
    </row>
    <row r="499" spans="1:25" ht="27.75" customHeight="1">
      <c r="A499" s="87" t="str">
        <f>IF(ISBLANK(C499)," ",494-COUNTBLANK($C$6:C499))</f>
        <v xml:space="preserve"> </v>
      </c>
      <c r="B499" s="88"/>
      <c r="C499" s="88"/>
      <c r="D499" s="89"/>
      <c r="E499" s="89"/>
      <c r="F499" s="73"/>
      <c r="G499" s="73"/>
      <c r="H499" s="73"/>
      <c r="I499" s="73"/>
      <c r="J499" s="73"/>
      <c r="K499" s="73"/>
      <c r="L499" s="73"/>
      <c r="M499" s="74"/>
      <c r="N499" s="71" t="str">
        <f t="shared" si="7"/>
        <v/>
      </c>
      <c r="O499" s="72"/>
      <c r="P499" s="72"/>
      <c r="Q499" s="72"/>
      <c r="R499" s="72"/>
      <c r="S499" s="72"/>
      <c r="T499" s="72"/>
      <c r="U499" s="72"/>
      <c r="V499" s="72"/>
    </row>
    <row r="500" spans="1:25" ht="27.75" customHeight="1">
      <c r="A500" s="87" t="str">
        <f>IF(ISBLANK(C500)," ",495-COUNTBLANK($C$6:C500))</f>
        <v xml:space="preserve"> </v>
      </c>
      <c r="B500" s="88"/>
      <c r="C500" s="88"/>
      <c r="D500" s="89"/>
      <c r="E500" s="89"/>
      <c r="F500" s="73"/>
      <c r="G500" s="73"/>
      <c r="H500" s="73"/>
      <c r="I500" s="73"/>
      <c r="J500" s="73"/>
      <c r="K500" s="73"/>
      <c r="L500" s="73"/>
      <c r="M500" s="74"/>
      <c r="N500" s="71" t="str">
        <f t="shared" si="7"/>
        <v/>
      </c>
      <c r="O500" s="72"/>
      <c r="P500" s="72"/>
      <c r="Q500" s="72"/>
      <c r="R500" s="72"/>
      <c r="S500" s="72"/>
      <c r="T500" s="72"/>
      <c r="U500" s="72"/>
      <c r="V500" s="72"/>
    </row>
    <row r="501" spans="1:25" ht="27.75" customHeight="1">
      <c r="A501" s="87" t="str">
        <f>IF(ISBLANK(C501)," ",496-COUNTBLANK($C$6:C501))</f>
        <v xml:space="preserve"> </v>
      </c>
      <c r="B501" s="88"/>
      <c r="C501" s="88"/>
      <c r="D501" s="89"/>
      <c r="E501" s="89"/>
      <c r="F501" s="73"/>
      <c r="G501" s="73"/>
      <c r="H501" s="73"/>
      <c r="I501" s="73"/>
      <c r="J501" s="73"/>
      <c r="K501" s="73"/>
      <c r="L501" s="73"/>
      <c r="M501" s="74"/>
      <c r="N501" s="71" t="str">
        <f t="shared" si="7"/>
        <v/>
      </c>
      <c r="O501" s="72"/>
      <c r="P501" s="72"/>
      <c r="Q501" s="72"/>
      <c r="R501" s="72"/>
      <c r="S501" s="72"/>
      <c r="T501" s="72"/>
      <c r="U501" s="72"/>
      <c r="V501" s="72"/>
    </row>
    <row r="502" spans="1:25" ht="27.75" customHeight="1">
      <c r="A502" s="87" t="str">
        <f>IF(ISBLANK(C502)," ",497-COUNTBLANK($C$6:C502))</f>
        <v xml:space="preserve"> </v>
      </c>
      <c r="B502" s="88"/>
      <c r="C502" s="88"/>
      <c r="D502" s="89"/>
      <c r="E502" s="89"/>
      <c r="F502" s="73"/>
      <c r="G502" s="73"/>
      <c r="H502" s="73"/>
      <c r="I502" s="73"/>
      <c r="J502" s="73"/>
      <c r="K502" s="73"/>
      <c r="L502" s="73"/>
      <c r="M502" s="74"/>
      <c r="N502" s="71" t="str">
        <f t="shared" si="7"/>
        <v/>
      </c>
      <c r="O502" s="72"/>
      <c r="P502" s="72"/>
      <c r="Q502" s="72"/>
      <c r="R502" s="72"/>
      <c r="S502" s="72"/>
      <c r="T502" s="72"/>
      <c r="U502" s="72"/>
      <c r="V502" s="72"/>
    </row>
    <row r="503" spans="1:25" ht="27.75" customHeight="1">
      <c r="A503" s="87" t="str">
        <f>IF(ISBLANK(C503)," ",498-COUNTBLANK($C$6:C503))</f>
        <v xml:space="preserve"> </v>
      </c>
      <c r="B503" s="88"/>
      <c r="C503" s="88"/>
      <c r="D503" s="89"/>
      <c r="E503" s="89"/>
      <c r="F503" s="73"/>
      <c r="G503" s="73"/>
      <c r="H503" s="73"/>
      <c r="I503" s="73"/>
      <c r="J503" s="73"/>
      <c r="K503" s="73"/>
      <c r="L503" s="73"/>
      <c r="M503" s="74"/>
      <c r="N503" s="71" t="str">
        <f t="shared" si="7"/>
        <v/>
      </c>
      <c r="O503" s="72"/>
      <c r="P503" s="72"/>
      <c r="Q503" s="72"/>
      <c r="R503" s="72"/>
      <c r="S503" s="72"/>
      <c r="T503" s="72"/>
      <c r="U503" s="72"/>
      <c r="V503" s="72"/>
    </row>
    <row r="504" spans="1:25" ht="27.75" customHeight="1">
      <c r="A504" s="87" t="str">
        <f>IF(ISBLANK(C504)," ",499-COUNTBLANK($C$6:C504))</f>
        <v xml:space="preserve"> </v>
      </c>
      <c r="B504" s="88"/>
      <c r="C504" s="88"/>
      <c r="D504" s="89"/>
      <c r="E504" s="89"/>
      <c r="F504" s="73"/>
      <c r="G504" s="73"/>
      <c r="H504" s="73"/>
      <c r="I504" s="73"/>
      <c r="J504" s="73"/>
      <c r="K504" s="73"/>
      <c r="L504" s="73"/>
      <c r="M504" s="74"/>
      <c r="N504" s="71" t="str">
        <f t="shared" si="7"/>
        <v/>
      </c>
      <c r="O504" s="75"/>
      <c r="P504" s="72"/>
      <c r="Q504" s="72"/>
      <c r="R504" s="72"/>
      <c r="S504" s="72"/>
      <c r="T504" s="72"/>
      <c r="U504" s="72"/>
      <c r="V504" s="76"/>
    </row>
    <row r="505" spans="1:25" ht="27.75" customHeight="1">
      <c r="A505" s="87" t="str">
        <f>IF(ISBLANK(C505)," ",500-COUNTBLANK($C$6:C505))</f>
        <v xml:space="preserve"> </v>
      </c>
      <c r="B505" s="88"/>
      <c r="C505" s="88"/>
      <c r="D505" s="89"/>
      <c r="E505" s="89"/>
      <c r="F505" s="73"/>
      <c r="G505" s="73"/>
      <c r="H505" s="73"/>
      <c r="I505" s="73"/>
      <c r="J505" s="73"/>
      <c r="K505" s="73"/>
      <c r="L505" s="73"/>
      <c r="M505" s="74"/>
      <c r="N505" s="71" t="str">
        <f t="shared" si="7"/>
        <v/>
      </c>
      <c r="O505" s="75"/>
      <c r="P505" s="72"/>
      <c r="Q505" s="72"/>
      <c r="R505" s="72"/>
      <c r="S505" s="72"/>
      <c r="T505" s="72"/>
      <c r="U505" s="72"/>
      <c r="V505" s="76"/>
    </row>
    <row r="506" spans="1:25" ht="27.75" customHeight="1">
      <c r="A506" s="87" t="str">
        <f>IF(ISBLANK(C506)," ",501-COUNTBLANK($C$6:C506))</f>
        <v xml:space="preserve"> </v>
      </c>
      <c r="B506" s="88"/>
      <c r="C506" s="88"/>
      <c r="D506" s="89"/>
      <c r="E506" s="89"/>
      <c r="F506" s="73"/>
      <c r="G506" s="73"/>
      <c r="H506" s="73"/>
      <c r="I506" s="73"/>
      <c r="J506" s="73"/>
      <c r="K506" s="73"/>
      <c r="L506" s="73"/>
      <c r="M506" s="74"/>
      <c r="N506" s="71" t="str">
        <f t="shared" si="7"/>
        <v/>
      </c>
      <c r="O506" s="75"/>
      <c r="P506" s="72"/>
      <c r="Q506" s="72"/>
      <c r="R506" s="72"/>
      <c r="S506" s="72"/>
      <c r="T506" s="72"/>
      <c r="U506" s="72"/>
      <c r="V506" s="76"/>
    </row>
    <row r="507" spans="1:25" ht="27.75" customHeight="1">
      <c r="A507" s="87" t="str">
        <f>IF(ISBLANK(C507)," ",502-COUNTBLANK($C$6:C507))</f>
        <v xml:space="preserve"> </v>
      </c>
      <c r="B507" s="88"/>
      <c r="C507" s="88"/>
      <c r="D507" s="89"/>
      <c r="E507" s="89"/>
      <c r="F507" s="73"/>
      <c r="G507" s="73"/>
      <c r="H507" s="73"/>
      <c r="I507" s="73"/>
      <c r="J507" s="73"/>
      <c r="K507" s="73"/>
      <c r="L507" s="73"/>
      <c r="M507" s="74"/>
      <c r="N507" s="71" t="str">
        <f t="shared" si="7"/>
        <v/>
      </c>
      <c r="O507" s="75"/>
      <c r="P507" s="72"/>
      <c r="Q507" s="72"/>
      <c r="R507" s="72"/>
      <c r="S507" s="72"/>
      <c r="T507" s="72"/>
      <c r="U507" s="72"/>
      <c r="V507" s="76"/>
    </row>
    <row r="508" spans="1:25" ht="27.75" customHeight="1">
      <c r="A508" s="87" t="str">
        <f>IF(ISBLANK(C508)," ",503-COUNTBLANK($C$6:C508))</f>
        <v xml:space="preserve"> </v>
      </c>
      <c r="B508" s="88"/>
      <c r="C508" s="88"/>
      <c r="D508" s="89"/>
      <c r="E508" s="89"/>
      <c r="F508" s="73"/>
      <c r="G508" s="73"/>
      <c r="H508" s="73"/>
      <c r="I508" s="73"/>
      <c r="J508" s="73"/>
      <c r="K508" s="73"/>
      <c r="L508" s="73"/>
      <c r="M508" s="74"/>
      <c r="N508" s="71" t="str">
        <f t="shared" si="7"/>
        <v/>
      </c>
      <c r="O508" s="72"/>
      <c r="P508" s="72"/>
      <c r="Q508" s="72"/>
      <c r="R508" s="72"/>
      <c r="S508" s="72"/>
      <c r="T508" s="72"/>
      <c r="U508" s="72"/>
      <c r="V508" s="79"/>
      <c r="W508" s="72"/>
      <c r="X508" s="72"/>
      <c r="Y508" s="72"/>
    </row>
    <row r="509" spans="1:25" ht="27.75" customHeight="1">
      <c r="A509" s="80" t="s">
        <v>58</v>
      </c>
      <c r="B509" s="81"/>
      <c r="C509" s="96"/>
      <c r="D509" s="82"/>
      <c r="E509" s="82">
        <f>SUM(E489:E508)</f>
        <v>0</v>
      </c>
      <c r="F509" s="83"/>
      <c r="G509" s="83"/>
      <c r="H509" s="83"/>
      <c r="I509" s="83"/>
      <c r="J509" s="83"/>
      <c r="K509" s="83"/>
      <c r="L509" s="83"/>
      <c r="M509" s="84"/>
      <c r="N509" s="71" t="str">
        <f t="shared" si="7"/>
        <v/>
      </c>
      <c r="O509" s="75"/>
      <c r="P509" s="72"/>
      <c r="Q509" s="72"/>
      <c r="R509" s="72"/>
      <c r="S509" s="72"/>
      <c r="T509" s="72"/>
      <c r="U509" s="72"/>
      <c r="V509" s="79"/>
      <c r="W509" s="72"/>
      <c r="X509" s="72"/>
      <c r="Y509" s="72"/>
    </row>
    <row r="510" spans="1:25" ht="27.75" customHeight="1">
      <c r="A510" s="93" t="str">
        <f>IF(ISBLANK(C510)," ",505-COUNTBLANK($C$6:C510))</f>
        <v xml:space="preserve"> </v>
      </c>
      <c r="B510" s="94"/>
      <c r="C510" s="94"/>
      <c r="D510" s="95"/>
      <c r="E510" s="95"/>
      <c r="F510" s="85"/>
      <c r="G510" s="85"/>
      <c r="H510" s="85"/>
      <c r="I510" s="85"/>
      <c r="J510" s="85"/>
      <c r="K510" s="85"/>
      <c r="L510" s="85"/>
      <c r="M510" s="86"/>
      <c r="N510" s="71" t="str">
        <f t="shared" si="7"/>
        <v/>
      </c>
      <c r="O510" s="72"/>
      <c r="P510" s="72"/>
      <c r="Q510" s="72"/>
      <c r="R510" s="72"/>
      <c r="S510" s="72"/>
      <c r="T510" s="72"/>
      <c r="U510" s="72"/>
      <c r="V510" s="72"/>
    </row>
    <row r="511" spans="1:25" ht="27.75" customHeight="1">
      <c r="A511" s="87" t="str">
        <f>IF(ISBLANK(C511)," ",506-COUNTBLANK($C$6:C511))</f>
        <v xml:space="preserve"> </v>
      </c>
      <c r="B511" s="88"/>
      <c r="C511" s="88"/>
      <c r="D511" s="89"/>
      <c r="E511" s="89"/>
      <c r="F511" s="73"/>
      <c r="G511" s="73"/>
      <c r="H511" s="73"/>
      <c r="I511" s="73"/>
      <c r="J511" s="73"/>
      <c r="K511" s="73"/>
      <c r="L511" s="73"/>
      <c r="M511" s="74"/>
      <c r="N511" s="71" t="str">
        <f t="shared" si="7"/>
        <v/>
      </c>
      <c r="O511" s="72"/>
      <c r="P511" s="72"/>
      <c r="Q511" s="72"/>
      <c r="R511" s="72"/>
      <c r="S511" s="72"/>
      <c r="T511" s="72"/>
      <c r="U511" s="72"/>
      <c r="V511" s="72"/>
    </row>
    <row r="512" spans="1:25" ht="27.75" customHeight="1">
      <c r="A512" s="87" t="str">
        <f>IF(ISBLANK(C512)," ",507-COUNTBLANK($C$6:C512))</f>
        <v xml:space="preserve"> </v>
      </c>
      <c r="B512" s="88"/>
      <c r="C512" s="88"/>
      <c r="D512" s="89"/>
      <c r="E512" s="89"/>
      <c r="F512" s="73"/>
      <c r="G512" s="73"/>
      <c r="H512" s="73"/>
      <c r="I512" s="73"/>
      <c r="J512" s="73"/>
      <c r="K512" s="73"/>
      <c r="L512" s="73"/>
      <c r="M512" s="74"/>
      <c r="N512" s="71" t="str">
        <f t="shared" si="7"/>
        <v/>
      </c>
      <c r="O512" s="72"/>
      <c r="P512" s="72"/>
      <c r="Q512" s="72"/>
      <c r="R512" s="72"/>
      <c r="S512" s="72"/>
      <c r="T512" s="72"/>
      <c r="U512" s="72"/>
      <c r="V512" s="72"/>
    </row>
    <row r="513" spans="1:22" ht="27.75" customHeight="1">
      <c r="A513" s="87" t="str">
        <f>IF(ISBLANK(C513)," ",508-COUNTBLANK($C$6:C513))</f>
        <v xml:space="preserve"> </v>
      </c>
      <c r="B513" s="88"/>
      <c r="C513" s="88"/>
      <c r="D513" s="89"/>
      <c r="E513" s="89"/>
      <c r="F513" s="73"/>
      <c r="G513" s="73"/>
      <c r="H513" s="73"/>
      <c r="I513" s="73"/>
      <c r="J513" s="73"/>
      <c r="K513" s="73"/>
      <c r="L513" s="73"/>
      <c r="M513" s="74"/>
      <c r="N513" s="71" t="str">
        <f t="shared" si="7"/>
        <v/>
      </c>
      <c r="O513" s="72"/>
      <c r="P513" s="72"/>
      <c r="Q513" s="72"/>
      <c r="R513" s="72"/>
      <c r="S513" s="72"/>
      <c r="T513" s="72"/>
      <c r="U513" s="72"/>
      <c r="V513" s="72"/>
    </row>
    <row r="514" spans="1:22" ht="27.75" customHeight="1">
      <c r="A514" s="87" t="str">
        <f>IF(ISBLANK(C514)," ",509-COUNTBLANK($C$6:C514))</f>
        <v xml:space="preserve"> </v>
      </c>
      <c r="B514" s="88"/>
      <c r="C514" s="88"/>
      <c r="D514" s="89"/>
      <c r="E514" s="89"/>
      <c r="F514" s="73"/>
      <c r="G514" s="73"/>
      <c r="H514" s="73"/>
      <c r="I514" s="73"/>
      <c r="J514" s="73"/>
      <c r="K514" s="73"/>
      <c r="L514" s="73"/>
      <c r="M514" s="74"/>
      <c r="N514" s="71" t="str">
        <f t="shared" si="7"/>
        <v/>
      </c>
      <c r="O514" s="72"/>
      <c r="P514" s="72"/>
      <c r="Q514" s="72"/>
      <c r="R514" s="72"/>
      <c r="S514" s="72"/>
      <c r="T514" s="72"/>
      <c r="U514" s="72"/>
      <c r="V514" s="72"/>
    </row>
    <row r="515" spans="1:22" ht="27.75" customHeight="1">
      <c r="A515" s="87" t="str">
        <f>IF(ISBLANK(C515)," ",510-COUNTBLANK($C$6:C515))</f>
        <v xml:space="preserve"> </v>
      </c>
      <c r="B515" s="88"/>
      <c r="C515" s="88"/>
      <c r="D515" s="89"/>
      <c r="E515" s="89"/>
      <c r="F515" s="73"/>
      <c r="G515" s="73"/>
      <c r="H515" s="73"/>
      <c r="I515" s="73"/>
      <c r="J515" s="73"/>
      <c r="K515" s="73"/>
      <c r="L515" s="73"/>
      <c r="M515" s="74"/>
      <c r="N515" s="71" t="str">
        <f t="shared" si="7"/>
        <v/>
      </c>
      <c r="O515" s="72"/>
      <c r="P515" s="72"/>
      <c r="Q515" s="72"/>
      <c r="R515" s="72"/>
      <c r="S515" s="72"/>
      <c r="T515" s="72"/>
      <c r="U515" s="72"/>
      <c r="V515" s="72"/>
    </row>
    <row r="516" spans="1:22" ht="27.75" customHeight="1">
      <c r="A516" s="87" t="str">
        <f>IF(ISBLANK(C516)," ",511-COUNTBLANK($C$6:C516))</f>
        <v xml:space="preserve"> </v>
      </c>
      <c r="B516" s="88"/>
      <c r="C516" s="88"/>
      <c r="D516" s="89"/>
      <c r="E516" s="89"/>
      <c r="F516" s="73"/>
      <c r="G516" s="73"/>
      <c r="H516" s="73"/>
      <c r="I516" s="73"/>
      <c r="J516" s="73"/>
      <c r="K516" s="73"/>
      <c r="L516" s="73"/>
      <c r="M516" s="74"/>
      <c r="N516" s="71" t="str">
        <f t="shared" si="7"/>
        <v/>
      </c>
      <c r="O516" s="72"/>
      <c r="P516" s="72"/>
      <c r="Q516" s="72"/>
      <c r="R516" s="72"/>
      <c r="S516" s="72"/>
      <c r="T516" s="72"/>
      <c r="U516" s="72"/>
      <c r="V516" s="72"/>
    </row>
    <row r="517" spans="1:22" ht="27.75" customHeight="1">
      <c r="A517" s="87" t="str">
        <f>IF(ISBLANK(C517)," ",512-COUNTBLANK($C$6:C517))</f>
        <v xml:space="preserve"> </v>
      </c>
      <c r="B517" s="88"/>
      <c r="C517" s="88"/>
      <c r="D517" s="89"/>
      <c r="E517" s="89"/>
      <c r="F517" s="73"/>
      <c r="G517" s="73"/>
      <c r="H517" s="73"/>
      <c r="I517" s="73"/>
      <c r="J517" s="73"/>
      <c r="K517" s="73"/>
      <c r="L517" s="73"/>
      <c r="M517" s="74"/>
      <c r="N517" s="71" t="str">
        <f t="shared" si="7"/>
        <v/>
      </c>
      <c r="O517" s="72"/>
      <c r="P517" s="72"/>
      <c r="Q517" s="72"/>
      <c r="R517" s="72"/>
      <c r="S517" s="72"/>
      <c r="T517" s="72"/>
      <c r="U517" s="72"/>
      <c r="V517" s="72"/>
    </row>
    <row r="518" spans="1:22" ht="27.75" customHeight="1">
      <c r="A518" s="87" t="str">
        <f>IF(ISBLANK(C518)," ",513-COUNTBLANK($C$6:C518))</f>
        <v xml:space="preserve"> </v>
      </c>
      <c r="B518" s="88"/>
      <c r="C518" s="88"/>
      <c r="D518" s="89"/>
      <c r="E518" s="89"/>
      <c r="F518" s="73"/>
      <c r="G518" s="73"/>
      <c r="H518" s="73"/>
      <c r="I518" s="73"/>
      <c r="J518" s="73"/>
      <c r="K518" s="73"/>
      <c r="L518" s="73"/>
      <c r="M518" s="74"/>
      <c r="N518" s="71" t="str">
        <f t="shared" ref="N518:N530" si="8">CONCATENATE(C518,H518)</f>
        <v/>
      </c>
      <c r="O518" s="72"/>
      <c r="P518" s="72"/>
      <c r="Q518" s="72"/>
      <c r="R518" s="72"/>
      <c r="S518" s="72"/>
      <c r="T518" s="72"/>
      <c r="U518" s="72"/>
      <c r="V518" s="72"/>
    </row>
    <row r="519" spans="1:22" ht="27.75" customHeight="1">
      <c r="A519" s="87" t="str">
        <f>IF(ISBLANK(C519)," ",514-COUNTBLANK($C$6:C519))</f>
        <v xml:space="preserve"> </v>
      </c>
      <c r="B519" s="88"/>
      <c r="C519" s="88"/>
      <c r="D519" s="89"/>
      <c r="E519" s="89"/>
      <c r="F519" s="73"/>
      <c r="G519" s="73"/>
      <c r="H519" s="73"/>
      <c r="I519" s="73"/>
      <c r="J519" s="73"/>
      <c r="K519" s="73"/>
      <c r="L519" s="73"/>
      <c r="M519" s="74"/>
      <c r="N519" s="71" t="str">
        <f t="shared" si="8"/>
        <v/>
      </c>
      <c r="O519" s="72"/>
      <c r="P519" s="72"/>
      <c r="Q519" s="72"/>
      <c r="R519" s="72"/>
      <c r="S519" s="72"/>
      <c r="T519" s="72"/>
      <c r="U519" s="72"/>
      <c r="V519" s="72"/>
    </row>
    <row r="520" spans="1:22" ht="27.75" customHeight="1">
      <c r="A520" s="87" t="str">
        <f>IF(ISBLANK(C520)," ",515-COUNTBLANK($C$6:C520))</f>
        <v xml:space="preserve"> </v>
      </c>
      <c r="B520" s="88"/>
      <c r="C520" s="88"/>
      <c r="D520" s="89"/>
      <c r="E520" s="89"/>
      <c r="F520" s="73"/>
      <c r="G520" s="73"/>
      <c r="H520" s="73"/>
      <c r="I520" s="73"/>
      <c r="J520" s="73"/>
      <c r="K520" s="73"/>
      <c r="L520" s="73"/>
      <c r="M520" s="74"/>
      <c r="N520" s="71" t="str">
        <f t="shared" si="8"/>
        <v/>
      </c>
      <c r="O520" s="72"/>
      <c r="P520" s="72"/>
      <c r="Q520" s="72"/>
      <c r="R520" s="72"/>
      <c r="S520" s="72"/>
      <c r="T520" s="72"/>
      <c r="U520" s="72"/>
      <c r="V520" s="72"/>
    </row>
    <row r="521" spans="1:22" ht="27.75" customHeight="1">
      <c r="A521" s="87" t="str">
        <f>IF(ISBLANK(C521)," ",516-COUNTBLANK($C$6:C521))</f>
        <v xml:space="preserve"> </v>
      </c>
      <c r="B521" s="88"/>
      <c r="C521" s="88"/>
      <c r="D521" s="89"/>
      <c r="E521" s="89"/>
      <c r="F521" s="73"/>
      <c r="G521" s="73"/>
      <c r="H521" s="73"/>
      <c r="I521" s="73"/>
      <c r="J521" s="73"/>
      <c r="K521" s="73"/>
      <c r="L521" s="73"/>
      <c r="M521" s="74"/>
      <c r="N521" s="71" t="str">
        <f t="shared" si="8"/>
        <v/>
      </c>
      <c r="O521" s="72"/>
      <c r="P521" s="72"/>
      <c r="Q521" s="72"/>
      <c r="R521" s="72"/>
      <c r="S521" s="72"/>
      <c r="T521" s="72"/>
      <c r="U521" s="72"/>
      <c r="V521" s="72"/>
    </row>
    <row r="522" spans="1:22" ht="27.75" customHeight="1">
      <c r="A522" s="87" t="str">
        <f>IF(ISBLANK(C522)," ",517-COUNTBLANK($C$6:C522))</f>
        <v xml:space="preserve"> </v>
      </c>
      <c r="B522" s="88"/>
      <c r="C522" s="88"/>
      <c r="D522" s="89"/>
      <c r="E522" s="89"/>
      <c r="F522" s="73"/>
      <c r="G522" s="73"/>
      <c r="H522" s="73"/>
      <c r="I522" s="73"/>
      <c r="J522" s="73"/>
      <c r="K522" s="73"/>
      <c r="L522" s="73"/>
      <c r="M522" s="74"/>
      <c r="N522" s="71" t="str">
        <f t="shared" si="8"/>
        <v/>
      </c>
      <c r="O522" s="72"/>
      <c r="P522" s="72"/>
      <c r="Q522" s="72"/>
      <c r="R522" s="72"/>
      <c r="S522" s="72"/>
      <c r="T522" s="72"/>
      <c r="U522" s="72"/>
      <c r="V522" s="72"/>
    </row>
    <row r="523" spans="1:22" ht="27.75" customHeight="1">
      <c r="A523" s="87" t="str">
        <f>IF(ISBLANK(C523)," ",518-COUNTBLANK($C$6:C523))</f>
        <v xml:space="preserve"> </v>
      </c>
      <c r="B523" s="88"/>
      <c r="C523" s="88"/>
      <c r="D523" s="89"/>
      <c r="E523" s="89"/>
      <c r="F523" s="73"/>
      <c r="G523" s="73"/>
      <c r="H523" s="73"/>
      <c r="I523" s="73"/>
      <c r="J523" s="73"/>
      <c r="K523" s="73"/>
      <c r="L523" s="73"/>
      <c r="M523" s="74"/>
      <c r="N523" s="71" t="str">
        <f t="shared" si="8"/>
        <v/>
      </c>
      <c r="O523" s="72"/>
      <c r="P523" s="72"/>
      <c r="Q523" s="72"/>
      <c r="R523" s="72"/>
      <c r="S523" s="72"/>
      <c r="T523" s="72"/>
      <c r="U523" s="72"/>
      <c r="V523" s="72"/>
    </row>
    <row r="524" spans="1:22" ht="27.75" customHeight="1">
      <c r="A524" s="87" t="str">
        <f>IF(ISBLANK(C524)," ",519-COUNTBLANK($C$6:C524))</f>
        <v xml:space="preserve"> </v>
      </c>
      <c r="B524" s="88"/>
      <c r="C524" s="88"/>
      <c r="D524" s="89"/>
      <c r="E524" s="89"/>
      <c r="F524" s="73"/>
      <c r="G524" s="73"/>
      <c r="H524" s="73"/>
      <c r="I524" s="73"/>
      <c r="J524" s="73"/>
      <c r="K524" s="73"/>
      <c r="L524" s="73"/>
      <c r="M524" s="74"/>
      <c r="N524" s="71" t="str">
        <f t="shared" si="8"/>
        <v/>
      </c>
      <c r="O524" s="72"/>
      <c r="P524" s="72"/>
      <c r="Q524" s="72"/>
      <c r="R524" s="72"/>
      <c r="S524" s="72"/>
      <c r="T524" s="72"/>
      <c r="U524" s="72"/>
      <c r="V524" s="72"/>
    </row>
    <row r="525" spans="1:22" ht="27.75" customHeight="1">
      <c r="A525" s="87" t="str">
        <f>IF(ISBLANK(C525)," ",520-COUNTBLANK($C$6:C525))</f>
        <v xml:space="preserve"> </v>
      </c>
      <c r="B525" s="88"/>
      <c r="C525" s="88"/>
      <c r="D525" s="89"/>
      <c r="E525" s="89"/>
      <c r="F525" s="73"/>
      <c r="G525" s="73"/>
      <c r="H525" s="73"/>
      <c r="I525" s="73"/>
      <c r="J525" s="73"/>
      <c r="K525" s="73"/>
      <c r="L525" s="73"/>
      <c r="M525" s="74"/>
      <c r="N525" s="71" t="str">
        <f t="shared" si="8"/>
        <v/>
      </c>
      <c r="O525" s="75"/>
      <c r="P525" s="72"/>
      <c r="Q525" s="72"/>
      <c r="R525" s="72"/>
      <c r="S525" s="72"/>
      <c r="T525" s="72"/>
      <c r="U525" s="72"/>
      <c r="V525" s="76"/>
    </row>
    <row r="526" spans="1:22" ht="27.75" customHeight="1">
      <c r="A526" s="87" t="str">
        <f>IF(ISBLANK(C526)," ",521-COUNTBLANK($C$6:C526))</f>
        <v xml:space="preserve"> </v>
      </c>
      <c r="B526" s="88"/>
      <c r="C526" s="88"/>
      <c r="D526" s="89"/>
      <c r="E526" s="89"/>
      <c r="F526" s="73"/>
      <c r="G526" s="73"/>
      <c r="H526" s="73"/>
      <c r="I526" s="73"/>
      <c r="J526" s="73"/>
      <c r="K526" s="73"/>
      <c r="L526" s="73"/>
      <c r="M526" s="74"/>
      <c r="N526" s="71" t="str">
        <f t="shared" si="8"/>
        <v/>
      </c>
      <c r="O526" s="75"/>
      <c r="P526" s="72"/>
      <c r="Q526" s="72"/>
      <c r="R526" s="72"/>
      <c r="S526" s="72"/>
      <c r="T526" s="72"/>
      <c r="U526" s="72"/>
      <c r="V526" s="76"/>
    </row>
    <row r="527" spans="1:22" ht="27.75" customHeight="1">
      <c r="A527" s="87" t="str">
        <f>IF(ISBLANK(C527)," ",522-COUNTBLANK($C$6:C527))</f>
        <v xml:space="preserve"> </v>
      </c>
      <c r="B527" s="88"/>
      <c r="C527" s="88"/>
      <c r="D527" s="89"/>
      <c r="E527" s="89"/>
      <c r="F527" s="73"/>
      <c r="G527" s="73"/>
      <c r="H527" s="73"/>
      <c r="I527" s="73"/>
      <c r="J527" s="73"/>
      <c r="K527" s="73"/>
      <c r="L527" s="73"/>
      <c r="M527" s="74"/>
      <c r="N527" s="71" t="str">
        <f t="shared" si="8"/>
        <v/>
      </c>
      <c r="O527" s="75"/>
      <c r="P527" s="72"/>
      <c r="Q527" s="72"/>
      <c r="R527" s="72"/>
      <c r="S527" s="72"/>
      <c r="T527" s="72"/>
      <c r="U527" s="72"/>
      <c r="V527" s="76"/>
    </row>
    <row r="528" spans="1:22" ht="27.75" customHeight="1">
      <c r="A528" s="87" t="str">
        <f>IF(ISBLANK(C528)," ",523-COUNTBLANK($C$6:C528))</f>
        <v xml:space="preserve"> </v>
      </c>
      <c r="B528" s="88"/>
      <c r="C528" s="88"/>
      <c r="D528" s="89"/>
      <c r="E528" s="89"/>
      <c r="F528" s="73"/>
      <c r="G528" s="73"/>
      <c r="H528" s="73"/>
      <c r="I528" s="73"/>
      <c r="J528" s="73"/>
      <c r="K528" s="73"/>
      <c r="L528" s="73"/>
      <c r="M528" s="74"/>
      <c r="N528" s="71" t="str">
        <f t="shared" si="8"/>
        <v/>
      </c>
      <c r="O528" s="75"/>
      <c r="P528" s="72"/>
      <c r="Q528" s="72"/>
      <c r="R528" s="72"/>
      <c r="S528" s="72"/>
      <c r="T528" s="72"/>
      <c r="U528" s="72"/>
      <c r="V528" s="76"/>
    </row>
    <row r="529" spans="1:25" ht="27.75" customHeight="1">
      <c r="A529" s="87" t="str">
        <f>IF(ISBLANK(C529)," ",524-COUNTBLANK($C$6:C529))</f>
        <v xml:space="preserve"> </v>
      </c>
      <c r="B529" s="88"/>
      <c r="C529" s="88"/>
      <c r="D529" s="89"/>
      <c r="E529" s="89"/>
      <c r="F529" s="73"/>
      <c r="G529" s="73"/>
      <c r="H529" s="73"/>
      <c r="I529" s="73"/>
      <c r="J529" s="73"/>
      <c r="K529" s="73"/>
      <c r="L529" s="73"/>
      <c r="M529" s="74"/>
      <c r="N529" s="71" t="str">
        <f t="shared" si="8"/>
        <v/>
      </c>
      <c r="O529" s="72"/>
      <c r="P529" s="72"/>
      <c r="Q529" s="72"/>
      <c r="R529" s="72"/>
      <c r="S529" s="72"/>
      <c r="T529" s="72"/>
      <c r="U529" s="72"/>
      <c r="V529" s="79"/>
      <c r="W529" s="72"/>
      <c r="X529" s="72"/>
      <c r="Y529" s="72"/>
    </row>
    <row r="530" spans="1:25" ht="27.75" customHeight="1">
      <c r="A530" s="80" t="s">
        <v>58</v>
      </c>
      <c r="B530" s="81"/>
      <c r="C530" s="96"/>
      <c r="D530" s="82"/>
      <c r="E530" s="82">
        <f>SUM(E510:E529)</f>
        <v>0</v>
      </c>
      <c r="F530" s="83"/>
      <c r="G530" s="83"/>
      <c r="H530" s="83"/>
      <c r="I530" s="83"/>
      <c r="J530" s="83"/>
      <c r="K530" s="83"/>
      <c r="L530" s="83"/>
      <c r="M530" s="84"/>
      <c r="N530" s="71" t="str">
        <f t="shared" si="8"/>
        <v/>
      </c>
      <c r="O530" s="75"/>
      <c r="P530" s="72"/>
      <c r="Q530" s="72"/>
      <c r="R530" s="72"/>
      <c r="S530" s="72"/>
      <c r="T530" s="72"/>
      <c r="U530" s="72"/>
      <c r="V530" s="79"/>
      <c r="W530" s="72"/>
      <c r="X530" s="72"/>
      <c r="Y530" s="72"/>
    </row>
    <row r="531" spans="1:25">
      <c r="O531" s="99"/>
      <c r="P531" s="99"/>
      <c r="Q531" s="99"/>
      <c r="R531" s="99"/>
      <c r="S531" s="99"/>
      <c r="T531" s="99"/>
      <c r="U531" s="99"/>
      <c r="V531" s="99"/>
    </row>
    <row r="532" spans="1:25">
      <c r="O532" s="99"/>
      <c r="P532" s="99"/>
      <c r="Q532" s="99"/>
      <c r="R532" s="99"/>
      <c r="S532" s="99"/>
      <c r="T532" s="99"/>
      <c r="U532" s="99"/>
      <c r="V532" s="99"/>
    </row>
  </sheetData>
  <mergeCells count="4">
    <mergeCell ref="B4:B5"/>
    <mergeCell ref="C4:C5"/>
    <mergeCell ref="H4:I4"/>
    <mergeCell ref="M4:M5"/>
  </mergeCells>
  <phoneticPr fontId="5" type="noConversion"/>
  <printOptions horizontalCentered="1" verticalCentered="1"/>
  <pageMargins left="0.19685039370078741" right="0.19685039370078741" top="1.1811023622047245" bottom="0.59055118110236227" header="0.59055118110236227" footer="0.19685039370078741"/>
  <pageSetup paperSize="9" orientation="portrait" horizontalDpi="4294967292" r:id="rId1"/>
  <headerFooter alignWithMargins="0"/>
  <rowBreaks count="2" manualBreakCount="2">
    <brk id="26" max="16383" man="1"/>
    <brk id="4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Y532"/>
  <sheetViews>
    <sheetView showGridLines="0" showZeros="0" view="pageBreakPreview" zoomScale="55" zoomScaleNormal="100" workbookViewId="0">
      <selection activeCell="A26" sqref="A26:IV26"/>
    </sheetView>
  </sheetViews>
  <sheetFormatPr defaultRowHeight="11.25"/>
  <cols>
    <col min="1" max="1" width="4.33203125" style="51" customWidth="1"/>
    <col min="2" max="2" width="6.33203125" style="97" customWidth="1"/>
    <col min="3" max="3" width="3.77734375" style="51" customWidth="1"/>
    <col min="4" max="4" width="6.77734375" style="51" customWidth="1"/>
    <col min="5" max="5" width="6.77734375" style="98" customWidth="1"/>
    <col min="6" max="6" width="4.109375" style="51" customWidth="1"/>
    <col min="7" max="7" width="4.77734375" style="51" customWidth="1"/>
    <col min="8" max="8" width="7.33203125" style="51" customWidth="1"/>
    <col min="9" max="9" width="11.77734375" style="51" customWidth="1"/>
    <col min="10" max="10" width="6.77734375" style="51" customWidth="1"/>
    <col min="11" max="11" width="11.77734375" style="51" customWidth="1"/>
    <col min="12" max="12" width="6.77734375" style="51" customWidth="1"/>
    <col min="13" max="13" width="3.77734375" style="51" customWidth="1"/>
    <col min="14" max="14" width="20.77734375" style="99" hidden="1" customWidth="1"/>
    <col min="15" max="21" width="9.77734375" style="51" customWidth="1"/>
    <col min="22" max="22" width="10.77734375" style="51" customWidth="1"/>
    <col min="23" max="16384" width="8.88671875" style="51"/>
  </cols>
  <sheetData>
    <row r="1" spans="1:22" ht="30" customHeight="1">
      <c r="A1" s="45" t="s">
        <v>64</v>
      </c>
      <c r="B1" s="46"/>
      <c r="C1" s="47"/>
      <c r="D1" s="47"/>
      <c r="E1" s="48"/>
      <c r="F1" s="47"/>
      <c r="G1" s="47"/>
      <c r="H1" s="47"/>
      <c r="I1" s="47"/>
      <c r="J1" s="47"/>
      <c r="K1" s="47"/>
      <c r="L1" s="47"/>
      <c r="M1" s="47"/>
      <c r="N1" s="49"/>
      <c r="O1" s="50"/>
      <c r="P1" s="50"/>
      <c r="Q1" s="50"/>
      <c r="R1" s="50"/>
      <c r="S1" s="50"/>
      <c r="T1" s="50"/>
      <c r="U1" s="50"/>
      <c r="V1" s="50"/>
    </row>
    <row r="2" spans="1:22" ht="19.899999999999999" customHeight="1">
      <c r="A2" s="50"/>
      <c r="B2" s="52"/>
      <c r="C2" s="50"/>
      <c r="D2" s="50"/>
      <c r="E2" s="53"/>
      <c r="F2" s="50"/>
      <c r="G2" s="50"/>
      <c r="H2" s="50"/>
      <c r="I2" s="50"/>
      <c r="J2" s="54"/>
      <c r="K2" s="55">
        <v>3</v>
      </c>
      <c r="L2" s="47"/>
      <c r="M2" s="47"/>
      <c r="N2" s="56"/>
      <c r="O2" s="50"/>
      <c r="P2" s="50"/>
      <c r="Q2" s="50"/>
      <c r="R2" s="50"/>
      <c r="S2" s="50"/>
      <c r="T2" s="50"/>
      <c r="U2" s="50"/>
      <c r="V2" s="50"/>
    </row>
    <row r="3" spans="1:22" ht="10.15" customHeight="1">
      <c r="A3" s="50"/>
      <c r="B3" s="52"/>
      <c r="C3" s="50"/>
      <c r="D3" s="50"/>
      <c r="E3" s="53"/>
      <c r="F3" s="50"/>
      <c r="G3" s="50"/>
      <c r="H3" s="50"/>
      <c r="I3" s="50"/>
      <c r="J3" s="50"/>
      <c r="K3" s="50"/>
      <c r="L3" s="50"/>
      <c r="M3" s="50"/>
      <c r="N3" s="57"/>
      <c r="O3" s="50"/>
      <c r="P3" s="50"/>
      <c r="Q3" s="50"/>
      <c r="R3" s="50"/>
      <c r="S3" s="50"/>
      <c r="T3" s="50"/>
      <c r="U3" s="50"/>
      <c r="V3" s="50"/>
    </row>
    <row r="4" spans="1:22" ht="30" customHeight="1">
      <c r="A4" s="107" t="s">
        <v>45</v>
      </c>
      <c r="B4" s="381" t="s">
        <v>46</v>
      </c>
      <c r="C4" s="369" t="s">
        <v>47</v>
      </c>
      <c r="D4" s="108" t="s">
        <v>48</v>
      </c>
      <c r="E4" s="109" t="s">
        <v>49</v>
      </c>
      <c r="F4" s="110" t="s">
        <v>50</v>
      </c>
      <c r="G4" s="58"/>
      <c r="H4" s="367" t="s">
        <v>51</v>
      </c>
      <c r="I4" s="368"/>
      <c r="J4" s="59" t="s">
        <v>52</v>
      </c>
      <c r="K4" s="58"/>
      <c r="L4" s="60"/>
      <c r="M4" s="371" t="s">
        <v>37</v>
      </c>
      <c r="N4" s="56"/>
      <c r="O4" s="50"/>
      <c r="P4" s="61"/>
      <c r="Q4" s="61"/>
      <c r="R4" s="61"/>
      <c r="S4" s="61"/>
      <c r="T4" s="61"/>
      <c r="U4" s="61"/>
      <c r="V4" s="61"/>
    </row>
    <row r="5" spans="1:22" ht="30" customHeight="1">
      <c r="A5" s="62" t="s">
        <v>53</v>
      </c>
      <c r="B5" s="382"/>
      <c r="C5" s="370"/>
      <c r="D5" s="63" t="s">
        <v>65</v>
      </c>
      <c r="E5" s="63" t="s">
        <v>65</v>
      </c>
      <c r="F5" s="64" t="s">
        <v>47</v>
      </c>
      <c r="G5" s="65" t="s">
        <v>54</v>
      </c>
      <c r="H5" s="65" t="s">
        <v>55</v>
      </c>
      <c r="I5" s="64" t="s">
        <v>56</v>
      </c>
      <c r="J5" s="65" t="s">
        <v>55</v>
      </c>
      <c r="K5" s="65" t="s">
        <v>56</v>
      </c>
      <c r="L5" s="66" t="s">
        <v>57</v>
      </c>
      <c r="M5" s="372"/>
      <c r="N5" s="67"/>
      <c r="O5" s="61"/>
      <c r="P5" s="68"/>
      <c r="Q5" s="68"/>
      <c r="R5" s="68"/>
      <c r="S5" s="68"/>
      <c r="T5" s="68"/>
      <c r="U5" s="68"/>
      <c r="V5" s="50"/>
    </row>
    <row r="6" spans="1:22" ht="27.75" customHeight="1">
      <c r="A6" s="147"/>
      <c r="B6" s="148"/>
      <c r="C6" s="149"/>
      <c r="D6" s="150"/>
      <c r="E6" s="150"/>
      <c r="F6" s="151"/>
      <c r="G6" s="151"/>
      <c r="H6" s="152"/>
      <c r="I6" s="153"/>
      <c r="J6" s="69"/>
      <c r="K6" s="69"/>
      <c r="L6" s="69"/>
      <c r="M6" s="70"/>
      <c r="N6" s="71" t="str">
        <f t="shared" ref="N6:N69" si="0">CONCATENATE(C6,H6)</f>
        <v/>
      </c>
      <c r="O6" s="72"/>
      <c r="P6" s="72"/>
      <c r="Q6" s="72"/>
      <c r="R6" s="72"/>
      <c r="S6" s="72"/>
      <c r="T6" s="72"/>
      <c r="U6" s="72"/>
      <c r="V6" s="72"/>
    </row>
    <row r="7" spans="1:22" ht="27.75" customHeight="1">
      <c r="A7" s="154"/>
      <c r="B7" s="155"/>
      <c r="C7" s="156"/>
      <c r="D7" s="157"/>
      <c r="E7" s="157"/>
      <c r="F7" s="158"/>
      <c r="G7" s="158"/>
      <c r="H7" s="159"/>
      <c r="I7" s="160"/>
      <c r="J7" s="73"/>
      <c r="K7" s="73"/>
      <c r="L7" s="73"/>
      <c r="M7" s="74"/>
      <c r="N7" s="71" t="str">
        <f t="shared" si="0"/>
        <v/>
      </c>
      <c r="O7" s="72"/>
      <c r="P7" s="72"/>
      <c r="Q7" s="72"/>
      <c r="R7" s="72"/>
      <c r="S7" s="72"/>
      <c r="T7" s="72"/>
      <c r="U7" s="72"/>
      <c r="V7" s="72"/>
    </row>
    <row r="8" spans="1:22" ht="27.75" customHeight="1">
      <c r="A8" s="154"/>
      <c r="B8" s="155"/>
      <c r="C8" s="156"/>
      <c r="D8" s="157"/>
      <c r="E8" s="157"/>
      <c r="F8" s="158"/>
      <c r="G8" s="158"/>
      <c r="H8" s="159"/>
      <c r="I8" s="160"/>
      <c r="J8" s="73"/>
      <c r="K8" s="73"/>
      <c r="L8" s="73"/>
      <c r="M8" s="74"/>
      <c r="N8" s="71" t="str">
        <f t="shared" si="0"/>
        <v/>
      </c>
      <c r="O8" s="72"/>
      <c r="P8" s="72"/>
      <c r="Q8" s="72"/>
      <c r="R8" s="72"/>
      <c r="S8" s="72"/>
      <c r="T8" s="72"/>
      <c r="U8" s="72"/>
      <c r="V8" s="72"/>
    </row>
    <row r="9" spans="1:22" ht="27.75" customHeight="1">
      <c r="A9" s="154"/>
      <c r="B9" s="155"/>
      <c r="C9" s="156"/>
      <c r="D9" s="157"/>
      <c r="E9" s="157"/>
      <c r="F9" s="158"/>
      <c r="G9" s="158"/>
      <c r="H9" s="159"/>
      <c r="I9" s="160"/>
      <c r="J9" s="73"/>
      <c r="K9" s="73"/>
      <c r="L9" s="73"/>
      <c r="M9" s="74"/>
      <c r="N9" s="71" t="str">
        <f t="shared" si="0"/>
        <v/>
      </c>
      <c r="O9" s="72"/>
      <c r="P9" s="72"/>
      <c r="Q9" s="72"/>
      <c r="R9" s="72"/>
      <c r="S9" s="72"/>
      <c r="T9" s="72"/>
      <c r="U9" s="72"/>
      <c r="V9" s="72"/>
    </row>
    <row r="10" spans="1:22" ht="27.75" customHeight="1">
      <c r="A10" s="154"/>
      <c r="B10" s="155"/>
      <c r="C10" s="156"/>
      <c r="D10" s="157"/>
      <c r="E10" s="157"/>
      <c r="F10" s="158"/>
      <c r="G10" s="158"/>
      <c r="H10" s="159"/>
      <c r="I10" s="160"/>
      <c r="J10" s="73"/>
      <c r="K10" s="73"/>
      <c r="L10" s="73"/>
      <c r="M10" s="74"/>
      <c r="N10" s="71" t="str">
        <f t="shared" si="0"/>
        <v/>
      </c>
      <c r="O10" s="72"/>
      <c r="P10" s="72"/>
      <c r="Q10" s="72"/>
      <c r="R10" s="72"/>
      <c r="S10" s="72"/>
      <c r="T10" s="72"/>
      <c r="U10" s="72"/>
      <c r="V10" s="72"/>
    </row>
    <row r="11" spans="1:22" ht="27.75" customHeight="1">
      <c r="A11" s="154"/>
      <c r="B11" s="155"/>
      <c r="C11" s="156"/>
      <c r="D11" s="157"/>
      <c r="E11" s="157"/>
      <c r="F11" s="158"/>
      <c r="G11" s="158"/>
      <c r="H11" s="159"/>
      <c r="I11" s="160"/>
      <c r="J11" s="73"/>
      <c r="K11" s="73"/>
      <c r="L11" s="73"/>
      <c r="M11" s="74"/>
      <c r="N11" s="71" t="str">
        <f t="shared" si="0"/>
        <v/>
      </c>
      <c r="O11" s="72"/>
      <c r="P11" s="72"/>
      <c r="Q11" s="72"/>
      <c r="R11" s="72"/>
      <c r="S11" s="72"/>
      <c r="T11" s="72"/>
      <c r="U11" s="72"/>
      <c r="V11" s="72"/>
    </row>
    <row r="12" spans="1:22" ht="27.75" customHeight="1">
      <c r="A12" s="154"/>
      <c r="B12" s="155"/>
      <c r="C12" s="156"/>
      <c r="D12" s="157"/>
      <c r="E12" s="157"/>
      <c r="F12" s="158"/>
      <c r="G12" s="161"/>
      <c r="H12" s="159"/>
      <c r="I12" s="160"/>
      <c r="J12" s="73"/>
      <c r="K12" s="73"/>
      <c r="L12" s="73"/>
      <c r="M12" s="74"/>
      <c r="N12" s="71" t="str">
        <f t="shared" si="0"/>
        <v/>
      </c>
      <c r="O12" s="72"/>
      <c r="P12" s="72"/>
      <c r="Q12" s="72"/>
      <c r="R12" s="72"/>
      <c r="S12" s="72"/>
      <c r="T12" s="72"/>
      <c r="U12" s="72"/>
      <c r="V12" s="72"/>
    </row>
    <row r="13" spans="1:22" ht="27.75" customHeight="1">
      <c r="A13" s="154"/>
      <c r="B13" s="155"/>
      <c r="C13" s="156"/>
      <c r="D13" s="157"/>
      <c r="E13" s="157"/>
      <c r="F13" s="158"/>
      <c r="G13" s="158"/>
      <c r="H13" s="159"/>
      <c r="I13" s="160"/>
      <c r="J13" s="73"/>
      <c r="K13" s="73"/>
      <c r="L13" s="73"/>
      <c r="M13" s="74"/>
      <c r="N13" s="71" t="str">
        <f t="shared" si="0"/>
        <v/>
      </c>
      <c r="O13" s="72"/>
      <c r="P13" s="72"/>
      <c r="Q13" s="72"/>
      <c r="R13" s="72"/>
      <c r="S13" s="72"/>
      <c r="T13" s="72"/>
      <c r="U13" s="72"/>
      <c r="V13" s="72"/>
    </row>
    <row r="14" spans="1:22" ht="27.75" customHeight="1">
      <c r="A14" s="154"/>
      <c r="B14" s="155"/>
      <c r="C14" s="156"/>
      <c r="D14" s="157"/>
      <c r="E14" s="157"/>
      <c r="F14" s="158"/>
      <c r="G14" s="158"/>
      <c r="H14" s="159"/>
      <c r="I14" s="160"/>
      <c r="J14" s="73"/>
      <c r="K14" s="73"/>
      <c r="L14" s="73"/>
      <c r="M14" s="74"/>
      <c r="N14" s="71" t="str">
        <f t="shared" si="0"/>
        <v/>
      </c>
      <c r="O14" s="72"/>
      <c r="P14" s="72"/>
      <c r="Q14" s="72"/>
      <c r="R14" s="72"/>
      <c r="S14" s="72"/>
      <c r="T14" s="72"/>
      <c r="U14" s="72"/>
      <c r="V14" s="72"/>
    </row>
    <row r="15" spans="1:22" ht="27.75" customHeight="1">
      <c r="A15" s="154"/>
      <c r="B15" s="155"/>
      <c r="C15" s="156"/>
      <c r="D15" s="157"/>
      <c r="E15" s="157"/>
      <c r="F15" s="158"/>
      <c r="G15" s="158"/>
      <c r="H15" s="159"/>
      <c r="I15" s="160"/>
      <c r="J15" s="73"/>
      <c r="K15" s="73"/>
      <c r="L15" s="73"/>
      <c r="M15" s="74"/>
      <c r="N15" s="71" t="str">
        <f t="shared" si="0"/>
        <v/>
      </c>
      <c r="O15" s="72"/>
      <c r="P15" s="72"/>
      <c r="Q15" s="72"/>
      <c r="R15" s="72"/>
      <c r="S15" s="72"/>
      <c r="T15" s="72"/>
      <c r="U15" s="72"/>
      <c r="V15" s="72"/>
    </row>
    <row r="16" spans="1:22" ht="27.75" customHeight="1">
      <c r="A16" s="154"/>
      <c r="B16" s="155"/>
      <c r="C16" s="156"/>
      <c r="D16" s="157"/>
      <c r="E16" s="157"/>
      <c r="F16" s="158"/>
      <c r="G16" s="158"/>
      <c r="H16" s="159"/>
      <c r="I16" s="160"/>
      <c r="J16" s="73"/>
      <c r="K16" s="73"/>
      <c r="L16" s="73"/>
      <c r="M16" s="74"/>
      <c r="N16" s="71" t="str">
        <f t="shared" si="0"/>
        <v/>
      </c>
      <c r="O16" s="72"/>
      <c r="P16" s="72"/>
      <c r="Q16" s="72"/>
      <c r="R16" s="72"/>
      <c r="S16" s="72"/>
      <c r="T16" s="72"/>
      <c r="U16" s="72"/>
      <c r="V16" s="72"/>
    </row>
    <row r="17" spans="1:25" ht="27.75" customHeight="1">
      <c r="A17" s="154"/>
      <c r="B17" s="155"/>
      <c r="C17" s="156"/>
      <c r="D17" s="157"/>
      <c r="E17" s="157"/>
      <c r="F17" s="158"/>
      <c r="G17" s="158"/>
      <c r="H17" s="159"/>
      <c r="I17" s="160"/>
      <c r="J17" s="73"/>
      <c r="K17" s="73"/>
      <c r="L17" s="73"/>
      <c r="M17" s="74"/>
      <c r="N17" s="71" t="str">
        <f t="shared" si="0"/>
        <v/>
      </c>
      <c r="O17" s="72"/>
      <c r="P17" s="72"/>
      <c r="Q17" s="72"/>
      <c r="R17" s="72"/>
      <c r="S17" s="72"/>
      <c r="T17" s="72"/>
      <c r="U17" s="72"/>
      <c r="V17" s="72"/>
    </row>
    <row r="18" spans="1:25" ht="27.75" customHeight="1">
      <c r="A18" s="154"/>
      <c r="B18" s="155"/>
      <c r="C18" s="156"/>
      <c r="D18" s="157"/>
      <c r="E18" s="157"/>
      <c r="F18" s="158"/>
      <c r="G18" s="158"/>
      <c r="H18" s="159"/>
      <c r="I18" s="160"/>
      <c r="J18" s="73"/>
      <c r="K18" s="73"/>
      <c r="L18" s="73"/>
      <c r="M18" s="74"/>
      <c r="N18" s="71" t="str">
        <f t="shared" si="0"/>
        <v/>
      </c>
      <c r="O18" s="72"/>
      <c r="P18" s="72"/>
      <c r="Q18" s="72"/>
      <c r="R18" s="72"/>
      <c r="S18" s="72"/>
      <c r="T18" s="72"/>
      <c r="U18" s="72"/>
      <c r="V18" s="72"/>
    </row>
    <row r="19" spans="1:25" ht="27.75" customHeight="1">
      <c r="A19" s="154"/>
      <c r="B19" s="155"/>
      <c r="C19" s="156"/>
      <c r="D19" s="157"/>
      <c r="E19" s="157"/>
      <c r="F19" s="158"/>
      <c r="G19" s="158"/>
      <c r="H19" s="159"/>
      <c r="I19" s="160"/>
      <c r="J19" s="73"/>
      <c r="K19" s="73"/>
      <c r="L19" s="73"/>
      <c r="M19" s="74"/>
      <c r="N19" s="71" t="str">
        <f t="shared" si="0"/>
        <v/>
      </c>
      <c r="O19" s="72"/>
      <c r="P19" s="72"/>
      <c r="Q19" s="72"/>
      <c r="R19" s="72"/>
      <c r="S19" s="72"/>
      <c r="T19" s="72"/>
      <c r="U19" s="72"/>
      <c r="V19" s="72"/>
    </row>
    <row r="20" spans="1:25" ht="27.75" customHeight="1">
      <c r="A20" s="154"/>
      <c r="B20" s="155"/>
      <c r="C20" s="156"/>
      <c r="D20" s="157"/>
      <c r="E20" s="157"/>
      <c r="F20" s="158"/>
      <c r="G20" s="158"/>
      <c r="H20" s="159"/>
      <c r="I20" s="160"/>
      <c r="J20" s="73"/>
      <c r="K20" s="73"/>
      <c r="L20" s="73"/>
      <c r="M20" s="74"/>
      <c r="N20" s="71" t="str">
        <f t="shared" si="0"/>
        <v/>
      </c>
      <c r="O20" s="72"/>
      <c r="P20" s="72"/>
      <c r="Q20" s="72"/>
      <c r="R20" s="72"/>
      <c r="S20" s="72"/>
      <c r="T20" s="72"/>
      <c r="U20" s="72"/>
      <c r="V20" s="72"/>
    </row>
    <row r="21" spans="1:25" ht="27.75" customHeight="1">
      <c r="A21" s="154"/>
      <c r="B21" s="155"/>
      <c r="C21" s="156"/>
      <c r="D21" s="157"/>
      <c r="E21" s="157"/>
      <c r="F21" s="158"/>
      <c r="G21" s="158"/>
      <c r="H21" s="159"/>
      <c r="I21" s="160"/>
      <c r="J21" s="73"/>
      <c r="K21" s="73"/>
      <c r="L21" s="73"/>
      <c r="M21" s="74"/>
      <c r="N21" s="71" t="str">
        <f t="shared" si="0"/>
        <v/>
      </c>
      <c r="O21" s="75"/>
      <c r="P21" s="72"/>
      <c r="Q21" s="72"/>
      <c r="R21" s="72"/>
      <c r="S21" s="72"/>
      <c r="T21" s="72"/>
      <c r="U21" s="72"/>
      <c r="V21" s="76"/>
    </row>
    <row r="22" spans="1:25" ht="27.75" customHeight="1">
      <c r="A22" s="154"/>
      <c r="B22" s="155"/>
      <c r="C22" s="156"/>
      <c r="D22" s="157"/>
      <c r="E22" s="157"/>
      <c r="F22" s="158"/>
      <c r="G22" s="161"/>
      <c r="H22" s="159"/>
      <c r="I22" s="160"/>
      <c r="J22" s="73"/>
      <c r="K22" s="73"/>
      <c r="L22" s="73"/>
      <c r="M22" s="74"/>
      <c r="N22" s="71" t="str">
        <f t="shared" si="0"/>
        <v/>
      </c>
      <c r="O22" s="75"/>
      <c r="P22" s="72"/>
      <c r="Q22" s="72"/>
      <c r="R22" s="72"/>
      <c r="S22" s="72"/>
      <c r="T22" s="72"/>
      <c r="U22" s="72"/>
      <c r="V22" s="76"/>
    </row>
    <row r="23" spans="1:25" ht="27.75" customHeight="1">
      <c r="A23" s="154"/>
      <c r="B23" s="155"/>
      <c r="C23" s="156"/>
      <c r="D23" s="157"/>
      <c r="E23" s="157"/>
      <c r="F23" s="158"/>
      <c r="G23" s="158"/>
      <c r="H23" s="159"/>
      <c r="I23" s="160"/>
      <c r="J23" s="73"/>
      <c r="K23" s="73"/>
      <c r="L23" s="73"/>
      <c r="M23" s="74"/>
      <c r="N23" s="71" t="str">
        <f t="shared" si="0"/>
        <v/>
      </c>
      <c r="O23" s="75"/>
      <c r="P23" s="72"/>
      <c r="Q23" s="72"/>
      <c r="R23" s="72"/>
      <c r="S23" s="72"/>
      <c r="T23" s="72"/>
      <c r="U23" s="72"/>
      <c r="V23" s="76"/>
    </row>
    <row r="24" spans="1:25" ht="27.75" customHeight="1">
      <c r="A24" s="154"/>
      <c r="B24" s="155"/>
      <c r="C24" s="156"/>
      <c r="D24" s="157"/>
      <c r="E24" s="157"/>
      <c r="F24" s="158"/>
      <c r="G24" s="158"/>
      <c r="H24" s="159"/>
      <c r="I24" s="159"/>
      <c r="J24" s="73"/>
      <c r="K24" s="73"/>
      <c r="L24" s="73"/>
      <c r="M24" s="74"/>
      <c r="N24" s="71" t="str">
        <f t="shared" si="0"/>
        <v/>
      </c>
      <c r="O24" s="75"/>
      <c r="P24" s="72"/>
      <c r="Q24" s="72"/>
      <c r="R24" s="72"/>
      <c r="S24" s="72"/>
      <c r="T24" s="72"/>
      <c r="U24" s="72"/>
      <c r="V24" s="76"/>
    </row>
    <row r="25" spans="1:25" ht="27.75" customHeight="1">
      <c r="A25" s="162"/>
      <c r="B25" s="163"/>
      <c r="C25" s="164"/>
      <c r="D25" s="165"/>
      <c r="E25" s="165"/>
      <c r="F25" s="166"/>
      <c r="G25" s="166"/>
      <c r="H25" s="167"/>
      <c r="I25" s="168"/>
      <c r="J25" s="77"/>
      <c r="K25" s="77"/>
      <c r="L25" s="77"/>
      <c r="M25" s="78"/>
      <c r="N25" s="71" t="str">
        <f t="shared" si="0"/>
        <v/>
      </c>
      <c r="O25" s="72"/>
      <c r="P25" s="72"/>
      <c r="Q25" s="72"/>
      <c r="R25" s="72"/>
      <c r="S25" s="72"/>
      <c r="T25" s="72"/>
      <c r="U25" s="72"/>
      <c r="V25" s="79"/>
      <c r="W25" s="72"/>
      <c r="X25" s="72"/>
      <c r="Y25" s="72"/>
    </row>
    <row r="26" spans="1:25" ht="27.75" customHeight="1">
      <c r="A26" s="80" t="s">
        <v>58</v>
      </c>
      <c r="B26" s="81"/>
      <c r="C26" s="96"/>
      <c r="D26" s="82"/>
      <c r="E26" s="82">
        <f>SUM(E6:E25)</f>
        <v>0</v>
      </c>
      <c r="F26" s="83"/>
      <c r="G26" s="83"/>
      <c r="H26" s="83"/>
      <c r="I26" s="83"/>
      <c r="J26" s="83"/>
      <c r="K26" s="83"/>
      <c r="L26" s="83"/>
      <c r="M26" s="84"/>
      <c r="N26" s="71" t="str">
        <f t="shared" si="0"/>
        <v/>
      </c>
      <c r="O26" s="75"/>
      <c r="P26" s="72"/>
      <c r="Q26" s="72"/>
      <c r="R26" s="72"/>
      <c r="S26" s="72"/>
      <c r="T26" s="72"/>
      <c r="U26" s="72"/>
      <c r="V26" s="79"/>
      <c r="W26" s="72"/>
      <c r="X26" s="72"/>
      <c r="Y26" s="72"/>
    </row>
    <row r="27" spans="1:25" ht="27.75" customHeight="1">
      <c r="A27" s="169"/>
      <c r="B27" s="170"/>
      <c r="C27" s="171"/>
      <c r="D27" s="172"/>
      <c r="E27" s="172"/>
      <c r="F27" s="173"/>
      <c r="G27" s="173"/>
      <c r="H27" s="174"/>
      <c r="I27" s="175"/>
      <c r="J27" s="85"/>
      <c r="K27" s="85"/>
      <c r="L27" s="85"/>
      <c r="M27" s="86"/>
      <c r="N27" s="71" t="str">
        <f t="shared" si="0"/>
        <v/>
      </c>
      <c r="O27" s="72"/>
      <c r="P27" s="72"/>
      <c r="Q27" s="72"/>
      <c r="R27" s="72"/>
      <c r="S27" s="72"/>
      <c r="T27" s="72"/>
      <c r="U27" s="72"/>
      <c r="V27" s="72"/>
    </row>
    <row r="28" spans="1:25" ht="27.75" customHeight="1">
      <c r="A28" s="154"/>
      <c r="B28" s="155"/>
      <c r="C28" s="156"/>
      <c r="D28" s="157"/>
      <c r="E28" s="157"/>
      <c r="F28" s="158"/>
      <c r="G28" s="158"/>
      <c r="H28" s="159"/>
      <c r="I28" s="160"/>
      <c r="J28" s="73"/>
      <c r="K28" s="73"/>
      <c r="L28" s="73"/>
      <c r="M28" s="74"/>
      <c r="N28" s="71" t="str">
        <f t="shared" si="0"/>
        <v/>
      </c>
      <c r="O28" s="72"/>
      <c r="P28" s="72"/>
      <c r="Q28" s="72"/>
      <c r="R28" s="72"/>
      <c r="S28" s="72"/>
      <c r="T28" s="72"/>
      <c r="U28" s="72"/>
      <c r="V28" s="72"/>
    </row>
    <row r="29" spans="1:25" ht="27.75" customHeight="1">
      <c r="A29" s="154"/>
      <c r="B29" s="155"/>
      <c r="C29" s="156"/>
      <c r="D29" s="157"/>
      <c r="E29" s="157"/>
      <c r="F29" s="158"/>
      <c r="G29" s="158"/>
      <c r="H29" s="159"/>
      <c r="I29" s="160"/>
      <c r="J29" s="73"/>
      <c r="K29" s="73"/>
      <c r="L29" s="73"/>
      <c r="M29" s="74"/>
      <c r="N29" s="71" t="str">
        <f t="shared" si="0"/>
        <v/>
      </c>
      <c r="O29" s="72"/>
      <c r="P29" s="72"/>
      <c r="Q29" s="72"/>
      <c r="R29" s="72"/>
      <c r="S29" s="72"/>
      <c r="T29" s="72"/>
      <c r="U29" s="72"/>
      <c r="V29" s="72"/>
    </row>
    <row r="30" spans="1:25" ht="27.75" customHeight="1">
      <c r="A30" s="154"/>
      <c r="B30" s="155"/>
      <c r="C30" s="156"/>
      <c r="D30" s="157"/>
      <c r="E30" s="157"/>
      <c r="F30" s="158"/>
      <c r="G30" s="158"/>
      <c r="H30" s="159"/>
      <c r="I30" s="160"/>
      <c r="J30" s="73"/>
      <c r="K30" s="73"/>
      <c r="L30" s="73"/>
      <c r="M30" s="74"/>
      <c r="N30" s="71" t="str">
        <f t="shared" si="0"/>
        <v/>
      </c>
      <c r="O30" s="72"/>
      <c r="P30" s="72"/>
      <c r="Q30" s="72"/>
      <c r="R30" s="72"/>
      <c r="S30" s="72"/>
      <c r="T30" s="72"/>
      <c r="U30" s="72"/>
      <c r="V30" s="72"/>
    </row>
    <row r="31" spans="1:25" ht="27.75" customHeight="1">
      <c r="A31" s="154"/>
      <c r="B31" s="155"/>
      <c r="C31" s="156"/>
      <c r="D31" s="157"/>
      <c r="E31" s="157"/>
      <c r="F31" s="158"/>
      <c r="G31" s="158"/>
      <c r="H31" s="159"/>
      <c r="I31" s="160"/>
      <c r="J31" s="73"/>
      <c r="K31" s="73"/>
      <c r="L31" s="73"/>
      <c r="M31" s="74"/>
      <c r="N31" s="71" t="str">
        <f t="shared" si="0"/>
        <v/>
      </c>
      <c r="O31" s="72"/>
      <c r="P31" s="72"/>
      <c r="Q31" s="72"/>
      <c r="R31" s="72"/>
      <c r="S31" s="72"/>
      <c r="T31" s="72"/>
      <c r="U31" s="72"/>
      <c r="V31" s="72"/>
    </row>
    <row r="32" spans="1:25" ht="27.75" customHeight="1">
      <c r="A32" s="87" t="str">
        <f>IF(ISBLANK(C32)," ",27-COUNTBLANK($C$6:C32))</f>
        <v xml:space="preserve"> </v>
      </c>
      <c r="B32" s="88"/>
      <c r="C32" s="88"/>
      <c r="D32" s="89"/>
      <c r="E32" s="89"/>
      <c r="F32" s="73"/>
      <c r="G32" s="73"/>
      <c r="H32" s="73"/>
      <c r="I32" s="73"/>
      <c r="J32" s="73"/>
      <c r="K32" s="73"/>
      <c r="L32" s="73"/>
      <c r="M32" s="74"/>
      <c r="N32" s="71" t="str">
        <f t="shared" si="0"/>
        <v/>
      </c>
      <c r="O32" s="72"/>
      <c r="P32" s="72"/>
      <c r="Q32" s="72"/>
      <c r="R32" s="72"/>
      <c r="S32" s="72"/>
      <c r="T32" s="72"/>
      <c r="U32" s="72"/>
      <c r="V32" s="72"/>
    </row>
    <row r="33" spans="1:25" ht="27.75" customHeight="1">
      <c r="A33" s="87" t="str">
        <f>IF(ISBLANK(C33)," ",28-COUNTBLANK($C$6:C33))</f>
        <v xml:space="preserve"> </v>
      </c>
      <c r="B33" s="88"/>
      <c r="C33" s="88"/>
      <c r="D33" s="89"/>
      <c r="E33" s="89"/>
      <c r="F33" s="73"/>
      <c r="G33" s="73"/>
      <c r="H33" s="73"/>
      <c r="I33" s="73"/>
      <c r="J33" s="73"/>
      <c r="K33" s="73"/>
      <c r="L33" s="73"/>
      <c r="M33" s="74"/>
      <c r="N33" s="71" t="str">
        <f t="shared" si="0"/>
        <v/>
      </c>
      <c r="O33" s="72"/>
      <c r="P33" s="72"/>
      <c r="Q33" s="72"/>
      <c r="R33" s="72"/>
      <c r="S33" s="72"/>
      <c r="T33" s="72"/>
      <c r="U33" s="72"/>
      <c r="V33" s="72"/>
    </row>
    <row r="34" spans="1:25" ht="27.75" customHeight="1">
      <c r="A34" s="87" t="str">
        <f>IF(ISBLANK(C34)," ",29-COUNTBLANK($C$6:C34))</f>
        <v xml:space="preserve"> </v>
      </c>
      <c r="B34" s="88"/>
      <c r="C34" s="88"/>
      <c r="D34" s="89"/>
      <c r="E34" s="89"/>
      <c r="F34" s="73"/>
      <c r="G34" s="73"/>
      <c r="H34" s="73"/>
      <c r="I34" s="73"/>
      <c r="J34" s="73"/>
      <c r="K34" s="73"/>
      <c r="L34" s="73"/>
      <c r="M34" s="74"/>
      <c r="N34" s="71" t="str">
        <f t="shared" si="0"/>
        <v/>
      </c>
      <c r="O34" s="72"/>
      <c r="P34" s="72"/>
      <c r="Q34" s="72"/>
      <c r="R34" s="72"/>
      <c r="S34" s="72"/>
      <c r="T34" s="72"/>
      <c r="U34" s="72"/>
      <c r="V34" s="72"/>
    </row>
    <row r="35" spans="1:25" ht="27.75" customHeight="1">
      <c r="A35" s="87" t="str">
        <f>IF(ISBLANK(C35)," ",30-COUNTBLANK($C$6:C35))</f>
        <v xml:space="preserve"> </v>
      </c>
      <c r="B35" s="88"/>
      <c r="C35" s="88"/>
      <c r="D35" s="89"/>
      <c r="E35" s="89"/>
      <c r="F35" s="73"/>
      <c r="G35" s="73"/>
      <c r="H35" s="73"/>
      <c r="I35" s="73"/>
      <c r="J35" s="73"/>
      <c r="K35" s="73"/>
      <c r="L35" s="73"/>
      <c r="M35" s="74"/>
      <c r="N35" s="71" t="str">
        <f t="shared" si="0"/>
        <v/>
      </c>
      <c r="O35" s="72"/>
      <c r="P35" s="72"/>
      <c r="Q35" s="72"/>
      <c r="R35" s="72"/>
      <c r="S35" s="72"/>
      <c r="T35" s="72"/>
      <c r="U35" s="72"/>
      <c r="V35" s="72"/>
    </row>
    <row r="36" spans="1:25" ht="27.75" customHeight="1">
      <c r="A36" s="87" t="str">
        <f>IF(ISBLANK(C36)," ",31-COUNTBLANK($C$6:C36))</f>
        <v xml:space="preserve"> </v>
      </c>
      <c r="B36" s="88"/>
      <c r="C36" s="88"/>
      <c r="D36" s="89"/>
      <c r="E36" s="89"/>
      <c r="F36" s="73"/>
      <c r="G36" s="73"/>
      <c r="H36" s="73"/>
      <c r="I36" s="73"/>
      <c r="J36" s="73"/>
      <c r="K36" s="73"/>
      <c r="L36" s="73"/>
      <c r="M36" s="74"/>
      <c r="N36" s="71" t="str">
        <f t="shared" si="0"/>
        <v/>
      </c>
      <c r="O36" s="72"/>
      <c r="P36" s="72"/>
      <c r="Q36" s="72"/>
      <c r="R36" s="72"/>
      <c r="S36" s="72"/>
      <c r="T36" s="72"/>
      <c r="U36" s="72"/>
      <c r="V36" s="72"/>
    </row>
    <row r="37" spans="1:25" ht="27.75" customHeight="1">
      <c r="A37" s="87" t="str">
        <f>IF(ISBLANK(C37)," ",32-COUNTBLANK($C$6:C37))</f>
        <v xml:space="preserve"> </v>
      </c>
      <c r="B37" s="88"/>
      <c r="C37" s="88"/>
      <c r="D37" s="89"/>
      <c r="E37" s="89"/>
      <c r="F37" s="73"/>
      <c r="G37" s="73"/>
      <c r="H37" s="73"/>
      <c r="I37" s="73"/>
      <c r="J37" s="73"/>
      <c r="K37" s="73"/>
      <c r="L37" s="73"/>
      <c r="M37" s="74"/>
      <c r="N37" s="71" t="str">
        <f t="shared" si="0"/>
        <v/>
      </c>
      <c r="O37" s="72"/>
      <c r="P37" s="72"/>
      <c r="Q37" s="72"/>
      <c r="R37" s="72"/>
      <c r="S37" s="72"/>
      <c r="T37" s="72"/>
      <c r="U37" s="72"/>
      <c r="V37" s="72"/>
    </row>
    <row r="38" spans="1:25" ht="27.75" customHeight="1">
      <c r="A38" s="87" t="str">
        <f>IF(ISBLANK(C38)," ",33-COUNTBLANK($C$6:C38))</f>
        <v xml:space="preserve"> </v>
      </c>
      <c r="B38" s="88"/>
      <c r="C38" s="88"/>
      <c r="D38" s="89"/>
      <c r="E38" s="89"/>
      <c r="F38" s="73"/>
      <c r="G38" s="73"/>
      <c r="H38" s="73"/>
      <c r="I38" s="73"/>
      <c r="J38" s="73"/>
      <c r="K38" s="73"/>
      <c r="L38" s="73"/>
      <c r="M38" s="74"/>
      <c r="N38" s="71" t="str">
        <f t="shared" si="0"/>
        <v/>
      </c>
      <c r="O38" s="72"/>
      <c r="P38" s="72"/>
      <c r="Q38" s="72"/>
      <c r="R38" s="72"/>
      <c r="S38" s="72"/>
      <c r="T38" s="72"/>
      <c r="U38" s="72"/>
      <c r="V38" s="72"/>
    </row>
    <row r="39" spans="1:25" ht="27.75" customHeight="1">
      <c r="A39" s="87" t="str">
        <f>IF(ISBLANK(C39)," ",34-COUNTBLANK($C$6:C39))</f>
        <v xml:space="preserve"> </v>
      </c>
      <c r="B39" s="88"/>
      <c r="C39" s="88"/>
      <c r="D39" s="89"/>
      <c r="E39" s="89"/>
      <c r="F39" s="73"/>
      <c r="G39" s="73"/>
      <c r="H39" s="73"/>
      <c r="I39" s="73"/>
      <c r="J39" s="73"/>
      <c r="K39" s="73"/>
      <c r="L39" s="73"/>
      <c r="M39" s="74"/>
      <c r="N39" s="71" t="str">
        <f t="shared" si="0"/>
        <v/>
      </c>
      <c r="O39" s="72"/>
      <c r="P39" s="72"/>
      <c r="Q39" s="72"/>
      <c r="R39" s="72"/>
      <c r="S39" s="72"/>
      <c r="T39" s="72"/>
      <c r="U39" s="72"/>
      <c r="V39" s="72"/>
    </row>
    <row r="40" spans="1:25" ht="27.75" customHeight="1">
      <c r="A40" s="87" t="str">
        <f>IF(ISBLANK(C40)," ",35-COUNTBLANK($C$6:C40))</f>
        <v xml:space="preserve"> </v>
      </c>
      <c r="B40" s="88"/>
      <c r="C40" s="88"/>
      <c r="D40" s="89"/>
      <c r="E40" s="89"/>
      <c r="F40" s="73"/>
      <c r="G40" s="73"/>
      <c r="H40" s="73"/>
      <c r="I40" s="73"/>
      <c r="J40" s="73"/>
      <c r="K40" s="73"/>
      <c r="L40" s="73"/>
      <c r="M40" s="74"/>
      <c r="N40" s="71" t="str">
        <f t="shared" si="0"/>
        <v/>
      </c>
      <c r="O40" s="72"/>
      <c r="P40" s="72"/>
      <c r="Q40" s="72"/>
      <c r="R40" s="72"/>
      <c r="S40" s="72"/>
      <c r="T40" s="72"/>
      <c r="U40" s="72"/>
      <c r="V40" s="72"/>
    </row>
    <row r="41" spans="1:25" ht="27.75" customHeight="1">
      <c r="A41" s="87" t="str">
        <f>IF(ISBLANK(C41)," ",36-COUNTBLANK($C$6:C41))</f>
        <v xml:space="preserve"> </v>
      </c>
      <c r="B41" s="88"/>
      <c r="C41" s="88"/>
      <c r="D41" s="89"/>
      <c r="E41" s="89"/>
      <c r="F41" s="73"/>
      <c r="G41" s="73"/>
      <c r="H41" s="73"/>
      <c r="I41" s="73"/>
      <c r="J41" s="73"/>
      <c r="K41" s="73"/>
      <c r="L41" s="73"/>
      <c r="M41" s="74"/>
      <c r="N41" s="71" t="str">
        <f t="shared" si="0"/>
        <v/>
      </c>
      <c r="O41" s="72"/>
      <c r="P41" s="72"/>
      <c r="Q41" s="72"/>
      <c r="R41" s="72"/>
      <c r="S41" s="72"/>
      <c r="T41" s="72"/>
      <c r="U41" s="72"/>
      <c r="V41" s="72"/>
    </row>
    <row r="42" spans="1:25" ht="27.75" customHeight="1">
      <c r="A42" s="87" t="str">
        <f>IF(ISBLANK(C42)," ",37-COUNTBLANK($C$6:C42))</f>
        <v xml:space="preserve"> </v>
      </c>
      <c r="B42" s="88"/>
      <c r="C42" s="88"/>
      <c r="D42" s="89"/>
      <c r="E42" s="89"/>
      <c r="F42" s="73"/>
      <c r="G42" s="73"/>
      <c r="H42" s="73"/>
      <c r="I42" s="73"/>
      <c r="J42" s="73"/>
      <c r="K42" s="73"/>
      <c r="L42" s="73"/>
      <c r="M42" s="74"/>
      <c r="N42" s="71" t="str">
        <f t="shared" si="0"/>
        <v/>
      </c>
      <c r="O42" s="75"/>
      <c r="P42" s="72"/>
      <c r="Q42" s="72"/>
      <c r="R42" s="72"/>
      <c r="S42" s="72"/>
      <c r="T42" s="72"/>
      <c r="U42" s="72"/>
      <c r="V42" s="76"/>
    </row>
    <row r="43" spans="1:25" ht="27.75" customHeight="1">
      <c r="A43" s="87" t="str">
        <f>IF(ISBLANK(C43)," ",38-COUNTBLANK($C$6:C43))</f>
        <v xml:space="preserve"> </v>
      </c>
      <c r="B43" s="88"/>
      <c r="C43" s="88"/>
      <c r="D43" s="89"/>
      <c r="E43" s="89"/>
      <c r="F43" s="73"/>
      <c r="G43" s="73"/>
      <c r="H43" s="73"/>
      <c r="I43" s="73"/>
      <c r="J43" s="73"/>
      <c r="K43" s="73"/>
      <c r="L43" s="73"/>
      <c r="M43" s="74"/>
      <c r="N43" s="71" t="str">
        <f t="shared" si="0"/>
        <v/>
      </c>
      <c r="O43" s="75"/>
      <c r="P43" s="72"/>
      <c r="Q43" s="72"/>
      <c r="R43" s="72"/>
      <c r="S43" s="72"/>
      <c r="T43" s="72"/>
      <c r="U43" s="72"/>
      <c r="V43" s="76"/>
    </row>
    <row r="44" spans="1:25" ht="27.75" customHeight="1">
      <c r="A44" s="87" t="str">
        <f>IF(ISBLANK(C44)," ",39-COUNTBLANK($C$6:C44))</f>
        <v xml:space="preserve"> </v>
      </c>
      <c r="B44" s="88"/>
      <c r="C44" s="88"/>
      <c r="D44" s="89"/>
      <c r="E44" s="89"/>
      <c r="F44" s="73"/>
      <c r="G44" s="73"/>
      <c r="H44" s="73"/>
      <c r="I44" s="73"/>
      <c r="J44" s="73"/>
      <c r="K44" s="73"/>
      <c r="L44" s="73"/>
      <c r="M44" s="74"/>
      <c r="N44" s="71" t="str">
        <f t="shared" si="0"/>
        <v/>
      </c>
      <c r="O44" s="75"/>
      <c r="P44" s="72"/>
      <c r="Q44" s="72"/>
      <c r="R44" s="72"/>
      <c r="S44" s="72"/>
      <c r="T44" s="72"/>
      <c r="U44" s="72"/>
      <c r="V44" s="76"/>
    </row>
    <row r="45" spans="1:25" ht="27.75" customHeight="1">
      <c r="A45" s="87" t="str">
        <f>IF(ISBLANK(C45)," ",40-COUNTBLANK($C$6:C45))</f>
        <v xml:space="preserve"> </v>
      </c>
      <c r="B45" s="88"/>
      <c r="C45" s="88"/>
      <c r="D45" s="89"/>
      <c r="E45" s="89"/>
      <c r="F45" s="73"/>
      <c r="G45" s="73"/>
      <c r="H45" s="73"/>
      <c r="I45" s="73"/>
      <c r="J45" s="73"/>
      <c r="K45" s="73"/>
      <c r="L45" s="73"/>
      <c r="M45" s="74"/>
      <c r="N45" s="71" t="str">
        <f t="shared" si="0"/>
        <v/>
      </c>
      <c r="O45" s="75"/>
      <c r="P45" s="72"/>
      <c r="Q45" s="72"/>
      <c r="R45" s="72"/>
      <c r="S45" s="72"/>
      <c r="T45" s="72"/>
      <c r="U45" s="72"/>
      <c r="V45" s="76"/>
    </row>
    <row r="46" spans="1:25" ht="27.75" customHeight="1">
      <c r="A46" s="90" t="str">
        <f>IF(ISBLANK(C46)," ",41-COUNTBLANK($C$6:C46))</f>
        <v xml:space="preserve"> </v>
      </c>
      <c r="B46" s="91"/>
      <c r="C46" s="91"/>
      <c r="D46" s="92"/>
      <c r="E46" s="92"/>
      <c r="F46" s="77"/>
      <c r="G46" s="77"/>
      <c r="H46" s="77"/>
      <c r="I46" s="77"/>
      <c r="J46" s="77"/>
      <c r="K46" s="77"/>
      <c r="L46" s="77"/>
      <c r="M46" s="78"/>
      <c r="N46" s="71" t="str">
        <f t="shared" si="0"/>
        <v/>
      </c>
      <c r="O46" s="72"/>
      <c r="P46" s="72"/>
      <c r="Q46" s="72"/>
      <c r="R46" s="72"/>
      <c r="S46" s="72"/>
      <c r="T46" s="72"/>
      <c r="U46" s="72"/>
      <c r="V46" s="79"/>
      <c r="W46" s="72"/>
      <c r="X46" s="72"/>
      <c r="Y46" s="72"/>
    </row>
    <row r="47" spans="1:25" ht="27.75" customHeight="1">
      <c r="A47" s="80" t="s">
        <v>58</v>
      </c>
      <c r="B47" s="81"/>
      <c r="C47" s="96"/>
      <c r="D47" s="82"/>
      <c r="E47" s="82">
        <f>SUM(E27:E46)</f>
        <v>0</v>
      </c>
      <c r="F47" s="83"/>
      <c r="G47" s="83"/>
      <c r="H47" s="83"/>
      <c r="I47" s="83"/>
      <c r="J47" s="83"/>
      <c r="K47" s="83"/>
      <c r="L47" s="83"/>
      <c r="M47" s="84"/>
      <c r="N47" s="71" t="str">
        <f t="shared" si="0"/>
        <v/>
      </c>
      <c r="O47" s="75"/>
      <c r="P47" s="72"/>
      <c r="Q47" s="72"/>
      <c r="R47" s="72"/>
      <c r="S47" s="72"/>
      <c r="T47" s="72"/>
      <c r="U47" s="72"/>
      <c r="V47" s="79"/>
      <c r="W47" s="72"/>
      <c r="X47" s="72"/>
      <c r="Y47" s="72"/>
    </row>
    <row r="48" spans="1:25" ht="27.75" customHeight="1">
      <c r="A48" s="93" t="str">
        <f>IF(ISBLANK(C48)," ",43-COUNTBLANK($C$6:C48))</f>
        <v xml:space="preserve"> </v>
      </c>
      <c r="B48" s="94"/>
      <c r="C48" s="94"/>
      <c r="D48" s="95"/>
      <c r="E48" s="95"/>
      <c r="F48" s="85"/>
      <c r="G48" s="85"/>
      <c r="H48" s="85"/>
      <c r="I48" s="85"/>
      <c r="J48" s="85"/>
      <c r="K48" s="85"/>
      <c r="L48" s="85"/>
      <c r="M48" s="86"/>
      <c r="N48" s="71" t="str">
        <f t="shared" si="0"/>
        <v/>
      </c>
      <c r="O48" s="72"/>
      <c r="P48" s="72"/>
      <c r="Q48" s="72"/>
      <c r="R48" s="72"/>
      <c r="S48" s="72"/>
      <c r="T48" s="72"/>
      <c r="U48" s="72"/>
      <c r="V48" s="72"/>
    </row>
    <row r="49" spans="1:22" ht="27.75" customHeight="1">
      <c r="A49" s="87" t="str">
        <f>IF(ISBLANK(C49)," ",44-COUNTBLANK($C$6:C49))</f>
        <v xml:space="preserve"> </v>
      </c>
      <c r="B49" s="88"/>
      <c r="C49" s="88"/>
      <c r="D49" s="89"/>
      <c r="E49" s="89"/>
      <c r="F49" s="73"/>
      <c r="G49" s="73"/>
      <c r="H49" s="73"/>
      <c r="I49" s="73"/>
      <c r="J49" s="73"/>
      <c r="K49" s="73"/>
      <c r="L49" s="73"/>
      <c r="M49" s="74"/>
      <c r="N49" s="71" t="str">
        <f t="shared" si="0"/>
        <v/>
      </c>
      <c r="O49" s="72"/>
      <c r="P49" s="72"/>
      <c r="Q49" s="72"/>
      <c r="R49" s="72"/>
      <c r="S49" s="72"/>
      <c r="T49" s="72"/>
      <c r="U49" s="72"/>
      <c r="V49" s="72"/>
    </row>
    <row r="50" spans="1:22" ht="27.75" customHeight="1">
      <c r="A50" s="87" t="str">
        <f>IF(ISBLANK(C50)," ",45-COUNTBLANK($C$6:C50))</f>
        <v xml:space="preserve"> </v>
      </c>
      <c r="B50" s="88"/>
      <c r="C50" s="88"/>
      <c r="D50" s="89"/>
      <c r="E50" s="89"/>
      <c r="F50" s="73"/>
      <c r="G50" s="73"/>
      <c r="H50" s="73"/>
      <c r="I50" s="73"/>
      <c r="J50" s="73"/>
      <c r="K50" s="73"/>
      <c r="L50" s="73"/>
      <c r="M50" s="74"/>
      <c r="N50" s="71" t="str">
        <f t="shared" si="0"/>
        <v/>
      </c>
      <c r="O50" s="72"/>
      <c r="P50" s="72"/>
      <c r="Q50" s="72"/>
      <c r="R50" s="72"/>
      <c r="S50" s="72"/>
      <c r="T50" s="72"/>
      <c r="U50" s="72"/>
      <c r="V50" s="72"/>
    </row>
    <row r="51" spans="1:22" ht="27.75" customHeight="1">
      <c r="A51" s="87" t="str">
        <f>IF(ISBLANK(C51)," ",46-COUNTBLANK($C$6:C51))</f>
        <v xml:space="preserve"> </v>
      </c>
      <c r="B51" s="88"/>
      <c r="C51" s="88"/>
      <c r="D51" s="89"/>
      <c r="E51" s="89"/>
      <c r="F51" s="73"/>
      <c r="G51" s="73"/>
      <c r="H51" s="73"/>
      <c r="I51" s="73"/>
      <c r="J51" s="73"/>
      <c r="K51" s="73"/>
      <c r="L51" s="73"/>
      <c r="M51" s="74"/>
      <c r="N51" s="71" t="str">
        <f t="shared" si="0"/>
        <v/>
      </c>
      <c r="O51" s="72"/>
      <c r="P51" s="72"/>
      <c r="Q51" s="72"/>
      <c r="R51" s="72"/>
      <c r="S51" s="72"/>
      <c r="T51" s="72"/>
      <c r="U51" s="72"/>
      <c r="V51" s="72"/>
    </row>
    <row r="52" spans="1:22" ht="27.75" customHeight="1">
      <c r="A52" s="87" t="str">
        <f>IF(ISBLANK(C52)," ",47-COUNTBLANK($C$6:C52))</f>
        <v xml:space="preserve"> </v>
      </c>
      <c r="B52" s="88"/>
      <c r="C52" s="88"/>
      <c r="D52" s="89"/>
      <c r="E52" s="89"/>
      <c r="F52" s="73"/>
      <c r="G52" s="73"/>
      <c r="H52" s="73"/>
      <c r="I52" s="73"/>
      <c r="J52" s="73"/>
      <c r="K52" s="73"/>
      <c r="L52" s="73"/>
      <c r="M52" s="74"/>
      <c r="N52" s="71" t="str">
        <f t="shared" si="0"/>
        <v/>
      </c>
      <c r="O52" s="72"/>
      <c r="P52" s="72"/>
      <c r="Q52" s="72"/>
      <c r="R52" s="72"/>
      <c r="S52" s="72"/>
      <c r="T52" s="72"/>
      <c r="U52" s="72"/>
      <c r="V52" s="72"/>
    </row>
    <row r="53" spans="1:22" ht="27.75" customHeight="1">
      <c r="A53" s="87" t="str">
        <f>IF(ISBLANK(C53)," ",48-COUNTBLANK($C$6:C53))</f>
        <v xml:space="preserve"> </v>
      </c>
      <c r="B53" s="88"/>
      <c r="C53" s="88"/>
      <c r="D53" s="89"/>
      <c r="E53" s="89"/>
      <c r="F53" s="73"/>
      <c r="G53" s="73"/>
      <c r="H53" s="73"/>
      <c r="I53" s="73"/>
      <c r="J53" s="73"/>
      <c r="K53" s="73"/>
      <c r="L53" s="73"/>
      <c r="M53" s="74"/>
      <c r="N53" s="71" t="str">
        <f t="shared" si="0"/>
        <v/>
      </c>
      <c r="O53" s="72"/>
      <c r="P53" s="72"/>
      <c r="Q53" s="72"/>
      <c r="R53" s="72"/>
      <c r="S53" s="72"/>
      <c r="T53" s="72"/>
      <c r="U53" s="72"/>
      <c r="V53" s="72"/>
    </row>
    <row r="54" spans="1:22" ht="27.75" customHeight="1">
      <c r="A54" s="87" t="str">
        <f>IF(ISBLANK(C54)," ",49-COUNTBLANK($C$6:C54))</f>
        <v xml:space="preserve"> </v>
      </c>
      <c r="B54" s="88"/>
      <c r="C54" s="88"/>
      <c r="D54" s="89"/>
      <c r="E54" s="89"/>
      <c r="F54" s="73"/>
      <c r="G54" s="73"/>
      <c r="H54" s="73"/>
      <c r="I54" s="73"/>
      <c r="J54" s="73"/>
      <c r="K54" s="73"/>
      <c r="L54" s="73"/>
      <c r="M54" s="74"/>
      <c r="N54" s="71" t="str">
        <f t="shared" si="0"/>
        <v/>
      </c>
      <c r="O54" s="72"/>
      <c r="P54" s="72"/>
      <c r="Q54" s="72"/>
      <c r="R54" s="72"/>
      <c r="S54" s="72"/>
      <c r="T54" s="72"/>
      <c r="U54" s="72"/>
      <c r="V54" s="72"/>
    </row>
    <row r="55" spans="1:22" ht="27.75" customHeight="1">
      <c r="A55" s="87" t="str">
        <f>IF(ISBLANK(C55)," ",50-COUNTBLANK($C$6:C55))</f>
        <v xml:space="preserve"> </v>
      </c>
      <c r="B55" s="88"/>
      <c r="C55" s="88"/>
      <c r="D55" s="89"/>
      <c r="E55" s="89"/>
      <c r="F55" s="73"/>
      <c r="G55" s="73"/>
      <c r="H55" s="73"/>
      <c r="I55" s="73"/>
      <c r="J55" s="73"/>
      <c r="K55" s="73"/>
      <c r="L55" s="73"/>
      <c r="M55" s="74"/>
      <c r="N55" s="71" t="str">
        <f t="shared" si="0"/>
        <v/>
      </c>
      <c r="O55" s="72"/>
      <c r="P55" s="72"/>
      <c r="Q55" s="72"/>
      <c r="R55" s="72"/>
      <c r="S55" s="72"/>
      <c r="T55" s="72"/>
      <c r="U55" s="72"/>
      <c r="V55" s="72"/>
    </row>
    <row r="56" spans="1:22" ht="27.75" customHeight="1">
      <c r="A56" s="87" t="str">
        <f>IF(ISBLANK(C56)," ",51-COUNTBLANK($C$6:C56))</f>
        <v xml:space="preserve"> </v>
      </c>
      <c r="B56" s="88"/>
      <c r="C56" s="88"/>
      <c r="D56" s="89"/>
      <c r="E56" s="89"/>
      <c r="F56" s="73"/>
      <c r="G56" s="73"/>
      <c r="H56" s="73"/>
      <c r="I56" s="73"/>
      <c r="J56" s="73"/>
      <c r="K56" s="73"/>
      <c r="L56" s="73"/>
      <c r="M56" s="74"/>
      <c r="N56" s="71" t="str">
        <f t="shared" si="0"/>
        <v/>
      </c>
      <c r="O56" s="72"/>
      <c r="P56" s="72"/>
      <c r="Q56" s="72"/>
      <c r="R56" s="72"/>
      <c r="S56" s="72"/>
      <c r="T56" s="72"/>
      <c r="U56" s="72"/>
      <c r="V56" s="72"/>
    </row>
    <row r="57" spans="1:22" ht="27.75" customHeight="1">
      <c r="A57" s="87" t="str">
        <f>IF(ISBLANK(C57)," ",52-COUNTBLANK($C$6:C57))</f>
        <v xml:space="preserve"> </v>
      </c>
      <c r="B57" s="88"/>
      <c r="C57" s="88"/>
      <c r="D57" s="89"/>
      <c r="E57" s="89"/>
      <c r="F57" s="73"/>
      <c r="G57" s="73"/>
      <c r="H57" s="73"/>
      <c r="I57" s="73"/>
      <c r="J57" s="73"/>
      <c r="K57" s="73"/>
      <c r="L57" s="73"/>
      <c r="M57" s="74"/>
      <c r="N57" s="71" t="str">
        <f t="shared" si="0"/>
        <v/>
      </c>
      <c r="O57" s="72"/>
      <c r="P57" s="72"/>
      <c r="Q57" s="72"/>
      <c r="R57" s="72"/>
      <c r="S57" s="72"/>
      <c r="T57" s="72"/>
      <c r="U57" s="72"/>
      <c r="V57" s="72"/>
    </row>
    <row r="58" spans="1:22" ht="27.75" customHeight="1">
      <c r="A58" s="87" t="str">
        <f>IF(ISBLANK(C58)," ",53-COUNTBLANK($C$6:C58))</f>
        <v xml:space="preserve"> </v>
      </c>
      <c r="B58" s="88"/>
      <c r="C58" s="88"/>
      <c r="D58" s="89"/>
      <c r="E58" s="89"/>
      <c r="F58" s="73"/>
      <c r="G58" s="73"/>
      <c r="H58" s="73"/>
      <c r="I58" s="73"/>
      <c r="J58" s="73"/>
      <c r="K58" s="73"/>
      <c r="L58" s="73"/>
      <c r="M58" s="74"/>
      <c r="N58" s="71" t="str">
        <f t="shared" si="0"/>
        <v/>
      </c>
      <c r="O58" s="72"/>
      <c r="P58" s="72"/>
      <c r="Q58" s="72"/>
      <c r="R58" s="72"/>
      <c r="S58" s="72"/>
      <c r="T58" s="72"/>
      <c r="U58" s="72"/>
      <c r="V58" s="72"/>
    </row>
    <row r="59" spans="1:22" ht="27.75" customHeight="1">
      <c r="A59" s="87" t="str">
        <f>IF(ISBLANK(C59)," ",54-COUNTBLANK($C$6:C59))</f>
        <v xml:space="preserve"> </v>
      </c>
      <c r="B59" s="88"/>
      <c r="C59" s="88"/>
      <c r="D59" s="89"/>
      <c r="E59" s="89"/>
      <c r="F59" s="73"/>
      <c r="G59" s="73"/>
      <c r="H59" s="73"/>
      <c r="I59" s="73"/>
      <c r="J59" s="73"/>
      <c r="K59" s="73"/>
      <c r="L59" s="73"/>
      <c r="M59" s="74"/>
      <c r="N59" s="71" t="str">
        <f t="shared" si="0"/>
        <v/>
      </c>
      <c r="O59" s="72"/>
      <c r="P59" s="72"/>
      <c r="Q59" s="72"/>
      <c r="R59" s="72"/>
      <c r="S59" s="72"/>
      <c r="T59" s="72"/>
      <c r="U59" s="72"/>
      <c r="V59" s="72"/>
    </row>
    <row r="60" spans="1:22" ht="27.75" customHeight="1">
      <c r="A60" s="87" t="str">
        <f>IF(ISBLANK(C60)," ",55-COUNTBLANK($C$6:C60))</f>
        <v xml:space="preserve"> </v>
      </c>
      <c r="B60" s="88"/>
      <c r="C60" s="88"/>
      <c r="D60" s="89"/>
      <c r="E60" s="89"/>
      <c r="F60" s="73"/>
      <c r="G60" s="73"/>
      <c r="H60" s="73"/>
      <c r="I60" s="73"/>
      <c r="J60" s="73"/>
      <c r="K60" s="73"/>
      <c r="L60" s="73"/>
      <c r="M60" s="74"/>
      <c r="N60" s="71" t="str">
        <f t="shared" si="0"/>
        <v/>
      </c>
      <c r="O60" s="72"/>
      <c r="P60" s="72"/>
      <c r="Q60" s="72"/>
      <c r="R60" s="72"/>
      <c r="S60" s="72"/>
      <c r="T60" s="72"/>
      <c r="U60" s="72"/>
      <c r="V60" s="72"/>
    </row>
    <row r="61" spans="1:22" ht="27.75" customHeight="1">
      <c r="A61" s="87" t="str">
        <f>IF(ISBLANK(C61)," ",56-COUNTBLANK($C$6:C61))</f>
        <v xml:space="preserve"> </v>
      </c>
      <c r="B61" s="88"/>
      <c r="C61" s="88"/>
      <c r="D61" s="89"/>
      <c r="E61" s="89"/>
      <c r="F61" s="73"/>
      <c r="G61" s="73"/>
      <c r="H61" s="73"/>
      <c r="I61" s="73"/>
      <c r="J61" s="73"/>
      <c r="K61" s="73"/>
      <c r="L61" s="73"/>
      <c r="M61" s="74"/>
      <c r="N61" s="71" t="str">
        <f t="shared" si="0"/>
        <v/>
      </c>
      <c r="O61" s="72"/>
      <c r="P61" s="72"/>
      <c r="Q61" s="72"/>
      <c r="R61" s="72"/>
      <c r="S61" s="72"/>
      <c r="T61" s="72"/>
      <c r="U61" s="72"/>
      <c r="V61" s="72"/>
    </row>
    <row r="62" spans="1:22" ht="27.75" customHeight="1">
      <c r="A62" s="87" t="str">
        <f>IF(ISBLANK(C62)," ",57-COUNTBLANK($C$6:C62))</f>
        <v xml:space="preserve"> </v>
      </c>
      <c r="B62" s="88"/>
      <c r="C62" s="88"/>
      <c r="D62" s="89"/>
      <c r="E62" s="89"/>
      <c r="F62" s="73"/>
      <c r="G62" s="73"/>
      <c r="H62" s="73"/>
      <c r="I62" s="73"/>
      <c r="J62" s="73"/>
      <c r="K62" s="73"/>
      <c r="L62" s="73"/>
      <c r="M62" s="74"/>
      <c r="N62" s="71" t="str">
        <f t="shared" si="0"/>
        <v/>
      </c>
      <c r="O62" s="72"/>
      <c r="P62" s="72"/>
      <c r="Q62" s="72"/>
      <c r="R62" s="72"/>
      <c r="S62" s="72"/>
      <c r="T62" s="72"/>
      <c r="U62" s="72"/>
      <c r="V62" s="72"/>
    </row>
    <row r="63" spans="1:22" ht="27.75" customHeight="1">
      <c r="A63" s="87" t="str">
        <f>IF(ISBLANK(C63)," ",58-COUNTBLANK($C$6:C63))</f>
        <v xml:space="preserve"> </v>
      </c>
      <c r="B63" s="88"/>
      <c r="C63" s="88"/>
      <c r="D63" s="89"/>
      <c r="E63" s="89"/>
      <c r="F63" s="73"/>
      <c r="G63" s="73"/>
      <c r="H63" s="73"/>
      <c r="I63" s="73"/>
      <c r="J63" s="73"/>
      <c r="K63" s="73"/>
      <c r="L63" s="73"/>
      <c r="M63" s="74"/>
      <c r="N63" s="71" t="str">
        <f t="shared" si="0"/>
        <v/>
      </c>
      <c r="O63" s="75"/>
      <c r="P63" s="72"/>
      <c r="Q63" s="72"/>
      <c r="R63" s="72"/>
      <c r="S63" s="72"/>
      <c r="T63" s="72"/>
      <c r="U63" s="72"/>
      <c r="V63" s="76"/>
    </row>
    <row r="64" spans="1:22" ht="27.75" customHeight="1">
      <c r="A64" s="87" t="str">
        <f>IF(ISBLANK(C64)," ",59-COUNTBLANK($C$6:C64))</f>
        <v xml:space="preserve"> </v>
      </c>
      <c r="B64" s="88"/>
      <c r="C64" s="88"/>
      <c r="D64" s="89"/>
      <c r="E64" s="89"/>
      <c r="F64" s="73"/>
      <c r="G64" s="73"/>
      <c r="H64" s="73"/>
      <c r="I64" s="73"/>
      <c r="J64" s="73"/>
      <c r="K64" s="73"/>
      <c r="L64" s="73"/>
      <c r="M64" s="74"/>
      <c r="N64" s="71" t="str">
        <f t="shared" si="0"/>
        <v/>
      </c>
      <c r="O64" s="75"/>
      <c r="P64" s="72"/>
      <c r="Q64" s="72"/>
      <c r="R64" s="72"/>
      <c r="S64" s="72"/>
      <c r="T64" s="72"/>
      <c r="U64" s="72"/>
      <c r="V64" s="76"/>
    </row>
    <row r="65" spans="1:25" ht="27.75" customHeight="1">
      <c r="A65" s="87" t="str">
        <f>IF(ISBLANK(C65)," ",60-COUNTBLANK($C$6:C65))</f>
        <v xml:space="preserve"> </v>
      </c>
      <c r="B65" s="88"/>
      <c r="C65" s="88"/>
      <c r="D65" s="89"/>
      <c r="E65" s="89"/>
      <c r="F65" s="73"/>
      <c r="G65" s="73"/>
      <c r="H65" s="73"/>
      <c r="I65" s="73"/>
      <c r="J65" s="73"/>
      <c r="K65" s="73"/>
      <c r="L65" s="73"/>
      <c r="M65" s="74"/>
      <c r="N65" s="71" t="str">
        <f t="shared" si="0"/>
        <v/>
      </c>
      <c r="O65" s="75"/>
      <c r="P65" s="72"/>
      <c r="Q65" s="72"/>
      <c r="R65" s="72"/>
      <c r="S65" s="72"/>
      <c r="T65" s="72"/>
      <c r="U65" s="72"/>
      <c r="V65" s="76"/>
    </row>
    <row r="66" spans="1:25" ht="27.75" customHeight="1">
      <c r="A66" s="87" t="str">
        <f>IF(ISBLANK(C66)," ",61-COUNTBLANK($C$6:C66))</f>
        <v xml:space="preserve"> </v>
      </c>
      <c r="B66" s="88"/>
      <c r="C66" s="88"/>
      <c r="D66" s="89"/>
      <c r="E66" s="89"/>
      <c r="F66" s="73"/>
      <c r="G66" s="73"/>
      <c r="H66" s="73"/>
      <c r="I66" s="73"/>
      <c r="J66" s="73"/>
      <c r="K66" s="73"/>
      <c r="L66" s="73"/>
      <c r="M66" s="74"/>
      <c r="N66" s="71" t="str">
        <f t="shared" si="0"/>
        <v/>
      </c>
      <c r="O66" s="75"/>
      <c r="P66" s="72"/>
      <c r="Q66" s="72"/>
      <c r="R66" s="72"/>
      <c r="S66" s="72"/>
      <c r="T66" s="72"/>
      <c r="U66" s="72"/>
      <c r="V66" s="76"/>
    </row>
    <row r="67" spans="1:25" ht="27.75" customHeight="1">
      <c r="A67" s="87" t="str">
        <f>IF(ISBLANK(C67)," ",62-COUNTBLANK($C$6:C67))</f>
        <v xml:space="preserve"> </v>
      </c>
      <c r="B67" s="88"/>
      <c r="C67" s="88"/>
      <c r="D67" s="89"/>
      <c r="E67" s="89"/>
      <c r="F67" s="73"/>
      <c r="G67" s="73"/>
      <c r="H67" s="73"/>
      <c r="I67" s="73"/>
      <c r="J67" s="73"/>
      <c r="K67" s="73"/>
      <c r="L67" s="73"/>
      <c r="M67" s="74"/>
      <c r="N67" s="71" t="str">
        <f t="shared" si="0"/>
        <v/>
      </c>
      <c r="O67" s="72"/>
      <c r="P67" s="72"/>
      <c r="Q67" s="72"/>
      <c r="R67" s="72"/>
      <c r="S67" s="72"/>
      <c r="T67" s="72"/>
      <c r="U67" s="72"/>
      <c r="V67" s="79"/>
      <c r="W67" s="72"/>
      <c r="X67" s="72"/>
      <c r="Y67" s="72"/>
    </row>
    <row r="68" spans="1:25" ht="27.75" customHeight="1">
      <c r="A68" s="80" t="s">
        <v>58</v>
      </c>
      <c r="B68" s="81"/>
      <c r="C68" s="96"/>
      <c r="D68" s="82"/>
      <c r="E68" s="82">
        <f>SUM(E48:E67)</f>
        <v>0</v>
      </c>
      <c r="F68" s="83"/>
      <c r="G68" s="83"/>
      <c r="H68" s="83"/>
      <c r="I68" s="83"/>
      <c r="J68" s="83"/>
      <c r="K68" s="83"/>
      <c r="L68" s="83"/>
      <c r="M68" s="84"/>
      <c r="N68" s="71" t="str">
        <f t="shared" si="0"/>
        <v/>
      </c>
      <c r="O68" s="75"/>
      <c r="P68" s="72"/>
      <c r="Q68" s="72"/>
      <c r="R68" s="72"/>
      <c r="S68" s="72"/>
      <c r="T68" s="72"/>
      <c r="U68" s="72"/>
      <c r="V68" s="79"/>
      <c r="W68" s="72"/>
      <c r="X68" s="72"/>
      <c r="Y68" s="72"/>
    </row>
    <row r="69" spans="1:25" ht="27.75" customHeight="1">
      <c r="A69" s="93" t="str">
        <f>IF(ISBLANK(C69)," ",64-COUNTBLANK($C$6:C69))</f>
        <v xml:space="preserve"> </v>
      </c>
      <c r="B69" s="94"/>
      <c r="C69" s="94"/>
      <c r="D69" s="95"/>
      <c r="E69" s="95"/>
      <c r="F69" s="85"/>
      <c r="G69" s="85"/>
      <c r="H69" s="85"/>
      <c r="I69" s="85"/>
      <c r="J69" s="85"/>
      <c r="K69" s="85"/>
      <c r="L69" s="85"/>
      <c r="M69" s="86"/>
      <c r="N69" s="71" t="str">
        <f t="shared" si="0"/>
        <v/>
      </c>
      <c r="O69" s="72"/>
      <c r="P69" s="72"/>
      <c r="Q69" s="72"/>
      <c r="R69" s="72"/>
      <c r="S69" s="72"/>
      <c r="T69" s="72"/>
      <c r="U69" s="72"/>
      <c r="V69" s="72"/>
    </row>
    <row r="70" spans="1:25" ht="27.75" customHeight="1">
      <c r="A70" s="87" t="str">
        <f>IF(ISBLANK(C70)," ",65-COUNTBLANK($C$6:C70))</f>
        <v xml:space="preserve"> </v>
      </c>
      <c r="B70" s="88"/>
      <c r="C70" s="88"/>
      <c r="D70" s="89"/>
      <c r="E70" s="89"/>
      <c r="F70" s="73"/>
      <c r="G70" s="73"/>
      <c r="H70" s="73"/>
      <c r="I70" s="73"/>
      <c r="J70" s="73"/>
      <c r="K70" s="73"/>
      <c r="L70" s="73"/>
      <c r="M70" s="74"/>
      <c r="N70" s="71" t="str">
        <f t="shared" ref="N70:N133" si="1">CONCATENATE(C70,H70)</f>
        <v/>
      </c>
      <c r="O70" s="72"/>
      <c r="P70" s="72"/>
      <c r="Q70" s="72"/>
      <c r="R70" s="72"/>
      <c r="S70" s="72"/>
      <c r="T70" s="72"/>
      <c r="U70" s="72"/>
      <c r="V70" s="72"/>
    </row>
    <row r="71" spans="1:25" ht="27.75" customHeight="1">
      <c r="A71" s="87" t="str">
        <f>IF(ISBLANK(C71)," ",66-COUNTBLANK($C$6:C71))</f>
        <v xml:space="preserve"> </v>
      </c>
      <c r="B71" s="88"/>
      <c r="C71" s="88"/>
      <c r="D71" s="89"/>
      <c r="E71" s="89"/>
      <c r="F71" s="73"/>
      <c r="G71" s="73"/>
      <c r="H71" s="73"/>
      <c r="I71" s="73"/>
      <c r="J71" s="73"/>
      <c r="K71" s="73"/>
      <c r="L71" s="73"/>
      <c r="M71" s="74"/>
      <c r="N71" s="71" t="str">
        <f t="shared" si="1"/>
        <v/>
      </c>
      <c r="O71" s="72"/>
      <c r="P71" s="72"/>
      <c r="Q71" s="72"/>
      <c r="R71" s="72"/>
      <c r="S71" s="72"/>
      <c r="T71" s="72"/>
      <c r="U71" s="72"/>
      <c r="V71" s="72"/>
    </row>
    <row r="72" spans="1:25" ht="27.75" customHeight="1">
      <c r="A72" s="87" t="str">
        <f>IF(ISBLANK(C72)," ",67-COUNTBLANK($C$6:C72))</f>
        <v xml:space="preserve"> </v>
      </c>
      <c r="B72" s="88"/>
      <c r="C72" s="88"/>
      <c r="D72" s="89"/>
      <c r="E72" s="89"/>
      <c r="F72" s="73"/>
      <c r="G72" s="73"/>
      <c r="H72" s="73"/>
      <c r="I72" s="73"/>
      <c r="J72" s="73"/>
      <c r="K72" s="73"/>
      <c r="L72" s="73"/>
      <c r="M72" s="74"/>
      <c r="N72" s="71" t="str">
        <f t="shared" si="1"/>
        <v/>
      </c>
      <c r="O72" s="72"/>
      <c r="P72" s="72"/>
      <c r="Q72" s="72"/>
      <c r="R72" s="72"/>
      <c r="S72" s="72"/>
      <c r="T72" s="72"/>
      <c r="U72" s="72"/>
      <c r="V72" s="72"/>
    </row>
    <row r="73" spans="1:25" ht="27.75" customHeight="1">
      <c r="A73" s="87" t="str">
        <f>IF(ISBLANK(C73)," ",68-COUNTBLANK($C$6:C73))</f>
        <v xml:space="preserve"> </v>
      </c>
      <c r="B73" s="88"/>
      <c r="C73" s="88"/>
      <c r="D73" s="89"/>
      <c r="E73" s="89"/>
      <c r="F73" s="73"/>
      <c r="G73" s="73"/>
      <c r="H73" s="73"/>
      <c r="I73" s="73"/>
      <c r="J73" s="73"/>
      <c r="K73" s="73"/>
      <c r="L73" s="73"/>
      <c r="M73" s="74"/>
      <c r="N73" s="71" t="str">
        <f t="shared" si="1"/>
        <v/>
      </c>
      <c r="O73" s="72"/>
      <c r="P73" s="72"/>
      <c r="Q73" s="72"/>
      <c r="R73" s="72"/>
      <c r="S73" s="72"/>
      <c r="T73" s="72"/>
      <c r="U73" s="72"/>
      <c r="V73" s="72"/>
    </row>
    <row r="74" spans="1:25" ht="27.75" customHeight="1">
      <c r="A74" s="87" t="str">
        <f>IF(ISBLANK(C74)," ",69-COUNTBLANK($C$6:C74))</f>
        <v xml:space="preserve"> </v>
      </c>
      <c r="B74" s="88"/>
      <c r="C74" s="88"/>
      <c r="D74" s="89"/>
      <c r="E74" s="89"/>
      <c r="F74" s="73"/>
      <c r="G74" s="73"/>
      <c r="H74" s="73"/>
      <c r="I74" s="73"/>
      <c r="J74" s="73"/>
      <c r="K74" s="73"/>
      <c r="L74" s="73"/>
      <c r="M74" s="74"/>
      <c r="N74" s="71" t="str">
        <f t="shared" si="1"/>
        <v/>
      </c>
      <c r="O74" s="72"/>
      <c r="P74" s="72"/>
      <c r="Q74" s="72"/>
      <c r="R74" s="72"/>
      <c r="S74" s="72"/>
      <c r="T74" s="72"/>
      <c r="U74" s="72"/>
      <c r="V74" s="72"/>
    </row>
    <row r="75" spans="1:25" ht="27.75" customHeight="1">
      <c r="A75" s="87" t="str">
        <f>IF(ISBLANK(C75)," ",70-COUNTBLANK($C$6:C75))</f>
        <v xml:space="preserve"> </v>
      </c>
      <c r="B75" s="88"/>
      <c r="C75" s="88"/>
      <c r="D75" s="89"/>
      <c r="E75" s="89"/>
      <c r="F75" s="73"/>
      <c r="G75" s="73"/>
      <c r="H75" s="73"/>
      <c r="I75" s="73"/>
      <c r="J75" s="73"/>
      <c r="K75" s="73"/>
      <c r="L75" s="73"/>
      <c r="M75" s="74"/>
      <c r="N75" s="71" t="str">
        <f t="shared" si="1"/>
        <v/>
      </c>
      <c r="O75" s="72"/>
      <c r="P75" s="72"/>
      <c r="Q75" s="72"/>
      <c r="R75" s="72"/>
      <c r="S75" s="72"/>
      <c r="T75" s="72"/>
      <c r="U75" s="72"/>
      <c r="V75" s="72"/>
    </row>
    <row r="76" spans="1:25" ht="27.75" customHeight="1">
      <c r="A76" s="87" t="str">
        <f>IF(ISBLANK(C76)," ",71-COUNTBLANK($C$6:C76))</f>
        <v xml:space="preserve"> </v>
      </c>
      <c r="B76" s="88"/>
      <c r="C76" s="88"/>
      <c r="D76" s="89"/>
      <c r="E76" s="89"/>
      <c r="F76" s="73"/>
      <c r="G76" s="73"/>
      <c r="H76" s="73"/>
      <c r="I76" s="73"/>
      <c r="J76" s="73"/>
      <c r="K76" s="73"/>
      <c r="L76" s="73"/>
      <c r="M76" s="74"/>
      <c r="N76" s="71" t="str">
        <f t="shared" si="1"/>
        <v/>
      </c>
      <c r="O76" s="72"/>
      <c r="P76" s="72"/>
      <c r="Q76" s="72"/>
      <c r="R76" s="72"/>
      <c r="S76" s="72"/>
      <c r="T76" s="72"/>
      <c r="U76" s="72"/>
      <c r="V76" s="72"/>
    </row>
    <row r="77" spans="1:25" ht="27.75" customHeight="1">
      <c r="A77" s="87" t="str">
        <f>IF(ISBLANK(C77)," ",72-COUNTBLANK($C$6:C77))</f>
        <v xml:space="preserve"> </v>
      </c>
      <c r="B77" s="88"/>
      <c r="C77" s="88"/>
      <c r="D77" s="89"/>
      <c r="E77" s="89"/>
      <c r="F77" s="73"/>
      <c r="G77" s="73"/>
      <c r="H77" s="73"/>
      <c r="I77" s="73"/>
      <c r="J77" s="73"/>
      <c r="K77" s="73"/>
      <c r="L77" s="73"/>
      <c r="M77" s="74"/>
      <c r="N77" s="71" t="str">
        <f t="shared" si="1"/>
        <v/>
      </c>
      <c r="O77" s="72"/>
      <c r="P77" s="72"/>
      <c r="Q77" s="72"/>
      <c r="R77" s="72"/>
      <c r="S77" s="72"/>
      <c r="T77" s="72"/>
      <c r="U77" s="72"/>
      <c r="V77" s="72"/>
    </row>
    <row r="78" spans="1:25" ht="27.75" customHeight="1">
      <c r="A78" s="87" t="str">
        <f>IF(ISBLANK(C78)," ",73-COUNTBLANK($C$6:C78))</f>
        <v xml:space="preserve"> </v>
      </c>
      <c r="B78" s="88"/>
      <c r="C78" s="88"/>
      <c r="D78" s="89"/>
      <c r="E78" s="89"/>
      <c r="F78" s="73"/>
      <c r="G78" s="73"/>
      <c r="H78" s="73"/>
      <c r="I78" s="73"/>
      <c r="J78" s="73"/>
      <c r="K78" s="73"/>
      <c r="L78" s="73"/>
      <c r="M78" s="74"/>
      <c r="N78" s="71" t="str">
        <f t="shared" si="1"/>
        <v/>
      </c>
      <c r="O78" s="72"/>
      <c r="P78" s="72"/>
      <c r="Q78" s="72"/>
      <c r="R78" s="72"/>
      <c r="S78" s="72"/>
      <c r="T78" s="72"/>
      <c r="U78" s="72"/>
      <c r="V78" s="72"/>
    </row>
    <row r="79" spans="1:25" ht="27.75" customHeight="1">
      <c r="A79" s="87" t="str">
        <f>IF(ISBLANK(C79)," ",74-COUNTBLANK($C$6:C79))</f>
        <v xml:space="preserve"> </v>
      </c>
      <c r="B79" s="88"/>
      <c r="C79" s="88"/>
      <c r="D79" s="89"/>
      <c r="E79" s="89"/>
      <c r="F79" s="73"/>
      <c r="G79" s="73"/>
      <c r="H79" s="73"/>
      <c r="I79" s="73"/>
      <c r="J79" s="73"/>
      <c r="K79" s="73"/>
      <c r="L79" s="73"/>
      <c r="M79" s="74"/>
      <c r="N79" s="71" t="str">
        <f t="shared" si="1"/>
        <v/>
      </c>
      <c r="O79" s="72"/>
      <c r="P79" s="72"/>
      <c r="Q79" s="72"/>
      <c r="R79" s="72"/>
      <c r="S79" s="72"/>
      <c r="T79" s="72"/>
      <c r="U79" s="72"/>
      <c r="V79" s="72"/>
    </row>
    <row r="80" spans="1:25" ht="27.75" customHeight="1">
      <c r="A80" s="87" t="str">
        <f>IF(ISBLANK(C80)," ",75-COUNTBLANK($C$6:C80))</f>
        <v xml:space="preserve"> </v>
      </c>
      <c r="B80" s="88"/>
      <c r="C80" s="88"/>
      <c r="D80" s="89"/>
      <c r="E80" s="89"/>
      <c r="F80" s="73"/>
      <c r="G80" s="73"/>
      <c r="H80" s="73"/>
      <c r="I80" s="73"/>
      <c r="J80" s="73"/>
      <c r="K80" s="73"/>
      <c r="L80" s="73"/>
      <c r="M80" s="74"/>
      <c r="N80" s="71" t="str">
        <f t="shared" si="1"/>
        <v/>
      </c>
      <c r="O80" s="72"/>
      <c r="P80" s="72"/>
      <c r="Q80" s="72"/>
      <c r="R80" s="72"/>
      <c r="S80" s="72"/>
      <c r="T80" s="72"/>
      <c r="U80" s="72"/>
      <c r="V80" s="72"/>
    </row>
    <row r="81" spans="1:25" ht="27.75" customHeight="1">
      <c r="A81" s="87" t="str">
        <f>IF(ISBLANK(C81)," ",76-COUNTBLANK($C$6:C81))</f>
        <v xml:space="preserve"> </v>
      </c>
      <c r="B81" s="88"/>
      <c r="C81" s="88"/>
      <c r="D81" s="89"/>
      <c r="E81" s="89"/>
      <c r="F81" s="73"/>
      <c r="G81" s="73"/>
      <c r="H81" s="73"/>
      <c r="I81" s="73"/>
      <c r="J81" s="73"/>
      <c r="K81" s="73"/>
      <c r="L81" s="73"/>
      <c r="M81" s="74"/>
      <c r="N81" s="71" t="str">
        <f t="shared" si="1"/>
        <v/>
      </c>
      <c r="O81" s="72"/>
      <c r="P81" s="72"/>
      <c r="Q81" s="72"/>
      <c r="R81" s="72"/>
      <c r="S81" s="72"/>
      <c r="T81" s="72"/>
      <c r="U81" s="72"/>
      <c r="V81" s="72"/>
    </row>
    <row r="82" spans="1:25" ht="27.75" customHeight="1">
      <c r="A82" s="87" t="str">
        <f>IF(ISBLANK(C82)," ",77-COUNTBLANK($C$6:C82))</f>
        <v xml:space="preserve"> </v>
      </c>
      <c r="B82" s="88"/>
      <c r="C82" s="88"/>
      <c r="D82" s="89"/>
      <c r="E82" s="89"/>
      <c r="F82" s="73"/>
      <c r="G82" s="73"/>
      <c r="H82" s="73"/>
      <c r="I82" s="73"/>
      <c r="J82" s="73"/>
      <c r="K82" s="73"/>
      <c r="L82" s="73"/>
      <c r="M82" s="74"/>
      <c r="N82" s="71" t="str">
        <f t="shared" si="1"/>
        <v/>
      </c>
      <c r="O82" s="72"/>
      <c r="P82" s="72"/>
      <c r="Q82" s="72"/>
      <c r="R82" s="72"/>
      <c r="S82" s="72"/>
      <c r="T82" s="72"/>
      <c r="U82" s="72"/>
      <c r="V82" s="72"/>
    </row>
    <row r="83" spans="1:25" ht="27.75" customHeight="1">
      <c r="A83" s="87" t="str">
        <f>IF(ISBLANK(C83)," ",78-COUNTBLANK($C$6:C83))</f>
        <v xml:space="preserve"> </v>
      </c>
      <c r="B83" s="88"/>
      <c r="C83" s="88"/>
      <c r="D83" s="89"/>
      <c r="E83" s="89"/>
      <c r="F83" s="73"/>
      <c r="G83" s="73"/>
      <c r="H83" s="73"/>
      <c r="I83" s="73"/>
      <c r="J83" s="73"/>
      <c r="K83" s="73"/>
      <c r="L83" s="73"/>
      <c r="M83" s="74"/>
      <c r="N83" s="71" t="str">
        <f t="shared" si="1"/>
        <v/>
      </c>
      <c r="O83" s="72"/>
      <c r="P83" s="72"/>
      <c r="Q83" s="72"/>
      <c r="R83" s="72"/>
      <c r="S83" s="72"/>
      <c r="T83" s="72"/>
      <c r="U83" s="72"/>
      <c r="V83" s="72"/>
    </row>
    <row r="84" spans="1:25" ht="27.75" customHeight="1">
      <c r="A84" s="87" t="str">
        <f>IF(ISBLANK(C84)," ",79-COUNTBLANK($C$6:C84))</f>
        <v xml:space="preserve"> </v>
      </c>
      <c r="B84" s="88"/>
      <c r="C84" s="88"/>
      <c r="D84" s="89"/>
      <c r="E84" s="89"/>
      <c r="F84" s="73"/>
      <c r="G84" s="73"/>
      <c r="H84" s="73"/>
      <c r="I84" s="73"/>
      <c r="J84" s="73"/>
      <c r="K84" s="73"/>
      <c r="L84" s="73"/>
      <c r="M84" s="74"/>
      <c r="N84" s="71" t="str">
        <f t="shared" si="1"/>
        <v/>
      </c>
      <c r="O84" s="75"/>
      <c r="P84" s="72"/>
      <c r="Q84" s="72"/>
      <c r="R84" s="72"/>
      <c r="S84" s="72"/>
      <c r="T84" s="72"/>
      <c r="U84" s="72"/>
      <c r="V84" s="76"/>
    </row>
    <row r="85" spans="1:25" ht="27.75" customHeight="1">
      <c r="A85" s="87" t="str">
        <f>IF(ISBLANK(C85)," ",80-COUNTBLANK($C$6:C85))</f>
        <v xml:space="preserve"> </v>
      </c>
      <c r="B85" s="88"/>
      <c r="C85" s="88"/>
      <c r="D85" s="89"/>
      <c r="E85" s="89"/>
      <c r="F85" s="73"/>
      <c r="G85" s="73"/>
      <c r="H85" s="73"/>
      <c r="I85" s="73"/>
      <c r="J85" s="73"/>
      <c r="K85" s="73"/>
      <c r="L85" s="73"/>
      <c r="M85" s="74"/>
      <c r="N85" s="71" t="str">
        <f t="shared" si="1"/>
        <v/>
      </c>
      <c r="O85" s="75"/>
      <c r="P85" s="72"/>
      <c r="Q85" s="72"/>
      <c r="R85" s="72"/>
      <c r="S85" s="72"/>
      <c r="T85" s="72"/>
      <c r="U85" s="72"/>
      <c r="V85" s="76"/>
    </row>
    <row r="86" spans="1:25" ht="27.75" customHeight="1">
      <c r="A86" s="87" t="str">
        <f>IF(ISBLANK(C86)," ",81-COUNTBLANK($C$6:C86))</f>
        <v xml:space="preserve"> </v>
      </c>
      <c r="B86" s="88"/>
      <c r="C86" s="88"/>
      <c r="D86" s="89"/>
      <c r="E86" s="89"/>
      <c r="F86" s="73"/>
      <c r="G86" s="73"/>
      <c r="H86" s="73"/>
      <c r="I86" s="73"/>
      <c r="J86" s="73"/>
      <c r="K86" s="73"/>
      <c r="L86" s="73"/>
      <c r="M86" s="74"/>
      <c r="N86" s="71" t="str">
        <f t="shared" si="1"/>
        <v/>
      </c>
      <c r="O86" s="75"/>
      <c r="P86" s="72"/>
      <c r="Q86" s="72"/>
      <c r="R86" s="72"/>
      <c r="S86" s="72"/>
      <c r="T86" s="72"/>
      <c r="U86" s="72"/>
      <c r="V86" s="76"/>
    </row>
    <row r="87" spans="1:25" ht="27.75" customHeight="1">
      <c r="A87" s="87" t="str">
        <f>IF(ISBLANK(C87)," ",82-COUNTBLANK($C$6:C87))</f>
        <v xml:space="preserve"> </v>
      </c>
      <c r="B87" s="88"/>
      <c r="C87" s="88"/>
      <c r="D87" s="89"/>
      <c r="E87" s="89"/>
      <c r="F87" s="73"/>
      <c r="G87" s="73"/>
      <c r="H87" s="73"/>
      <c r="I87" s="73"/>
      <c r="J87" s="73"/>
      <c r="K87" s="73"/>
      <c r="L87" s="73"/>
      <c r="M87" s="74"/>
      <c r="N87" s="71" t="str">
        <f t="shared" si="1"/>
        <v/>
      </c>
      <c r="O87" s="75"/>
      <c r="P87" s="72"/>
      <c r="Q87" s="72"/>
      <c r="R87" s="72"/>
      <c r="S87" s="72"/>
      <c r="T87" s="72"/>
      <c r="U87" s="72"/>
      <c r="V87" s="76"/>
    </row>
    <row r="88" spans="1:25" ht="27.75" customHeight="1">
      <c r="A88" s="87" t="str">
        <f>IF(ISBLANK(C88)," ",83-COUNTBLANK($C$6:C88))</f>
        <v xml:space="preserve"> </v>
      </c>
      <c r="B88" s="88"/>
      <c r="C88" s="88"/>
      <c r="D88" s="89"/>
      <c r="E88" s="89"/>
      <c r="F88" s="73"/>
      <c r="G88" s="73"/>
      <c r="H88" s="73"/>
      <c r="I88" s="73"/>
      <c r="J88" s="73"/>
      <c r="K88" s="73"/>
      <c r="L88" s="73"/>
      <c r="M88" s="74"/>
      <c r="N88" s="71" t="str">
        <f t="shared" si="1"/>
        <v/>
      </c>
      <c r="O88" s="72"/>
      <c r="P88" s="72"/>
      <c r="Q88" s="72"/>
      <c r="R88" s="72"/>
      <c r="S88" s="72"/>
      <c r="T88" s="72"/>
      <c r="U88" s="72"/>
      <c r="V88" s="79"/>
      <c r="W88" s="72"/>
      <c r="X88" s="72"/>
      <c r="Y88" s="72"/>
    </row>
    <row r="89" spans="1:25" ht="27.75" customHeight="1">
      <c r="A89" s="80" t="s">
        <v>58</v>
      </c>
      <c r="B89" s="81"/>
      <c r="C89" s="96"/>
      <c r="D89" s="82"/>
      <c r="E89" s="82">
        <f>SUM(E69:E88)</f>
        <v>0</v>
      </c>
      <c r="F89" s="83"/>
      <c r="G89" s="83"/>
      <c r="H89" s="83"/>
      <c r="I89" s="83"/>
      <c r="J89" s="83"/>
      <c r="K89" s="83"/>
      <c r="L89" s="83"/>
      <c r="M89" s="84"/>
      <c r="N89" s="71" t="str">
        <f t="shared" si="1"/>
        <v/>
      </c>
      <c r="O89" s="75"/>
      <c r="P89" s="72"/>
      <c r="Q89" s="72"/>
      <c r="R89" s="72"/>
      <c r="S89" s="72"/>
      <c r="T89" s="72"/>
      <c r="U89" s="72"/>
      <c r="V89" s="79"/>
      <c r="W89" s="72"/>
      <c r="X89" s="72"/>
      <c r="Y89" s="72"/>
    </row>
    <row r="90" spans="1:25" ht="27.75" customHeight="1">
      <c r="A90" s="93" t="str">
        <f>IF(ISBLANK(C90)," ",85-COUNTBLANK($C$6:C90))</f>
        <v xml:space="preserve"> </v>
      </c>
      <c r="B90" s="94"/>
      <c r="C90" s="94"/>
      <c r="D90" s="95"/>
      <c r="E90" s="95"/>
      <c r="F90" s="85"/>
      <c r="G90" s="85"/>
      <c r="H90" s="85"/>
      <c r="I90" s="85"/>
      <c r="J90" s="85"/>
      <c r="K90" s="85"/>
      <c r="L90" s="85"/>
      <c r="M90" s="86"/>
      <c r="N90" s="71" t="str">
        <f t="shared" si="1"/>
        <v/>
      </c>
      <c r="O90" s="72"/>
      <c r="P90" s="72"/>
      <c r="Q90" s="72"/>
      <c r="R90" s="72"/>
      <c r="S90" s="72"/>
      <c r="T90" s="72"/>
      <c r="U90" s="72"/>
      <c r="V90" s="72"/>
    </row>
    <row r="91" spans="1:25" ht="27.75" customHeight="1">
      <c r="A91" s="87" t="str">
        <f>IF(ISBLANK(C91)," ",86-COUNTBLANK($C$6:C91))</f>
        <v xml:space="preserve"> </v>
      </c>
      <c r="B91" s="88"/>
      <c r="C91" s="88"/>
      <c r="D91" s="89"/>
      <c r="E91" s="89"/>
      <c r="F91" s="73"/>
      <c r="G91" s="73"/>
      <c r="H91" s="73"/>
      <c r="I91" s="73"/>
      <c r="J91" s="73"/>
      <c r="K91" s="73"/>
      <c r="L91" s="73"/>
      <c r="M91" s="74"/>
      <c r="N91" s="71" t="str">
        <f t="shared" si="1"/>
        <v/>
      </c>
      <c r="O91" s="72"/>
      <c r="P91" s="72"/>
      <c r="Q91" s="72"/>
      <c r="R91" s="72"/>
      <c r="S91" s="72"/>
      <c r="T91" s="72"/>
      <c r="U91" s="72"/>
      <c r="V91" s="72"/>
    </row>
    <row r="92" spans="1:25" ht="27.75" customHeight="1">
      <c r="A92" s="87" t="str">
        <f>IF(ISBLANK(C92)," ",87-COUNTBLANK($C$6:C92))</f>
        <v xml:space="preserve"> </v>
      </c>
      <c r="B92" s="88"/>
      <c r="C92" s="88"/>
      <c r="D92" s="89"/>
      <c r="E92" s="89"/>
      <c r="F92" s="73"/>
      <c r="G92" s="73"/>
      <c r="H92" s="73"/>
      <c r="I92" s="73"/>
      <c r="J92" s="73"/>
      <c r="K92" s="73"/>
      <c r="L92" s="73"/>
      <c r="M92" s="74"/>
      <c r="N92" s="71" t="str">
        <f t="shared" si="1"/>
        <v/>
      </c>
      <c r="O92" s="72"/>
      <c r="P92" s="72"/>
      <c r="Q92" s="72"/>
      <c r="R92" s="72"/>
      <c r="S92" s="72"/>
      <c r="T92" s="72"/>
      <c r="U92" s="72"/>
      <c r="V92" s="72"/>
    </row>
    <row r="93" spans="1:25" ht="27.75" customHeight="1">
      <c r="A93" s="87" t="str">
        <f>IF(ISBLANK(C93)," ",88-COUNTBLANK($C$6:C93))</f>
        <v xml:space="preserve"> </v>
      </c>
      <c r="B93" s="88"/>
      <c r="C93" s="88"/>
      <c r="D93" s="89"/>
      <c r="E93" s="89"/>
      <c r="F93" s="73"/>
      <c r="G93" s="73"/>
      <c r="H93" s="73"/>
      <c r="I93" s="73"/>
      <c r="J93" s="73"/>
      <c r="K93" s="73"/>
      <c r="L93" s="73"/>
      <c r="M93" s="74"/>
      <c r="N93" s="71" t="str">
        <f t="shared" si="1"/>
        <v/>
      </c>
      <c r="O93" s="72"/>
      <c r="P93" s="72"/>
      <c r="Q93" s="72"/>
      <c r="R93" s="72"/>
      <c r="S93" s="72"/>
      <c r="T93" s="72"/>
      <c r="U93" s="72"/>
      <c r="V93" s="72"/>
    </row>
    <row r="94" spans="1:25" ht="27.75" customHeight="1">
      <c r="A94" s="87" t="str">
        <f>IF(ISBLANK(C94)," ",89-COUNTBLANK($C$6:C94))</f>
        <v xml:space="preserve"> </v>
      </c>
      <c r="B94" s="88"/>
      <c r="C94" s="88"/>
      <c r="D94" s="89"/>
      <c r="E94" s="89"/>
      <c r="F94" s="73"/>
      <c r="G94" s="73"/>
      <c r="H94" s="73"/>
      <c r="I94" s="73"/>
      <c r="J94" s="73"/>
      <c r="K94" s="73"/>
      <c r="L94" s="73"/>
      <c r="M94" s="74"/>
      <c r="N94" s="71" t="str">
        <f t="shared" si="1"/>
        <v/>
      </c>
      <c r="O94" s="72"/>
      <c r="P94" s="72"/>
      <c r="Q94" s="72"/>
      <c r="R94" s="72"/>
      <c r="S94" s="72"/>
      <c r="T94" s="72"/>
      <c r="U94" s="72"/>
      <c r="V94" s="72"/>
    </row>
    <row r="95" spans="1:25" ht="27.75" customHeight="1">
      <c r="A95" s="87" t="str">
        <f>IF(ISBLANK(C95)," ",90-COUNTBLANK($C$6:C95))</f>
        <v xml:space="preserve"> </v>
      </c>
      <c r="B95" s="88"/>
      <c r="C95" s="88"/>
      <c r="D95" s="89"/>
      <c r="E95" s="89"/>
      <c r="F95" s="73"/>
      <c r="G95" s="73"/>
      <c r="H95" s="73"/>
      <c r="I95" s="73"/>
      <c r="J95" s="73"/>
      <c r="K95" s="73"/>
      <c r="L95" s="73"/>
      <c r="M95" s="74"/>
      <c r="N95" s="71" t="str">
        <f t="shared" si="1"/>
        <v/>
      </c>
      <c r="O95" s="72"/>
      <c r="P95" s="72"/>
      <c r="Q95" s="72"/>
      <c r="R95" s="72"/>
      <c r="S95" s="72"/>
      <c r="T95" s="72"/>
      <c r="U95" s="72"/>
      <c r="V95" s="72"/>
    </row>
    <row r="96" spans="1:25" ht="27.75" customHeight="1">
      <c r="A96" s="87" t="str">
        <f>IF(ISBLANK(C96)," ",91-COUNTBLANK($C$6:C96))</f>
        <v xml:space="preserve"> </v>
      </c>
      <c r="B96" s="88"/>
      <c r="C96" s="88"/>
      <c r="D96" s="89"/>
      <c r="E96" s="89"/>
      <c r="F96" s="73"/>
      <c r="G96" s="73"/>
      <c r="H96" s="73"/>
      <c r="I96" s="73"/>
      <c r="J96" s="73"/>
      <c r="K96" s="73"/>
      <c r="L96" s="73"/>
      <c r="M96" s="74"/>
      <c r="N96" s="71" t="str">
        <f t="shared" si="1"/>
        <v/>
      </c>
      <c r="O96" s="72"/>
      <c r="P96" s="72"/>
      <c r="Q96" s="72"/>
      <c r="R96" s="72"/>
      <c r="S96" s="72"/>
      <c r="T96" s="72"/>
      <c r="U96" s="72"/>
      <c r="V96" s="72"/>
    </row>
    <row r="97" spans="1:25" ht="27.75" customHeight="1">
      <c r="A97" s="87" t="str">
        <f>IF(ISBLANK(C97)," ",92-COUNTBLANK($C$6:C97))</f>
        <v xml:space="preserve"> </v>
      </c>
      <c r="B97" s="88"/>
      <c r="C97" s="88"/>
      <c r="D97" s="89"/>
      <c r="E97" s="89"/>
      <c r="F97" s="73"/>
      <c r="G97" s="73"/>
      <c r="H97" s="73"/>
      <c r="I97" s="73"/>
      <c r="J97" s="73"/>
      <c r="K97" s="73"/>
      <c r="L97" s="73"/>
      <c r="M97" s="74"/>
      <c r="N97" s="71" t="str">
        <f t="shared" si="1"/>
        <v/>
      </c>
      <c r="O97" s="72"/>
      <c r="P97" s="72"/>
      <c r="Q97" s="72"/>
      <c r="R97" s="72"/>
      <c r="S97" s="72"/>
      <c r="T97" s="72"/>
      <c r="U97" s="72"/>
      <c r="V97" s="72"/>
    </row>
    <row r="98" spans="1:25" ht="27.75" customHeight="1">
      <c r="A98" s="87" t="str">
        <f>IF(ISBLANK(C98)," ",93-COUNTBLANK($C$6:C98))</f>
        <v xml:space="preserve"> </v>
      </c>
      <c r="B98" s="88"/>
      <c r="C98" s="88"/>
      <c r="D98" s="89"/>
      <c r="E98" s="89"/>
      <c r="F98" s="73"/>
      <c r="G98" s="73"/>
      <c r="H98" s="73"/>
      <c r="I98" s="73"/>
      <c r="J98" s="73"/>
      <c r="K98" s="73"/>
      <c r="L98" s="73"/>
      <c r="M98" s="74"/>
      <c r="N98" s="71" t="str">
        <f t="shared" si="1"/>
        <v/>
      </c>
      <c r="O98" s="72"/>
      <c r="P98" s="72"/>
      <c r="Q98" s="72"/>
      <c r="R98" s="72"/>
      <c r="S98" s="72"/>
      <c r="T98" s="72"/>
      <c r="U98" s="72"/>
      <c r="V98" s="72"/>
    </row>
    <row r="99" spans="1:25" ht="27.75" customHeight="1">
      <c r="A99" s="87" t="str">
        <f>IF(ISBLANK(C99)," ",94-COUNTBLANK($C$6:C99))</f>
        <v xml:space="preserve"> </v>
      </c>
      <c r="B99" s="88"/>
      <c r="C99" s="88"/>
      <c r="D99" s="89"/>
      <c r="E99" s="89"/>
      <c r="F99" s="73"/>
      <c r="G99" s="73"/>
      <c r="H99" s="73"/>
      <c r="I99" s="73"/>
      <c r="J99" s="73"/>
      <c r="K99" s="73"/>
      <c r="L99" s="73"/>
      <c r="M99" s="74"/>
      <c r="N99" s="71" t="str">
        <f t="shared" si="1"/>
        <v/>
      </c>
      <c r="O99" s="72"/>
      <c r="P99" s="72"/>
      <c r="Q99" s="72"/>
      <c r="R99" s="72"/>
      <c r="S99" s="72"/>
      <c r="T99" s="72"/>
      <c r="U99" s="72"/>
      <c r="V99" s="72"/>
    </row>
    <row r="100" spans="1:25" ht="27.75" customHeight="1">
      <c r="A100" s="87" t="str">
        <f>IF(ISBLANK(C100)," ",95-COUNTBLANK($C$6:C100))</f>
        <v xml:space="preserve"> </v>
      </c>
      <c r="B100" s="88"/>
      <c r="C100" s="88"/>
      <c r="D100" s="89"/>
      <c r="E100" s="89"/>
      <c r="F100" s="73"/>
      <c r="G100" s="73"/>
      <c r="H100" s="73"/>
      <c r="I100" s="73"/>
      <c r="J100" s="73"/>
      <c r="K100" s="73"/>
      <c r="L100" s="73"/>
      <c r="M100" s="74"/>
      <c r="N100" s="71" t="str">
        <f t="shared" si="1"/>
        <v/>
      </c>
      <c r="O100" s="72"/>
      <c r="P100" s="72"/>
      <c r="Q100" s="72"/>
      <c r="R100" s="72"/>
      <c r="S100" s="72"/>
      <c r="T100" s="72"/>
      <c r="U100" s="72"/>
      <c r="V100" s="72"/>
    </row>
    <row r="101" spans="1:25" ht="27.75" customHeight="1">
      <c r="A101" s="87" t="str">
        <f>IF(ISBLANK(C101)," ",96-COUNTBLANK($C$6:C101))</f>
        <v xml:space="preserve"> </v>
      </c>
      <c r="B101" s="88"/>
      <c r="C101" s="88"/>
      <c r="D101" s="89"/>
      <c r="E101" s="89"/>
      <c r="F101" s="73"/>
      <c r="G101" s="73"/>
      <c r="H101" s="73"/>
      <c r="I101" s="73"/>
      <c r="J101" s="73"/>
      <c r="K101" s="73"/>
      <c r="L101" s="73"/>
      <c r="M101" s="74"/>
      <c r="N101" s="71" t="str">
        <f t="shared" si="1"/>
        <v/>
      </c>
      <c r="O101" s="72"/>
      <c r="P101" s="72"/>
      <c r="Q101" s="72"/>
      <c r="R101" s="72"/>
      <c r="S101" s="72"/>
      <c r="T101" s="72"/>
      <c r="U101" s="72"/>
      <c r="V101" s="72"/>
    </row>
    <row r="102" spans="1:25" ht="27.75" customHeight="1">
      <c r="A102" s="87" t="str">
        <f>IF(ISBLANK(C102)," ",97-COUNTBLANK($C$6:C102))</f>
        <v xml:space="preserve"> </v>
      </c>
      <c r="B102" s="88"/>
      <c r="C102" s="88"/>
      <c r="D102" s="89"/>
      <c r="E102" s="89"/>
      <c r="F102" s="73"/>
      <c r="G102" s="73"/>
      <c r="H102" s="73"/>
      <c r="I102" s="73"/>
      <c r="J102" s="73"/>
      <c r="K102" s="73"/>
      <c r="L102" s="73"/>
      <c r="M102" s="74"/>
      <c r="N102" s="71" t="str">
        <f t="shared" si="1"/>
        <v/>
      </c>
      <c r="O102" s="72"/>
      <c r="P102" s="72"/>
      <c r="Q102" s="72"/>
      <c r="R102" s="72"/>
      <c r="S102" s="72"/>
      <c r="T102" s="72"/>
      <c r="U102" s="72"/>
      <c r="V102" s="72"/>
    </row>
    <row r="103" spans="1:25" ht="27.75" customHeight="1">
      <c r="A103" s="87" t="str">
        <f>IF(ISBLANK(C103)," ",98-COUNTBLANK($C$6:C103))</f>
        <v xml:space="preserve"> </v>
      </c>
      <c r="B103" s="88"/>
      <c r="C103" s="88"/>
      <c r="D103" s="89"/>
      <c r="E103" s="89"/>
      <c r="F103" s="73"/>
      <c r="G103" s="73"/>
      <c r="H103" s="73"/>
      <c r="I103" s="73"/>
      <c r="J103" s="73"/>
      <c r="K103" s="73"/>
      <c r="L103" s="73"/>
      <c r="M103" s="74"/>
      <c r="N103" s="71" t="str">
        <f t="shared" si="1"/>
        <v/>
      </c>
      <c r="O103" s="72"/>
      <c r="P103" s="72"/>
      <c r="Q103" s="72"/>
      <c r="R103" s="72"/>
      <c r="S103" s="72"/>
      <c r="T103" s="72"/>
      <c r="U103" s="72"/>
      <c r="V103" s="72"/>
    </row>
    <row r="104" spans="1:25" ht="27.75" customHeight="1">
      <c r="A104" s="87" t="str">
        <f>IF(ISBLANK(C104)," ",99-COUNTBLANK($C$6:C104))</f>
        <v xml:space="preserve"> </v>
      </c>
      <c r="B104" s="88"/>
      <c r="C104" s="88"/>
      <c r="D104" s="89"/>
      <c r="E104" s="89"/>
      <c r="F104" s="73"/>
      <c r="G104" s="73"/>
      <c r="H104" s="73"/>
      <c r="I104" s="73"/>
      <c r="J104" s="73"/>
      <c r="K104" s="73"/>
      <c r="L104" s="73"/>
      <c r="M104" s="74"/>
      <c r="N104" s="71" t="str">
        <f t="shared" si="1"/>
        <v/>
      </c>
      <c r="O104" s="72"/>
      <c r="P104" s="72"/>
      <c r="Q104" s="72"/>
      <c r="R104" s="72"/>
      <c r="S104" s="72"/>
      <c r="T104" s="72"/>
      <c r="U104" s="72"/>
      <c r="V104" s="72"/>
    </row>
    <row r="105" spans="1:25" ht="27.75" customHeight="1">
      <c r="A105" s="87" t="str">
        <f>IF(ISBLANK(C105)," ",100-COUNTBLANK($C$6:C105))</f>
        <v xml:space="preserve"> </v>
      </c>
      <c r="B105" s="88"/>
      <c r="C105" s="88"/>
      <c r="D105" s="89"/>
      <c r="E105" s="89"/>
      <c r="F105" s="73"/>
      <c r="G105" s="73"/>
      <c r="H105" s="73"/>
      <c r="I105" s="73"/>
      <c r="J105" s="73"/>
      <c r="K105" s="73"/>
      <c r="L105" s="73"/>
      <c r="M105" s="74"/>
      <c r="N105" s="71" t="str">
        <f t="shared" si="1"/>
        <v/>
      </c>
      <c r="O105" s="75"/>
      <c r="P105" s="72"/>
      <c r="Q105" s="72"/>
      <c r="R105" s="72"/>
      <c r="S105" s="72"/>
      <c r="T105" s="72"/>
      <c r="U105" s="72"/>
      <c r="V105" s="76"/>
    </row>
    <row r="106" spans="1:25" ht="27.75" customHeight="1">
      <c r="A106" s="87" t="str">
        <f>IF(ISBLANK(C106)," ",101-COUNTBLANK($C$6:C106))</f>
        <v xml:space="preserve"> </v>
      </c>
      <c r="B106" s="88"/>
      <c r="C106" s="88"/>
      <c r="D106" s="89"/>
      <c r="E106" s="89"/>
      <c r="F106" s="73"/>
      <c r="G106" s="73"/>
      <c r="H106" s="73"/>
      <c r="I106" s="73"/>
      <c r="J106" s="73"/>
      <c r="K106" s="73"/>
      <c r="L106" s="73"/>
      <c r="M106" s="74"/>
      <c r="N106" s="71" t="str">
        <f t="shared" si="1"/>
        <v/>
      </c>
      <c r="O106" s="75"/>
      <c r="P106" s="72"/>
      <c r="Q106" s="72"/>
      <c r="R106" s="72"/>
      <c r="S106" s="72"/>
      <c r="T106" s="72"/>
      <c r="U106" s="72"/>
      <c r="V106" s="76"/>
    </row>
    <row r="107" spans="1:25" ht="27.75" customHeight="1">
      <c r="A107" s="87" t="str">
        <f>IF(ISBLANK(C107)," ",102-COUNTBLANK($C$6:C107))</f>
        <v xml:space="preserve"> </v>
      </c>
      <c r="B107" s="88"/>
      <c r="C107" s="88"/>
      <c r="D107" s="89"/>
      <c r="E107" s="89"/>
      <c r="F107" s="73"/>
      <c r="G107" s="73"/>
      <c r="H107" s="73"/>
      <c r="I107" s="73"/>
      <c r="J107" s="73"/>
      <c r="K107" s="73"/>
      <c r="L107" s="73"/>
      <c r="M107" s="74"/>
      <c r="N107" s="71" t="str">
        <f t="shared" si="1"/>
        <v/>
      </c>
      <c r="O107" s="75"/>
      <c r="P107" s="72"/>
      <c r="Q107" s="72"/>
      <c r="R107" s="72"/>
      <c r="S107" s="72"/>
      <c r="T107" s="72"/>
      <c r="U107" s="72"/>
      <c r="V107" s="76"/>
    </row>
    <row r="108" spans="1:25" ht="27.75" customHeight="1">
      <c r="A108" s="87" t="str">
        <f>IF(ISBLANK(C108)," ",103-COUNTBLANK($C$6:C108))</f>
        <v xml:space="preserve"> </v>
      </c>
      <c r="B108" s="88"/>
      <c r="C108" s="88"/>
      <c r="D108" s="89"/>
      <c r="E108" s="89"/>
      <c r="F108" s="73"/>
      <c r="G108" s="73"/>
      <c r="H108" s="73"/>
      <c r="I108" s="73"/>
      <c r="J108" s="73"/>
      <c r="K108" s="73"/>
      <c r="L108" s="73"/>
      <c r="M108" s="74"/>
      <c r="N108" s="71" t="str">
        <f t="shared" si="1"/>
        <v/>
      </c>
      <c r="O108" s="75"/>
      <c r="P108" s="72"/>
      <c r="Q108" s="72"/>
      <c r="R108" s="72"/>
      <c r="S108" s="72"/>
      <c r="T108" s="72"/>
      <c r="U108" s="72"/>
      <c r="V108" s="76"/>
    </row>
    <row r="109" spans="1:25" ht="27.75" customHeight="1">
      <c r="A109" s="87" t="str">
        <f>IF(ISBLANK(C109)," ",104-COUNTBLANK($C$6:C109))</f>
        <v xml:space="preserve"> </v>
      </c>
      <c r="B109" s="88"/>
      <c r="C109" s="88"/>
      <c r="D109" s="89"/>
      <c r="E109" s="89"/>
      <c r="F109" s="73"/>
      <c r="G109" s="73"/>
      <c r="H109" s="73"/>
      <c r="I109" s="73"/>
      <c r="J109" s="73"/>
      <c r="K109" s="73"/>
      <c r="L109" s="73"/>
      <c r="M109" s="74"/>
      <c r="N109" s="71" t="str">
        <f t="shared" si="1"/>
        <v/>
      </c>
      <c r="O109" s="72"/>
      <c r="P109" s="72"/>
      <c r="Q109" s="72"/>
      <c r="R109" s="72"/>
      <c r="S109" s="72"/>
      <c r="T109" s="72"/>
      <c r="U109" s="72"/>
      <c r="V109" s="79"/>
      <c r="W109" s="72"/>
      <c r="X109" s="72"/>
      <c r="Y109" s="72"/>
    </row>
    <row r="110" spans="1:25" ht="27.75" customHeight="1">
      <c r="A110" s="80" t="s">
        <v>58</v>
      </c>
      <c r="B110" s="81"/>
      <c r="C110" s="96"/>
      <c r="D110" s="82"/>
      <c r="E110" s="82">
        <f>SUM(E90:E109)</f>
        <v>0</v>
      </c>
      <c r="F110" s="83"/>
      <c r="G110" s="83"/>
      <c r="H110" s="83"/>
      <c r="I110" s="83"/>
      <c r="J110" s="83"/>
      <c r="K110" s="83"/>
      <c r="L110" s="83"/>
      <c r="M110" s="84"/>
      <c r="N110" s="71" t="str">
        <f t="shared" si="1"/>
        <v/>
      </c>
      <c r="O110" s="75"/>
      <c r="P110" s="72"/>
      <c r="Q110" s="72"/>
      <c r="R110" s="72"/>
      <c r="S110" s="72"/>
      <c r="T110" s="72"/>
      <c r="U110" s="72"/>
      <c r="V110" s="79"/>
      <c r="W110" s="72"/>
      <c r="X110" s="72"/>
      <c r="Y110" s="72"/>
    </row>
    <row r="111" spans="1:25" ht="27.75" customHeight="1">
      <c r="A111" s="93" t="str">
        <f>IF(ISBLANK(C111)," ",106-COUNTBLANK($C$6:C111))</f>
        <v xml:space="preserve"> </v>
      </c>
      <c r="B111" s="94"/>
      <c r="C111" s="94"/>
      <c r="D111" s="95"/>
      <c r="E111" s="95"/>
      <c r="F111" s="85"/>
      <c r="G111" s="85"/>
      <c r="H111" s="85"/>
      <c r="I111" s="85"/>
      <c r="J111" s="85"/>
      <c r="K111" s="85"/>
      <c r="L111" s="85"/>
      <c r="M111" s="86"/>
      <c r="N111" s="71" t="str">
        <f t="shared" si="1"/>
        <v/>
      </c>
      <c r="O111" s="72"/>
      <c r="P111" s="72"/>
      <c r="Q111" s="72"/>
      <c r="R111" s="72"/>
      <c r="S111" s="72"/>
      <c r="T111" s="72"/>
      <c r="U111" s="72"/>
      <c r="V111" s="72"/>
    </row>
    <row r="112" spans="1:25" ht="27.75" customHeight="1">
      <c r="A112" s="87" t="str">
        <f>IF(ISBLANK(C112)," ",107-COUNTBLANK($C$6:C112))</f>
        <v xml:space="preserve"> </v>
      </c>
      <c r="B112" s="88"/>
      <c r="C112" s="88"/>
      <c r="D112" s="89"/>
      <c r="E112" s="89"/>
      <c r="F112" s="73"/>
      <c r="G112" s="73"/>
      <c r="H112" s="73"/>
      <c r="I112" s="73"/>
      <c r="J112" s="73"/>
      <c r="K112" s="73"/>
      <c r="L112" s="73"/>
      <c r="M112" s="74"/>
      <c r="N112" s="71" t="str">
        <f t="shared" si="1"/>
        <v/>
      </c>
      <c r="O112" s="72"/>
      <c r="P112" s="72"/>
      <c r="Q112" s="72"/>
      <c r="R112" s="72"/>
      <c r="S112" s="72"/>
      <c r="T112" s="72"/>
      <c r="U112" s="72"/>
      <c r="V112" s="72"/>
    </row>
    <row r="113" spans="1:22" ht="27.75" customHeight="1">
      <c r="A113" s="87" t="str">
        <f>IF(ISBLANK(C113)," ",108-COUNTBLANK($C$6:C113))</f>
        <v xml:space="preserve"> </v>
      </c>
      <c r="B113" s="88"/>
      <c r="C113" s="88"/>
      <c r="D113" s="89"/>
      <c r="E113" s="89"/>
      <c r="F113" s="73"/>
      <c r="G113" s="73"/>
      <c r="H113" s="73"/>
      <c r="I113" s="73"/>
      <c r="J113" s="73"/>
      <c r="K113" s="73"/>
      <c r="L113" s="73"/>
      <c r="M113" s="74"/>
      <c r="N113" s="71" t="str">
        <f t="shared" si="1"/>
        <v/>
      </c>
      <c r="O113" s="72"/>
      <c r="P113" s="72"/>
      <c r="Q113" s="72"/>
      <c r="R113" s="72"/>
      <c r="S113" s="72"/>
      <c r="T113" s="72"/>
      <c r="U113" s="72"/>
      <c r="V113" s="72"/>
    </row>
    <row r="114" spans="1:22" ht="27.75" customHeight="1">
      <c r="A114" s="87" t="str">
        <f>IF(ISBLANK(C114)," ",109-COUNTBLANK($C$6:C114))</f>
        <v xml:space="preserve"> </v>
      </c>
      <c r="B114" s="88"/>
      <c r="C114" s="88"/>
      <c r="D114" s="89"/>
      <c r="E114" s="89"/>
      <c r="F114" s="73"/>
      <c r="G114" s="73"/>
      <c r="H114" s="73"/>
      <c r="I114" s="73"/>
      <c r="J114" s="73"/>
      <c r="K114" s="73"/>
      <c r="L114" s="73"/>
      <c r="M114" s="74"/>
      <c r="N114" s="71" t="str">
        <f t="shared" si="1"/>
        <v/>
      </c>
      <c r="O114" s="72"/>
      <c r="P114" s="72"/>
      <c r="Q114" s="72"/>
      <c r="R114" s="72"/>
      <c r="S114" s="72"/>
      <c r="T114" s="72"/>
      <c r="U114" s="72"/>
      <c r="V114" s="72"/>
    </row>
    <row r="115" spans="1:22" ht="27.75" customHeight="1">
      <c r="A115" s="87" t="str">
        <f>IF(ISBLANK(C115)," ",110-COUNTBLANK($C$6:C115))</f>
        <v xml:space="preserve"> </v>
      </c>
      <c r="B115" s="88"/>
      <c r="C115" s="88"/>
      <c r="D115" s="89"/>
      <c r="E115" s="89"/>
      <c r="F115" s="73"/>
      <c r="G115" s="73"/>
      <c r="H115" s="73"/>
      <c r="I115" s="73"/>
      <c r="J115" s="73"/>
      <c r="K115" s="73"/>
      <c r="L115" s="73"/>
      <c r="M115" s="74"/>
      <c r="N115" s="71" t="str">
        <f t="shared" si="1"/>
        <v/>
      </c>
      <c r="O115" s="72"/>
      <c r="P115" s="72"/>
      <c r="Q115" s="72"/>
      <c r="R115" s="72"/>
      <c r="S115" s="72"/>
      <c r="T115" s="72"/>
      <c r="U115" s="72"/>
      <c r="V115" s="72"/>
    </row>
    <row r="116" spans="1:22" ht="27.75" customHeight="1">
      <c r="A116" s="87" t="str">
        <f>IF(ISBLANK(C116)," ",111-COUNTBLANK($C$6:C116))</f>
        <v xml:space="preserve"> </v>
      </c>
      <c r="B116" s="88"/>
      <c r="C116" s="88"/>
      <c r="D116" s="89"/>
      <c r="E116" s="89"/>
      <c r="F116" s="73"/>
      <c r="G116" s="73"/>
      <c r="H116" s="73"/>
      <c r="I116" s="73"/>
      <c r="J116" s="73"/>
      <c r="K116" s="73"/>
      <c r="L116" s="73"/>
      <c r="M116" s="74"/>
      <c r="N116" s="71" t="str">
        <f t="shared" si="1"/>
        <v/>
      </c>
      <c r="O116" s="72"/>
      <c r="P116" s="72"/>
      <c r="Q116" s="72"/>
      <c r="R116" s="72"/>
      <c r="S116" s="72"/>
      <c r="T116" s="72"/>
      <c r="U116" s="72"/>
      <c r="V116" s="72"/>
    </row>
    <row r="117" spans="1:22" ht="27.75" customHeight="1">
      <c r="A117" s="87" t="str">
        <f>IF(ISBLANK(C117)," ",112-COUNTBLANK($C$6:C117))</f>
        <v xml:space="preserve"> </v>
      </c>
      <c r="B117" s="88"/>
      <c r="C117" s="88"/>
      <c r="D117" s="89"/>
      <c r="E117" s="89"/>
      <c r="F117" s="73"/>
      <c r="G117" s="73"/>
      <c r="H117" s="73"/>
      <c r="I117" s="73"/>
      <c r="J117" s="73"/>
      <c r="K117" s="73"/>
      <c r="L117" s="73"/>
      <c r="M117" s="74"/>
      <c r="N117" s="71" t="str">
        <f t="shared" si="1"/>
        <v/>
      </c>
      <c r="O117" s="72"/>
      <c r="P117" s="72"/>
      <c r="Q117" s="72"/>
      <c r="R117" s="72"/>
      <c r="S117" s="72"/>
      <c r="T117" s="72"/>
      <c r="U117" s="72"/>
      <c r="V117" s="72"/>
    </row>
    <row r="118" spans="1:22" ht="27.75" customHeight="1">
      <c r="A118" s="87" t="str">
        <f>IF(ISBLANK(C118)," ",113-COUNTBLANK($C$6:C118))</f>
        <v xml:space="preserve"> </v>
      </c>
      <c r="B118" s="88"/>
      <c r="C118" s="88"/>
      <c r="D118" s="89"/>
      <c r="E118" s="89"/>
      <c r="F118" s="73"/>
      <c r="G118" s="73"/>
      <c r="H118" s="73"/>
      <c r="I118" s="73"/>
      <c r="J118" s="73"/>
      <c r="K118" s="73"/>
      <c r="L118" s="73"/>
      <c r="M118" s="74"/>
      <c r="N118" s="71" t="str">
        <f t="shared" si="1"/>
        <v/>
      </c>
      <c r="O118" s="72"/>
      <c r="P118" s="72"/>
      <c r="Q118" s="72"/>
      <c r="R118" s="72"/>
      <c r="S118" s="72"/>
      <c r="T118" s="72"/>
      <c r="U118" s="72"/>
      <c r="V118" s="72"/>
    </row>
    <row r="119" spans="1:22" ht="27.75" customHeight="1">
      <c r="A119" s="87" t="str">
        <f>IF(ISBLANK(C119)," ",114-COUNTBLANK($C$6:C119))</f>
        <v xml:space="preserve"> </v>
      </c>
      <c r="B119" s="88"/>
      <c r="C119" s="88"/>
      <c r="D119" s="89"/>
      <c r="E119" s="89"/>
      <c r="F119" s="73"/>
      <c r="G119" s="73"/>
      <c r="H119" s="73"/>
      <c r="I119" s="73"/>
      <c r="J119" s="73"/>
      <c r="K119" s="73"/>
      <c r="L119" s="73"/>
      <c r="M119" s="74"/>
      <c r="N119" s="71" t="str">
        <f t="shared" si="1"/>
        <v/>
      </c>
      <c r="O119" s="72"/>
      <c r="P119" s="72"/>
      <c r="Q119" s="72"/>
      <c r="R119" s="72"/>
      <c r="S119" s="72"/>
      <c r="T119" s="72"/>
      <c r="U119" s="72"/>
      <c r="V119" s="72"/>
    </row>
    <row r="120" spans="1:22" ht="27.75" customHeight="1">
      <c r="A120" s="87" t="str">
        <f>IF(ISBLANK(C120)," ",115-COUNTBLANK($C$6:C120))</f>
        <v xml:space="preserve"> </v>
      </c>
      <c r="B120" s="88"/>
      <c r="C120" s="88"/>
      <c r="D120" s="89"/>
      <c r="E120" s="89"/>
      <c r="F120" s="73"/>
      <c r="G120" s="73"/>
      <c r="H120" s="73"/>
      <c r="I120" s="73"/>
      <c r="J120" s="73"/>
      <c r="K120" s="73"/>
      <c r="L120" s="73"/>
      <c r="M120" s="74"/>
      <c r="N120" s="71" t="str">
        <f t="shared" si="1"/>
        <v/>
      </c>
      <c r="O120" s="72"/>
      <c r="P120" s="72"/>
      <c r="Q120" s="72"/>
      <c r="R120" s="72"/>
      <c r="S120" s="72"/>
      <c r="T120" s="72"/>
      <c r="U120" s="72"/>
      <c r="V120" s="72"/>
    </row>
    <row r="121" spans="1:22" ht="27.75" customHeight="1">
      <c r="A121" s="87" t="str">
        <f>IF(ISBLANK(C121)," ",116-COUNTBLANK($C$6:C121))</f>
        <v xml:space="preserve"> </v>
      </c>
      <c r="B121" s="88"/>
      <c r="C121" s="88"/>
      <c r="D121" s="89"/>
      <c r="E121" s="89"/>
      <c r="F121" s="73"/>
      <c r="G121" s="73"/>
      <c r="H121" s="73"/>
      <c r="I121" s="73"/>
      <c r="J121" s="73"/>
      <c r="K121" s="73"/>
      <c r="L121" s="73"/>
      <c r="M121" s="74"/>
      <c r="N121" s="71" t="str">
        <f t="shared" si="1"/>
        <v/>
      </c>
      <c r="O121" s="72"/>
      <c r="P121" s="72"/>
      <c r="Q121" s="72"/>
      <c r="R121" s="72"/>
      <c r="S121" s="72"/>
      <c r="T121" s="72"/>
      <c r="U121" s="72"/>
      <c r="V121" s="72"/>
    </row>
    <row r="122" spans="1:22" ht="27.75" customHeight="1">
      <c r="A122" s="87" t="str">
        <f>IF(ISBLANK(C122)," ",117-COUNTBLANK($C$6:C122))</f>
        <v xml:space="preserve"> </v>
      </c>
      <c r="B122" s="88"/>
      <c r="C122" s="88"/>
      <c r="D122" s="89"/>
      <c r="E122" s="89"/>
      <c r="F122" s="73"/>
      <c r="G122" s="73"/>
      <c r="H122" s="73"/>
      <c r="I122" s="73"/>
      <c r="J122" s="73"/>
      <c r="K122" s="73"/>
      <c r="L122" s="73"/>
      <c r="M122" s="74"/>
      <c r="N122" s="71" t="str">
        <f t="shared" si="1"/>
        <v/>
      </c>
      <c r="O122" s="72"/>
      <c r="P122" s="72"/>
      <c r="Q122" s="72"/>
      <c r="R122" s="72"/>
      <c r="S122" s="72"/>
      <c r="T122" s="72"/>
      <c r="U122" s="72"/>
      <c r="V122" s="72"/>
    </row>
    <row r="123" spans="1:22" ht="27.75" customHeight="1">
      <c r="A123" s="87" t="str">
        <f>IF(ISBLANK(C123)," ",118-COUNTBLANK($C$6:C123))</f>
        <v xml:space="preserve"> </v>
      </c>
      <c r="B123" s="88"/>
      <c r="C123" s="88"/>
      <c r="D123" s="89"/>
      <c r="E123" s="89"/>
      <c r="F123" s="73"/>
      <c r="G123" s="73"/>
      <c r="H123" s="73"/>
      <c r="I123" s="73"/>
      <c r="J123" s="73"/>
      <c r="K123" s="73"/>
      <c r="L123" s="73"/>
      <c r="M123" s="74"/>
      <c r="N123" s="71" t="str">
        <f t="shared" si="1"/>
        <v/>
      </c>
      <c r="O123" s="72"/>
      <c r="P123" s="72"/>
      <c r="Q123" s="72"/>
      <c r="R123" s="72"/>
      <c r="S123" s="72"/>
      <c r="T123" s="72"/>
      <c r="U123" s="72"/>
      <c r="V123" s="72"/>
    </row>
    <row r="124" spans="1:22" ht="27.75" customHeight="1">
      <c r="A124" s="87" t="str">
        <f>IF(ISBLANK(C124)," ",119-COUNTBLANK($C$6:C124))</f>
        <v xml:space="preserve"> </v>
      </c>
      <c r="B124" s="88"/>
      <c r="C124" s="88"/>
      <c r="D124" s="89"/>
      <c r="E124" s="89"/>
      <c r="F124" s="73"/>
      <c r="G124" s="73"/>
      <c r="H124" s="73"/>
      <c r="I124" s="73"/>
      <c r="J124" s="73"/>
      <c r="K124" s="73"/>
      <c r="L124" s="73"/>
      <c r="M124" s="74"/>
      <c r="N124" s="71" t="str">
        <f t="shared" si="1"/>
        <v/>
      </c>
      <c r="O124" s="72"/>
      <c r="P124" s="72"/>
      <c r="Q124" s="72"/>
      <c r="R124" s="72"/>
      <c r="S124" s="72"/>
      <c r="T124" s="72"/>
      <c r="U124" s="72"/>
      <c r="V124" s="72"/>
    </row>
    <row r="125" spans="1:22" ht="27.75" customHeight="1">
      <c r="A125" s="87" t="str">
        <f>IF(ISBLANK(C125)," ",120-COUNTBLANK($C$6:C125))</f>
        <v xml:space="preserve"> </v>
      </c>
      <c r="B125" s="88"/>
      <c r="C125" s="88"/>
      <c r="D125" s="89"/>
      <c r="E125" s="89"/>
      <c r="F125" s="73"/>
      <c r="G125" s="73"/>
      <c r="H125" s="73"/>
      <c r="I125" s="73"/>
      <c r="J125" s="73"/>
      <c r="K125" s="73"/>
      <c r="L125" s="73"/>
      <c r="M125" s="74"/>
      <c r="N125" s="71" t="str">
        <f t="shared" si="1"/>
        <v/>
      </c>
      <c r="O125" s="72"/>
      <c r="P125" s="72"/>
      <c r="Q125" s="72"/>
      <c r="R125" s="72"/>
      <c r="S125" s="72"/>
      <c r="T125" s="72"/>
      <c r="U125" s="72"/>
      <c r="V125" s="72"/>
    </row>
    <row r="126" spans="1:22" ht="27.75" customHeight="1">
      <c r="A126" s="87" t="str">
        <f>IF(ISBLANK(C126)," ",121-COUNTBLANK($C$6:C126))</f>
        <v xml:space="preserve"> </v>
      </c>
      <c r="B126" s="88"/>
      <c r="C126" s="88"/>
      <c r="D126" s="89"/>
      <c r="E126" s="89"/>
      <c r="F126" s="73"/>
      <c r="G126" s="73"/>
      <c r="H126" s="73"/>
      <c r="I126" s="73"/>
      <c r="J126" s="73"/>
      <c r="K126" s="73"/>
      <c r="L126" s="73"/>
      <c r="M126" s="74"/>
      <c r="N126" s="71" t="str">
        <f t="shared" si="1"/>
        <v/>
      </c>
      <c r="O126" s="75"/>
      <c r="P126" s="72"/>
      <c r="Q126" s="72"/>
      <c r="R126" s="72"/>
      <c r="S126" s="72"/>
      <c r="T126" s="72"/>
      <c r="U126" s="72"/>
      <c r="V126" s="76"/>
    </row>
    <row r="127" spans="1:22" ht="27.75" customHeight="1">
      <c r="A127" s="87" t="str">
        <f>IF(ISBLANK(C127)," ",122-COUNTBLANK($C$6:C127))</f>
        <v xml:space="preserve"> </v>
      </c>
      <c r="B127" s="88"/>
      <c r="C127" s="88"/>
      <c r="D127" s="89"/>
      <c r="E127" s="89"/>
      <c r="F127" s="73"/>
      <c r="G127" s="73"/>
      <c r="H127" s="73"/>
      <c r="I127" s="73"/>
      <c r="J127" s="73"/>
      <c r="K127" s="73"/>
      <c r="L127" s="73"/>
      <c r="M127" s="74"/>
      <c r="N127" s="71" t="str">
        <f t="shared" si="1"/>
        <v/>
      </c>
      <c r="O127" s="75"/>
      <c r="P127" s="72"/>
      <c r="Q127" s="72"/>
      <c r="R127" s="72"/>
      <c r="S127" s="72"/>
      <c r="T127" s="72"/>
      <c r="U127" s="72"/>
      <c r="V127" s="76"/>
    </row>
    <row r="128" spans="1:22" ht="27.75" customHeight="1">
      <c r="A128" s="87" t="str">
        <f>IF(ISBLANK(C128)," ",123-COUNTBLANK($C$6:C128))</f>
        <v xml:space="preserve"> </v>
      </c>
      <c r="B128" s="88"/>
      <c r="C128" s="88"/>
      <c r="D128" s="89"/>
      <c r="E128" s="89"/>
      <c r="F128" s="73"/>
      <c r="G128" s="73"/>
      <c r="H128" s="73"/>
      <c r="I128" s="73"/>
      <c r="J128" s="73"/>
      <c r="K128" s="73"/>
      <c r="L128" s="73"/>
      <c r="M128" s="74"/>
      <c r="N128" s="71" t="str">
        <f t="shared" si="1"/>
        <v/>
      </c>
      <c r="O128" s="75"/>
      <c r="P128" s="72"/>
      <c r="Q128" s="72"/>
      <c r="R128" s="72"/>
      <c r="S128" s="72"/>
      <c r="T128" s="72"/>
      <c r="U128" s="72"/>
      <c r="V128" s="76"/>
    </row>
    <row r="129" spans="1:25" ht="27.75" customHeight="1">
      <c r="A129" s="87" t="str">
        <f>IF(ISBLANK(C129)," ",124-COUNTBLANK($C$6:C129))</f>
        <v xml:space="preserve"> </v>
      </c>
      <c r="B129" s="88"/>
      <c r="C129" s="88"/>
      <c r="D129" s="89"/>
      <c r="E129" s="89"/>
      <c r="F129" s="73"/>
      <c r="G129" s="73"/>
      <c r="H129" s="73"/>
      <c r="I129" s="73"/>
      <c r="J129" s="73"/>
      <c r="K129" s="73"/>
      <c r="L129" s="73"/>
      <c r="M129" s="74"/>
      <c r="N129" s="71" t="str">
        <f t="shared" si="1"/>
        <v/>
      </c>
      <c r="O129" s="75"/>
      <c r="P129" s="72"/>
      <c r="Q129" s="72"/>
      <c r="R129" s="72"/>
      <c r="S129" s="72"/>
      <c r="T129" s="72"/>
      <c r="U129" s="72"/>
      <c r="V129" s="76"/>
    </row>
    <row r="130" spans="1:25" ht="27.75" customHeight="1">
      <c r="A130" s="87" t="str">
        <f>IF(ISBLANK(C130)," ",125-COUNTBLANK($C$6:C130))</f>
        <v xml:space="preserve"> </v>
      </c>
      <c r="B130" s="88"/>
      <c r="C130" s="88"/>
      <c r="D130" s="89"/>
      <c r="E130" s="89"/>
      <c r="F130" s="73"/>
      <c r="G130" s="73"/>
      <c r="H130" s="73"/>
      <c r="I130" s="73"/>
      <c r="J130" s="73"/>
      <c r="K130" s="73"/>
      <c r="L130" s="73"/>
      <c r="M130" s="74"/>
      <c r="N130" s="71" t="str">
        <f t="shared" si="1"/>
        <v/>
      </c>
      <c r="O130" s="72"/>
      <c r="P130" s="72"/>
      <c r="Q130" s="72"/>
      <c r="R130" s="72"/>
      <c r="S130" s="72"/>
      <c r="T130" s="72"/>
      <c r="U130" s="72"/>
      <c r="V130" s="79"/>
      <c r="W130" s="72"/>
      <c r="X130" s="72"/>
      <c r="Y130" s="72"/>
    </row>
    <row r="131" spans="1:25" ht="27.75" customHeight="1">
      <c r="A131" s="80" t="s">
        <v>58</v>
      </c>
      <c r="B131" s="81"/>
      <c r="C131" s="96"/>
      <c r="D131" s="82"/>
      <c r="E131" s="82">
        <f>SUM(E111:E130)</f>
        <v>0</v>
      </c>
      <c r="F131" s="83"/>
      <c r="G131" s="83"/>
      <c r="H131" s="83"/>
      <c r="I131" s="83"/>
      <c r="J131" s="83"/>
      <c r="K131" s="83"/>
      <c r="L131" s="83"/>
      <c r="M131" s="84"/>
      <c r="N131" s="71" t="str">
        <f t="shared" si="1"/>
        <v/>
      </c>
      <c r="O131" s="75"/>
      <c r="P131" s="72"/>
      <c r="Q131" s="72"/>
      <c r="R131" s="72"/>
      <c r="S131" s="72"/>
      <c r="T131" s="72"/>
      <c r="U131" s="72"/>
      <c r="V131" s="79"/>
      <c r="W131" s="72"/>
      <c r="X131" s="72"/>
      <c r="Y131" s="72"/>
    </row>
    <row r="132" spans="1:25" ht="27.75" customHeight="1">
      <c r="A132" s="93" t="str">
        <f>IF(ISBLANK(C132)," ",127-COUNTBLANK($C$6:C132))</f>
        <v xml:space="preserve"> </v>
      </c>
      <c r="B132" s="94"/>
      <c r="C132" s="94"/>
      <c r="D132" s="95"/>
      <c r="E132" s="95"/>
      <c r="F132" s="85"/>
      <c r="G132" s="85"/>
      <c r="H132" s="85"/>
      <c r="I132" s="85"/>
      <c r="J132" s="85"/>
      <c r="K132" s="85"/>
      <c r="L132" s="85"/>
      <c r="M132" s="86"/>
      <c r="N132" s="71" t="str">
        <f t="shared" si="1"/>
        <v/>
      </c>
      <c r="O132" s="72"/>
      <c r="P132" s="72"/>
      <c r="Q132" s="72"/>
      <c r="R132" s="72"/>
      <c r="S132" s="72"/>
      <c r="T132" s="72"/>
      <c r="U132" s="72"/>
      <c r="V132" s="72"/>
    </row>
    <row r="133" spans="1:25" ht="27.75" customHeight="1">
      <c r="A133" s="87" t="str">
        <f>IF(ISBLANK(C133)," ",128-COUNTBLANK($C$6:C133))</f>
        <v xml:space="preserve"> </v>
      </c>
      <c r="B133" s="88"/>
      <c r="C133" s="88"/>
      <c r="D133" s="89"/>
      <c r="E133" s="89"/>
      <c r="F133" s="73"/>
      <c r="G133" s="73"/>
      <c r="H133" s="73"/>
      <c r="I133" s="73"/>
      <c r="J133" s="73"/>
      <c r="K133" s="73"/>
      <c r="L133" s="73"/>
      <c r="M133" s="74"/>
      <c r="N133" s="71" t="str">
        <f t="shared" si="1"/>
        <v/>
      </c>
      <c r="O133" s="72"/>
      <c r="P133" s="72"/>
      <c r="Q133" s="72"/>
      <c r="R133" s="72"/>
      <c r="S133" s="72"/>
      <c r="T133" s="72"/>
      <c r="U133" s="72"/>
      <c r="V133" s="72"/>
    </row>
    <row r="134" spans="1:25" ht="27.75" customHeight="1">
      <c r="A134" s="87" t="str">
        <f>IF(ISBLANK(C134)," ",129-COUNTBLANK($C$6:C134))</f>
        <v xml:space="preserve"> </v>
      </c>
      <c r="B134" s="88"/>
      <c r="C134" s="88"/>
      <c r="D134" s="89"/>
      <c r="E134" s="89"/>
      <c r="F134" s="73"/>
      <c r="G134" s="73"/>
      <c r="H134" s="73"/>
      <c r="I134" s="73"/>
      <c r="J134" s="73"/>
      <c r="K134" s="73"/>
      <c r="L134" s="73"/>
      <c r="M134" s="74"/>
      <c r="N134" s="71" t="str">
        <f t="shared" ref="N134:N197" si="2">CONCATENATE(C134,H134)</f>
        <v/>
      </c>
      <c r="O134" s="72"/>
      <c r="P134" s="72"/>
      <c r="Q134" s="72"/>
      <c r="R134" s="72"/>
      <c r="S134" s="72"/>
      <c r="T134" s="72"/>
      <c r="U134" s="72"/>
      <c r="V134" s="72"/>
    </row>
    <row r="135" spans="1:25" ht="27.75" customHeight="1">
      <c r="A135" s="87" t="str">
        <f>IF(ISBLANK(C135)," ",130-COUNTBLANK($C$6:C135))</f>
        <v xml:space="preserve"> </v>
      </c>
      <c r="B135" s="88"/>
      <c r="C135" s="88"/>
      <c r="D135" s="89"/>
      <c r="E135" s="89"/>
      <c r="F135" s="73"/>
      <c r="G135" s="73"/>
      <c r="H135" s="73"/>
      <c r="I135" s="73"/>
      <c r="J135" s="73"/>
      <c r="K135" s="73"/>
      <c r="L135" s="73"/>
      <c r="M135" s="74"/>
      <c r="N135" s="71" t="str">
        <f t="shared" si="2"/>
        <v/>
      </c>
      <c r="O135" s="72"/>
      <c r="P135" s="72"/>
      <c r="Q135" s="72"/>
      <c r="R135" s="72"/>
      <c r="S135" s="72"/>
      <c r="T135" s="72"/>
      <c r="U135" s="72"/>
      <c r="V135" s="72"/>
    </row>
    <row r="136" spans="1:25" ht="27.75" customHeight="1">
      <c r="A136" s="87" t="str">
        <f>IF(ISBLANK(C136)," ",131-COUNTBLANK($C$6:C136))</f>
        <v xml:space="preserve"> </v>
      </c>
      <c r="B136" s="88"/>
      <c r="C136" s="88"/>
      <c r="D136" s="89"/>
      <c r="E136" s="89"/>
      <c r="F136" s="73"/>
      <c r="G136" s="73"/>
      <c r="H136" s="73"/>
      <c r="I136" s="73"/>
      <c r="J136" s="73"/>
      <c r="K136" s="73"/>
      <c r="L136" s="73"/>
      <c r="M136" s="74"/>
      <c r="N136" s="71" t="str">
        <f t="shared" si="2"/>
        <v/>
      </c>
      <c r="O136" s="72"/>
      <c r="P136" s="72"/>
      <c r="Q136" s="72"/>
      <c r="R136" s="72"/>
      <c r="S136" s="72"/>
      <c r="T136" s="72"/>
      <c r="U136" s="72"/>
      <c r="V136" s="72"/>
    </row>
    <row r="137" spans="1:25" ht="27.75" customHeight="1">
      <c r="A137" s="87" t="str">
        <f>IF(ISBLANK(C137)," ",132-COUNTBLANK($C$6:C137))</f>
        <v xml:space="preserve"> </v>
      </c>
      <c r="B137" s="88"/>
      <c r="C137" s="88"/>
      <c r="D137" s="89"/>
      <c r="E137" s="89"/>
      <c r="F137" s="73"/>
      <c r="G137" s="73"/>
      <c r="H137" s="73"/>
      <c r="I137" s="73"/>
      <c r="J137" s="73"/>
      <c r="K137" s="73"/>
      <c r="L137" s="73"/>
      <c r="M137" s="74"/>
      <c r="N137" s="71" t="str">
        <f t="shared" si="2"/>
        <v/>
      </c>
      <c r="O137" s="72"/>
      <c r="P137" s="72"/>
      <c r="Q137" s="72"/>
      <c r="R137" s="72"/>
      <c r="S137" s="72"/>
      <c r="T137" s="72"/>
      <c r="U137" s="72"/>
      <c r="V137" s="72"/>
    </row>
    <row r="138" spans="1:25" ht="27.75" customHeight="1">
      <c r="A138" s="87" t="str">
        <f>IF(ISBLANK(C138)," ",133-COUNTBLANK($C$6:C138))</f>
        <v xml:space="preserve"> </v>
      </c>
      <c r="B138" s="88"/>
      <c r="C138" s="88"/>
      <c r="D138" s="89"/>
      <c r="E138" s="89"/>
      <c r="F138" s="73"/>
      <c r="G138" s="73"/>
      <c r="H138" s="73"/>
      <c r="I138" s="73"/>
      <c r="J138" s="73"/>
      <c r="K138" s="73"/>
      <c r="L138" s="73"/>
      <c r="M138" s="74"/>
      <c r="N138" s="71" t="str">
        <f t="shared" si="2"/>
        <v/>
      </c>
      <c r="O138" s="72"/>
      <c r="P138" s="72"/>
      <c r="Q138" s="72"/>
      <c r="R138" s="72"/>
      <c r="S138" s="72"/>
      <c r="T138" s="72"/>
      <c r="U138" s="72"/>
      <c r="V138" s="72"/>
    </row>
    <row r="139" spans="1:25" ht="27.75" customHeight="1">
      <c r="A139" s="87" t="str">
        <f>IF(ISBLANK(C139)," ",134-COUNTBLANK($C$6:C139))</f>
        <v xml:space="preserve"> </v>
      </c>
      <c r="B139" s="88"/>
      <c r="C139" s="88"/>
      <c r="D139" s="89"/>
      <c r="E139" s="89"/>
      <c r="F139" s="73"/>
      <c r="G139" s="73"/>
      <c r="H139" s="73"/>
      <c r="I139" s="73"/>
      <c r="J139" s="73"/>
      <c r="K139" s="73"/>
      <c r="L139" s="73"/>
      <c r="M139" s="74"/>
      <c r="N139" s="71" t="str">
        <f t="shared" si="2"/>
        <v/>
      </c>
      <c r="O139" s="72"/>
      <c r="P139" s="72"/>
      <c r="Q139" s="72"/>
      <c r="R139" s="72"/>
      <c r="S139" s="72"/>
      <c r="T139" s="72"/>
      <c r="U139" s="72"/>
      <c r="V139" s="72"/>
    </row>
    <row r="140" spans="1:25" ht="27.75" customHeight="1">
      <c r="A140" s="87" t="str">
        <f>IF(ISBLANK(C140)," ",135-COUNTBLANK($C$6:C140))</f>
        <v xml:space="preserve"> </v>
      </c>
      <c r="B140" s="88"/>
      <c r="C140" s="88"/>
      <c r="D140" s="89"/>
      <c r="E140" s="89"/>
      <c r="F140" s="73"/>
      <c r="G140" s="73"/>
      <c r="H140" s="73"/>
      <c r="I140" s="73"/>
      <c r="J140" s="73"/>
      <c r="K140" s="73"/>
      <c r="L140" s="73"/>
      <c r="M140" s="74"/>
      <c r="N140" s="71" t="str">
        <f t="shared" si="2"/>
        <v/>
      </c>
      <c r="O140" s="72"/>
      <c r="P140" s="72"/>
      <c r="Q140" s="72"/>
      <c r="R140" s="72"/>
      <c r="S140" s="72"/>
      <c r="T140" s="72"/>
      <c r="U140" s="72"/>
      <c r="V140" s="72"/>
    </row>
    <row r="141" spans="1:25" ht="27.75" customHeight="1">
      <c r="A141" s="87" t="str">
        <f>IF(ISBLANK(C141)," ",136-COUNTBLANK($C$6:C141))</f>
        <v xml:space="preserve"> </v>
      </c>
      <c r="B141" s="88"/>
      <c r="C141" s="88"/>
      <c r="D141" s="89"/>
      <c r="E141" s="89"/>
      <c r="F141" s="73"/>
      <c r="G141" s="73"/>
      <c r="H141" s="73"/>
      <c r="I141" s="73"/>
      <c r="J141" s="73"/>
      <c r="K141" s="73"/>
      <c r="L141" s="73"/>
      <c r="M141" s="74"/>
      <c r="N141" s="71" t="str">
        <f t="shared" si="2"/>
        <v/>
      </c>
      <c r="O141" s="72"/>
      <c r="P141" s="72"/>
      <c r="Q141" s="72"/>
      <c r="R141" s="72"/>
      <c r="S141" s="72"/>
      <c r="T141" s="72"/>
      <c r="U141" s="72"/>
      <c r="V141" s="72"/>
    </row>
    <row r="142" spans="1:25" ht="27.75" customHeight="1">
      <c r="A142" s="87" t="str">
        <f>IF(ISBLANK(C142)," ",137-COUNTBLANK($C$6:C142))</f>
        <v xml:space="preserve"> </v>
      </c>
      <c r="B142" s="88"/>
      <c r="C142" s="88"/>
      <c r="D142" s="89"/>
      <c r="E142" s="89"/>
      <c r="F142" s="73"/>
      <c r="G142" s="73"/>
      <c r="H142" s="73"/>
      <c r="I142" s="73"/>
      <c r="J142" s="73"/>
      <c r="K142" s="73"/>
      <c r="L142" s="73"/>
      <c r="M142" s="74"/>
      <c r="N142" s="71" t="str">
        <f t="shared" si="2"/>
        <v/>
      </c>
      <c r="O142" s="72"/>
      <c r="P142" s="72"/>
      <c r="Q142" s="72"/>
      <c r="R142" s="72"/>
      <c r="S142" s="72"/>
      <c r="T142" s="72"/>
      <c r="U142" s="72"/>
      <c r="V142" s="72"/>
    </row>
    <row r="143" spans="1:25" ht="27.75" customHeight="1">
      <c r="A143" s="87" t="str">
        <f>IF(ISBLANK(C143)," ",138-COUNTBLANK($C$6:C143))</f>
        <v xml:space="preserve"> </v>
      </c>
      <c r="B143" s="88"/>
      <c r="C143" s="88"/>
      <c r="D143" s="89"/>
      <c r="E143" s="89"/>
      <c r="F143" s="73"/>
      <c r="G143" s="73"/>
      <c r="H143" s="73"/>
      <c r="I143" s="73"/>
      <c r="J143" s="73"/>
      <c r="K143" s="73"/>
      <c r="L143" s="73"/>
      <c r="M143" s="74"/>
      <c r="N143" s="71" t="str">
        <f t="shared" si="2"/>
        <v/>
      </c>
      <c r="O143" s="72"/>
      <c r="P143" s="72"/>
      <c r="Q143" s="72"/>
      <c r="R143" s="72"/>
      <c r="S143" s="72"/>
      <c r="T143" s="72"/>
      <c r="U143" s="72"/>
      <c r="V143" s="72"/>
    </row>
    <row r="144" spans="1:25" ht="27.75" customHeight="1">
      <c r="A144" s="87" t="str">
        <f>IF(ISBLANK(C144)," ",139-COUNTBLANK($C$6:C144))</f>
        <v xml:space="preserve"> </v>
      </c>
      <c r="B144" s="88"/>
      <c r="C144" s="88"/>
      <c r="D144" s="89"/>
      <c r="E144" s="89"/>
      <c r="F144" s="73"/>
      <c r="G144" s="73"/>
      <c r="H144" s="73"/>
      <c r="I144" s="73"/>
      <c r="J144" s="73"/>
      <c r="K144" s="73"/>
      <c r="L144" s="73"/>
      <c r="M144" s="74"/>
      <c r="N144" s="71" t="str">
        <f t="shared" si="2"/>
        <v/>
      </c>
      <c r="O144" s="72"/>
      <c r="P144" s="72"/>
      <c r="Q144" s="72"/>
      <c r="R144" s="72"/>
      <c r="S144" s="72"/>
      <c r="T144" s="72"/>
      <c r="U144" s="72"/>
      <c r="V144" s="72"/>
    </row>
    <row r="145" spans="1:25" ht="27.75" customHeight="1">
      <c r="A145" s="87" t="str">
        <f>IF(ISBLANK(C145)," ",140-COUNTBLANK($C$6:C145))</f>
        <v xml:space="preserve"> </v>
      </c>
      <c r="B145" s="88"/>
      <c r="C145" s="88"/>
      <c r="D145" s="89"/>
      <c r="E145" s="89"/>
      <c r="F145" s="73"/>
      <c r="G145" s="73"/>
      <c r="H145" s="73"/>
      <c r="I145" s="73"/>
      <c r="J145" s="73"/>
      <c r="K145" s="73"/>
      <c r="L145" s="73"/>
      <c r="M145" s="74"/>
      <c r="N145" s="71" t="str">
        <f t="shared" si="2"/>
        <v/>
      </c>
      <c r="O145" s="72"/>
      <c r="P145" s="72"/>
      <c r="Q145" s="72"/>
      <c r="R145" s="72"/>
      <c r="S145" s="72"/>
      <c r="T145" s="72"/>
      <c r="U145" s="72"/>
      <c r="V145" s="72"/>
    </row>
    <row r="146" spans="1:25" ht="27.75" customHeight="1">
      <c r="A146" s="87" t="str">
        <f>IF(ISBLANK(C146)," ",141-COUNTBLANK($C$6:C146))</f>
        <v xml:space="preserve"> </v>
      </c>
      <c r="B146" s="88"/>
      <c r="C146" s="88"/>
      <c r="D146" s="89"/>
      <c r="E146" s="89"/>
      <c r="F146" s="73"/>
      <c r="G146" s="73"/>
      <c r="H146" s="73"/>
      <c r="I146" s="73"/>
      <c r="J146" s="73"/>
      <c r="K146" s="73"/>
      <c r="L146" s="73"/>
      <c r="M146" s="74"/>
      <c r="N146" s="71" t="str">
        <f t="shared" si="2"/>
        <v/>
      </c>
      <c r="O146" s="72"/>
      <c r="P146" s="72"/>
      <c r="Q146" s="72"/>
      <c r="R146" s="72"/>
      <c r="S146" s="72"/>
      <c r="T146" s="72"/>
      <c r="U146" s="72"/>
      <c r="V146" s="72"/>
    </row>
    <row r="147" spans="1:25" ht="27.75" customHeight="1">
      <c r="A147" s="87" t="str">
        <f>IF(ISBLANK(C147)," ",142-COUNTBLANK($C$6:C147))</f>
        <v xml:space="preserve"> </v>
      </c>
      <c r="B147" s="88"/>
      <c r="C147" s="88"/>
      <c r="D147" s="89"/>
      <c r="E147" s="89"/>
      <c r="F147" s="73"/>
      <c r="G147" s="73"/>
      <c r="H147" s="73"/>
      <c r="I147" s="73"/>
      <c r="J147" s="73"/>
      <c r="K147" s="73"/>
      <c r="L147" s="73"/>
      <c r="M147" s="74"/>
      <c r="N147" s="71" t="str">
        <f t="shared" si="2"/>
        <v/>
      </c>
      <c r="O147" s="75"/>
      <c r="P147" s="72"/>
      <c r="Q147" s="72"/>
      <c r="R147" s="72"/>
      <c r="S147" s="72"/>
      <c r="T147" s="72"/>
      <c r="U147" s="72"/>
      <c r="V147" s="76"/>
    </row>
    <row r="148" spans="1:25" ht="27.75" customHeight="1">
      <c r="A148" s="87" t="str">
        <f>IF(ISBLANK(C148)," ",143-COUNTBLANK($C$6:C148))</f>
        <v xml:space="preserve"> </v>
      </c>
      <c r="B148" s="88"/>
      <c r="C148" s="88"/>
      <c r="D148" s="89"/>
      <c r="E148" s="89"/>
      <c r="F148" s="73"/>
      <c r="G148" s="73"/>
      <c r="H148" s="73"/>
      <c r="I148" s="73"/>
      <c r="J148" s="73"/>
      <c r="K148" s="73"/>
      <c r="L148" s="73"/>
      <c r="M148" s="74"/>
      <c r="N148" s="71" t="str">
        <f t="shared" si="2"/>
        <v/>
      </c>
      <c r="O148" s="75"/>
      <c r="P148" s="72"/>
      <c r="Q148" s="72"/>
      <c r="R148" s="72"/>
      <c r="S148" s="72"/>
      <c r="T148" s="72"/>
      <c r="U148" s="72"/>
      <c r="V148" s="76"/>
    </row>
    <row r="149" spans="1:25" ht="27.75" customHeight="1">
      <c r="A149" s="87" t="str">
        <f>IF(ISBLANK(C149)," ",144-COUNTBLANK($C$6:C149))</f>
        <v xml:space="preserve"> </v>
      </c>
      <c r="B149" s="88"/>
      <c r="C149" s="88"/>
      <c r="D149" s="89"/>
      <c r="E149" s="89"/>
      <c r="F149" s="73"/>
      <c r="G149" s="73"/>
      <c r="H149" s="73"/>
      <c r="I149" s="73"/>
      <c r="J149" s="73"/>
      <c r="K149" s="73"/>
      <c r="L149" s="73"/>
      <c r="M149" s="74"/>
      <c r="N149" s="71" t="str">
        <f t="shared" si="2"/>
        <v/>
      </c>
      <c r="O149" s="75"/>
      <c r="P149" s="72"/>
      <c r="Q149" s="72"/>
      <c r="R149" s="72"/>
      <c r="S149" s="72"/>
      <c r="T149" s="72"/>
      <c r="U149" s="72"/>
      <c r="V149" s="76"/>
    </row>
    <row r="150" spans="1:25" ht="27.75" customHeight="1">
      <c r="A150" s="87" t="str">
        <f>IF(ISBLANK(C150)," ",145-COUNTBLANK($C$6:C150))</f>
        <v xml:space="preserve"> </v>
      </c>
      <c r="B150" s="88"/>
      <c r="C150" s="88"/>
      <c r="D150" s="89"/>
      <c r="E150" s="89"/>
      <c r="F150" s="73"/>
      <c r="G150" s="73"/>
      <c r="H150" s="73"/>
      <c r="I150" s="73"/>
      <c r="J150" s="73"/>
      <c r="K150" s="73"/>
      <c r="L150" s="73"/>
      <c r="M150" s="74"/>
      <c r="N150" s="71" t="str">
        <f t="shared" si="2"/>
        <v/>
      </c>
      <c r="O150" s="75"/>
      <c r="P150" s="72"/>
      <c r="Q150" s="72"/>
      <c r="R150" s="72"/>
      <c r="S150" s="72"/>
      <c r="T150" s="72"/>
      <c r="U150" s="72"/>
      <c r="V150" s="76"/>
    </row>
    <row r="151" spans="1:25" ht="27.75" customHeight="1">
      <c r="A151" s="87" t="str">
        <f>IF(ISBLANK(C151)," ",146-COUNTBLANK($C$6:C151))</f>
        <v xml:space="preserve"> </v>
      </c>
      <c r="B151" s="88"/>
      <c r="C151" s="88"/>
      <c r="D151" s="89"/>
      <c r="E151" s="89"/>
      <c r="F151" s="73"/>
      <c r="G151" s="73"/>
      <c r="H151" s="73"/>
      <c r="I151" s="73"/>
      <c r="J151" s="73"/>
      <c r="K151" s="73"/>
      <c r="L151" s="73"/>
      <c r="M151" s="74"/>
      <c r="N151" s="71" t="str">
        <f t="shared" si="2"/>
        <v/>
      </c>
      <c r="O151" s="72"/>
      <c r="P151" s="72"/>
      <c r="Q151" s="72"/>
      <c r="R151" s="72"/>
      <c r="S151" s="72"/>
      <c r="T151" s="72"/>
      <c r="U151" s="72"/>
      <c r="V151" s="79"/>
      <c r="W151" s="72"/>
      <c r="X151" s="72"/>
      <c r="Y151" s="72"/>
    </row>
    <row r="152" spans="1:25" ht="27.75" customHeight="1">
      <c r="A152" s="80" t="s">
        <v>58</v>
      </c>
      <c r="B152" s="81"/>
      <c r="C152" s="96"/>
      <c r="D152" s="82"/>
      <c r="E152" s="82">
        <f>SUM(E132:E151)</f>
        <v>0</v>
      </c>
      <c r="F152" s="83"/>
      <c r="G152" s="83"/>
      <c r="H152" s="83"/>
      <c r="I152" s="83"/>
      <c r="J152" s="83"/>
      <c r="K152" s="83"/>
      <c r="L152" s="83"/>
      <c r="M152" s="84"/>
      <c r="N152" s="71" t="str">
        <f t="shared" si="2"/>
        <v/>
      </c>
      <c r="O152" s="75"/>
      <c r="P152" s="72"/>
      <c r="Q152" s="72"/>
      <c r="R152" s="72"/>
      <c r="S152" s="72"/>
      <c r="T152" s="72"/>
      <c r="U152" s="72"/>
      <c r="V152" s="79"/>
      <c r="W152" s="72"/>
      <c r="X152" s="72"/>
      <c r="Y152" s="72"/>
    </row>
    <row r="153" spans="1:25" ht="27.75" customHeight="1">
      <c r="A153" s="93" t="str">
        <f>IF(ISBLANK(C153)," ",148-COUNTBLANK($C$6:C153))</f>
        <v xml:space="preserve"> </v>
      </c>
      <c r="B153" s="94"/>
      <c r="C153" s="94"/>
      <c r="D153" s="95"/>
      <c r="E153" s="95"/>
      <c r="F153" s="85"/>
      <c r="G153" s="85"/>
      <c r="H153" s="85"/>
      <c r="I153" s="85"/>
      <c r="J153" s="85"/>
      <c r="K153" s="85"/>
      <c r="L153" s="85"/>
      <c r="M153" s="86"/>
      <c r="N153" s="71" t="str">
        <f t="shared" si="2"/>
        <v/>
      </c>
      <c r="O153" s="72"/>
      <c r="P153" s="72"/>
      <c r="Q153" s="72"/>
      <c r="R153" s="72"/>
      <c r="S153" s="72"/>
      <c r="T153" s="72"/>
      <c r="U153" s="72"/>
      <c r="V153" s="72"/>
    </row>
    <row r="154" spans="1:25" ht="27.75" customHeight="1">
      <c r="A154" s="87" t="str">
        <f>IF(ISBLANK(C154)," ",149-COUNTBLANK($C$6:C154))</f>
        <v xml:space="preserve"> </v>
      </c>
      <c r="B154" s="88"/>
      <c r="C154" s="88"/>
      <c r="D154" s="89"/>
      <c r="E154" s="89"/>
      <c r="F154" s="73"/>
      <c r="G154" s="73"/>
      <c r="H154" s="73"/>
      <c r="I154" s="73"/>
      <c r="J154" s="73"/>
      <c r="K154" s="73"/>
      <c r="L154" s="73"/>
      <c r="M154" s="74"/>
      <c r="N154" s="71" t="str">
        <f t="shared" si="2"/>
        <v/>
      </c>
      <c r="O154" s="72"/>
      <c r="P154" s="72"/>
      <c r="Q154" s="72"/>
      <c r="R154" s="72"/>
      <c r="S154" s="72"/>
      <c r="T154" s="72"/>
      <c r="U154" s="72"/>
      <c r="V154" s="72"/>
    </row>
    <row r="155" spans="1:25" ht="27.75" customHeight="1">
      <c r="A155" s="87" t="str">
        <f>IF(ISBLANK(C155)," ",150-COUNTBLANK($C$6:C155))</f>
        <v xml:space="preserve"> </v>
      </c>
      <c r="B155" s="88"/>
      <c r="C155" s="88"/>
      <c r="D155" s="89"/>
      <c r="E155" s="89"/>
      <c r="F155" s="73"/>
      <c r="G155" s="73"/>
      <c r="H155" s="73"/>
      <c r="I155" s="73"/>
      <c r="J155" s="73"/>
      <c r="K155" s="73"/>
      <c r="L155" s="73"/>
      <c r="M155" s="74"/>
      <c r="N155" s="71" t="str">
        <f t="shared" si="2"/>
        <v/>
      </c>
      <c r="O155" s="72"/>
      <c r="P155" s="72"/>
      <c r="Q155" s="72"/>
      <c r="R155" s="72"/>
      <c r="S155" s="72"/>
      <c r="T155" s="72"/>
      <c r="U155" s="72"/>
      <c r="V155" s="72"/>
    </row>
    <row r="156" spans="1:25" ht="27.75" customHeight="1">
      <c r="A156" s="87" t="str">
        <f>IF(ISBLANK(C156)," ",151-COUNTBLANK($C$6:C156))</f>
        <v xml:space="preserve"> </v>
      </c>
      <c r="B156" s="88"/>
      <c r="C156" s="88"/>
      <c r="D156" s="89"/>
      <c r="E156" s="89"/>
      <c r="F156" s="73"/>
      <c r="G156" s="73"/>
      <c r="H156" s="73"/>
      <c r="I156" s="73"/>
      <c r="J156" s="73"/>
      <c r="K156" s="73"/>
      <c r="L156" s="73"/>
      <c r="M156" s="74"/>
      <c r="N156" s="71" t="str">
        <f t="shared" si="2"/>
        <v/>
      </c>
      <c r="O156" s="72"/>
      <c r="P156" s="72"/>
      <c r="Q156" s="72"/>
      <c r="R156" s="72"/>
      <c r="S156" s="72"/>
      <c r="T156" s="72"/>
      <c r="U156" s="72"/>
      <c r="V156" s="72"/>
    </row>
    <row r="157" spans="1:25" ht="27.75" customHeight="1">
      <c r="A157" s="87" t="str">
        <f>IF(ISBLANK(C157)," ",152-COUNTBLANK($C$6:C157))</f>
        <v xml:space="preserve"> </v>
      </c>
      <c r="B157" s="88"/>
      <c r="C157" s="88"/>
      <c r="D157" s="89"/>
      <c r="E157" s="89"/>
      <c r="F157" s="73"/>
      <c r="G157" s="73"/>
      <c r="H157" s="73"/>
      <c r="I157" s="73"/>
      <c r="J157" s="73"/>
      <c r="K157" s="73"/>
      <c r="L157" s="73"/>
      <c r="M157" s="74"/>
      <c r="N157" s="71" t="str">
        <f t="shared" si="2"/>
        <v/>
      </c>
      <c r="O157" s="72"/>
      <c r="P157" s="72"/>
      <c r="Q157" s="72"/>
      <c r="R157" s="72"/>
      <c r="S157" s="72"/>
      <c r="T157" s="72"/>
      <c r="U157" s="72"/>
      <c r="V157" s="72"/>
    </row>
    <row r="158" spans="1:25" ht="27.75" customHeight="1">
      <c r="A158" s="87" t="str">
        <f>IF(ISBLANK(C158)," ",153-COUNTBLANK($C$6:C158))</f>
        <v xml:space="preserve"> </v>
      </c>
      <c r="B158" s="88"/>
      <c r="C158" s="88"/>
      <c r="D158" s="89"/>
      <c r="E158" s="89"/>
      <c r="F158" s="73"/>
      <c r="G158" s="73"/>
      <c r="H158" s="73"/>
      <c r="I158" s="73"/>
      <c r="J158" s="73"/>
      <c r="K158" s="73"/>
      <c r="L158" s="73"/>
      <c r="M158" s="74"/>
      <c r="N158" s="71" t="str">
        <f t="shared" si="2"/>
        <v/>
      </c>
      <c r="O158" s="72"/>
      <c r="P158" s="72"/>
      <c r="Q158" s="72"/>
      <c r="R158" s="72"/>
      <c r="S158" s="72"/>
      <c r="T158" s="72"/>
      <c r="U158" s="72"/>
      <c r="V158" s="72"/>
    </row>
    <row r="159" spans="1:25" ht="27.75" customHeight="1">
      <c r="A159" s="87" t="str">
        <f>IF(ISBLANK(C159)," ",154-COUNTBLANK($C$6:C159))</f>
        <v xml:space="preserve"> </v>
      </c>
      <c r="B159" s="88"/>
      <c r="C159" s="88"/>
      <c r="D159" s="89"/>
      <c r="E159" s="89"/>
      <c r="F159" s="73"/>
      <c r="G159" s="73"/>
      <c r="H159" s="73"/>
      <c r="I159" s="73"/>
      <c r="J159" s="73"/>
      <c r="K159" s="73"/>
      <c r="L159" s="73"/>
      <c r="M159" s="74"/>
      <c r="N159" s="71" t="str">
        <f t="shared" si="2"/>
        <v/>
      </c>
      <c r="O159" s="72"/>
      <c r="P159" s="72"/>
      <c r="Q159" s="72"/>
      <c r="R159" s="72"/>
      <c r="S159" s="72"/>
      <c r="T159" s="72"/>
      <c r="U159" s="72"/>
      <c r="V159" s="72"/>
    </row>
    <row r="160" spans="1:25" ht="27.75" customHeight="1">
      <c r="A160" s="87" t="str">
        <f>IF(ISBLANK(C160)," ",155-COUNTBLANK($C$6:C160))</f>
        <v xml:space="preserve"> </v>
      </c>
      <c r="B160" s="88"/>
      <c r="C160" s="88"/>
      <c r="D160" s="89"/>
      <c r="E160" s="89"/>
      <c r="F160" s="73"/>
      <c r="G160" s="73"/>
      <c r="H160" s="73"/>
      <c r="I160" s="73"/>
      <c r="J160" s="73"/>
      <c r="K160" s="73"/>
      <c r="L160" s="73"/>
      <c r="M160" s="74"/>
      <c r="N160" s="71" t="str">
        <f t="shared" si="2"/>
        <v/>
      </c>
      <c r="O160" s="72"/>
      <c r="P160" s="72"/>
      <c r="Q160" s="72"/>
      <c r="R160" s="72"/>
      <c r="S160" s="72"/>
      <c r="T160" s="72"/>
      <c r="U160" s="72"/>
      <c r="V160" s="72"/>
    </row>
    <row r="161" spans="1:25" ht="27.75" customHeight="1">
      <c r="A161" s="87" t="str">
        <f>IF(ISBLANK(C161)," ",156-COUNTBLANK($C$6:C161))</f>
        <v xml:space="preserve"> </v>
      </c>
      <c r="B161" s="88"/>
      <c r="C161" s="88"/>
      <c r="D161" s="89"/>
      <c r="E161" s="89"/>
      <c r="F161" s="73"/>
      <c r="G161" s="73"/>
      <c r="H161" s="73"/>
      <c r="I161" s="73"/>
      <c r="J161" s="73"/>
      <c r="K161" s="73"/>
      <c r="L161" s="73"/>
      <c r="M161" s="74"/>
      <c r="N161" s="71" t="str">
        <f t="shared" si="2"/>
        <v/>
      </c>
      <c r="O161" s="72"/>
      <c r="P161" s="72"/>
      <c r="Q161" s="72"/>
      <c r="R161" s="72"/>
      <c r="S161" s="72"/>
      <c r="T161" s="72"/>
      <c r="U161" s="72"/>
      <c r="V161" s="72"/>
    </row>
    <row r="162" spans="1:25" ht="27.75" customHeight="1">
      <c r="A162" s="87" t="str">
        <f>IF(ISBLANK(C162)," ",157-COUNTBLANK($C$6:C162))</f>
        <v xml:space="preserve"> </v>
      </c>
      <c r="B162" s="88"/>
      <c r="C162" s="88"/>
      <c r="D162" s="89"/>
      <c r="E162" s="89"/>
      <c r="F162" s="73"/>
      <c r="G162" s="73"/>
      <c r="H162" s="73"/>
      <c r="I162" s="73"/>
      <c r="J162" s="73"/>
      <c r="K162" s="73"/>
      <c r="L162" s="73"/>
      <c r="M162" s="74"/>
      <c r="N162" s="71" t="str">
        <f t="shared" si="2"/>
        <v/>
      </c>
      <c r="O162" s="72"/>
      <c r="P162" s="72"/>
      <c r="Q162" s="72"/>
      <c r="R162" s="72"/>
      <c r="S162" s="72"/>
      <c r="T162" s="72"/>
      <c r="U162" s="72"/>
      <c r="V162" s="72"/>
    </row>
    <row r="163" spans="1:25" ht="27.75" customHeight="1">
      <c r="A163" s="87" t="str">
        <f>IF(ISBLANK(C163)," ",158-COUNTBLANK($C$6:C163))</f>
        <v xml:space="preserve"> </v>
      </c>
      <c r="B163" s="88"/>
      <c r="C163" s="88"/>
      <c r="D163" s="89"/>
      <c r="E163" s="89"/>
      <c r="F163" s="73"/>
      <c r="G163" s="73"/>
      <c r="H163" s="73"/>
      <c r="I163" s="73"/>
      <c r="J163" s="73"/>
      <c r="K163" s="73"/>
      <c r="L163" s="73"/>
      <c r="M163" s="74"/>
      <c r="N163" s="71" t="str">
        <f t="shared" si="2"/>
        <v/>
      </c>
      <c r="O163" s="72"/>
      <c r="P163" s="72"/>
      <c r="Q163" s="72"/>
      <c r="R163" s="72"/>
      <c r="S163" s="72"/>
      <c r="T163" s="72"/>
      <c r="U163" s="72"/>
      <c r="V163" s="72"/>
    </row>
    <row r="164" spans="1:25" ht="27.75" customHeight="1">
      <c r="A164" s="87" t="str">
        <f>IF(ISBLANK(C164)," ",159-COUNTBLANK($C$6:C164))</f>
        <v xml:space="preserve"> </v>
      </c>
      <c r="B164" s="88"/>
      <c r="C164" s="88"/>
      <c r="D164" s="89"/>
      <c r="E164" s="89"/>
      <c r="F164" s="73"/>
      <c r="G164" s="73"/>
      <c r="H164" s="73"/>
      <c r="I164" s="73"/>
      <c r="J164" s="73"/>
      <c r="K164" s="73"/>
      <c r="L164" s="73"/>
      <c r="M164" s="74"/>
      <c r="N164" s="71" t="str">
        <f t="shared" si="2"/>
        <v/>
      </c>
      <c r="O164" s="72"/>
      <c r="P164" s="72"/>
      <c r="Q164" s="72"/>
      <c r="R164" s="72"/>
      <c r="S164" s="72"/>
      <c r="T164" s="72"/>
      <c r="U164" s="72"/>
      <c r="V164" s="72"/>
    </row>
    <row r="165" spans="1:25" ht="27.75" customHeight="1">
      <c r="A165" s="87" t="str">
        <f>IF(ISBLANK(C165)," ",160-COUNTBLANK($C$6:C165))</f>
        <v xml:space="preserve"> </v>
      </c>
      <c r="B165" s="88"/>
      <c r="C165" s="88"/>
      <c r="D165" s="89"/>
      <c r="E165" s="89"/>
      <c r="F165" s="73"/>
      <c r="G165" s="73"/>
      <c r="H165" s="73"/>
      <c r="I165" s="73"/>
      <c r="J165" s="73"/>
      <c r="K165" s="73"/>
      <c r="L165" s="73"/>
      <c r="M165" s="74"/>
      <c r="N165" s="71" t="str">
        <f t="shared" si="2"/>
        <v/>
      </c>
      <c r="O165" s="72"/>
      <c r="P165" s="72"/>
      <c r="Q165" s="72"/>
      <c r="R165" s="72"/>
      <c r="S165" s="72"/>
      <c r="T165" s="72"/>
      <c r="U165" s="72"/>
      <c r="V165" s="72"/>
    </row>
    <row r="166" spans="1:25" ht="27.75" customHeight="1">
      <c r="A166" s="87" t="str">
        <f>IF(ISBLANK(C166)," ",161-COUNTBLANK($C$6:C166))</f>
        <v xml:space="preserve"> </v>
      </c>
      <c r="B166" s="88"/>
      <c r="C166" s="88"/>
      <c r="D166" s="89"/>
      <c r="E166" s="89"/>
      <c r="F166" s="73"/>
      <c r="G166" s="73"/>
      <c r="H166" s="73"/>
      <c r="I166" s="73"/>
      <c r="J166" s="73"/>
      <c r="K166" s="73"/>
      <c r="L166" s="73"/>
      <c r="M166" s="74"/>
      <c r="N166" s="71" t="str">
        <f t="shared" si="2"/>
        <v/>
      </c>
      <c r="O166" s="72"/>
      <c r="P166" s="72"/>
      <c r="Q166" s="72"/>
      <c r="R166" s="72"/>
      <c r="S166" s="72"/>
      <c r="T166" s="72"/>
      <c r="U166" s="72"/>
      <c r="V166" s="72"/>
    </row>
    <row r="167" spans="1:25" ht="27.75" customHeight="1">
      <c r="A167" s="87" t="str">
        <f>IF(ISBLANK(C167)," ",162-COUNTBLANK($C$6:C167))</f>
        <v xml:space="preserve"> </v>
      </c>
      <c r="B167" s="88"/>
      <c r="C167" s="88"/>
      <c r="D167" s="89"/>
      <c r="E167" s="89"/>
      <c r="F167" s="73"/>
      <c r="G167" s="73"/>
      <c r="H167" s="73"/>
      <c r="I167" s="73"/>
      <c r="J167" s="73"/>
      <c r="K167" s="73"/>
      <c r="L167" s="73"/>
      <c r="M167" s="74"/>
      <c r="N167" s="71" t="str">
        <f t="shared" si="2"/>
        <v/>
      </c>
      <c r="O167" s="72"/>
      <c r="P167" s="72"/>
      <c r="Q167" s="72"/>
      <c r="R167" s="72"/>
      <c r="S167" s="72"/>
      <c r="T167" s="72"/>
      <c r="U167" s="72"/>
      <c r="V167" s="72"/>
    </row>
    <row r="168" spans="1:25" ht="27.75" customHeight="1">
      <c r="A168" s="87" t="str">
        <f>IF(ISBLANK(C168)," ",163-COUNTBLANK($C$6:C168))</f>
        <v xml:space="preserve"> </v>
      </c>
      <c r="B168" s="88"/>
      <c r="C168" s="88"/>
      <c r="D168" s="89"/>
      <c r="E168" s="89"/>
      <c r="F168" s="73"/>
      <c r="G168" s="73"/>
      <c r="H168" s="73"/>
      <c r="I168" s="73"/>
      <c r="J168" s="73"/>
      <c r="K168" s="73"/>
      <c r="L168" s="73"/>
      <c r="M168" s="74"/>
      <c r="N168" s="71" t="str">
        <f t="shared" si="2"/>
        <v/>
      </c>
      <c r="O168" s="75"/>
      <c r="P168" s="72"/>
      <c r="Q168" s="72"/>
      <c r="R168" s="72"/>
      <c r="S168" s="72"/>
      <c r="T168" s="72"/>
      <c r="U168" s="72"/>
      <c r="V168" s="76"/>
    </row>
    <row r="169" spans="1:25" ht="27.75" customHeight="1">
      <c r="A169" s="87" t="str">
        <f>IF(ISBLANK(C169)," ",164-COUNTBLANK($C$6:C169))</f>
        <v xml:space="preserve"> </v>
      </c>
      <c r="B169" s="88"/>
      <c r="C169" s="88"/>
      <c r="D169" s="89"/>
      <c r="E169" s="89"/>
      <c r="F169" s="73"/>
      <c r="G169" s="73"/>
      <c r="H169" s="73"/>
      <c r="I169" s="73"/>
      <c r="J169" s="73"/>
      <c r="K169" s="73"/>
      <c r="L169" s="73"/>
      <c r="M169" s="74"/>
      <c r="N169" s="71" t="str">
        <f t="shared" si="2"/>
        <v/>
      </c>
      <c r="O169" s="75"/>
      <c r="P169" s="72"/>
      <c r="Q169" s="72"/>
      <c r="R169" s="72"/>
      <c r="S169" s="72"/>
      <c r="T169" s="72"/>
      <c r="U169" s="72"/>
      <c r="V169" s="76"/>
    </row>
    <row r="170" spans="1:25" ht="27.75" customHeight="1">
      <c r="A170" s="87" t="str">
        <f>IF(ISBLANK(C170)," ",165-COUNTBLANK($C$6:C170))</f>
        <v xml:space="preserve"> </v>
      </c>
      <c r="B170" s="88"/>
      <c r="C170" s="88"/>
      <c r="D170" s="89"/>
      <c r="E170" s="89"/>
      <c r="F170" s="73"/>
      <c r="G170" s="73"/>
      <c r="H170" s="73"/>
      <c r="I170" s="73"/>
      <c r="J170" s="73"/>
      <c r="K170" s="73"/>
      <c r="L170" s="73"/>
      <c r="M170" s="74"/>
      <c r="N170" s="71" t="str">
        <f t="shared" si="2"/>
        <v/>
      </c>
      <c r="O170" s="75"/>
      <c r="P170" s="72"/>
      <c r="Q170" s="72"/>
      <c r="R170" s="72"/>
      <c r="S170" s="72"/>
      <c r="T170" s="72"/>
      <c r="U170" s="72"/>
      <c r="V170" s="76"/>
    </row>
    <row r="171" spans="1:25" ht="27.75" customHeight="1">
      <c r="A171" s="87" t="str">
        <f>IF(ISBLANK(C171)," ",166-COUNTBLANK($C$6:C171))</f>
        <v xml:space="preserve"> </v>
      </c>
      <c r="B171" s="88"/>
      <c r="C171" s="88"/>
      <c r="D171" s="89"/>
      <c r="E171" s="89"/>
      <c r="F171" s="73"/>
      <c r="G171" s="73"/>
      <c r="H171" s="73"/>
      <c r="I171" s="73"/>
      <c r="J171" s="73"/>
      <c r="K171" s="73"/>
      <c r="L171" s="73"/>
      <c r="M171" s="74"/>
      <c r="N171" s="71" t="str">
        <f t="shared" si="2"/>
        <v/>
      </c>
      <c r="O171" s="75"/>
      <c r="P171" s="72"/>
      <c r="Q171" s="72"/>
      <c r="R171" s="72"/>
      <c r="S171" s="72"/>
      <c r="T171" s="72"/>
      <c r="U171" s="72"/>
      <c r="V171" s="76"/>
    </row>
    <row r="172" spans="1:25" ht="27.75" customHeight="1">
      <c r="A172" s="87" t="str">
        <f>IF(ISBLANK(C172)," ",167-COUNTBLANK($C$6:C172))</f>
        <v xml:space="preserve"> </v>
      </c>
      <c r="B172" s="88"/>
      <c r="C172" s="88"/>
      <c r="D172" s="89"/>
      <c r="E172" s="89"/>
      <c r="F172" s="73"/>
      <c r="G172" s="73"/>
      <c r="H172" s="73"/>
      <c r="I172" s="73"/>
      <c r="J172" s="73"/>
      <c r="K172" s="73"/>
      <c r="L172" s="73"/>
      <c r="M172" s="74"/>
      <c r="N172" s="71" t="str">
        <f t="shared" si="2"/>
        <v/>
      </c>
      <c r="O172" s="72"/>
      <c r="P172" s="72"/>
      <c r="Q172" s="72"/>
      <c r="R172" s="72"/>
      <c r="S172" s="72"/>
      <c r="T172" s="72"/>
      <c r="U172" s="72"/>
      <c r="V172" s="79"/>
      <c r="W172" s="72"/>
      <c r="X172" s="72"/>
      <c r="Y172" s="72"/>
    </row>
    <row r="173" spans="1:25" ht="27.75" customHeight="1">
      <c r="A173" s="80" t="s">
        <v>58</v>
      </c>
      <c r="B173" s="81"/>
      <c r="C173" s="96"/>
      <c r="D173" s="82"/>
      <c r="E173" s="82">
        <f>SUM(E153:E172)</f>
        <v>0</v>
      </c>
      <c r="F173" s="83"/>
      <c r="G173" s="83"/>
      <c r="H173" s="83"/>
      <c r="I173" s="83"/>
      <c r="J173" s="83"/>
      <c r="K173" s="83"/>
      <c r="L173" s="83"/>
      <c r="M173" s="84"/>
      <c r="N173" s="71" t="str">
        <f t="shared" si="2"/>
        <v/>
      </c>
      <c r="O173" s="75"/>
      <c r="P173" s="72"/>
      <c r="Q173" s="72"/>
      <c r="R173" s="72"/>
      <c r="S173" s="72"/>
      <c r="T173" s="72"/>
      <c r="U173" s="72"/>
      <c r="V173" s="79"/>
      <c r="W173" s="72"/>
      <c r="X173" s="72"/>
      <c r="Y173" s="72"/>
    </row>
    <row r="174" spans="1:25" ht="27.75" customHeight="1">
      <c r="A174" s="93" t="str">
        <f>IF(ISBLANK(C174)," ",169-COUNTBLANK($C$6:C174))</f>
        <v xml:space="preserve"> </v>
      </c>
      <c r="B174" s="94"/>
      <c r="C174" s="94"/>
      <c r="D174" s="95"/>
      <c r="E174" s="95"/>
      <c r="F174" s="85"/>
      <c r="G174" s="85"/>
      <c r="H174" s="85"/>
      <c r="I174" s="85"/>
      <c r="J174" s="85"/>
      <c r="K174" s="85"/>
      <c r="L174" s="85"/>
      <c r="M174" s="86"/>
      <c r="N174" s="71" t="str">
        <f t="shared" si="2"/>
        <v/>
      </c>
      <c r="O174" s="72"/>
      <c r="P174" s="72"/>
      <c r="Q174" s="72"/>
      <c r="R174" s="72"/>
      <c r="S174" s="72"/>
      <c r="T174" s="72"/>
      <c r="U174" s="72"/>
      <c r="V174" s="72"/>
    </row>
    <row r="175" spans="1:25" ht="27.75" customHeight="1">
      <c r="A175" s="87" t="str">
        <f>IF(ISBLANK(C175)," ",170-COUNTBLANK($C$6:C175))</f>
        <v xml:space="preserve"> </v>
      </c>
      <c r="B175" s="88"/>
      <c r="C175" s="88"/>
      <c r="D175" s="89"/>
      <c r="E175" s="89"/>
      <c r="F175" s="73"/>
      <c r="G175" s="73"/>
      <c r="H175" s="73"/>
      <c r="I175" s="73"/>
      <c r="J175" s="73"/>
      <c r="K175" s="73"/>
      <c r="L175" s="73"/>
      <c r="M175" s="74"/>
      <c r="N175" s="71" t="str">
        <f t="shared" si="2"/>
        <v/>
      </c>
      <c r="O175" s="72"/>
      <c r="P175" s="72"/>
      <c r="Q175" s="72"/>
      <c r="R175" s="72"/>
      <c r="S175" s="72"/>
      <c r="T175" s="72"/>
      <c r="U175" s="72"/>
      <c r="V175" s="72"/>
    </row>
    <row r="176" spans="1:25" ht="27.75" customHeight="1">
      <c r="A176" s="87" t="str">
        <f>IF(ISBLANK(C176)," ",171-COUNTBLANK($C$6:C176))</f>
        <v xml:space="preserve"> </v>
      </c>
      <c r="B176" s="88"/>
      <c r="C176" s="88"/>
      <c r="D176" s="89"/>
      <c r="E176" s="89"/>
      <c r="F176" s="73"/>
      <c r="G176" s="73"/>
      <c r="H176" s="73"/>
      <c r="I176" s="73"/>
      <c r="J176" s="73"/>
      <c r="K176" s="73"/>
      <c r="L176" s="73"/>
      <c r="M176" s="74"/>
      <c r="N176" s="71" t="str">
        <f t="shared" si="2"/>
        <v/>
      </c>
      <c r="O176" s="72"/>
      <c r="P176" s="72"/>
      <c r="Q176" s="72"/>
      <c r="R176" s="72"/>
      <c r="S176" s="72"/>
      <c r="T176" s="72"/>
      <c r="U176" s="72"/>
      <c r="V176" s="72"/>
    </row>
    <row r="177" spans="1:22" ht="27.75" customHeight="1">
      <c r="A177" s="87" t="str">
        <f>IF(ISBLANK(C177)," ",172-COUNTBLANK($C$6:C177))</f>
        <v xml:space="preserve"> </v>
      </c>
      <c r="B177" s="88"/>
      <c r="C177" s="88"/>
      <c r="D177" s="89"/>
      <c r="E177" s="89"/>
      <c r="F177" s="73"/>
      <c r="G177" s="73"/>
      <c r="H177" s="73"/>
      <c r="I177" s="73"/>
      <c r="J177" s="73"/>
      <c r="K177" s="73"/>
      <c r="L177" s="73"/>
      <c r="M177" s="74"/>
      <c r="N177" s="71" t="str">
        <f t="shared" si="2"/>
        <v/>
      </c>
      <c r="O177" s="72"/>
      <c r="P177" s="72"/>
      <c r="Q177" s="72"/>
      <c r="R177" s="72"/>
      <c r="S177" s="72"/>
      <c r="T177" s="72"/>
      <c r="U177" s="72"/>
      <c r="V177" s="72"/>
    </row>
    <row r="178" spans="1:22" ht="27.75" customHeight="1">
      <c r="A178" s="87" t="str">
        <f>IF(ISBLANK(C178)," ",173-COUNTBLANK($C$6:C178))</f>
        <v xml:space="preserve"> </v>
      </c>
      <c r="B178" s="88"/>
      <c r="C178" s="88"/>
      <c r="D178" s="89"/>
      <c r="E178" s="89"/>
      <c r="F178" s="73"/>
      <c r="G178" s="73"/>
      <c r="H178" s="73"/>
      <c r="I178" s="73"/>
      <c r="J178" s="73"/>
      <c r="K178" s="73"/>
      <c r="L178" s="73"/>
      <c r="M178" s="74"/>
      <c r="N178" s="71" t="str">
        <f t="shared" si="2"/>
        <v/>
      </c>
      <c r="O178" s="72"/>
      <c r="P178" s="72"/>
      <c r="Q178" s="72"/>
      <c r="R178" s="72"/>
      <c r="S178" s="72"/>
      <c r="T178" s="72"/>
      <c r="U178" s="72"/>
      <c r="V178" s="72"/>
    </row>
    <row r="179" spans="1:22" ht="27.75" customHeight="1">
      <c r="A179" s="87" t="str">
        <f>IF(ISBLANK(C179)," ",174-COUNTBLANK($C$6:C179))</f>
        <v xml:space="preserve"> </v>
      </c>
      <c r="B179" s="88"/>
      <c r="C179" s="88"/>
      <c r="D179" s="89"/>
      <c r="E179" s="89"/>
      <c r="F179" s="73"/>
      <c r="G179" s="73"/>
      <c r="H179" s="73"/>
      <c r="I179" s="73"/>
      <c r="J179" s="73"/>
      <c r="K179" s="73"/>
      <c r="L179" s="73"/>
      <c r="M179" s="74"/>
      <c r="N179" s="71" t="str">
        <f t="shared" si="2"/>
        <v/>
      </c>
      <c r="O179" s="72"/>
      <c r="P179" s="72"/>
      <c r="Q179" s="72"/>
      <c r="R179" s="72"/>
      <c r="S179" s="72"/>
      <c r="T179" s="72"/>
      <c r="U179" s="72"/>
      <c r="V179" s="72"/>
    </row>
    <row r="180" spans="1:22" ht="27.75" customHeight="1">
      <c r="A180" s="87" t="str">
        <f>IF(ISBLANK(C180)," ",175-COUNTBLANK($C$6:C180))</f>
        <v xml:space="preserve"> </v>
      </c>
      <c r="B180" s="88"/>
      <c r="C180" s="88"/>
      <c r="D180" s="89"/>
      <c r="E180" s="89"/>
      <c r="F180" s="73"/>
      <c r="G180" s="73"/>
      <c r="H180" s="73"/>
      <c r="I180" s="73"/>
      <c r="J180" s="73"/>
      <c r="K180" s="73"/>
      <c r="L180" s="73"/>
      <c r="M180" s="74"/>
      <c r="N180" s="71" t="str">
        <f t="shared" si="2"/>
        <v/>
      </c>
      <c r="O180" s="72"/>
      <c r="P180" s="72"/>
      <c r="Q180" s="72"/>
      <c r="R180" s="72"/>
      <c r="S180" s="72"/>
      <c r="T180" s="72"/>
      <c r="U180" s="72"/>
      <c r="V180" s="72"/>
    </row>
    <row r="181" spans="1:22" ht="27.75" customHeight="1">
      <c r="A181" s="87" t="str">
        <f>IF(ISBLANK(C181)," ",176-COUNTBLANK($C$6:C181))</f>
        <v xml:space="preserve"> </v>
      </c>
      <c r="B181" s="88"/>
      <c r="C181" s="88"/>
      <c r="D181" s="89"/>
      <c r="E181" s="89"/>
      <c r="F181" s="73"/>
      <c r="G181" s="73"/>
      <c r="H181" s="73"/>
      <c r="I181" s="73"/>
      <c r="J181" s="73"/>
      <c r="K181" s="73"/>
      <c r="L181" s="73"/>
      <c r="M181" s="74"/>
      <c r="N181" s="71" t="str">
        <f t="shared" si="2"/>
        <v/>
      </c>
      <c r="O181" s="72"/>
      <c r="P181" s="72"/>
      <c r="Q181" s="72"/>
      <c r="R181" s="72"/>
      <c r="S181" s="72"/>
      <c r="T181" s="72"/>
      <c r="U181" s="72"/>
      <c r="V181" s="72"/>
    </row>
    <row r="182" spans="1:22" ht="27.75" customHeight="1">
      <c r="A182" s="87" t="str">
        <f>IF(ISBLANK(C182)," ",177-COUNTBLANK($C$6:C182))</f>
        <v xml:space="preserve"> </v>
      </c>
      <c r="B182" s="88"/>
      <c r="C182" s="88"/>
      <c r="D182" s="89"/>
      <c r="E182" s="89"/>
      <c r="F182" s="73"/>
      <c r="G182" s="73"/>
      <c r="H182" s="73"/>
      <c r="I182" s="73"/>
      <c r="J182" s="73"/>
      <c r="K182" s="73"/>
      <c r="L182" s="73"/>
      <c r="M182" s="74"/>
      <c r="N182" s="71" t="str">
        <f t="shared" si="2"/>
        <v/>
      </c>
      <c r="O182" s="72"/>
      <c r="P182" s="72"/>
      <c r="Q182" s="72"/>
      <c r="R182" s="72"/>
      <c r="S182" s="72"/>
      <c r="T182" s="72"/>
      <c r="U182" s="72"/>
      <c r="V182" s="72"/>
    </row>
    <row r="183" spans="1:22" ht="27.75" customHeight="1">
      <c r="A183" s="87" t="str">
        <f>IF(ISBLANK(C183)," ",178-COUNTBLANK($C$6:C183))</f>
        <v xml:space="preserve"> </v>
      </c>
      <c r="B183" s="88"/>
      <c r="C183" s="88"/>
      <c r="D183" s="89"/>
      <c r="E183" s="89"/>
      <c r="F183" s="73"/>
      <c r="G183" s="73"/>
      <c r="H183" s="73"/>
      <c r="I183" s="73"/>
      <c r="J183" s="73"/>
      <c r="K183" s="73"/>
      <c r="L183" s="73"/>
      <c r="M183" s="74"/>
      <c r="N183" s="71" t="str">
        <f t="shared" si="2"/>
        <v/>
      </c>
      <c r="O183" s="72"/>
      <c r="P183" s="72"/>
      <c r="Q183" s="72"/>
      <c r="R183" s="72"/>
      <c r="S183" s="72"/>
      <c r="T183" s="72"/>
      <c r="U183" s="72"/>
      <c r="V183" s="72"/>
    </row>
    <row r="184" spans="1:22" ht="27.75" customHeight="1">
      <c r="A184" s="87" t="str">
        <f>IF(ISBLANK(C184)," ",179-COUNTBLANK($C$6:C184))</f>
        <v xml:space="preserve"> </v>
      </c>
      <c r="B184" s="88"/>
      <c r="C184" s="88"/>
      <c r="D184" s="89"/>
      <c r="E184" s="89"/>
      <c r="F184" s="73"/>
      <c r="G184" s="73"/>
      <c r="H184" s="73"/>
      <c r="I184" s="73"/>
      <c r="J184" s="73"/>
      <c r="K184" s="73"/>
      <c r="L184" s="73"/>
      <c r="M184" s="74"/>
      <c r="N184" s="71" t="str">
        <f t="shared" si="2"/>
        <v/>
      </c>
      <c r="O184" s="72"/>
      <c r="P184" s="72"/>
      <c r="Q184" s="72"/>
      <c r="R184" s="72"/>
      <c r="S184" s="72"/>
      <c r="T184" s="72"/>
      <c r="U184" s="72"/>
      <c r="V184" s="72"/>
    </row>
    <row r="185" spans="1:22" ht="27.75" customHeight="1">
      <c r="A185" s="87" t="str">
        <f>IF(ISBLANK(C185)," ",180-COUNTBLANK($C$6:C185))</f>
        <v xml:space="preserve"> </v>
      </c>
      <c r="B185" s="88"/>
      <c r="C185" s="88"/>
      <c r="D185" s="89"/>
      <c r="E185" s="89"/>
      <c r="F185" s="73"/>
      <c r="G185" s="73"/>
      <c r="H185" s="73"/>
      <c r="I185" s="73"/>
      <c r="J185" s="73"/>
      <c r="K185" s="73"/>
      <c r="L185" s="73"/>
      <c r="M185" s="74"/>
      <c r="N185" s="71" t="str">
        <f t="shared" si="2"/>
        <v/>
      </c>
      <c r="O185" s="72"/>
      <c r="P185" s="72"/>
      <c r="Q185" s="72"/>
      <c r="R185" s="72"/>
      <c r="S185" s="72"/>
      <c r="T185" s="72"/>
      <c r="U185" s="72"/>
      <c r="V185" s="72"/>
    </row>
    <row r="186" spans="1:22" ht="27.75" customHeight="1">
      <c r="A186" s="87" t="str">
        <f>IF(ISBLANK(C186)," ",181-COUNTBLANK($C$6:C186))</f>
        <v xml:space="preserve"> </v>
      </c>
      <c r="B186" s="88"/>
      <c r="C186" s="88"/>
      <c r="D186" s="89"/>
      <c r="E186" s="89"/>
      <c r="F186" s="73"/>
      <c r="G186" s="73"/>
      <c r="H186" s="73"/>
      <c r="I186" s="73"/>
      <c r="J186" s="73"/>
      <c r="K186" s="73"/>
      <c r="L186" s="73"/>
      <c r="M186" s="74"/>
      <c r="N186" s="71" t="str">
        <f t="shared" si="2"/>
        <v/>
      </c>
      <c r="O186" s="72"/>
      <c r="P186" s="72"/>
      <c r="Q186" s="72"/>
      <c r="R186" s="72"/>
      <c r="S186" s="72"/>
      <c r="T186" s="72"/>
      <c r="U186" s="72"/>
      <c r="V186" s="72"/>
    </row>
    <row r="187" spans="1:22" ht="27.75" customHeight="1">
      <c r="A187" s="87" t="str">
        <f>IF(ISBLANK(C187)," ",182-COUNTBLANK($C$6:C187))</f>
        <v xml:space="preserve"> </v>
      </c>
      <c r="B187" s="88"/>
      <c r="C187" s="88"/>
      <c r="D187" s="89"/>
      <c r="E187" s="89"/>
      <c r="F187" s="73"/>
      <c r="G187" s="73"/>
      <c r="H187" s="73"/>
      <c r="I187" s="73"/>
      <c r="J187" s="73"/>
      <c r="K187" s="73"/>
      <c r="L187" s="73"/>
      <c r="M187" s="74"/>
      <c r="N187" s="71" t="str">
        <f t="shared" si="2"/>
        <v/>
      </c>
      <c r="O187" s="72"/>
      <c r="P187" s="72"/>
      <c r="Q187" s="72"/>
      <c r="R187" s="72"/>
      <c r="S187" s="72"/>
      <c r="T187" s="72"/>
      <c r="U187" s="72"/>
      <c r="V187" s="72"/>
    </row>
    <row r="188" spans="1:22" ht="27.75" customHeight="1">
      <c r="A188" s="87" t="str">
        <f>IF(ISBLANK(C188)," ",183-COUNTBLANK($C$6:C188))</f>
        <v xml:space="preserve"> </v>
      </c>
      <c r="B188" s="88"/>
      <c r="C188" s="88"/>
      <c r="D188" s="89"/>
      <c r="E188" s="89"/>
      <c r="F188" s="73"/>
      <c r="G188" s="73"/>
      <c r="H188" s="73"/>
      <c r="I188" s="73"/>
      <c r="J188" s="73"/>
      <c r="K188" s="73"/>
      <c r="L188" s="73"/>
      <c r="M188" s="74"/>
      <c r="N188" s="71" t="str">
        <f t="shared" si="2"/>
        <v/>
      </c>
      <c r="O188" s="72"/>
      <c r="P188" s="72"/>
      <c r="Q188" s="72"/>
      <c r="R188" s="72"/>
      <c r="S188" s="72"/>
      <c r="T188" s="72"/>
      <c r="U188" s="72"/>
      <c r="V188" s="72"/>
    </row>
    <row r="189" spans="1:22" ht="27.75" customHeight="1">
      <c r="A189" s="87" t="str">
        <f>IF(ISBLANK(C189)," ",184-COUNTBLANK($C$6:C189))</f>
        <v xml:space="preserve"> </v>
      </c>
      <c r="B189" s="88"/>
      <c r="C189" s="88"/>
      <c r="D189" s="89"/>
      <c r="E189" s="89"/>
      <c r="F189" s="73"/>
      <c r="G189" s="73"/>
      <c r="H189" s="73"/>
      <c r="I189" s="73"/>
      <c r="J189" s="73"/>
      <c r="K189" s="73"/>
      <c r="L189" s="73"/>
      <c r="M189" s="74"/>
      <c r="N189" s="71" t="str">
        <f t="shared" si="2"/>
        <v/>
      </c>
      <c r="O189" s="75"/>
      <c r="P189" s="72"/>
      <c r="Q189" s="72"/>
      <c r="R189" s="72"/>
      <c r="S189" s="72"/>
      <c r="T189" s="72"/>
      <c r="U189" s="72"/>
      <c r="V189" s="76"/>
    </row>
    <row r="190" spans="1:22" ht="27.75" customHeight="1">
      <c r="A190" s="87" t="str">
        <f>IF(ISBLANK(C190)," ",185-COUNTBLANK($C$6:C190))</f>
        <v xml:space="preserve"> </v>
      </c>
      <c r="B190" s="88"/>
      <c r="C190" s="88"/>
      <c r="D190" s="89"/>
      <c r="E190" s="89"/>
      <c r="F190" s="73"/>
      <c r="G190" s="73"/>
      <c r="H190" s="73"/>
      <c r="I190" s="73"/>
      <c r="J190" s="73"/>
      <c r="K190" s="73"/>
      <c r="L190" s="73"/>
      <c r="M190" s="74"/>
      <c r="N190" s="71" t="str">
        <f t="shared" si="2"/>
        <v/>
      </c>
      <c r="O190" s="75"/>
      <c r="P190" s="72"/>
      <c r="Q190" s="72"/>
      <c r="R190" s="72"/>
      <c r="S190" s="72"/>
      <c r="T190" s="72"/>
      <c r="U190" s="72"/>
      <c r="V190" s="76"/>
    </row>
    <row r="191" spans="1:22" ht="27.75" customHeight="1">
      <c r="A191" s="87" t="str">
        <f>IF(ISBLANK(C191)," ",186-COUNTBLANK($C$6:C191))</f>
        <v xml:space="preserve"> </v>
      </c>
      <c r="B191" s="88"/>
      <c r="C191" s="88"/>
      <c r="D191" s="89"/>
      <c r="E191" s="89"/>
      <c r="F191" s="73"/>
      <c r="G191" s="73"/>
      <c r="H191" s="73"/>
      <c r="I191" s="73"/>
      <c r="J191" s="73"/>
      <c r="K191" s="73"/>
      <c r="L191" s="73"/>
      <c r="M191" s="74"/>
      <c r="N191" s="71" t="str">
        <f t="shared" si="2"/>
        <v/>
      </c>
      <c r="O191" s="75"/>
      <c r="P191" s="72"/>
      <c r="Q191" s="72"/>
      <c r="R191" s="72"/>
      <c r="S191" s="72"/>
      <c r="T191" s="72"/>
      <c r="U191" s="72"/>
      <c r="V191" s="76"/>
    </row>
    <row r="192" spans="1:22" ht="27.75" customHeight="1">
      <c r="A192" s="87" t="str">
        <f>IF(ISBLANK(C192)," ",187-COUNTBLANK($C$6:C192))</f>
        <v xml:space="preserve"> </v>
      </c>
      <c r="B192" s="88"/>
      <c r="C192" s="88"/>
      <c r="D192" s="89"/>
      <c r="E192" s="89"/>
      <c r="F192" s="73"/>
      <c r="G192" s="73"/>
      <c r="H192" s="73"/>
      <c r="I192" s="73"/>
      <c r="J192" s="73"/>
      <c r="K192" s="73"/>
      <c r="L192" s="73"/>
      <c r="M192" s="74"/>
      <c r="N192" s="71" t="str">
        <f t="shared" si="2"/>
        <v/>
      </c>
      <c r="O192" s="75"/>
      <c r="P192" s="72"/>
      <c r="Q192" s="72"/>
      <c r="R192" s="72"/>
      <c r="S192" s="72"/>
      <c r="T192" s="72"/>
      <c r="U192" s="72"/>
      <c r="V192" s="76"/>
    </row>
    <row r="193" spans="1:25" ht="27.75" customHeight="1">
      <c r="A193" s="87" t="str">
        <f>IF(ISBLANK(C193)," ",188-COUNTBLANK($C$6:C193))</f>
        <v xml:space="preserve"> </v>
      </c>
      <c r="B193" s="88"/>
      <c r="C193" s="88"/>
      <c r="D193" s="89"/>
      <c r="E193" s="89"/>
      <c r="F193" s="73"/>
      <c r="G193" s="73"/>
      <c r="H193" s="73"/>
      <c r="I193" s="73"/>
      <c r="J193" s="73"/>
      <c r="K193" s="73"/>
      <c r="L193" s="73"/>
      <c r="M193" s="74"/>
      <c r="N193" s="71" t="str">
        <f t="shared" si="2"/>
        <v/>
      </c>
      <c r="O193" s="72"/>
      <c r="P193" s="72"/>
      <c r="Q193" s="72"/>
      <c r="R193" s="72"/>
      <c r="S193" s="72"/>
      <c r="T193" s="72"/>
      <c r="U193" s="72"/>
      <c r="V193" s="79"/>
      <c r="W193" s="72"/>
      <c r="X193" s="72"/>
      <c r="Y193" s="72"/>
    </row>
    <row r="194" spans="1:25" ht="27.75" customHeight="1">
      <c r="A194" s="80" t="s">
        <v>58</v>
      </c>
      <c r="B194" s="81"/>
      <c r="C194" s="96"/>
      <c r="D194" s="82"/>
      <c r="E194" s="82">
        <f>SUM(E174:E193)</f>
        <v>0</v>
      </c>
      <c r="F194" s="83"/>
      <c r="G194" s="83"/>
      <c r="H194" s="83"/>
      <c r="I194" s="83"/>
      <c r="J194" s="83"/>
      <c r="K194" s="83"/>
      <c r="L194" s="83"/>
      <c r="M194" s="84"/>
      <c r="N194" s="71" t="str">
        <f t="shared" si="2"/>
        <v/>
      </c>
      <c r="O194" s="75"/>
      <c r="P194" s="72"/>
      <c r="Q194" s="72"/>
      <c r="R194" s="72"/>
      <c r="S194" s="72"/>
      <c r="T194" s="72"/>
      <c r="U194" s="72"/>
      <c r="V194" s="79"/>
      <c r="W194" s="72"/>
      <c r="X194" s="72"/>
      <c r="Y194" s="72"/>
    </row>
    <row r="195" spans="1:25" ht="27.75" customHeight="1">
      <c r="A195" s="93" t="str">
        <f>IF(ISBLANK(C195)," ",190-COUNTBLANK($C$6:C195))</f>
        <v xml:space="preserve"> </v>
      </c>
      <c r="B195" s="94"/>
      <c r="C195" s="94"/>
      <c r="D195" s="95"/>
      <c r="E195" s="95"/>
      <c r="F195" s="85"/>
      <c r="G195" s="85"/>
      <c r="H195" s="85"/>
      <c r="I195" s="85"/>
      <c r="J195" s="85"/>
      <c r="K195" s="85"/>
      <c r="L195" s="85"/>
      <c r="M195" s="86"/>
      <c r="N195" s="71" t="str">
        <f t="shared" si="2"/>
        <v/>
      </c>
      <c r="O195" s="72"/>
      <c r="P195" s="72"/>
      <c r="Q195" s="72"/>
      <c r="R195" s="72"/>
      <c r="S195" s="72"/>
      <c r="T195" s="72"/>
      <c r="U195" s="72"/>
      <c r="V195" s="72"/>
    </row>
    <row r="196" spans="1:25" ht="27.75" customHeight="1">
      <c r="A196" s="87" t="str">
        <f>IF(ISBLANK(C196)," ",191-COUNTBLANK($C$6:C196))</f>
        <v xml:space="preserve"> </v>
      </c>
      <c r="B196" s="88"/>
      <c r="C196" s="88"/>
      <c r="D196" s="89"/>
      <c r="E196" s="89"/>
      <c r="F196" s="73"/>
      <c r="G196" s="73"/>
      <c r="H196" s="73"/>
      <c r="I196" s="73"/>
      <c r="J196" s="73"/>
      <c r="K196" s="73"/>
      <c r="L196" s="73"/>
      <c r="M196" s="74"/>
      <c r="N196" s="71" t="str">
        <f t="shared" si="2"/>
        <v/>
      </c>
      <c r="O196" s="72"/>
      <c r="P196" s="72"/>
      <c r="Q196" s="72"/>
      <c r="R196" s="72"/>
      <c r="S196" s="72"/>
      <c r="T196" s="72"/>
      <c r="U196" s="72"/>
      <c r="V196" s="72"/>
    </row>
    <row r="197" spans="1:25" ht="27.75" customHeight="1">
      <c r="A197" s="87" t="str">
        <f>IF(ISBLANK(C197)," ",192-COUNTBLANK($C$6:C197))</f>
        <v xml:space="preserve"> </v>
      </c>
      <c r="B197" s="88"/>
      <c r="C197" s="88"/>
      <c r="D197" s="89"/>
      <c r="E197" s="89"/>
      <c r="F197" s="73"/>
      <c r="G197" s="73"/>
      <c r="H197" s="73"/>
      <c r="I197" s="73"/>
      <c r="J197" s="73"/>
      <c r="K197" s="73"/>
      <c r="L197" s="73"/>
      <c r="M197" s="74"/>
      <c r="N197" s="71" t="str">
        <f t="shared" si="2"/>
        <v/>
      </c>
      <c r="O197" s="72"/>
      <c r="P197" s="72"/>
      <c r="Q197" s="72"/>
      <c r="R197" s="72"/>
      <c r="S197" s="72"/>
      <c r="T197" s="72"/>
      <c r="U197" s="72"/>
      <c r="V197" s="72"/>
    </row>
    <row r="198" spans="1:25" ht="27.75" customHeight="1">
      <c r="A198" s="87" t="str">
        <f>IF(ISBLANK(C198)," ",193-COUNTBLANK($C$6:C198))</f>
        <v xml:space="preserve"> </v>
      </c>
      <c r="B198" s="88"/>
      <c r="C198" s="88"/>
      <c r="D198" s="89"/>
      <c r="E198" s="89"/>
      <c r="F198" s="73"/>
      <c r="G198" s="73"/>
      <c r="H198" s="73"/>
      <c r="I198" s="73"/>
      <c r="J198" s="73"/>
      <c r="K198" s="73"/>
      <c r="L198" s="73"/>
      <c r="M198" s="74"/>
      <c r="N198" s="71" t="str">
        <f t="shared" ref="N198:N261" si="3">CONCATENATE(C198,H198)</f>
        <v/>
      </c>
      <c r="O198" s="72"/>
      <c r="P198" s="72"/>
      <c r="Q198" s="72"/>
      <c r="R198" s="72"/>
      <c r="S198" s="72"/>
      <c r="T198" s="72"/>
      <c r="U198" s="72"/>
      <c r="V198" s="72"/>
    </row>
    <row r="199" spans="1:25" ht="27.75" customHeight="1">
      <c r="A199" s="87" t="str">
        <f>IF(ISBLANK(C199)," ",194-COUNTBLANK($C$6:C199))</f>
        <v xml:space="preserve"> </v>
      </c>
      <c r="B199" s="88"/>
      <c r="C199" s="88"/>
      <c r="D199" s="89"/>
      <c r="E199" s="89"/>
      <c r="F199" s="73"/>
      <c r="G199" s="73"/>
      <c r="H199" s="73"/>
      <c r="I199" s="73"/>
      <c r="J199" s="73"/>
      <c r="K199" s="73"/>
      <c r="L199" s="73"/>
      <c r="M199" s="74"/>
      <c r="N199" s="71" t="str">
        <f t="shared" si="3"/>
        <v/>
      </c>
      <c r="O199" s="72"/>
      <c r="P199" s="72"/>
      <c r="Q199" s="72"/>
      <c r="R199" s="72"/>
      <c r="S199" s="72"/>
      <c r="T199" s="72"/>
      <c r="U199" s="72"/>
      <c r="V199" s="72"/>
    </row>
    <row r="200" spans="1:25" ht="27.75" customHeight="1">
      <c r="A200" s="87" t="str">
        <f>IF(ISBLANK(C200)," ",195-COUNTBLANK($C$6:C200))</f>
        <v xml:space="preserve"> </v>
      </c>
      <c r="B200" s="88"/>
      <c r="C200" s="88"/>
      <c r="D200" s="89"/>
      <c r="E200" s="89"/>
      <c r="F200" s="73"/>
      <c r="G200" s="73"/>
      <c r="H200" s="73"/>
      <c r="I200" s="73"/>
      <c r="J200" s="73"/>
      <c r="K200" s="73"/>
      <c r="L200" s="73"/>
      <c r="M200" s="74"/>
      <c r="N200" s="71" t="str">
        <f t="shared" si="3"/>
        <v/>
      </c>
      <c r="O200" s="72"/>
      <c r="P200" s="72"/>
      <c r="Q200" s="72"/>
      <c r="R200" s="72"/>
      <c r="S200" s="72"/>
      <c r="T200" s="72"/>
      <c r="U200" s="72"/>
      <c r="V200" s="72"/>
    </row>
    <row r="201" spans="1:25" ht="27.75" customHeight="1">
      <c r="A201" s="87" t="str">
        <f>IF(ISBLANK(C201)," ",196-COUNTBLANK($C$6:C201))</f>
        <v xml:space="preserve"> </v>
      </c>
      <c r="B201" s="88"/>
      <c r="C201" s="88"/>
      <c r="D201" s="89"/>
      <c r="E201" s="89"/>
      <c r="F201" s="73"/>
      <c r="G201" s="73"/>
      <c r="H201" s="73"/>
      <c r="I201" s="73"/>
      <c r="J201" s="73"/>
      <c r="K201" s="73"/>
      <c r="L201" s="73"/>
      <c r="M201" s="74"/>
      <c r="N201" s="71" t="str">
        <f t="shared" si="3"/>
        <v/>
      </c>
      <c r="O201" s="72"/>
      <c r="P201" s="72"/>
      <c r="Q201" s="72"/>
      <c r="R201" s="72"/>
      <c r="S201" s="72"/>
      <c r="T201" s="72"/>
      <c r="U201" s="72"/>
      <c r="V201" s="72"/>
    </row>
    <row r="202" spans="1:25" ht="27.75" customHeight="1">
      <c r="A202" s="87" t="str">
        <f>IF(ISBLANK(C202)," ",197-COUNTBLANK($C$6:C202))</f>
        <v xml:space="preserve"> </v>
      </c>
      <c r="B202" s="88"/>
      <c r="C202" s="88"/>
      <c r="D202" s="89"/>
      <c r="E202" s="89"/>
      <c r="F202" s="73"/>
      <c r="G202" s="73"/>
      <c r="H202" s="73"/>
      <c r="I202" s="73"/>
      <c r="J202" s="73"/>
      <c r="K202" s="73"/>
      <c r="L202" s="73"/>
      <c r="M202" s="74"/>
      <c r="N202" s="71" t="str">
        <f t="shared" si="3"/>
        <v/>
      </c>
      <c r="O202" s="72"/>
      <c r="P202" s="72"/>
      <c r="Q202" s="72"/>
      <c r="R202" s="72"/>
      <c r="S202" s="72"/>
      <c r="T202" s="72"/>
      <c r="U202" s="72"/>
      <c r="V202" s="72"/>
    </row>
    <row r="203" spans="1:25" ht="27.75" customHeight="1">
      <c r="A203" s="87" t="str">
        <f>IF(ISBLANK(C203)," ",198-COUNTBLANK($C$6:C203))</f>
        <v xml:space="preserve"> </v>
      </c>
      <c r="B203" s="88"/>
      <c r="C203" s="88"/>
      <c r="D203" s="89"/>
      <c r="E203" s="89"/>
      <c r="F203" s="73"/>
      <c r="G203" s="73"/>
      <c r="H203" s="73"/>
      <c r="I203" s="73"/>
      <c r="J203" s="73"/>
      <c r="K203" s="73"/>
      <c r="L203" s="73"/>
      <c r="M203" s="74"/>
      <c r="N203" s="71" t="str">
        <f t="shared" si="3"/>
        <v/>
      </c>
      <c r="O203" s="72"/>
      <c r="P203" s="72"/>
      <c r="Q203" s="72"/>
      <c r="R203" s="72"/>
      <c r="S203" s="72"/>
      <c r="T203" s="72"/>
      <c r="U203" s="72"/>
      <c r="V203" s="72"/>
    </row>
    <row r="204" spans="1:25" ht="27.75" customHeight="1">
      <c r="A204" s="87" t="str">
        <f>IF(ISBLANK(C204)," ",199-COUNTBLANK($C$6:C204))</f>
        <v xml:space="preserve"> </v>
      </c>
      <c r="B204" s="88"/>
      <c r="C204" s="88"/>
      <c r="D204" s="89"/>
      <c r="E204" s="89"/>
      <c r="F204" s="73"/>
      <c r="G204" s="73"/>
      <c r="H204" s="73"/>
      <c r="I204" s="73"/>
      <c r="J204" s="73"/>
      <c r="K204" s="73"/>
      <c r="L204" s="73"/>
      <c r="M204" s="74"/>
      <c r="N204" s="71" t="str">
        <f t="shared" si="3"/>
        <v/>
      </c>
      <c r="O204" s="72"/>
      <c r="P204" s="72"/>
      <c r="Q204" s="72"/>
      <c r="R204" s="72"/>
      <c r="S204" s="72"/>
      <c r="T204" s="72"/>
      <c r="U204" s="72"/>
      <c r="V204" s="72"/>
    </row>
    <row r="205" spans="1:25" ht="27.75" customHeight="1">
      <c r="A205" s="87" t="str">
        <f>IF(ISBLANK(C205)," ",200-COUNTBLANK($C$6:C205))</f>
        <v xml:space="preserve"> </v>
      </c>
      <c r="B205" s="88"/>
      <c r="C205" s="88"/>
      <c r="D205" s="89"/>
      <c r="E205" s="89"/>
      <c r="F205" s="73"/>
      <c r="G205" s="73"/>
      <c r="H205" s="73"/>
      <c r="I205" s="73"/>
      <c r="J205" s="73"/>
      <c r="K205" s="73"/>
      <c r="L205" s="73"/>
      <c r="M205" s="74"/>
      <c r="N205" s="71" t="str">
        <f t="shared" si="3"/>
        <v/>
      </c>
      <c r="O205" s="72"/>
      <c r="P205" s="72"/>
      <c r="Q205" s="72"/>
      <c r="R205" s="72"/>
      <c r="S205" s="72"/>
      <c r="T205" s="72"/>
      <c r="U205" s="72"/>
      <c r="V205" s="72"/>
    </row>
    <row r="206" spans="1:25" ht="27.75" customHeight="1">
      <c r="A206" s="87" t="str">
        <f>IF(ISBLANK(C206)," ",201-COUNTBLANK($C$6:C206))</f>
        <v xml:space="preserve"> </v>
      </c>
      <c r="B206" s="88"/>
      <c r="C206" s="88"/>
      <c r="D206" s="89"/>
      <c r="E206" s="89"/>
      <c r="F206" s="73"/>
      <c r="G206" s="73"/>
      <c r="H206" s="73"/>
      <c r="I206" s="73"/>
      <c r="J206" s="73"/>
      <c r="K206" s="73"/>
      <c r="L206" s="73"/>
      <c r="M206" s="74"/>
      <c r="N206" s="71" t="str">
        <f t="shared" si="3"/>
        <v/>
      </c>
      <c r="O206" s="72"/>
      <c r="P206" s="72"/>
      <c r="Q206" s="72"/>
      <c r="R206" s="72"/>
      <c r="S206" s="72"/>
      <c r="T206" s="72"/>
      <c r="U206" s="72"/>
      <c r="V206" s="72"/>
    </row>
    <row r="207" spans="1:25" ht="27.75" customHeight="1">
      <c r="A207" s="87" t="str">
        <f>IF(ISBLANK(C207)," ",202-COUNTBLANK($C$6:C207))</f>
        <v xml:space="preserve"> </v>
      </c>
      <c r="B207" s="88"/>
      <c r="C207" s="88"/>
      <c r="D207" s="89"/>
      <c r="E207" s="89"/>
      <c r="F207" s="73"/>
      <c r="G207" s="73"/>
      <c r="H207" s="73"/>
      <c r="I207" s="73"/>
      <c r="J207" s="73"/>
      <c r="K207" s="73"/>
      <c r="L207" s="73"/>
      <c r="M207" s="74"/>
      <c r="N207" s="71" t="str">
        <f t="shared" si="3"/>
        <v/>
      </c>
      <c r="O207" s="72"/>
      <c r="P207" s="72"/>
      <c r="Q207" s="72"/>
      <c r="R207" s="72"/>
      <c r="S207" s="72"/>
      <c r="T207" s="72"/>
      <c r="U207" s="72"/>
      <c r="V207" s="72"/>
    </row>
    <row r="208" spans="1:25" ht="27.75" customHeight="1">
      <c r="A208" s="87" t="str">
        <f>IF(ISBLANK(C208)," ",203-COUNTBLANK($C$6:C208))</f>
        <v xml:space="preserve"> </v>
      </c>
      <c r="B208" s="88"/>
      <c r="C208" s="88"/>
      <c r="D208" s="89"/>
      <c r="E208" s="89"/>
      <c r="F208" s="73"/>
      <c r="G208" s="73"/>
      <c r="H208" s="73"/>
      <c r="I208" s="73"/>
      <c r="J208" s="73"/>
      <c r="K208" s="73"/>
      <c r="L208" s="73"/>
      <c r="M208" s="74"/>
      <c r="N208" s="71" t="str">
        <f t="shared" si="3"/>
        <v/>
      </c>
      <c r="O208" s="72"/>
      <c r="P208" s="72"/>
      <c r="Q208" s="72"/>
      <c r="R208" s="72"/>
      <c r="S208" s="72"/>
      <c r="T208" s="72"/>
      <c r="U208" s="72"/>
      <c r="V208" s="72"/>
    </row>
    <row r="209" spans="1:25" ht="27.75" customHeight="1">
      <c r="A209" s="87" t="str">
        <f>IF(ISBLANK(C209)," ",204-COUNTBLANK($C$6:C209))</f>
        <v xml:space="preserve"> </v>
      </c>
      <c r="B209" s="88"/>
      <c r="C209" s="88"/>
      <c r="D209" s="89"/>
      <c r="E209" s="89"/>
      <c r="F209" s="73"/>
      <c r="G209" s="73"/>
      <c r="H209" s="73"/>
      <c r="I209" s="73"/>
      <c r="J209" s="73"/>
      <c r="K209" s="73"/>
      <c r="L209" s="73"/>
      <c r="M209" s="74"/>
      <c r="N209" s="71" t="str">
        <f t="shared" si="3"/>
        <v/>
      </c>
      <c r="O209" s="72"/>
      <c r="P209" s="72"/>
      <c r="Q209" s="72"/>
      <c r="R209" s="72"/>
      <c r="S209" s="72"/>
      <c r="T209" s="72"/>
      <c r="U209" s="72"/>
      <c r="V209" s="72"/>
    </row>
    <row r="210" spans="1:25" ht="27.75" customHeight="1">
      <c r="A210" s="87" t="str">
        <f>IF(ISBLANK(C210)," ",205-COUNTBLANK($C$6:C210))</f>
        <v xml:space="preserve"> </v>
      </c>
      <c r="B210" s="88"/>
      <c r="C210" s="88"/>
      <c r="D210" s="89"/>
      <c r="E210" s="89"/>
      <c r="F210" s="73"/>
      <c r="G210" s="73"/>
      <c r="H210" s="73"/>
      <c r="I210" s="73"/>
      <c r="J210" s="73"/>
      <c r="K210" s="73"/>
      <c r="L210" s="73"/>
      <c r="M210" s="74"/>
      <c r="N210" s="71" t="str">
        <f t="shared" si="3"/>
        <v/>
      </c>
      <c r="O210" s="75"/>
      <c r="P210" s="72"/>
      <c r="Q210" s="72"/>
      <c r="R210" s="72"/>
      <c r="S210" s="72"/>
      <c r="T210" s="72"/>
      <c r="U210" s="72"/>
      <c r="V210" s="76"/>
    </row>
    <row r="211" spans="1:25" ht="27.75" customHeight="1">
      <c r="A211" s="87" t="str">
        <f>IF(ISBLANK(C211)," ",206-COUNTBLANK($C$6:C211))</f>
        <v xml:space="preserve"> </v>
      </c>
      <c r="B211" s="88"/>
      <c r="C211" s="88"/>
      <c r="D211" s="89"/>
      <c r="E211" s="89"/>
      <c r="F211" s="73"/>
      <c r="G211" s="73"/>
      <c r="H211" s="73"/>
      <c r="I211" s="73"/>
      <c r="J211" s="73"/>
      <c r="K211" s="73"/>
      <c r="L211" s="73"/>
      <c r="M211" s="74"/>
      <c r="N211" s="71" t="str">
        <f t="shared" si="3"/>
        <v/>
      </c>
      <c r="O211" s="75"/>
      <c r="P211" s="72"/>
      <c r="Q211" s="72"/>
      <c r="R211" s="72"/>
      <c r="S211" s="72"/>
      <c r="T211" s="72"/>
      <c r="U211" s="72"/>
      <c r="V211" s="76"/>
    </row>
    <row r="212" spans="1:25" ht="27.75" customHeight="1">
      <c r="A212" s="87" t="str">
        <f>IF(ISBLANK(C212)," ",207-COUNTBLANK($C$6:C212))</f>
        <v xml:space="preserve"> </v>
      </c>
      <c r="B212" s="88"/>
      <c r="C212" s="88"/>
      <c r="D212" s="89"/>
      <c r="E212" s="89"/>
      <c r="F212" s="73"/>
      <c r="G212" s="73"/>
      <c r="H212" s="73"/>
      <c r="I212" s="73"/>
      <c r="J212" s="73"/>
      <c r="K212" s="73"/>
      <c r="L212" s="73"/>
      <c r="M212" s="74"/>
      <c r="N212" s="71" t="str">
        <f t="shared" si="3"/>
        <v/>
      </c>
      <c r="O212" s="75"/>
      <c r="P212" s="72"/>
      <c r="Q212" s="72"/>
      <c r="R212" s="72"/>
      <c r="S212" s="72"/>
      <c r="T212" s="72"/>
      <c r="U212" s="72"/>
      <c r="V212" s="76"/>
    </row>
    <row r="213" spans="1:25" ht="27.75" customHeight="1">
      <c r="A213" s="87" t="str">
        <f>IF(ISBLANK(C213)," ",208-COUNTBLANK($C$6:C213))</f>
        <v xml:space="preserve"> </v>
      </c>
      <c r="B213" s="88"/>
      <c r="C213" s="88"/>
      <c r="D213" s="89"/>
      <c r="E213" s="89"/>
      <c r="F213" s="73"/>
      <c r="G213" s="73"/>
      <c r="H213" s="73"/>
      <c r="I213" s="73"/>
      <c r="J213" s="73"/>
      <c r="K213" s="73"/>
      <c r="L213" s="73"/>
      <c r="M213" s="74"/>
      <c r="N213" s="71" t="str">
        <f t="shared" si="3"/>
        <v/>
      </c>
      <c r="O213" s="75"/>
      <c r="P213" s="72"/>
      <c r="Q213" s="72"/>
      <c r="R213" s="72"/>
      <c r="S213" s="72"/>
      <c r="T213" s="72"/>
      <c r="U213" s="72"/>
      <c r="V213" s="76"/>
    </row>
    <row r="214" spans="1:25" ht="27.75" customHeight="1">
      <c r="A214" s="87" t="str">
        <f>IF(ISBLANK(C214)," ",209-COUNTBLANK($C$6:C214))</f>
        <v xml:space="preserve"> </v>
      </c>
      <c r="B214" s="88"/>
      <c r="C214" s="88"/>
      <c r="D214" s="89"/>
      <c r="E214" s="89"/>
      <c r="F214" s="73"/>
      <c r="G214" s="73"/>
      <c r="H214" s="73"/>
      <c r="I214" s="73"/>
      <c r="J214" s="73"/>
      <c r="K214" s="73"/>
      <c r="L214" s="73"/>
      <c r="M214" s="74"/>
      <c r="N214" s="71" t="str">
        <f t="shared" si="3"/>
        <v/>
      </c>
      <c r="O214" s="72"/>
      <c r="P214" s="72"/>
      <c r="Q214" s="72"/>
      <c r="R214" s="72"/>
      <c r="S214" s="72"/>
      <c r="T214" s="72"/>
      <c r="U214" s="72"/>
      <c r="V214" s="79"/>
      <c r="W214" s="72"/>
      <c r="X214" s="72"/>
      <c r="Y214" s="72"/>
    </row>
    <row r="215" spans="1:25" ht="27.75" customHeight="1">
      <c r="A215" s="80" t="s">
        <v>58</v>
      </c>
      <c r="B215" s="81"/>
      <c r="C215" s="96"/>
      <c r="D215" s="82"/>
      <c r="E215" s="82">
        <f>SUM(E195:E214)</f>
        <v>0</v>
      </c>
      <c r="F215" s="83"/>
      <c r="G215" s="83"/>
      <c r="H215" s="83"/>
      <c r="I215" s="83"/>
      <c r="J215" s="83"/>
      <c r="K215" s="83"/>
      <c r="L215" s="83"/>
      <c r="M215" s="84"/>
      <c r="N215" s="71" t="str">
        <f t="shared" si="3"/>
        <v/>
      </c>
      <c r="O215" s="75"/>
      <c r="P215" s="72"/>
      <c r="Q215" s="72"/>
      <c r="R215" s="72"/>
      <c r="S215" s="72"/>
      <c r="T215" s="72"/>
      <c r="U215" s="72"/>
      <c r="V215" s="79"/>
      <c r="W215" s="72"/>
      <c r="X215" s="72"/>
      <c r="Y215" s="72"/>
    </row>
    <row r="216" spans="1:25" ht="27.75" customHeight="1">
      <c r="A216" s="93" t="str">
        <f>IF(ISBLANK(C216)," ",211-COUNTBLANK($C$6:C216))</f>
        <v xml:space="preserve"> </v>
      </c>
      <c r="B216" s="94"/>
      <c r="C216" s="94"/>
      <c r="D216" s="95"/>
      <c r="E216" s="95"/>
      <c r="F216" s="85"/>
      <c r="G216" s="85"/>
      <c r="H216" s="85"/>
      <c r="I216" s="85"/>
      <c r="J216" s="85"/>
      <c r="K216" s="85"/>
      <c r="L216" s="85"/>
      <c r="M216" s="86"/>
      <c r="N216" s="71" t="str">
        <f t="shared" si="3"/>
        <v/>
      </c>
      <c r="O216" s="72"/>
      <c r="P216" s="72"/>
      <c r="Q216" s="72"/>
      <c r="R216" s="72"/>
      <c r="S216" s="72"/>
      <c r="T216" s="72"/>
      <c r="U216" s="72"/>
      <c r="V216" s="72"/>
    </row>
    <row r="217" spans="1:25" ht="27.75" customHeight="1">
      <c r="A217" s="87" t="str">
        <f>IF(ISBLANK(C217)," ",212-COUNTBLANK($C$6:C217))</f>
        <v xml:space="preserve"> </v>
      </c>
      <c r="B217" s="88"/>
      <c r="C217" s="88"/>
      <c r="D217" s="89"/>
      <c r="E217" s="89"/>
      <c r="F217" s="73"/>
      <c r="G217" s="73"/>
      <c r="H217" s="73"/>
      <c r="I217" s="73"/>
      <c r="J217" s="73"/>
      <c r="K217" s="73"/>
      <c r="L217" s="73"/>
      <c r="M217" s="74"/>
      <c r="N217" s="71" t="str">
        <f t="shared" si="3"/>
        <v/>
      </c>
      <c r="O217" s="72"/>
      <c r="P217" s="72"/>
      <c r="Q217" s="72"/>
      <c r="R217" s="72"/>
      <c r="S217" s="72"/>
      <c r="T217" s="72"/>
      <c r="U217" s="72"/>
      <c r="V217" s="72"/>
    </row>
    <row r="218" spans="1:25" ht="27.75" customHeight="1">
      <c r="A218" s="87" t="str">
        <f>IF(ISBLANK(C218)," ",213-COUNTBLANK($C$6:C218))</f>
        <v xml:space="preserve"> </v>
      </c>
      <c r="B218" s="88"/>
      <c r="C218" s="88"/>
      <c r="D218" s="89"/>
      <c r="E218" s="89"/>
      <c r="F218" s="73"/>
      <c r="G218" s="73"/>
      <c r="H218" s="73"/>
      <c r="I218" s="73"/>
      <c r="J218" s="73"/>
      <c r="K218" s="73"/>
      <c r="L218" s="73"/>
      <c r="M218" s="74"/>
      <c r="N218" s="71" t="str">
        <f t="shared" si="3"/>
        <v/>
      </c>
      <c r="O218" s="72"/>
      <c r="P218" s="72"/>
      <c r="Q218" s="72"/>
      <c r="R218" s="72"/>
      <c r="S218" s="72"/>
      <c r="T218" s="72"/>
      <c r="U218" s="72"/>
      <c r="V218" s="72"/>
    </row>
    <row r="219" spans="1:25" ht="27.75" customHeight="1">
      <c r="A219" s="87" t="str">
        <f>IF(ISBLANK(C219)," ",214-COUNTBLANK($C$6:C219))</f>
        <v xml:space="preserve"> </v>
      </c>
      <c r="B219" s="88"/>
      <c r="C219" s="88"/>
      <c r="D219" s="89"/>
      <c r="E219" s="89"/>
      <c r="F219" s="73"/>
      <c r="G219" s="73"/>
      <c r="H219" s="73"/>
      <c r="I219" s="73"/>
      <c r="J219" s="73"/>
      <c r="K219" s="73"/>
      <c r="L219" s="73"/>
      <c r="M219" s="74"/>
      <c r="N219" s="71" t="str">
        <f t="shared" si="3"/>
        <v/>
      </c>
      <c r="O219" s="72"/>
      <c r="P219" s="72"/>
      <c r="Q219" s="72"/>
      <c r="R219" s="72"/>
      <c r="S219" s="72"/>
      <c r="T219" s="72"/>
      <c r="U219" s="72"/>
      <c r="V219" s="72"/>
    </row>
    <row r="220" spans="1:25" ht="27.75" customHeight="1">
      <c r="A220" s="87" t="str">
        <f>IF(ISBLANK(C220)," ",215-COUNTBLANK($C$6:C220))</f>
        <v xml:space="preserve"> </v>
      </c>
      <c r="B220" s="88"/>
      <c r="C220" s="88"/>
      <c r="D220" s="89"/>
      <c r="E220" s="89"/>
      <c r="F220" s="73"/>
      <c r="G220" s="73"/>
      <c r="H220" s="73"/>
      <c r="I220" s="73"/>
      <c r="J220" s="73"/>
      <c r="K220" s="73"/>
      <c r="L220" s="73"/>
      <c r="M220" s="74"/>
      <c r="N220" s="71" t="str">
        <f t="shared" si="3"/>
        <v/>
      </c>
      <c r="O220" s="72"/>
      <c r="P220" s="72"/>
      <c r="Q220" s="72"/>
      <c r="R220" s="72"/>
      <c r="S220" s="72"/>
      <c r="T220" s="72"/>
      <c r="U220" s="72"/>
      <c r="V220" s="72"/>
    </row>
    <row r="221" spans="1:25" ht="27.75" customHeight="1">
      <c r="A221" s="87" t="str">
        <f>IF(ISBLANK(C221)," ",216-COUNTBLANK($C$6:C221))</f>
        <v xml:space="preserve"> </v>
      </c>
      <c r="B221" s="88"/>
      <c r="C221" s="88"/>
      <c r="D221" s="89"/>
      <c r="E221" s="89"/>
      <c r="F221" s="73"/>
      <c r="G221" s="73"/>
      <c r="H221" s="73"/>
      <c r="I221" s="73"/>
      <c r="J221" s="73"/>
      <c r="K221" s="73"/>
      <c r="L221" s="73"/>
      <c r="M221" s="74"/>
      <c r="N221" s="71" t="str">
        <f t="shared" si="3"/>
        <v/>
      </c>
      <c r="O221" s="72"/>
      <c r="P221" s="72"/>
      <c r="Q221" s="72"/>
      <c r="R221" s="72"/>
      <c r="S221" s="72"/>
      <c r="T221" s="72"/>
      <c r="U221" s="72"/>
      <c r="V221" s="72"/>
    </row>
    <row r="222" spans="1:25" ht="27.75" customHeight="1">
      <c r="A222" s="87" t="str">
        <f>IF(ISBLANK(C222)," ",217-COUNTBLANK($C$6:C222))</f>
        <v xml:space="preserve"> </v>
      </c>
      <c r="B222" s="88"/>
      <c r="C222" s="88"/>
      <c r="D222" s="89"/>
      <c r="E222" s="89"/>
      <c r="F222" s="73"/>
      <c r="G222" s="73"/>
      <c r="H222" s="73"/>
      <c r="I222" s="73"/>
      <c r="J222" s="73"/>
      <c r="K222" s="73"/>
      <c r="L222" s="73"/>
      <c r="M222" s="74"/>
      <c r="N222" s="71" t="str">
        <f t="shared" si="3"/>
        <v/>
      </c>
      <c r="O222" s="72"/>
      <c r="P222" s="72"/>
      <c r="Q222" s="72"/>
      <c r="R222" s="72"/>
      <c r="S222" s="72"/>
      <c r="T222" s="72"/>
      <c r="U222" s="72"/>
      <c r="V222" s="72"/>
    </row>
    <row r="223" spans="1:25" ht="27.75" customHeight="1">
      <c r="A223" s="87" t="str">
        <f>IF(ISBLANK(C223)," ",218-COUNTBLANK($C$6:C223))</f>
        <v xml:space="preserve"> </v>
      </c>
      <c r="B223" s="88"/>
      <c r="C223" s="88"/>
      <c r="D223" s="89"/>
      <c r="E223" s="89"/>
      <c r="F223" s="73"/>
      <c r="G223" s="73"/>
      <c r="H223" s="73"/>
      <c r="I223" s="73"/>
      <c r="J223" s="73"/>
      <c r="K223" s="73"/>
      <c r="L223" s="73"/>
      <c r="M223" s="74"/>
      <c r="N223" s="71" t="str">
        <f t="shared" si="3"/>
        <v/>
      </c>
      <c r="O223" s="72"/>
      <c r="P223" s="72"/>
      <c r="Q223" s="72"/>
      <c r="R223" s="72"/>
      <c r="S223" s="72"/>
      <c r="T223" s="72"/>
      <c r="U223" s="72"/>
      <c r="V223" s="72"/>
    </row>
    <row r="224" spans="1:25" ht="27.75" customHeight="1">
      <c r="A224" s="87" t="str">
        <f>IF(ISBLANK(C224)," ",219-COUNTBLANK($C$6:C224))</f>
        <v xml:space="preserve"> </v>
      </c>
      <c r="B224" s="88"/>
      <c r="C224" s="88"/>
      <c r="D224" s="89"/>
      <c r="E224" s="89"/>
      <c r="F224" s="73"/>
      <c r="G224" s="73"/>
      <c r="H224" s="73"/>
      <c r="I224" s="73"/>
      <c r="J224" s="73"/>
      <c r="K224" s="73"/>
      <c r="L224" s="73"/>
      <c r="M224" s="74"/>
      <c r="N224" s="71" t="str">
        <f t="shared" si="3"/>
        <v/>
      </c>
      <c r="O224" s="72"/>
      <c r="P224" s="72"/>
      <c r="Q224" s="72"/>
      <c r="R224" s="72"/>
      <c r="S224" s="72"/>
      <c r="T224" s="72"/>
      <c r="U224" s="72"/>
      <c r="V224" s="72"/>
    </row>
    <row r="225" spans="1:25" ht="27.75" customHeight="1">
      <c r="A225" s="87" t="str">
        <f>IF(ISBLANK(C225)," ",220-COUNTBLANK($C$6:C225))</f>
        <v xml:space="preserve"> </v>
      </c>
      <c r="B225" s="88"/>
      <c r="C225" s="88"/>
      <c r="D225" s="89"/>
      <c r="E225" s="89"/>
      <c r="F225" s="73"/>
      <c r="G225" s="73"/>
      <c r="H225" s="73"/>
      <c r="I225" s="73"/>
      <c r="J225" s="73"/>
      <c r="K225" s="73"/>
      <c r="L225" s="73"/>
      <c r="M225" s="74"/>
      <c r="N225" s="71" t="str">
        <f t="shared" si="3"/>
        <v/>
      </c>
      <c r="O225" s="72"/>
      <c r="P225" s="72"/>
      <c r="Q225" s="72"/>
      <c r="R225" s="72"/>
      <c r="S225" s="72"/>
      <c r="T225" s="72"/>
      <c r="U225" s="72"/>
      <c r="V225" s="72"/>
    </row>
    <row r="226" spans="1:25" ht="27.75" customHeight="1">
      <c r="A226" s="87" t="str">
        <f>IF(ISBLANK(C226)," ",221-COUNTBLANK($C$6:C226))</f>
        <v xml:space="preserve"> </v>
      </c>
      <c r="B226" s="88"/>
      <c r="C226" s="88"/>
      <c r="D226" s="89"/>
      <c r="E226" s="89"/>
      <c r="F226" s="73"/>
      <c r="G226" s="73"/>
      <c r="H226" s="73"/>
      <c r="I226" s="73"/>
      <c r="J226" s="73"/>
      <c r="K226" s="73"/>
      <c r="L226" s="73"/>
      <c r="M226" s="74"/>
      <c r="N226" s="71" t="str">
        <f t="shared" si="3"/>
        <v/>
      </c>
      <c r="O226" s="72"/>
      <c r="P226" s="72"/>
      <c r="Q226" s="72"/>
      <c r="R226" s="72"/>
      <c r="S226" s="72"/>
      <c r="T226" s="72"/>
      <c r="U226" s="72"/>
      <c r="V226" s="72"/>
    </row>
    <row r="227" spans="1:25" ht="27.75" customHeight="1">
      <c r="A227" s="87" t="str">
        <f>IF(ISBLANK(C227)," ",222-COUNTBLANK($C$6:C227))</f>
        <v xml:space="preserve"> </v>
      </c>
      <c r="B227" s="88"/>
      <c r="C227" s="88"/>
      <c r="D227" s="89"/>
      <c r="E227" s="89"/>
      <c r="F227" s="73"/>
      <c r="G227" s="73"/>
      <c r="H227" s="73"/>
      <c r="I227" s="73"/>
      <c r="J227" s="73"/>
      <c r="K227" s="73"/>
      <c r="L227" s="73"/>
      <c r="M227" s="74"/>
      <c r="N227" s="71" t="str">
        <f t="shared" si="3"/>
        <v/>
      </c>
      <c r="O227" s="72"/>
      <c r="P227" s="72"/>
      <c r="Q227" s="72"/>
      <c r="R227" s="72"/>
      <c r="S227" s="72"/>
      <c r="T227" s="72"/>
      <c r="U227" s="72"/>
      <c r="V227" s="72"/>
    </row>
    <row r="228" spans="1:25" ht="27.75" customHeight="1">
      <c r="A228" s="87" t="str">
        <f>IF(ISBLANK(C228)," ",223-COUNTBLANK($C$6:C228))</f>
        <v xml:space="preserve"> </v>
      </c>
      <c r="B228" s="88"/>
      <c r="C228" s="88"/>
      <c r="D228" s="89"/>
      <c r="E228" s="89"/>
      <c r="F228" s="73"/>
      <c r="G228" s="73"/>
      <c r="H228" s="73"/>
      <c r="I228" s="73"/>
      <c r="J228" s="73"/>
      <c r="K228" s="73"/>
      <c r="L228" s="73"/>
      <c r="M228" s="74"/>
      <c r="N228" s="71" t="str">
        <f t="shared" si="3"/>
        <v/>
      </c>
      <c r="O228" s="72"/>
      <c r="P228" s="72"/>
      <c r="Q228" s="72"/>
      <c r="R228" s="72"/>
      <c r="S228" s="72"/>
      <c r="T228" s="72"/>
      <c r="U228" s="72"/>
      <c r="V228" s="72"/>
    </row>
    <row r="229" spans="1:25" ht="27.75" customHeight="1">
      <c r="A229" s="87" t="str">
        <f>IF(ISBLANK(C229)," ",224-COUNTBLANK($C$6:C229))</f>
        <v xml:space="preserve"> </v>
      </c>
      <c r="B229" s="88"/>
      <c r="C229" s="88"/>
      <c r="D229" s="89"/>
      <c r="E229" s="89"/>
      <c r="F229" s="73"/>
      <c r="G229" s="73"/>
      <c r="H229" s="73"/>
      <c r="I229" s="73"/>
      <c r="J229" s="73"/>
      <c r="K229" s="73"/>
      <c r="L229" s="73"/>
      <c r="M229" s="74"/>
      <c r="N229" s="71" t="str">
        <f t="shared" si="3"/>
        <v/>
      </c>
      <c r="O229" s="72"/>
      <c r="P229" s="72"/>
      <c r="Q229" s="72"/>
      <c r="R229" s="72"/>
      <c r="S229" s="72"/>
      <c r="T229" s="72"/>
      <c r="U229" s="72"/>
      <c r="V229" s="72"/>
    </row>
    <row r="230" spans="1:25" ht="27.75" customHeight="1">
      <c r="A230" s="87" t="str">
        <f>IF(ISBLANK(C230)," ",225-COUNTBLANK($C$6:C230))</f>
        <v xml:space="preserve"> </v>
      </c>
      <c r="B230" s="88"/>
      <c r="C230" s="88"/>
      <c r="D230" s="89"/>
      <c r="E230" s="89"/>
      <c r="F230" s="73"/>
      <c r="G230" s="73"/>
      <c r="H230" s="73"/>
      <c r="I230" s="73"/>
      <c r="J230" s="73"/>
      <c r="K230" s="73"/>
      <c r="L230" s="73"/>
      <c r="M230" s="74"/>
      <c r="N230" s="71" t="str">
        <f t="shared" si="3"/>
        <v/>
      </c>
      <c r="O230" s="72"/>
      <c r="P230" s="72"/>
      <c r="Q230" s="72"/>
      <c r="R230" s="72"/>
      <c r="S230" s="72"/>
      <c r="T230" s="72"/>
      <c r="U230" s="72"/>
      <c r="V230" s="72"/>
    </row>
    <row r="231" spans="1:25" ht="27.75" customHeight="1">
      <c r="A231" s="87" t="str">
        <f>IF(ISBLANK(C231)," ",226-COUNTBLANK($C$6:C231))</f>
        <v xml:space="preserve"> </v>
      </c>
      <c r="B231" s="88"/>
      <c r="C231" s="88"/>
      <c r="D231" s="89"/>
      <c r="E231" s="89"/>
      <c r="F231" s="73"/>
      <c r="G231" s="73"/>
      <c r="H231" s="73"/>
      <c r="I231" s="73"/>
      <c r="J231" s="73"/>
      <c r="K231" s="73"/>
      <c r="L231" s="73"/>
      <c r="M231" s="74"/>
      <c r="N231" s="71" t="str">
        <f t="shared" si="3"/>
        <v/>
      </c>
      <c r="O231" s="75"/>
      <c r="P231" s="72"/>
      <c r="Q231" s="72"/>
      <c r="R231" s="72"/>
      <c r="S231" s="72"/>
      <c r="T231" s="72"/>
      <c r="U231" s="72"/>
      <c r="V231" s="76"/>
    </row>
    <row r="232" spans="1:25" ht="27.75" customHeight="1">
      <c r="A232" s="87" t="str">
        <f>IF(ISBLANK(C232)," ",227-COUNTBLANK($C$6:C232))</f>
        <v xml:space="preserve"> </v>
      </c>
      <c r="B232" s="88"/>
      <c r="C232" s="88"/>
      <c r="D232" s="89"/>
      <c r="E232" s="89"/>
      <c r="F232" s="73"/>
      <c r="G232" s="73"/>
      <c r="H232" s="73"/>
      <c r="I232" s="73"/>
      <c r="J232" s="73"/>
      <c r="K232" s="73"/>
      <c r="L232" s="73"/>
      <c r="M232" s="74"/>
      <c r="N232" s="71" t="str">
        <f t="shared" si="3"/>
        <v/>
      </c>
      <c r="O232" s="75"/>
      <c r="P232" s="72"/>
      <c r="Q232" s="72"/>
      <c r="R232" s="72"/>
      <c r="S232" s="72"/>
      <c r="T232" s="72"/>
      <c r="U232" s="72"/>
      <c r="V232" s="76"/>
    </row>
    <row r="233" spans="1:25" ht="27.75" customHeight="1">
      <c r="A233" s="87" t="str">
        <f>IF(ISBLANK(C233)," ",228-COUNTBLANK($C$6:C233))</f>
        <v xml:space="preserve"> </v>
      </c>
      <c r="B233" s="88"/>
      <c r="C233" s="88"/>
      <c r="D233" s="89"/>
      <c r="E233" s="89"/>
      <c r="F233" s="73"/>
      <c r="G233" s="73"/>
      <c r="H233" s="73"/>
      <c r="I233" s="73"/>
      <c r="J233" s="73"/>
      <c r="K233" s="73"/>
      <c r="L233" s="73"/>
      <c r="M233" s="74"/>
      <c r="N233" s="71" t="str">
        <f t="shared" si="3"/>
        <v/>
      </c>
      <c r="O233" s="75"/>
      <c r="P233" s="72"/>
      <c r="Q233" s="72"/>
      <c r="R233" s="72"/>
      <c r="S233" s="72"/>
      <c r="T233" s="72"/>
      <c r="U233" s="72"/>
      <c r="V233" s="76"/>
    </row>
    <row r="234" spans="1:25" ht="27.75" customHeight="1">
      <c r="A234" s="87" t="str">
        <f>IF(ISBLANK(C234)," ",229-COUNTBLANK($C$6:C234))</f>
        <v xml:space="preserve"> </v>
      </c>
      <c r="B234" s="88"/>
      <c r="C234" s="88"/>
      <c r="D234" s="89"/>
      <c r="E234" s="89"/>
      <c r="F234" s="73"/>
      <c r="G234" s="73"/>
      <c r="H234" s="73"/>
      <c r="I234" s="73"/>
      <c r="J234" s="73"/>
      <c r="K234" s="73"/>
      <c r="L234" s="73"/>
      <c r="M234" s="74"/>
      <c r="N234" s="71" t="str">
        <f t="shared" si="3"/>
        <v/>
      </c>
      <c r="O234" s="75"/>
      <c r="P234" s="72"/>
      <c r="Q234" s="72"/>
      <c r="R234" s="72"/>
      <c r="S234" s="72"/>
      <c r="T234" s="72"/>
      <c r="U234" s="72"/>
      <c r="V234" s="76"/>
    </row>
    <row r="235" spans="1:25" ht="27.75" customHeight="1">
      <c r="A235" s="87" t="str">
        <f>IF(ISBLANK(C235)," ",230-COUNTBLANK($C$6:C235))</f>
        <v xml:space="preserve"> </v>
      </c>
      <c r="B235" s="88"/>
      <c r="C235" s="88"/>
      <c r="D235" s="89"/>
      <c r="E235" s="89"/>
      <c r="F235" s="73"/>
      <c r="G235" s="73"/>
      <c r="H235" s="73"/>
      <c r="I235" s="73"/>
      <c r="J235" s="73"/>
      <c r="K235" s="73"/>
      <c r="L235" s="73"/>
      <c r="M235" s="74"/>
      <c r="N235" s="71" t="str">
        <f t="shared" si="3"/>
        <v/>
      </c>
      <c r="O235" s="72"/>
      <c r="P235" s="72"/>
      <c r="Q235" s="72"/>
      <c r="R235" s="72"/>
      <c r="S235" s="72"/>
      <c r="T235" s="72"/>
      <c r="U235" s="72"/>
      <c r="V235" s="79"/>
      <c r="W235" s="72"/>
      <c r="X235" s="72"/>
      <c r="Y235" s="72"/>
    </row>
    <row r="236" spans="1:25" ht="27.75" customHeight="1">
      <c r="A236" s="80" t="s">
        <v>58</v>
      </c>
      <c r="B236" s="81"/>
      <c r="C236" s="96"/>
      <c r="D236" s="82"/>
      <c r="E236" s="82">
        <f>SUM(E216:E235)</f>
        <v>0</v>
      </c>
      <c r="F236" s="83"/>
      <c r="G236" s="83"/>
      <c r="H236" s="83"/>
      <c r="I236" s="83"/>
      <c r="J236" s="83"/>
      <c r="K236" s="83"/>
      <c r="L236" s="83"/>
      <c r="M236" s="84"/>
      <c r="N236" s="71" t="str">
        <f t="shared" si="3"/>
        <v/>
      </c>
      <c r="O236" s="75"/>
      <c r="P236" s="72"/>
      <c r="Q236" s="72"/>
      <c r="R236" s="72"/>
      <c r="S236" s="72"/>
      <c r="T236" s="72"/>
      <c r="U236" s="72"/>
      <c r="V236" s="79"/>
      <c r="W236" s="72"/>
      <c r="X236" s="72"/>
      <c r="Y236" s="72"/>
    </row>
    <row r="237" spans="1:25" ht="27.75" customHeight="1">
      <c r="A237" s="93" t="str">
        <f>IF(ISBLANK(C237)," ",232-COUNTBLANK($C$6:C237))</f>
        <v xml:space="preserve"> </v>
      </c>
      <c r="B237" s="94"/>
      <c r="C237" s="94"/>
      <c r="D237" s="95"/>
      <c r="E237" s="95"/>
      <c r="F237" s="85"/>
      <c r="G237" s="85"/>
      <c r="H237" s="85"/>
      <c r="I237" s="85"/>
      <c r="J237" s="85"/>
      <c r="K237" s="85"/>
      <c r="L237" s="85"/>
      <c r="M237" s="86"/>
      <c r="N237" s="71" t="str">
        <f t="shared" si="3"/>
        <v/>
      </c>
      <c r="O237" s="72"/>
      <c r="P237" s="72"/>
      <c r="Q237" s="72"/>
      <c r="R237" s="72"/>
      <c r="S237" s="72"/>
      <c r="T237" s="72"/>
      <c r="U237" s="72"/>
      <c r="V237" s="72"/>
    </row>
    <row r="238" spans="1:25" ht="27.75" customHeight="1">
      <c r="A238" s="87" t="str">
        <f>IF(ISBLANK(C238)," ",233-COUNTBLANK($C$6:C238))</f>
        <v xml:space="preserve"> </v>
      </c>
      <c r="B238" s="88"/>
      <c r="C238" s="88"/>
      <c r="D238" s="89"/>
      <c r="E238" s="89"/>
      <c r="F238" s="73"/>
      <c r="G238" s="73"/>
      <c r="H238" s="73"/>
      <c r="I238" s="73"/>
      <c r="J238" s="73"/>
      <c r="K238" s="73"/>
      <c r="L238" s="73"/>
      <c r="M238" s="74"/>
      <c r="N238" s="71" t="str">
        <f t="shared" si="3"/>
        <v/>
      </c>
      <c r="O238" s="72"/>
      <c r="P238" s="72"/>
      <c r="Q238" s="72"/>
      <c r="R238" s="72"/>
      <c r="S238" s="72"/>
      <c r="T238" s="72"/>
      <c r="U238" s="72"/>
      <c r="V238" s="72"/>
    </row>
    <row r="239" spans="1:25" ht="27.75" customHeight="1">
      <c r="A239" s="87" t="str">
        <f>IF(ISBLANK(C239)," ",234-COUNTBLANK($C$6:C239))</f>
        <v xml:space="preserve"> </v>
      </c>
      <c r="B239" s="88"/>
      <c r="C239" s="88"/>
      <c r="D239" s="89"/>
      <c r="E239" s="89"/>
      <c r="F239" s="73"/>
      <c r="G239" s="73"/>
      <c r="H239" s="73"/>
      <c r="I239" s="73"/>
      <c r="J239" s="73"/>
      <c r="K239" s="73"/>
      <c r="L239" s="73"/>
      <c r="M239" s="74"/>
      <c r="N239" s="71" t="str">
        <f t="shared" si="3"/>
        <v/>
      </c>
      <c r="O239" s="72"/>
      <c r="P239" s="72"/>
      <c r="Q239" s="72"/>
      <c r="R239" s="72"/>
      <c r="S239" s="72"/>
      <c r="T239" s="72"/>
      <c r="U239" s="72"/>
      <c r="V239" s="72"/>
    </row>
    <row r="240" spans="1:25" ht="27.75" customHeight="1">
      <c r="A240" s="87" t="str">
        <f>IF(ISBLANK(C240)," ",235-COUNTBLANK($C$6:C240))</f>
        <v xml:space="preserve"> </v>
      </c>
      <c r="B240" s="88"/>
      <c r="C240" s="88"/>
      <c r="D240" s="89"/>
      <c r="E240" s="89"/>
      <c r="F240" s="73"/>
      <c r="G240" s="73"/>
      <c r="H240" s="73"/>
      <c r="I240" s="73"/>
      <c r="J240" s="73"/>
      <c r="K240" s="73"/>
      <c r="L240" s="73"/>
      <c r="M240" s="74"/>
      <c r="N240" s="71" t="str">
        <f t="shared" si="3"/>
        <v/>
      </c>
      <c r="O240" s="72"/>
      <c r="P240" s="72"/>
      <c r="Q240" s="72"/>
      <c r="R240" s="72"/>
      <c r="S240" s="72"/>
      <c r="T240" s="72"/>
      <c r="U240" s="72"/>
      <c r="V240" s="72"/>
    </row>
    <row r="241" spans="1:25" ht="27.75" customHeight="1">
      <c r="A241" s="87" t="str">
        <f>IF(ISBLANK(C241)," ",236-COUNTBLANK($C$6:C241))</f>
        <v xml:space="preserve"> </v>
      </c>
      <c r="B241" s="88"/>
      <c r="C241" s="88"/>
      <c r="D241" s="89"/>
      <c r="E241" s="89"/>
      <c r="F241" s="73"/>
      <c r="G241" s="73"/>
      <c r="H241" s="73"/>
      <c r="I241" s="73"/>
      <c r="J241" s="73"/>
      <c r="K241" s="73"/>
      <c r="L241" s="73"/>
      <c r="M241" s="74"/>
      <c r="N241" s="71" t="str">
        <f t="shared" si="3"/>
        <v/>
      </c>
      <c r="O241" s="72"/>
      <c r="P241" s="72"/>
      <c r="Q241" s="72"/>
      <c r="R241" s="72"/>
      <c r="S241" s="72"/>
      <c r="T241" s="72"/>
      <c r="U241" s="72"/>
      <c r="V241" s="72"/>
    </row>
    <row r="242" spans="1:25" ht="27.75" customHeight="1">
      <c r="A242" s="87" t="str">
        <f>IF(ISBLANK(C242)," ",237-COUNTBLANK($C$6:C242))</f>
        <v xml:space="preserve"> </v>
      </c>
      <c r="B242" s="88"/>
      <c r="C242" s="88"/>
      <c r="D242" s="89"/>
      <c r="E242" s="89"/>
      <c r="F242" s="73"/>
      <c r="G242" s="73"/>
      <c r="H242" s="73"/>
      <c r="I242" s="73"/>
      <c r="J242" s="73"/>
      <c r="K242" s="73"/>
      <c r="L242" s="73"/>
      <c r="M242" s="74"/>
      <c r="N242" s="71" t="str">
        <f t="shared" si="3"/>
        <v/>
      </c>
      <c r="O242" s="72"/>
      <c r="P242" s="72"/>
      <c r="Q242" s="72"/>
      <c r="R242" s="72"/>
      <c r="S242" s="72"/>
      <c r="T242" s="72"/>
      <c r="U242" s="72"/>
      <c r="V242" s="72"/>
    </row>
    <row r="243" spans="1:25" ht="27.75" customHeight="1">
      <c r="A243" s="87" t="str">
        <f>IF(ISBLANK(C243)," ",238-COUNTBLANK($C$6:C243))</f>
        <v xml:space="preserve"> </v>
      </c>
      <c r="B243" s="88"/>
      <c r="C243" s="88"/>
      <c r="D243" s="89"/>
      <c r="E243" s="89"/>
      <c r="F243" s="73"/>
      <c r="G243" s="73"/>
      <c r="H243" s="73"/>
      <c r="I243" s="73"/>
      <c r="J243" s="73"/>
      <c r="K243" s="73"/>
      <c r="L243" s="73"/>
      <c r="M243" s="74"/>
      <c r="N243" s="71" t="str">
        <f t="shared" si="3"/>
        <v/>
      </c>
      <c r="O243" s="72"/>
      <c r="P243" s="72"/>
      <c r="Q243" s="72"/>
      <c r="R243" s="72"/>
      <c r="S243" s="72"/>
      <c r="T243" s="72"/>
      <c r="U243" s="72"/>
      <c r="V243" s="72"/>
    </row>
    <row r="244" spans="1:25" ht="27.75" customHeight="1">
      <c r="A244" s="87" t="str">
        <f>IF(ISBLANK(C244)," ",239-COUNTBLANK($C$6:C244))</f>
        <v xml:space="preserve"> </v>
      </c>
      <c r="B244" s="88"/>
      <c r="C244" s="88"/>
      <c r="D244" s="89"/>
      <c r="E244" s="89"/>
      <c r="F244" s="73"/>
      <c r="G244" s="73"/>
      <c r="H244" s="73"/>
      <c r="I244" s="73"/>
      <c r="J244" s="73"/>
      <c r="K244" s="73"/>
      <c r="L244" s="73"/>
      <c r="M244" s="74"/>
      <c r="N244" s="71" t="str">
        <f t="shared" si="3"/>
        <v/>
      </c>
      <c r="O244" s="72"/>
      <c r="P244" s="72"/>
      <c r="Q244" s="72"/>
      <c r="R244" s="72"/>
      <c r="S244" s="72"/>
      <c r="T244" s="72"/>
      <c r="U244" s="72"/>
      <c r="V244" s="72"/>
    </row>
    <row r="245" spans="1:25" ht="27.75" customHeight="1">
      <c r="A245" s="87" t="str">
        <f>IF(ISBLANK(C245)," ",240-COUNTBLANK($C$6:C245))</f>
        <v xml:space="preserve"> </v>
      </c>
      <c r="B245" s="88"/>
      <c r="C245" s="88"/>
      <c r="D245" s="89"/>
      <c r="E245" s="89"/>
      <c r="F245" s="73"/>
      <c r="G245" s="73"/>
      <c r="H245" s="73"/>
      <c r="I245" s="73"/>
      <c r="J245" s="73"/>
      <c r="K245" s="73"/>
      <c r="L245" s="73"/>
      <c r="M245" s="74"/>
      <c r="N245" s="71" t="str">
        <f t="shared" si="3"/>
        <v/>
      </c>
      <c r="O245" s="72"/>
      <c r="P245" s="72"/>
      <c r="Q245" s="72"/>
      <c r="R245" s="72"/>
      <c r="S245" s="72"/>
      <c r="T245" s="72"/>
      <c r="U245" s="72"/>
      <c r="V245" s="72"/>
    </row>
    <row r="246" spans="1:25" ht="27.75" customHeight="1">
      <c r="A246" s="87" t="str">
        <f>IF(ISBLANK(C246)," ",241-COUNTBLANK($C$6:C246))</f>
        <v xml:space="preserve"> </v>
      </c>
      <c r="B246" s="88"/>
      <c r="C246" s="88"/>
      <c r="D246" s="89"/>
      <c r="E246" s="89"/>
      <c r="F246" s="73"/>
      <c r="G246" s="73"/>
      <c r="H246" s="73"/>
      <c r="I246" s="73"/>
      <c r="J246" s="73"/>
      <c r="K246" s="73"/>
      <c r="L246" s="73"/>
      <c r="M246" s="74"/>
      <c r="N246" s="71" t="str">
        <f t="shared" si="3"/>
        <v/>
      </c>
      <c r="O246" s="72"/>
      <c r="P246" s="72"/>
      <c r="Q246" s="72"/>
      <c r="R246" s="72"/>
      <c r="S246" s="72"/>
      <c r="T246" s="72"/>
      <c r="U246" s="72"/>
      <c r="V246" s="72"/>
    </row>
    <row r="247" spans="1:25" ht="27.75" customHeight="1">
      <c r="A247" s="87" t="str">
        <f>IF(ISBLANK(C247)," ",242-COUNTBLANK($C$6:C247))</f>
        <v xml:space="preserve"> </v>
      </c>
      <c r="B247" s="88"/>
      <c r="C247" s="88"/>
      <c r="D247" s="89"/>
      <c r="E247" s="89"/>
      <c r="F247" s="73"/>
      <c r="G247" s="73"/>
      <c r="H247" s="73"/>
      <c r="I247" s="73"/>
      <c r="J247" s="73"/>
      <c r="K247" s="73"/>
      <c r="L247" s="73"/>
      <c r="M247" s="74"/>
      <c r="N247" s="71" t="str">
        <f t="shared" si="3"/>
        <v/>
      </c>
      <c r="O247" s="72"/>
      <c r="P247" s="72"/>
      <c r="Q247" s="72"/>
      <c r="R247" s="72"/>
      <c r="S247" s="72"/>
      <c r="T247" s="72"/>
      <c r="U247" s="72"/>
      <c r="V247" s="72"/>
    </row>
    <row r="248" spans="1:25" ht="27.75" customHeight="1">
      <c r="A248" s="87" t="str">
        <f>IF(ISBLANK(C248)," ",243-COUNTBLANK($C$6:C248))</f>
        <v xml:space="preserve"> </v>
      </c>
      <c r="B248" s="88"/>
      <c r="C248" s="88"/>
      <c r="D248" s="89"/>
      <c r="E248" s="89"/>
      <c r="F248" s="73"/>
      <c r="G248" s="73"/>
      <c r="H248" s="73"/>
      <c r="I248" s="73"/>
      <c r="J248" s="73"/>
      <c r="K248" s="73"/>
      <c r="L248" s="73"/>
      <c r="M248" s="74"/>
      <c r="N248" s="71" t="str">
        <f t="shared" si="3"/>
        <v/>
      </c>
      <c r="O248" s="72"/>
      <c r="P248" s="72"/>
      <c r="Q248" s="72"/>
      <c r="R248" s="72"/>
      <c r="S248" s="72"/>
      <c r="T248" s="72"/>
      <c r="U248" s="72"/>
      <c r="V248" s="72"/>
    </row>
    <row r="249" spans="1:25" ht="27.75" customHeight="1">
      <c r="A249" s="87" t="str">
        <f>IF(ISBLANK(C249)," ",244-COUNTBLANK($C$6:C249))</f>
        <v xml:space="preserve"> </v>
      </c>
      <c r="B249" s="88"/>
      <c r="C249" s="88"/>
      <c r="D249" s="89"/>
      <c r="E249" s="89"/>
      <c r="F249" s="73"/>
      <c r="G249" s="73"/>
      <c r="H249" s="73"/>
      <c r="I249" s="73"/>
      <c r="J249" s="73"/>
      <c r="K249" s="73"/>
      <c r="L249" s="73"/>
      <c r="M249" s="74"/>
      <c r="N249" s="71" t="str">
        <f t="shared" si="3"/>
        <v/>
      </c>
      <c r="O249" s="72"/>
      <c r="P249" s="72"/>
      <c r="Q249" s="72"/>
      <c r="R249" s="72"/>
      <c r="S249" s="72"/>
      <c r="T249" s="72"/>
      <c r="U249" s="72"/>
      <c r="V249" s="72"/>
    </row>
    <row r="250" spans="1:25" ht="27.75" customHeight="1">
      <c r="A250" s="87" t="str">
        <f>IF(ISBLANK(C250)," ",245-COUNTBLANK($C$6:C250))</f>
        <v xml:space="preserve"> </v>
      </c>
      <c r="B250" s="88"/>
      <c r="C250" s="88"/>
      <c r="D250" s="89"/>
      <c r="E250" s="89"/>
      <c r="F250" s="73"/>
      <c r="G250" s="73"/>
      <c r="H250" s="73"/>
      <c r="I250" s="73"/>
      <c r="J250" s="73"/>
      <c r="K250" s="73"/>
      <c r="L250" s="73"/>
      <c r="M250" s="74"/>
      <c r="N250" s="71" t="str">
        <f t="shared" si="3"/>
        <v/>
      </c>
      <c r="O250" s="72"/>
      <c r="P250" s="72"/>
      <c r="Q250" s="72"/>
      <c r="R250" s="72"/>
      <c r="S250" s="72"/>
      <c r="T250" s="72"/>
      <c r="U250" s="72"/>
      <c r="V250" s="72"/>
    </row>
    <row r="251" spans="1:25" ht="27.75" customHeight="1">
      <c r="A251" s="87" t="str">
        <f>IF(ISBLANK(C251)," ",246-COUNTBLANK($C$6:C251))</f>
        <v xml:space="preserve"> </v>
      </c>
      <c r="B251" s="88"/>
      <c r="C251" s="88"/>
      <c r="D251" s="89"/>
      <c r="E251" s="89"/>
      <c r="F251" s="73"/>
      <c r="G251" s="73"/>
      <c r="H251" s="73"/>
      <c r="I251" s="73"/>
      <c r="J251" s="73"/>
      <c r="K251" s="73"/>
      <c r="L251" s="73"/>
      <c r="M251" s="74"/>
      <c r="N251" s="71" t="str">
        <f t="shared" si="3"/>
        <v/>
      </c>
      <c r="O251" s="72"/>
      <c r="P251" s="72"/>
      <c r="Q251" s="72"/>
      <c r="R251" s="72"/>
      <c r="S251" s="72"/>
      <c r="T251" s="72"/>
      <c r="U251" s="72"/>
      <c r="V251" s="72"/>
    </row>
    <row r="252" spans="1:25" ht="27.75" customHeight="1">
      <c r="A252" s="87" t="str">
        <f>IF(ISBLANK(C252)," ",247-COUNTBLANK($C$6:C252))</f>
        <v xml:space="preserve"> </v>
      </c>
      <c r="B252" s="88"/>
      <c r="C252" s="88"/>
      <c r="D252" s="89"/>
      <c r="E252" s="89"/>
      <c r="F252" s="73"/>
      <c r="G252" s="73"/>
      <c r="H252" s="73"/>
      <c r="I252" s="73"/>
      <c r="J252" s="73"/>
      <c r="K252" s="73"/>
      <c r="L252" s="73"/>
      <c r="M252" s="74"/>
      <c r="N252" s="71" t="str">
        <f t="shared" si="3"/>
        <v/>
      </c>
      <c r="O252" s="75"/>
      <c r="P252" s="72"/>
      <c r="Q252" s="72"/>
      <c r="R252" s="72"/>
      <c r="S252" s="72"/>
      <c r="T252" s="72"/>
      <c r="U252" s="72"/>
      <c r="V252" s="76"/>
    </row>
    <row r="253" spans="1:25" ht="27.75" customHeight="1">
      <c r="A253" s="87" t="str">
        <f>IF(ISBLANK(C253)," ",248-COUNTBLANK($C$6:C253))</f>
        <v xml:space="preserve"> </v>
      </c>
      <c r="B253" s="88"/>
      <c r="C253" s="88"/>
      <c r="D253" s="89"/>
      <c r="E253" s="89"/>
      <c r="F253" s="73"/>
      <c r="G253" s="73"/>
      <c r="H253" s="73"/>
      <c r="I253" s="73"/>
      <c r="J253" s="73"/>
      <c r="K253" s="73"/>
      <c r="L253" s="73"/>
      <c r="M253" s="74"/>
      <c r="N253" s="71" t="str">
        <f t="shared" si="3"/>
        <v/>
      </c>
      <c r="O253" s="75"/>
      <c r="P253" s="72"/>
      <c r="Q253" s="72"/>
      <c r="R253" s="72"/>
      <c r="S253" s="72"/>
      <c r="T253" s="72"/>
      <c r="U253" s="72"/>
      <c r="V253" s="76"/>
    </row>
    <row r="254" spans="1:25" ht="27.75" customHeight="1">
      <c r="A254" s="87" t="str">
        <f>IF(ISBLANK(C254)," ",249-COUNTBLANK($C$6:C254))</f>
        <v xml:space="preserve"> </v>
      </c>
      <c r="B254" s="88"/>
      <c r="C254" s="88"/>
      <c r="D254" s="89"/>
      <c r="E254" s="89"/>
      <c r="F254" s="73"/>
      <c r="G254" s="73"/>
      <c r="H254" s="73"/>
      <c r="I254" s="73"/>
      <c r="J254" s="73"/>
      <c r="K254" s="73"/>
      <c r="L254" s="73"/>
      <c r="M254" s="74"/>
      <c r="N254" s="71" t="str">
        <f t="shared" si="3"/>
        <v/>
      </c>
      <c r="O254" s="75"/>
      <c r="P254" s="72"/>
      <c r="Q254" s="72"/>
      <c r="R254" s="72"/>
      <c r="S254" s="72"/>
      <c r="T254" s="72"/>
      <c r="U254" s="72"/>
      <c r="V254" s="76"/>
    </row>
    <row r="255" spans="1:25" ht="27.75" customHeight="1">
      <c r="A255" s="87" t="str">
        <f>IF(ISBLANK(C255)," ",250-COUNTBLANK($C$6:C255))</f>
        <v xml:space="preserve"> </v>
      </c>
      <c r="B255" s="88"/>
      <c r="C255" s="88"/>
      <c r="D255" s="89"/>
      <c r="E255" s="89"/>
      <c r="F255" s="73"/>
      <c r="G255" s="73"/>
      <c r="H255" s="73"/>
      <c r="I255" s="73"/>
      <c r="J255" s="73"/>
      <c r="K255" s="73"/>
      <c r="L255" s="73"/>
      <c r="M255" s="74"/>
      <c r="N255" s="71" t="str">
        <f t="shared" si="3"/>
        <v/>
      </c>
      <c r="O255" s="75"/>
      <c r="P255" s="72"/>
      <c r="Q255" s="72"/>
      <c r="R255" s="72"/>
      <c r="S255" s="72"/>
      <c r="T255" s="72"/>
      <c r="U255" s="72"/>
      <c r="V255" s="76"/>
    </row>
    <row r="256" spans="1:25" ht="27.75" customHeight="1">
      <c r="A256" s="87" t="str">
        <f>IF(ISBLANK(C256)," ",251-COUNTBLANK($C$6:C256))</f>
        <v xml:space="preserve"> </v>
      </c>
      <c r="B256" s="88"/>
      <c r="C256" s="88"/>
      <c r="D256" s="89"/>
      <c r="E256" s="89"/>
      <c r="F256" s="73"/>
      <c r="G256" s="73"/>
      <c r="H256" s="73"/>
      <c r="I256" s="73"/>
      <c r="J256" s="73"/>
      <c r="K256" s="73"/>
      <c r="L256" s="73"/>
      <c r="M256" s="74"/>
      <c r="N256" s="71" t="str">
        <f t="shared" si="3"/>
        <v/>
      </c>
      <c r="O256" s="72"/>
      <c r="P256" s="72"/>
      <c r="Q256" s="72"/>
      <c r="R256" s="72"/>
      <c r="S256" s="72"/>
      <c r="T256" s="72"/>
      <c r="U256" s="72"/>
      <c r="V256" s="79"/>
      <c r="W256" s="72"/>
      <c r="X256" s="72"/>
      <c r="Y256" s="72"/>
    </row>
    <row r="257" spans="1:25" ht="27.75" customHeight="1">
      <c r="A257" s="80" t="s">
        <v>58</v>
      </c>
      <c r="B257" s="81"/>
      <c r="C257" s="96"/>
      <c r="D257" s="82"/>
      <c r="E257" s="82">
        <f>SUM(E237:E256)</f>
        <v>0</v>
      </c>
      <c r="F257" s="83"/>
      <c r="G257" s="83"/>
      <c r="H257" s="83"/>
      <c r="I257" s="83"/>
      <c r="J257" s="83"/>
      <c r="K257" s="83"/>
      <c r="L257" s="83"/>
      <c r="M257" s="84"/>
      <c r="N257" s="71" t="str">
        <f t="shared" si="3"/>
        <v/>
      </c>
      <c r="O257" s="75"/>
      <c r="P257" s="72"/>
      <c r="Q257" s="72"/>
      <c r="R257" s="72"/>
      <c r="S257" s="72"/>
      <c r="T257" s="72"/>
      <c r="U257" s="72"/>
      <c r="V257" s="79"/>
      <c r="W257" s="72"/>
      <c r="X257" s="72"/>
      <c r="Y257" s="72"/>
    </row>
    <row r="258" spans="1:25" ht="27.75" customHeight="1">
      <c r="A258" s="93" t="str">
        <f>IF(ISBLANK(C258)," ",253-COUNTBLANK($C$6:C258))</f>
        <v xml:space="preserve"> </v>
      </c>
      <c r="B258" s="94"/>
      <c r="C258" s="94"/>
      <c r="D258" s="95"/>
      <c r="E258" s="95"/>
      <c r="F258" s="85"/>
      <c r="G258" s="85"/>
      <c r="H258" s="85"/>
      <c r="I258" s="85"/>
      <c r="J258" s="85"/>
      <c r="K258" s="85"/>
      <c r="L258" s="85"/>
      <c r="M258" s="86"/>
      <c r="N258" s="71" t="str">
        <f t="shared" si="3"/>
        <v/>
      </c>
      <c r="O258" s="72"/>
      <c r="P258" s="72"/>
      <c r="Q258" s="72"/>
      <c r="R258" s="72"/>
      <c r="S258" s="72"/>
      <c r="T258" s="72"/>
      <c r="U258" s="72"/>
      <c r="V258" s="72"/>
    </row>
    <row r="259" spans="1:25" ht="27.75" customHeight="1">
      <c r="A259" s="87" t="str">
        <f>IF(ISBLANK(C259)," ",254-COUNTBLANK($C$6:C259))</f>
        <v xml:space="preserve"> </v>
      </c>
      <c r="B259" s="88"/>
      <c r="C259" s="88"/>
      <c r="D259" s="89"/>
      <c r="E259" s="89"/>
      <c r="F259" s="73"/>
      <c r="G259" s="73"/>
      <c r="H259" s="73"/>
      <c r="I259" s="73"/>
      <c r="J259" s="73"/>
      <c r="K259" s="73"/>
      <c r="L259" s="73"/>
      <c r="M259" s="74"/>
      <c r="N259" s="71" t="str">
        <f t="shared" si="3"/>
        <v/>
      </c>
      <c r="O259" s="72"/>
      <c r="P259" s="72"/>
      <c r="Q259" s="72"/>
      <c r="R259" s="72"/>
      <c r="S259" s="72"/>
      <c r="T259" s="72"/>
      <c r="U259" s="72"/>
      <c r="V259" s="72"/>
    </row>
    <row r="260" spans="1:25" ht="27.75" customHeight="1">
      <c r="A260" s="87" t="str">
        <f>IF(ISBLANK(C260)," ",255-COUNTBLANK($C$6:C260))</f>
        <v xml:space="preserve"> </v>
      </c>
      <c r="B260" s="88"/>
      <c r="C260" s="88"/>
      <c r="D260" s="89"/>
      <c r="E260" s="89"/>
      <c r="F260" s="73"/>
      <c r="G260" s="73"/>
      <c r="H260" s="73"/>
      <c r="I260" s="73"/>
      <c r="J260" s="73"/>
      <c r="K260" s="73"/>
      <c r="L260" s="73"/>
      <c r="M260" s="74"/>
      <c r="N260" s="71" t="str">
        <f t="shared" si="3"/>
        <v/>
      </c>
      <c r="O260" s="72"/>
      <c r="P260" s="72"/>
      <c r="Q260" s="72"/>
      <c r="R260" s="72"/>
      <c r="S260" s="72"/>
      <c r="T260" s="72"/>
      <c r="U260" s="72"/>
      <c r="V260" s="72"/>
    </row>
    <row r="261" spans="1:25" ht="27.75" customHeight="1">
      <c r="A261" s="87" t="str">
        <f>IF(ISBLANK(C261)," ",256-COUNTBLANK($C$6:C261))</f>
        <v xml:space="preserve"> </v>
      </c>
      <c r="B261" s="88"/>
      <c r="C261" s="88"/>
      <c r="D261" s="89"/>
      <c r="E261" s="89"/>
      <c r="F261" s="73"/>
      <c r="G261" s="73"/>
      <c r="H261" s="73"/>
      <c r="I261" s="73"/>
      <c r="J261" s="73"/>
      <c r="K261" s="73"/>
      <c r="L261" s="73"/>
      <c r="M261" s="74"/>
      <c r="N261" s="71" t="str">
        <f t="shared" si="3"/>
        <v/>
      </c>
      <c r="O261" s="72"/>
      <c r="P261" s="72"/>
      <c r="Q261" s="72"/>
      <c r="R261" s="72"/>
      <c r="S261" s="72"/>
      <c r="T261" s="72"/>
      <c r="U261" s="72"/>
      <c r="V261" s="72"/>
    </row>
    <row r="262" spans="1:25" ht="27.75" customHeight="1">
      <c r="A262" s="87" t="str">
        <f>IF(ISBLANK(C262)," ",257-COUNTBLANK($C$6:C262))</f>
        <v xml:space="preserve"> </v>
      </c>
      <c r="B262" s="88"/>
      <c r="C262" s="88"/>
      <c r="D262" s="89"/>
      <c r="E262" s="89"/>
      <c r="F262" s="73"/>
      <c r="G262" s="73"/>
      <c r="H262" s="73"/>
      <c r="I262" s="73"/>
      <c r="J262" s="73"/>
      <c r="K262" s="73"/>
      <c r="L262" s="73"/>
      <c r="M262" s="74"/>
      <c r="N262" s="71" t="str">
        <f t="shared" ref="N262:N325" si="4">CONCATENATE(C262,H262)</f>
        <v/>
      </c>
      <c r="O262" s="72"/>
      <c r="P262" s="72"/>
      <c r="Q262" s="72"/>
      <c r="R262" s="72"/>
      <c r="S262" s="72"/>
      <c r="T262" s="72"/>
      <c r="U262" s="72"/>
      <c r="V262" s="72"/>
    </row>
    <row r="263" spans="1:25" ht="27.75" customHeight="1">
      <c r="A263" s="87" t="str">
        <f>IF(ISBLANK(C263)," ",258-COUNTBLANK($C$6:C263))</f>
        <v xml:space="preserve"> </v>
      </c>
      <c r="B263" s="88"/>
      <c r="C263" s="88"/>
      <c r="D263" s="89"/>
      <c r="E263" s="89"/>
      <c r="F263" s="73"/>
      <c r="G263" s="73"/>
      <c r="H263" s="73"/>
      <c r="I263" s="73"/>
      <c r="J263" s="73"/>
      <c r="K263" s="73"/>
      <c r="L263" s="73"/>
      <c r="M263" s="74"/>
      <c r="N263" s="71" t="str">
        <f t="shared" si="4"/>
        <v/>
      </c>
      <c r="O263" s="72"/>
      <c r="P263" s="72"/>
      <c r="Q263" s="72"/>
      <c r="R263" s="72"/>
      <c r="S263" s="72"/>
      <c r="T263" s="72"/>
      <c r="U263" s="72"/>
      <c r="V263" s="72"/>
    </row>
    <row r="264" spans="1:25" ht="27.75" customHeight="1">
      <c r="A264" s="87" t="str">
        <f>IF(ISBLANK(C264)," ",259-COUNTBLANK($C$6:C264))</f>
        <v xml:space="preserve"> </v>
      </c>
      <c r="B264" s="88"/>
      <c r="C264" s="88"/>
      <c r="D264" s="89"/>
      <c r="E264" s="89"/>
      <c r="F264" s="73"/>
      <c r="G264" s="73"/>
      <c r="H264" s="73"/>
      <c r="I264" s="73"/>
      <c r="J264" s="73"/>
      <c r="K264" s="73"/>
      <c r="L264" s="73"/>
      <c r="M264" s="74"/>
      <c r="N264" s="71" t="str">
        <f t="shared" si="4"/>
        <v/>
      </c>
      <c r="O264" s="72"/>
      <c r="P264" s="72"/>
      <c r="Q264" s="72"/>
      <c r="R264" s="72"/>
      <c r="S264" s="72"/>
      <c r="T264" s="72"/>
      <c r="U264" s="72"/>
      <c r="V264" s="72"/>
    </row>
    <row r="265" spans="1:25" ht="27.75" customHeight="1">
      <c r="A265" s="87" t="str">
        <f>IF(ISBLANK(C265)," ",260-COUNTBLANK($C$6:C265))</f>
        <v xml:space="preserve"> </v>
      </c>
      <c r="B265" s="88"/>
      <c r="C265" s="88"/>
      <c r="D265" s="89"/>
      <c r="E265" s="89"/>
      <c r="F265" s="73"/>
      <c r="G265" s="73"/>
      <c r="H265" s="73"/>
      <c r="I265" s="73"/>
      <c r="J265" s="73"/>
      <c r="K265" s="73"/>
      <c r="L265" s="73"/>
      <c r="M265" s="74"/>
      <c r="N265" s="71" t="str">
        <f t="shared" si="4"/>
        <v/>
      </c>
      <c r="O265" s="72"/>
      <c r="P265" s="72"/>
      <c r="Q265" s="72"/>
      <c r="R265" s="72"/>
      <c r="S265" s="72"/>
      <c r="T265" s="72"/>
      <c r="U265" s="72"/>
      <c r="V265" s="72"/>
    </row>
    <row r="266" spans="1:25" ht="27.75" customHeight="1">
      <c r="A266" s="87" t="str">
        <f>IF(ISBLANK(C266)," ",261-COUNTBLANK($C$6:C266))</f>
        <v xml:space="preserve"> </v>
      </c>
      <c r="B266" s="88"/>
      <c r="C266" s="88"/>
      <c r="D266" s="89"/>
      <c r="E266" s="89"/>
      <c r="F266" s="73"/>
      <c r="G266" s="73"/>
      <c r="H266" s="73"/>
      <c r="I266" s="73"/>
      <c r="J266" s="73"/>
      <c r="K266" s="73"/>
      <c r="L266" s="73"/>
      <c r="M266" s="74"/>
      <c r="N266" s="71" t="str">
        <f t="shared" si="4"/>
        <v/>
      </c>
      <c r="O266" s="72"/>
      <c r="P266" s="72"/>
      <c r="Q266" s="72"/>
      <c r="R266" s="72"/>
      <c r="S266" s="72"/>
      <c r="T266" s="72"/>
      <c r="U266" s="72"/>
      <c r="V266" s="72"/>
    </row>
    <row r="267" spans="1:25" ht="27.75" customHeight="1">
      <c r="A267" s="87" t="str">
        <f>IF(ISBLANK(C267)," ",262-COUNTBLANK($C$6:C267))</f>
        <v xml:space="preserve"> </v>
      </c>
      <c r="B267" s="88"/>
      <c r="C267" s="88"/>
      <c r="D267" s="89"/>
      <c r="E267" s="89"/>
      <c r="F267" s="73"/>
      <c r="G267" s="73"/>
      <c r="H267" s="73"/>
      <c r="I267" s="73"/>
      <c r="J267" s="73"/>
      <c r="K267" s="73"/>
      <c r="L267" s="73"/>
      <c r="M267" s="74"/>
      <c r="N267" s="71" t="str">
        <f t="shared" si="4"/>
        <v/>
      </c>
      <c r="O267" s="72"/>
      <c r="P267" s="72"/>
      <c r="Q267" s="72"/>
      <c r="R267" s="72"/>
      <c r="S267" s="72"/>
      <c r="T267" s="72"/>
      <c r="U267" s="72"/>
      <c r="V267" s="72"/>
    </row>
    <row r="268" spans="1:25" ht="27.75" customHeight="1">
      <c r="A268" s="87" t="str">
        <f>IF(ISBLANK(C268)," ",263-COUNTBLANK($C$6:C268))</f>
        <v xml:space="preserve"> </v>
      </c>
      <c r="B268" s="88"/>
      <c r="C268" s="88"/>
      <c r="D268" s="89"/>
      <c r="E268" s="89"/>
      <c r="F268" s="73"/>
      <c r="G268" s="73"/>
      <c r="H268" s="73"/>
      <c r="I268" s="73"/>
      <c r="J268" s="73"/>
      <c r="K268" s="73"/>
      <c r="L268" s="73"/>
      <c r="M268" s="74"/>
      <c r="N268" s="71" t="str">
        <f t="shared" si="4"/>
        <v/>
      </c>
      <c r="O268" s="72"/>
      <c r="P268" s="72"/>
      <c r="Q268" s="72"/>
      <c r="R268" s="72"/>
      <c r="S268" s="72"/>
      <c r="T268" s="72"/>
      <c r="U268" s="72"/>
      <c r="V268" s="72"/>
    </row>
    <row r="269" spans="1:25" ht="27.75" customHeight="1">
      <c r="A269" s="87" t="str">
        <f>IF(ISBLANK(C269)," ",264-COUNTBLANK($C$6:C269))</f>
        <v xml:space="preserve"> </v>
      </c>
      <c r="B269" s="88"/>
      <c r="C269" s="88"/>
      <c r="D269" s="89"/>
      <c r="E269" s="89"/>
      <c r="F269" s="73"/>
      <c r="G269" s="73"/>
      <c r="H269" s="73"/>
      <c r="I269" s="73"/>
      <c r="J269" s="73"/>
      <c r="K269" s="73"/>
      <c r="L269" s="73"/>
      <c r="M269" s="74"/>
      <c r="N269" s="71" t="str">
        <f t="shared" si="4"/>
        <v/>
      </c>
      <c r="O269" s="72"/>
      <c r="P269" s="72"/>
      <c r="Q269" s="72"/>
      <c r="R269" s="72"/>
      <c r="S269" s="72"/>
      <c r="T269" s="72"/>
      <c r="U269" s="72"/>
      <c r="V269" s="72"/>
    </row>
    <row r="270" spans="1:25" ht="27.75" customHeight="1">
      <c r="A270" s="87" t="str">
        <f>IF(ISBLANK(C270)," ",265-COUNTBLANK($C$6:C270))</f>
        <v xml:space="preserve"> </v>
      </c>
      <c r="B270" s="88"/>
      <c r="C270" s="88"/>
      <c r="D270" s="89"/>
      <c r="E270" s="89"/>
      <c r="F270" s="73"/>
      <c r="G270" s="73"/>
      <c r="H270" s="73"/>
      <c r="I270" s="73"/>
      <c r="J270" s="73"/>
      <c r="K270" s="73"/>
      <c r="L270" s="73"/>
      <c r="M270" s="74"/>
      <c r="N270" s="71" t="str">
        <f t="shared" si="4"/>
        <v/>
      </c>
      <c r="O270" s="72"/>
      <c r="P270" s="72"/>
      <c r="Q270" s="72"/>
      <c r="R270" s="72"/>
      <c r="S270" s="72"/>
      <c r="T270" s="72"/>
      <c r="U270" s="72"/>
      <c r="V270" s="72"/>
    </row>
    <row r="271" spans="1:25" ht="27.75" customHeight="1">
      <c r="A271" s="87" t="str">
        <f>IF(ISBLANK(C271)," ",266-COUNTBLANK($C$6:C271))</f>
        <v xml:space="preserve"> </v>
      </c>
      <c r="B271" s="88"/>
      <c r="C271" s="88"/>
      <c r="D271" s="89"/>
      <c r="E271" s="89"/>
      <c r="F271" s="73"/>
      <c r="G271" s="73"/>
      <c r="H271" s="73"/>
      <c r="I271" s="73"/>
      <c r="J271" s="73"/>
      <c r="K271" s="73"/>
      <c r="L271" s="73"/>
      <c r="M271" s="74"/>
      <c r="N271" s="71" t="str">
        <f t="shared" si="4"/>
        <v/>
      </c>
      <c r="O271" s="72"/>
      <c r="P271" s="72"/>
      <c r="Q271" s="72"/>
      <c r="R271" s="72"/>
      <c r="S271" s="72"/>
      <c r="T271" s="72"/>
      <c r="U271" s="72"/>
      <c r="V271" s="72"/>
    </row>
    <row r="272" spans="1:25" ht="27.75" customHeight="1">
      <c r="A272" s="87" t="str">
        <f>IF(ISBLANK(C272)," ",267-COUNTBLANK($C$6:C272))</f>
        <v xml:space="preserve"> </v>
      </c>
      <c r="B272" s="88"/>
      <c r="C272" s="88"/>
      <c r="D272" s="89"/>
      <c r="E272" s="89"/>
      <c r="F272" s="73"/>
      <c r="G272" s="73"/>
      <c r="H272" s="73"/>
      <c r="I272" s="73"/>
      <c r="J272" s="73"/>
      <c r="K272" s="73"/>
      <c r="L272" s="73"/>
      <c r="M272" s="74"/>
      <c r="N272" s="71" t="str">
        <f t="shared" si="4"/>
        <v/>
      </c>
      <c r="O272" s="72"/>
      <c r="P272" s="72"/>
      <c r="Q272" s="72"/>
      <c r="R272" s="72"/>
      <c r="S272" s="72"/>
      <c r="T272" s="72"/>
      <c r="U272" s="72"/>
      <c r="V272" s="72"/>
    </row>
    <row r="273" spans="1:25" ht="27.75" customHeight="1">
      <c r="A273" s="87" t="str">
        <f>IF(ISBLANK(C273)," ",268-COUNTBLANK($C$6:C273))</f>
        <v xml:space="preserve"> </v>
      </c>
      <c r="B273" s="88"/>
      <c r="C273" s="88"/>
      <c r="D273" s="89"/>
      <c r="E273" s="89"/>
      <c r="F273" s="73"/>
      <c r="G273" s="73"/>
      <c r="H273" s="73"/>
      <c r="I273" s="73"/>
      <c r="J273" s="73"/>
      <c r="K273" s="73"/>
      <c r="L273" s="73"/>
      <c r="M273" s="74"/>
      <c r="N273" s="71" t="str">
        <f t="shared" si="4"/>
        <v/>
      </c>
      <c r="O273" s="75"/>
      <c r="P273" s="72"/>
      <c r="Q273" s="72"/>
      <c r="R273" s="72"/>
      <c r="S273" s="72"/>
      <c r="T273" s="72"/>
      <c r="U273" s="72"/>
      <c r="V273" s="76"/>
    </row>
    <row r="274" spans="1:25" ht="27.75" customHeight="1">
      <c r="A274" s="87" t="str">
        <f>IF(ISBLANK(C274)," ",269-COUNTBLANK($C$6:C274))</f>
        <v xml:space="preserve"> </v>
      </c>
      <c r="B274" s="88"/>
      <c r="C274" s="88"/>
      <c r="D274" s="89"/>
      <c r="E274" s="89"/>
      <c r="F274" s="73"/>
      <c r="G274" s="73"/>
      <c r="H274" s="73"/>
      <c r="I274" s="73"/>
      <c r="J274" s="73"/>
      <c r="K274" s="73"/>
      <c r="L274" s="73"/>
      <c r="M274" s="74"/>
      <c r="N274" s="71" t="str">
        <f t="shared" si="4"/>
        <v/>
      </c>
      <c r="O274" s="75"/>
      <c r="P274" s="72"/>
      <c r="Q274" s="72"/>
      <c r="R274" s="72"/>
      <c r="S274" s="72"/>
      <c r="T274" s="72"/>
      <c r="U274" s="72"/>
      <c r="V274" s="76"/>
    </row>
    <row r="275" spans="1:25" ht="27.75" customHeight="1">
      <c r="A275" s="87" t="str">
        <f>IF(ISBLANK(C275)," ",270-COUNTBLANK($C$6:C275))</f>
        <v xml:space="preserve"> </v>
      </c>
      <c r="B275" s="88"/>
      <c r="C275" s="88"/>
      <c r="D275" s="89"/>
      <c r="E275" s="89"/>
      <c r="F275" s="73"/>
      <c r="G275" s="73"/>
      <c r="H275" s="73"/>
      <c r="I275" s="73"/>
      <c r="J275" s="73"/>
      <c r="K275" s="73"/>
      <c r="L275" s="73"/>
      <c r="M275" s="74"/>
      <c r="N275" s="71" t="str">
        <f t="shared" si="4"/>
        <v/>
      </c>
      <c r="O275" s="75"/>
      <c r="P275" s="72"/>
      <c r="Q275" s="72"/>
      <c r="R275" s="72"/>
      <c r="S275" s="72"/>
      <c r="T275" s="72"/>
      <c r="U275" s="72"/>
      <c r="V275" s="76"/>
    </row>
    <row r="276" spans="1:25" ht="27.75" customHeight="1">
      <c r="A276" s="87" t="str">
        <f>IF(ISBLANK(C276)," ",271-COUNTBLANK($C$6:C276))</f>
        <v xml:space="preserve"> </v>
      </c>
      <c r="B276" s="88"/>
      <c r="C276" s="88"/>
      <c r="D276" s="89"/>
      <c r="E276" s="89"/>
      <c r="F276" s="73"/>
      <c r="G276" s="73"/>
      <c r="H276" s="73"/>
      <c r="I276" s="73"/>
      <c r="J276" s="73"/>
      <c r="K276" s="73"/>
      <c r="L276" s="73"/>
      <c r="M276" s="74"/>
      <c r="N276" s="71" t="str">
        <f t="shared" si="4"/>
        <v/>
      </c>
      <c r="O276" s="75"/>
      <c r="P276" s="72"/>
      <c r="Q276" s="72"/>
      <c r="R276" s="72"/>
      <c r="S276" s="72"/>
      <c r="T276" s="72"/>
      <c r="U276" s="72"/>
      <c r="V276" s="76"/>
    </row>
    <row r="277" spans="1:25" ht="27.75" customHeight="1">
      <c r="A277" s="87" t="str">
        <f>IF(ISBLANK(C277)," ",272-COUNTBLANK($C$6:C277))</f>
        <v xml:space="preserve"> </v>
      </c>
      <c r="B277" s="88"/>
      <c r="C277" s="88"/>
      <c r="D277" s="89"/>
      <c r="E277" s="89"/>
      <c r="F277" s="73"/>
      <c r="G277" s="73"/>
      <c r="H277" s="73"/>
      <c r="I277" s="73"/>
      <c r="J277" s="73"/>
      <c r="K277" s="73"/>
      <c r="L277" s="73"/>
      <c r="M277" s="74"/>
      <c r="N277" s="71" t="str">
        <f t="shared" si="4"/>
        <v/>
      </c>
      <c r="O277" s="72"/>
      <c r="P277" s="72"/>
      <c r="Q277" s="72"/>
      <c r="R277" s="72"/>
      <c r="S277" s="72"/>
      <c r="T277" s="72"/>
      <c r="U277" s="72"/>
      <c r="V277" s="79"/>
      <c r="W277" s="72"/>
      <c r="X277" s="72"/>
      <c r="Y277" s="72"/>
    </row>
    <row r="278" spans="1:25" ht="27.75" customHeight="1">
      <c r="A278" s="80" t="s">
        <v>58</v>
      </c>
      <c r="B278" s="81"/>
      <c r="C278" s="96"/>
      <c r="D278" s="82"/>
      <c r="E278" s="82">
        <f>SUM(E258:E277)</f>
        <v>0</v>
      </c>
      <c r="F278" s="83"/>
      <c r="G278" s="83"/>
      <c r="H278" s="83"/>
      <c r="I278" s="83"/>
      <c r="J278" s="83"/>
      <c r="K278" s="83"/>
      <c r="L278" s="83"/>
      <c r="M278" s="84"/>
      <c r="N278" s="71" t="str">
        <f t="shared" si="4"/>
        <v/>
      </c>
      <c r="O278" s="75"/>
      <c r="P278" s="72"/>
      <c r="Q278" s="72"/>
      <c r="R278" s="72"/>
      <c r="S278" s="72"/>
      <c r="T278" s="72"/>
      <c r="U278" s="72"/>
      <c r="V278" s="79"/>
      <c r="W278" s="72"/>
      <c r="X278" s="72"/>
      <c r="Y278" s="72"/>
    </row>
    <row r="279" spans="1:25" ht="27.75" customHeight="1">
      <c r="A279" s="93" t="str">
        <f>IF(ISBLANK(C279)," ",274-COUNTBLANK($C$6:C279))</f>
        <v xml:space="preserve"> </v>
      </c>
      <c r="B279" s="94"/>
      <c r="C279" s="94"/>
      <c r="D279" s="95"/>
      <c r="E279" s="95"/>
      <c r="F279" s="85"/>
      <c r="G279" s="85"/>
      <c r="H279" s="85"/>
      <c r="I279" s="85"/>
      <c r="J279" s="85"/>
      <c r="K279" s="85"/>
      <c r="L279" s="85"/>
      <c r="M279" s="86"/>
      <c r="N279" s="71" t="str">
        <f t="shared" si="4"/>
        <v/>
      </c>
      <c r="O279" s="72"/>
      <c r="P279" s="72"/>
      <c r="Q279" s="72"/>
      <c r="R279" s="72"/>
      <c r="S279" s="72"/>
      <c r="T279" s="72"/>
      <c r="U279" s="72"/>
      <c r="V279" s="72"/>
    </row>
    <row r="280" spans="1:25" ht="27.75" customHeight="1">
      <c r="A280" s="87" t="str">
        <f>IF(ISBLANK(C280)," ",275-COUNTBLANK($C$6:C280))</f>
        <v xml:space="preserve"> </v>
      </c>
      <c r="B280" s="88"/>
      <c r="C280" s="88"/>
      <c r="D280" s="89"/>
      <c r="E280" s="89"/>
      <c r="F280" s="73"/>
      <c r="G280" s="73"/>
      <c r="H280" s="73"/>
      <c r="I280" s="73"/>
      <c r="J280" s="73"/>
      <c r="K280" s="73"/>
      <c r="L280" s="73"/>
      <c r="M280" s="74"/>
      <c r="N280" s="71" t="str">
        <f t="shared" si="4"/>
        <v/>
      </c>
      <c r="O280" s="72"/>
      <c r="P280" s="72"/>
      <c r="Q280" s="72"/>
      <c r="R280" s="72"/>
      <c r="S280" s="72"/>
      <c r="T280" s="72"/>
      <c r="U280" s="72"/>
      <c r="V280" s="72"/>
    </row>
    <row r="281" spans="1:25" ht="27.75" customHeight="1">
      <c r="A281" s="87" t="str">
        <f>IF(ISBLANK(C281)," ",276-COUNTBLANK($C$6:C281))</f>
        <v xml:space="preserve"> </v>
      </c>
      <c r="B281" s="88"/>
      <c r="C281" s="88"/>
      <c r="D281" s="89"/>
      <c r="E281" s="89"/>
      <c r="F281" s="73"/>
      <c r="G281" s="73"/>
      <c r="H281" s="73"/>
      <c r="I281" s="73"/>
      <c r="J281" s="73"/>
      <c r="K281" s="73"/>
      <c r="L281" s="73"/>
      <c r="M281" s="74"/>
      <c r="N281" s="71" t="str">
        <f t="shared" si="4"/>
        <v/>
      </c>
      <c r="O281" s="72"/>
      <c r="P281" s="72"/>
      <c r="Q281" s="72"/>
      <c r="R281" s="72"/>
      <c r="S281" s="72"/>
      <c r="T281" s="72"/>
      <c r="U281" s="72"/>
      <c r="V281" s="72"/>
    </row>
    <row r="282" spans="1:25" ht="27.75" customHeight="1">
      <c r="A282" s="87" t="str">
        <f>IF(ISBLANK(C282)," ",277-COUNTBLANK($C$6:C282))</f>
        <v xml:space="preserve"> </v>
      </c>
      <c r="B282" s="88"/>
      <c r="C282" s="88"/>
      <c r="D282" s="89"/>
      <c r="E282" s="89"/>
      <c r="F282" s="73"/>
      <c r="G282" s="73"/>
      <c r="H282" s="73"/>
      <c r="I282" s="73"/>
      <c r="J282" s="73"/>
      <c r="K282" s="73"/>
      <c r="L282" s="73"/>
      <c r="M282" s="74"/>
      <c r="N282" s="71" t="str">
        <f t="shared" si="4"/>
        <v/>
      </c>
      <c r="O282" s="72"/>
      <c r="P282" s="72"/>
      <c r="Q282" s="72"/>
      <c r="R282" s="72"/>
      <c r="S282" s="72"/>
      <c r="T282" s="72"/>
      <c r="U282" s="72"/>
      <c r="V282" s="72"/>
    </row>
    <row r="283" spans="1:25" ht="27.75" customHeight="1">
      <c r="A283" s="87" t="str">
        <f>IF(ISBLANK(C283)," ",278-COUNTBLANK($C$6:C283))</f>
        <v xml:space="preserve"> </v>
      </c>
      <c r="B283" s="88"/>
      <c r="C283" s="88"/>
      <c r="D283" s="89"/>
      <c r="E283" s="89"/>
      <c r="F283" s="73"/>
      <c r="G283" s="73"/>
      <c r="H283" s="73"/>
      <c r="I283" s="73"/>
      <c r="J283" s="73"/>
      <c r="K283" s="73"/>
      <c r="L283" s="73"/>
      <c r="M283" s="74"/>
      <c r="N283" s="71" t="str">
        <f t="shared" si="4"/>
        <v/>
      </c>
      <c r="O283" s="72"/>
      <c r="P283" s="72"/>
      <c r="Q283" s="72"/>
      <c r="R283" s="72"/>
      <c r="S283" s="72"/>
      <c r="T283" s="72"/>
      <c r="U283" s="72"/>
      <c r="V283" s="72"/>
    </row>
    <row r="284" spans="1:25" ht="27.75" customHeight="1">
      <c r="A284" s="87" t="str">
        <f>IF(ISBLANK(C284)," ",279-COUNTBLANK($C$6:C284))</f>
        <v xml:space="preserve"> </v>
      </c>
      <c r="B284" s="88"/>
      <c r="C284" s="88"/>
      <c r="D284" s="89"/>
      <c r="E284" s="89"/>
      <c r="F284" s="73"/>
      <c r="G284" s="73"/>
      <c r="H284" s="73"/>
      <c r="I284" s="73"/>
      <c r="J284" s="73"/>
      <c r="K284" s="73"/>
      <c r="L284" s="73"/>
      <c r="M284" s="74"/>
      <c r="N284" s="71" t="str">
        <f t="shared" si="4"/>
        <v/>
      </c>
      <c r="O284" s="72"/>
      <c r="P284" s="72"/>
      <c r="Q284" s="72"/>
      <c r="R284" s="72"/>
      <c r="S284" s="72"/>
      <c r="T284" s="72"/>
      <c r="U284" s="72"/>
      <c r="V284" s="72"/>
    </row>
    <row r="285" spans="1:25" ht="27.75" customHeight="1">
      <c r="A285" s="87" t="str">
        <f>IF(ISBLANK(C285)," ",280-COUNTBLANK($C$6:C285))</f>
        <v xml:space="preserve"> </v>
      </c>
      <c r="B285" s="88"/>
      <c r="C285" s="88"/>
      <c r="D285" s="89"/>
      <c r="E285" s="89"/>
      <c r="F285" s="73"/>
      <c r="G285" s="73"/>
      <c r="H285" s="73"/>
      <c r="I285" s="73"/>
      <c r="J285" s="73"/>
      <c r="K285" s="73"/>
      <c r="L285" s="73"/>
      <c r="M285" s="74"/>
      <c r="N285" s="71" t="str">
        <f t="shared" si="4"/>
        <v/>
      </c>
      <c r="O285" s="72"/>
      <c r="P285" s="72"/>
      <c r="Q285" s="72"/>
      <c r="R285" s="72"/>
      <c r="S285" s="72"/>
      <c r="T285" s="72"/>
      <c r="U285" s="72"/>
      <c r="V285" s="72"/>
    </row>
    <row r="286" spans="1:25" ht="27.75" customHeight="1">
      <c r="A286" s="87" t="str">
        <f>IF(ISBLANK(C286)," ",281-COUNTBLANK($C$6:C286))</f>
        <v xml:space="preserve"> </v>
      </c>
      <c r="B286" s="88"/>
      <c r="C286" s="88"/>
      <c r="D286" s="89"/>
      <c r="E286" s="89"/>
      <c r="F286" s="73"/>
      <c r="G286" s="73"/>
      <c r="H286" s="73"/>
      <c r="I286" s="73"/>
      <c r="J286" s="73"/>
      <c r="K286" s="73"/>
      <c r="L286" s="73"/>
      <c r="M286" s="74"/>
      <c r="N286" s="71" t="str">
        <f t="shared" si="4"/>
        <v/>
      </c>
      <c r="O286" s="72"/>
      <c r="P286" s="72"/>
      <c r="Q286" s="72"/>
      <c r="R286" s="72"/>
      <c r="S286" s="72"/>
      <c r="T286" s="72"/>
      <c r="U286" s="72"/>
      <c r="V286" s="72"/>
    </row>
    <row r="287" spans="1:25" ht="27.75" customHeight="1">
      <c r="A287" s="87" t="str">
        <f>IF(ISBLANK(C287)," ",282-COUNTBLANK($C$6:C287))</f>
        <v xml:space="preserve"> </v>
      </c>
      <c r="B287" s="88"/>
      <c r="C287" s="88"/>
      <c r="D287" s="89"/>
      <c r="E287" s="89"/>
      <c r="F287" s="73"/>
      <c r="G287" s="73"/>
      <c r="H287" s="73"/>
      <c r="I287" s="73"/>
      <c r="J287" s="73"/>
      <c r="K287" s="73"/>
      <c r="L287" s="73"/>
      <c r="M287" s="74"/>
      <c r="N287" s="71" t="str">
        <f t="shared" si="4"/>
        <v/>
      </c>
      <c r="O287" s="72"/>
      <c r="P287" s="72"/>
      <c r="Q287" s="72"/>
      <c r="R287" s="72"/>
      <c r="S287" s="72"/>
      <c r="T287" s="72"/>
      <c r="U287" s="72"/>
      <c r="V287" s="72"/>
    </row>
    <row r="288" spans="1:25" ht="27.75" customHeight="1">
      <c r="A288" s="87" t="str">
        <f>IF(ISBLANK(C288)," ",283-COUNTBLANK($C$6:C288))</f>
        <v xml:space="preserve"> </v>
      </c>
      <c r="B288" s="88"/>
      <c r="C288" s="88"/>
      <c r="D288" s="89"/>
      <c r="E288" s="89"/>
      <c r="F288" s="73"/>
      <c r="G288" s="73"/>
      <c r="H288" s="73"/>
      <c r="I288" s="73"/>
      <c r="J288" s="73"/>
      <c r="K288" s="73"/>
      <c r="L288" s="73"/>
      <c r="M288" s="74"/>
      <c r="N288" s="71" t="str">
        <f t="shared" si="4"/>
        <v/>
      </c>
      <c r="O288" s="72"/>
      <c r="P288" s="72"/>
      <c r="Q288" s="72"/>
      <c r="R288" s="72"/>
      <c r="S288" s="72"/>
      <c r="T288" s="72"/>
      <c r="U288" s="72"/>
      <c r="V288" s="72"/>
    </row>
    <row r="289" spans="1:25" ht="27.75" customHeight="1">
      <c r="A289" s="87" t="str">
        <f>IF(ISBLANK(C289)," ",284-COUNTBLANK($C$6:C289))</f>
        <v xml:space="preserve"> </v>
      </c>
      <c r="B289" s="88"/>
      <c r="C289" s="88"/>
      <c r="D289" s="89"/>
      <c r="E289" s="89"/>
      <c r="F289" s="73"/>
      <c r="G289" s="73"/>
      <c r="H289" s="73"/>
      <c r="I289" s="73"/>
      <c r="J289" s="73"/>
      <c r="K289" s="73"/>
      <c r="L289" s="73"/>
      <c r="M289" s="74"/>
      <c r="N289" s="71" t="str">
        <f t="shared" si="4"/>
        <v/>
      </c>
      <c r="O289" s="72"/>
      <c r="P289" s="72"/>
      <c r="Q289" s="72"/>
      <c r="R289" s="72"/>
      <c r="S289" s="72"/>
      <c r="T289" s="72"/>
      <c r="U289" s="72"/>
      <c r="V289" s="72"/>
    </row>
    <row r="290" spans="1:25" ht="27.75" customHeight="1">
      <c r="A290" s="87" t="str">
        <f>IF(ISBLANK(C290)," ",285-COUNTBLANK($C$6:C290))</f>
        <v xml:space="preserve"> </v>
      </c>
      <c r="B290" s="88"/>
      <c r="C290" s="88"/>
      <c r="D290" s="89"/>
      <c r="E290" s="89"/>
      <c r="F290" s="73"/>
      <c r="G290" s="73"/>
      <c r="H290" s="73"/>
      <c r="I290" s="73"/>
      <c r="J290" s="73"/>
      <c r="K290" s="73"/>
      <c r="L290" s="73"/>
      <c r="M290" s="74"/>
      <c r="N290" s="71" t="str">
        <f t="shared" si="4"/>
        <v/>
      </c>
      <c r="O290" s="72"/>
      <c r="P290" s="72"/>
      <c r="Q290" s="72"/>
      <c r="R290" s="72"/>
      <c r="S290" s="72"/>
      <c r="T290" s="72"/>
      <c r="U290" s="72"/>
      <c r="V290" s="72"/>
    </row>
    <row r="291" spans="1:25" ht="27.75" customHeight="1">
      <c r="A291" s="87" t="str">
        <f>IF(ISBLANK(C291)," ",286-COUNTBLANK($C$6:C291))</f>
        <v xml:space="preserve"> </v>
      </c>
      <c r="B291" s="88"/>
      <c r="C291" s="88"/>
      <c r="D291" s="89"/>
      <c r="E291" s="89"/>
      <c r="F291" s="73"/>
      <c r="G291" s="73"/>
      <c r="H291" s="73"/>
      <c r="I291" s="73"/>
      <c r="J291" s="73"/>
      <c r="K291" s="73"/>
      <c r="L291" s="73"/>
      <c r="M291" s="74"/>
      <c r="N291" s="71" t="str">
        <f t="shared" si="4"/>
        <v/>
      </c>
      <c r="O291" s="72"/>
      <c r="P291" s="72"/>
      <c r="Q291" s="72"/>
      <c r="R291" s="72"/>
      <c r="S291" s="72"/>
      <c r="T291" s="72"/>
      <c r="U291" s="72"/>
      <c r="V291" s="72"/>
    </row>
    <row r="292" spans="1:25" ht="27.75" customHeight="1">
      <c r="A292" s="87" t="str">
        <f>IF(ISBLANK(C292)," ",287-COUNTBLANK($C$6:C292))</f>
        <v xml:space="preserve"> </v>
      </c>
      <c r="B292" s="88"/>
      <c r="C292" s="88"/>
      <c r="D292" s="89"/>
      <c r="E292" s="89"/>
      <c r="F292" s="73"/>
      <c r="G292" s="73"/>
      <c r="H292" s="73"/>
      <c r="I292" s="73"/>
      <c r="J292" s="73"/>
      <c r="K292" s="73"/>
      <c r="L292" s="73"/>
      <c r="M292" s="74"/>
      <c r="N292" s="71" t="str">
        <f t="shared" si="4"/>
        <v/>
      </c>
      <c r="O292" s="72"/>
      <c r="P292" s="72"/>
      <c r="Q292" s="72"/>
      <c r="R292" s="72"/>
      <c r="S292" s="72"/>
      <c r="T292" s="72"/>
      <c r="U292" s="72"/>
      <c r="V292" s="72"/>
    </row>
    <row r="293" spans="1:25" ht="27.75" customHeight="1">
      <c r="A293" s="87" t="str">
        <f>IF(ISBLANK(C293)," ",288-COUNTBLANK($C$6:C293))</f>
        <v xml:space="preserve"> </v>
      </c>
      <c r="B293" s="88"/>
      <c r="C293" s="88"/>
      <c r="D293" s="89"/>
      <c r="E293" s="89"/>
      <c r="F293" s="73"/>
      <c r="G293" s="73"/>
      <c r="H293" s="73"/>
      <c r="I293" s="73"/>
      <c r="J293" s="73"/>
      <c r="K293" s="73"/>
      <c r="L293" s="73"/>
      <c r="M293" s="74"/>
      <c r="N293" s="71" t="str">
        <f t="shared" si="4"/>
        <v/>
      </c>
      <c r="O293" s="72"/>
      <c r="P293" s="72"/>
      <c r="Q293" s="72"/>
      <c r="R293" s="72"/>
      <c r="S293" s="72"/>
      <c r="T293" s="72"/>
      <c r="U293" s="72"/>
      <c r="V293" s="72"/>
    </row>
    <row r="294" spans="1:25" ht="27.75" customHeight="1">
      <c r="A294" s="87" t="str">
        <f>IF(ISBLANK(C294)," ",289-COUNTBLANK($C$6:C294))</f>
        <v xml:space="preserve"> </v>
      </c>
      <c r="B294" s="88"/>
      <c r="C294" s="88"/>
      <c r="D294" s="89"/>
      <c r="E294" s="89"/>
      <c r="F294" s="73"/>
      <c r="G294" s="73"/>
      <c r="H294" s="73"/>
      <c r="I294" s="73"/>
      <c r="J294" s="73"/>
      <c r="K294" s="73"/>
      <c r="L294" s="73"/>
      <c r="M294" s="74"/>
      <c r="N294" s="71" t="str">
        <f t="shared" si="4"/>
        <v/>
      </c>
      <c r="O294" s="75"/>
      <c r="P294" s="72"/>
      <c r="Q294" s="72"/>
      <c r="R294" s="72"/>
      <c r="S294" s="72"/>
      <c r="T294" s="72"/>
      <c r="U294" s="72"/>
      <c r="V294" s="76"/>
    </row>
    <row r="295" spans="1:25" ht="27.75" customHeight="1">
      <c r="A295" s="87" t="str">
        <f>IF(ISBLANK(C295)," ",290-COUNTBLANK($C$6:C295))</f>
        <v xml:space="preserve"> </v>
      </c>
      <c r="B295" s="88"/>
      <c r="C295" s="88"/>
      <c r="D295" s="89"/>
      <c r="E295" s="89"/>
      <c r="F295" s="73"/>
      <c r="G295" s="73"/>
      <c r="H295" s="73"/>
      <c r="I295" s="73"/>
      <c r="J295" s="73"/>
      <c r="K295" s="73"/>
      <c r="L295" s="73"/>
      <c r="M295" s="74"/>
      <c r="N295" s="71" t="str">
        <f t="shared" si="4"/>
        <v/>
      </c>
      <c r="O295" s="75"/>
      <c r="P295" s="72"/>
      <c r="Q295" s="72"/>
      <c r="R295" s="72"/>
      <c r="S295" s="72"/>
      <c r="T295" s="72"/>
      <c r="U295" s="72"/>
      <c r="V295" s="76"/>
    </row>
    <row r="296" spans="1:25" ht="27.75" customHeight="1">
      <c r="A296" s="87" t="str">
        <f>IF(ISBLANK(C296)," ",291-COUNTBLANK($C$6:C296))</f>
        <v xml:space="preserve"> </v>
      </c>
      <c r="B296" s="88"/>
      <c r="C296" s="88"/>
      <c r="D296" s="89"/>
      <c r="E296" s="89"/>
      <c r="F296" s="73"/>
      <c r="G296" s="73"/>
      <c r="H296" s="73"/>
      <c r="I296" s="73"/>
      <c r="J296" s="73"/>
      <c r="K296" s="73"/>
      <c r="L296" s="73"/>
      <c r="M296" s="74"/>
      <c r="N296" s="71" t="str">
        <f t="shared" si="4"/>
        <v/>
      </c>
      <c r="O296" s="75"/>
      <c r="P296" s="72"/>
      <c r="Q296" s="72"/>
      <c r="R296" s="72"/>
      <c r="S296" s="72"/>
      <c r="T296" s="72"/>
      <c r="U296" s="72"/>
      <c r="V296" s="76"/>
    </row>
    <row r="297" spans="1:25" ht="27.75" customHeight="1">
      <c r="A297" s="87" t="str">
        <f>IF(ISBLANK(C297)," ",292-COUNTBLANK($C$6:C297))</f>
        <v xml:space="preserve"> </v>
      </c>
      <c r="B297" s="88"/>
      <c r="C297" s="88"/>
      <c r="D297" s="89"/>
      <c r="E297" s="89"/>
      <c r="F297" s="73"/>
      <c r="G297" s="73"/>
      <c r="H297" s="73"/>
      <c r="I297" s="73"/>
      <c r="J297" s="73"/>
      <c r="K297" s="73"/>
      <c r="L297" s="73"/>
      <c r="M297" s="74"/>
      <c r="N297" s="71" t="str">
        <f t="shared" si="4"/>
        <v/>
      </c>
      <c r="O297" s="75"/>
      <c r="P297" s="72"/>
      <c r="Q297" s="72"/>
      <c r="R297" s="72"/>
      <c r="S297" s="72"/>
      <c r="T297" s="72"/>
      <c r="U297" s="72"/>
      <c r="V297" s="76"/>
    </row>
    <row r="298" spans="1:25" ht="27.75" customHeight="1">
      <c r="A298" s="87" t="str">
        <f>IF(ISBLANK(C298)," ",293-COUNTBLANK($C$6:C298))</f>
        <v xml:space="preserve"> </v>
      </c>
      <c r="B298" s="88"/>
      <c r="C298" s="88"/>
      <c r="D298" s="89"/>
      <c r="E298" s="89"/>
      <c r="F298" s="73"/>
      <c r="G298" s="73"/>
      <c r="H298" s="73"/>
      <c r="I298" s="73"/>
      <c r="J298" s="73"/>
      <c r="K298" s="73"/>
      <c r="L298" s="73"/>
      <c r="M298" s="74"/>
      <c r="N298" s="71" t="str">
        <f t="shared" si="4"/>
        <v/>
      </c>
      <c r="O298" s="72"/>
      <c r="P298" s="72"/>
      <c r="Q298" s="72"/>
      <c r="R298" s="72"/>
      <c r="S298" s="72"/>
      <c r="T298" s="72"/>
      <c r="U298" s="72"/>
      <c r="V298" s="79"/>
      <c r="W298" s="72"/>
      <c r="X298" s="72"/>
      <c r="Y298" s="72"/>
    </row>
    <row r="299" spans="1:25" ht="27.75" customHeight="1">
      <c r="A299" s="80" t="s">
        <v>58</v>
      </c>
      <c r="B299" s="81"/>
      <c r="C299" s="96"/>
      <c r="D299" s="82"/>
      <c r="E299" s="82">
        <f>SUM(E279:E298)</f>
        <v>0</v>
      </c>
      <c r="F299" s="83"/>
      <c r="G299" s="83"/>
      <c r="H299" s="83"/>
      <c r="I299" s="83"/>
      <c r="J299" s="83"/>
      <c r="K299" s="83"/>
      <c r="L299" s="83"/>
      <c r="M299" s="84"/>
      <c r="N299" s="71" t="str">
        <f t="shared" si="4"/>
        <v/>
      </c>
      <c r="O299" s="75"/>
      <c r="P299" s="72"/>
      <c r="Q299" s="72"/>
      <c r="R299" s="72"/>
      <c r="S299" s="72"/>
      <c r="T299" s="72"/>
      <c r="U299" s="72"/>
      <c r="V299" s="79"/>
      <c r="W299" s="72"/>
      <c r="X299" s="72"/>
      <c r="Y299" s="72"/>
    </row>
    <row r="300" spans="1:25" ht="27.75" customHeight="1">
      <c r="A300" s="93" t="str">
        <f>IF(ISBLANK(C300)," ",295-COUNTBLANK($C$6:C300))</f>
        <v xml:space="preserve"> </v>
      </c>
      <c r="B300" s="94"/>
      <c r="C300" s="94"/>
      <c r="D300" s="95"/>
      <c r="E300" s="95"/>
      <c r="F300" s="85"/>
      <c r="G300" s="85"/>
      <c r="H300" s="85"/>
      <c r="I300" s="85"/>
      <c r="J300" s="85"/>
      <c r="K300" s="85"/>
      <c r="L300" s="85"/>
      <c r="M300" s="86"/>
      <c r="N300" s="71" t="str">
        <f t="shared" si="4"/>
        <v/>
      </c>
      <c r="O300" s="72"/>
      <c r="P300" s="72"/>
      <c r="Q300" s="72"/>
      <c r="R300" s="72"/>
      <c r="S300" s="72"/>
      <c r="T300" s="72"/>
      <c r="U300" s="72"/>
      <c r="V300" s="72"/>
    </row>
    <row r="301" spans="1:25" ht="27.75" customHeight="1">
      <c r="A301" s="87" t="str">
        <f>IF(ISBLANK(C301)," ",296-COUNTBLANK($C$6:C301))</f>
        <v xml:space="preserve"> </v>
      </c>
      <c r="B301" s="88"/>
      <c r="C301" s="88"/>
      <c r="D301" s="89"/>
      <c r="E301" s="89"/>
      <c r="F301" s="73"/>
      <c r="G301" s="73"/>
      <c r="H301" s="73"/>
      <c r="I301" s="73"/>
      <c r="J301" s="73"/>
      <c r="K301" s="73"/>
      <c r="L301" s="73"/>
      <c r="M301" s="74"/>
      <c r="N301" s="71" t="str">
        <f t="shared" si="4"/>
        <v/>
      </c>
      <c r="O301" s="72"/>
      <c r="P301" s="72"/>
      <c r="Q301" s="72"/>
      <c r="R301" s="72"/>
      <c r="S301" s="72"/>
      <c r="T301" s="72"/>
      <c r="U301" s="72"/>
      <c r="V301" s="72"/>
    </row>
    <row r="302" spans="1:25" ht="27.75" customHeight="1">
      <c r="A302" s="87" t="str">
        <f>IF(ISBLANK(C302)," ",297-COUNTBLANK($C$6:C302))</f>
        <v xml:space="preserve"> </v>
      </c>
      <c r="B302" s="88"/>
      <c r="C302" s="88"/>
      <c r="D302" s="89"/>
      <c r="E302" s="89"/>
      <c r="F302" s="73"/>
      <c r="G302" s="73"/>
      <c r="H302" s="73"/>
      <c r="I302" s="73"/>
      <c r="J302" s="73"/>
      <c r="K302" s="73"/>
      <c r="L302" s="73"/>
      <c r="M302" s="74"/>
      <c r="N302" s="71" t="str">
        <f t="shared" si="4"/>
        <v/>
      </c>
      <c r="O302" s="72"/>
      <c r="P302" s="72"/>
      <c r="Q302" s="72"/>
      <c r="R302" s="72"/>
      <c r="S302" s="72"/>
      <c r="T302" s="72"/>
      <c r="U302" s="72"/>
      <c r="V302" s="72"/>
    </row>
    <row r="303" spans="1:25" ht="27.75" customHeight="1">
      <c r="A303" s="87" t="str">
        <f>IF(ISBLANK(C303)," ",298-COUNTBLANK($C$6:C303))</f>
        <v xml:space="preserve"> </v>
      </c>
      <c r="B303" s="88"/>
      <c r="C303" s="88"/>
      <c r="D303" s="89"/>
      <c r="E303" s="89"/>
      <c r="F303" s="73"/>
      <c r="G303" s="73"/>
      <c r="H303" s="73"/>
      <c r="I303" s="73"/>
      <c r="J303" s="73"/>
      <c r="K303" s="73"/>
      <c r="L303" s="73"/>
      <c r="M303" s="74"/>
      <c r="N303" s="71" t="str">
        <f t="shared" si="4"/>
        <v/>
      </c>
      <c r="O303" s="72"/>
      <c r="P303" s="72"/>
      <c r="Q303" s="72"/>
      <c r="R303" s="72"/>
      <c r="S303" s="72"/>
      <c r="T303" s="72"/>
      <c r="U303" s="72"/>
      <c r="V303" s="72"/>
    </row>
    <row r="304" spans="1:25" ht="27.75" customHeight="1">
      <c r="A304" s="87" t="str">
        <f>IF(ISBLANK(C304)," ",299-COUNTBLANK($C$6:C304))</f>
        <v xml:space="preserve"> </v>
      </c>
      <c r="B304" s="88"/>
      <c r="C304" s="88"/>
      <c r="D304" s="89"/>
      <c r="E304" s="89"/>
      <c r="F304" s="73"/>
      <c r="G304" s="73"/>
      <c r="H304" s="73"/>
      <c r="I304" s="73"/>
      <c r="J304" s="73"/>
      <c r="K304" s="73"/>
      <c r="L304" s="73"/>
      <c r="M304" s="74"/>
      <c r="N304" s="71" t="str">
        <f t="shared" si="4"/>
        <v/>
      </c>
      <c r="O304" s="72"/>
      <c r="P304" s="72"/>
      <c r="Q304" s="72"/>
      <c r="R304" s="72"/>
      <c r="S304" s="72"/>
      <c r="T304" s="72"/>
      <c r="U304" s="72"/>
      <c r="V304" s="72"/>
    </row>
    <row r="305" spans="1:25" ht="27.75" customHeight="1">
      <c r="A305" s="87" t="str">
        <f>IF(ISBLANK(C305)," ",300-COUNTBLANK($C$6:C305))</f>
        <v xml:space="preserve"> </v>
      </c>
      <c r="B305" s="88"/>
      <c r="C305" s="88"/>
      <c r="D305" s="89"/>
      <c r="E305" s="89"/>
      <c r="F305" s="73"/>
      <c r="G305" s="73"/>
      <c r="H305" s="73"/>
      <c r="I305" s="73"/>
      <c r="J305" s="73"/>
      <c r="K305" s="73"/>
      <c r="L305" s="73"/>
      <c r="M305" s="74"/>
      <c r="N305" s="71" t="str">
        <f t="shared" si="4"/>
        <v/>
      </c>
      <c r="O305" s="72"/>
      <c r="P305" s="72"/>
      <c r="Q305" s="72"/>
      <c r="R305" s="72"/>
      <c r="S305" s="72"/>
      <c r="T305" s="72"/>
      <c r="U305" s="72"/>
      <c r="V305" s="72"/>
    </row>
    <row r="306" spans="1:25" ht="27.75" customHeight="1">
      <c r="A306" s="87" t="str">
        <f>IF(ISBLANK(C306)," ",301-COUNTBLANK($C$6:C306))</f>
        <v xml:space="preserve"> </v>
      </c>
      <c r="B306" s="88"/>
      <c r="C306" s="88"/>
      <c r="D306" s="89"/>
      <c r="E306" s="89"/>
      <c r="F306" s="73"/>
      <c r="G306" s="73"/>
      <c r="H306" s="73"/>
      <c r="I306" s="73"/>
      <c r="J306" s="73"/>
      <c r="K306" s="73"/>
      <c r="L306" s="73"/>
      <c r="M306" s="74"/>
      <c r="N306" s="71" t="str">
        <f t="shared" si="4"/>
        <v/>
      </c>
      <c r="O306" s="72"/>
      <c r="P306" s="72"/>
      <c r="Q306" s="72"/>
      <c r="R306" s="72"/>
      <c r="S306" s="72"/>
      <c r="T306" s="72"/>
      <c r="U306" s="72"/>
      <c r="V306" s="72"/>
    </row>
    <row r="307" spans="1:25" ht="27.75" customHeight="1">
      <c r="A307" s="87" t="str">
        <f>IF(ISBLANK(C307)," ",302-COUNTBLANK($C$6:C307))</f>
        <v xml:space="preserve"> </v>
      </c>
      <c r="B307" s="88"/>
      <c r="C307" s="88"/>
      <c r="D307" s="89"/>
      <c r="E307" s="89"/>
      <c r="F307" s="73"/>
      <c r="G307" s="73"/>
      <c r="H307" s="73"/>
      <c r="I307" s="73"/>
      <c r="J307" s="73"/>
      <c r="K307" s="73"/>
      <c r="L307" s="73"/>
      <c r="M307" s="74"/>
      <c r="N307" s="71" t="str">
        <f t="shared" si="4"/>
        <v/>
      </c>
      <c r="O307" s="72"/>
      <c r="P307" s="72"/>
      <c r="Q307" s="72"/>
      <c r="R307" s="72"/>
      <c r="S307" s="72"/>
      <c r="T307" s="72"/>
      <c r="U307" s="72"/>
      <c r="V307" s="72"/>
    </row>
    <row r="308" spans="1:25" ht="27.75" customHeight="1">
      <c r="A308" s="87" t="str">
        <f>IF(ISBLANK(C308)," ",303-COUNTBLANK($C$6:C308))</f>
        <v xml:space="preserve"> </v>
      </c>
      <c r="B308" s="88"/>
      <c r="C308" s="88"/>
      <c r="D308" s="89"/>
      <c r="E308" s="89"/>
      <c r="F308" s="73"/>
      <c r="G308" s="73"/>
      <c r="H308" s="73"/>
      <c r="I308" s="73"/>
      <c r="J308" s="73"/>
      <c r="K308" s="73"/>
      <c r="L308" s="73"/>
      <c r="M308" s="74"/>
      <c r="N308" s="71" t="str">
        <f t="shared" si="4"/>
        <v/>
      </c>
      <c r="O308" s="72"/>
      <c r="P308" s="72"/>
      <c r="Q308" s="72"/>
      <c r="R308" s="72"/>
      <c r="S308" s="72"/>
      <c r="T308" s="72"/>
      <c r="U308" s="72"/>
      <c r="V308" s="72"/>
    </row>
    <row r="309" spans="1:25" ht="27.75" customHeight="1">
      <c r="A309" s="87" t="str">
        <f>IF(ISBLANK(C309)," ",304-COUNTBLANK($C$6:C309))</f>
        <v xml:space="preserve"> </v>
      </c>
      <c r="B309" s="88"/>
      <c r="C309" s="88"/>
      <c r="D309" s="89"/>
      <c r="E309" s="89"/>
      <c r="F309" s="73"/>
      <c r="G309" s="73"/>
      <c r="H309" s="73"/>
      <c r="I309" s="73"/>
      <c r="J309" s="73"/>
      <c r="K309" s="73"/>
      <c r="L309" s="73"/>
      <c r="M309" s="74"/>
      <c r="N309" s="71" t="str">
        <f t="shared" si="4"/>
        <v/>
      </c>
      <c r="O309" s="72"/>
      <c r="P309" s="72"/>
      <c r="Q309" s="72"/>
      <c r="R309" s="72"/>
      <c r="S309" s="72"/>
      <c r="T309" s="72"/>
      <c r="U309" s="72"/>
      <c r="V309" s="72"/>
    </row>
    <row r="310" spans="1:25" ht="27.75" customHeight="1">
      <c r="A310" s="87" t="str">
        <f>IF(ISBLANK(C310)," ",305-COUNTBLANK($C$6:C310))</f>
        <v xml:space="preserve"> </v>
      </c>
      <c r="B310" s="88"/>
      <c r="C310" s="88"/>
      <c r="D310" s="89"/>
      <c r="E310" s="89"/>
      <c r="F310" s="73"/>
      <c r="G310" s="73"/>
      <c r="H310" s="73"/>
      <c r="I310" s="73"/>
      <c r="J310" s="73"/>
      <c r="K310" s="73"/>
      <c r="L310" s="73"/>
      <c r="M310" s="74"/>
      <c r="N310" s="71" t="str">
        <f t="shared" si="4"/>
        <v/>
      </c>
      <c r="O310" s="72"/>
      <c r="P310" s="72"/>
      <c r="Q310" s="72"/>
      <c r="R310" s="72"/>
      <c r="S310" s="72"/>
      <c r="T310" s="72"/>
      <c r="U310" s="72"/>
      <c r="V310" s="72"/>
    </row>
    <row r="311" spans="1:25" ht="27.75" customHeight="1">
      <c r="A311" s="87" t="str">
        <f>IF(ISBLANK(C311)," ",306-COUNTBLANK($C$6:C311))</f>
        <v xml:space="preserve"> </v>
      </c>
      <c r="B311" s="88"/>
      <c r="C311" s="88"/>
      <c r="D311" s="89"/>
      <c r="E311" s="89"/>
      <c r="F311" s="73"/>
      <c r="G311" s="73"/>
      <c r="H311" s="73"/>
      <c r="I311" s="73"/>
      <c r="J311" s="73"/>
      <c r="K311" s="73"/>
      <c r="L311" s="73"/>
      <c r="M311" s="74"/>
      <c r="N311" s="71" t="str">
        <f t="shared" si="4"/>
        <v/>
      </c>
      <c r="O311" s="72"/>
      <c r="P311" s="72"/>
      <c r="Q311" s="72"/>
      <c r="R311" s="72"/>
      <c r="S311" s="72"/>
      <c r="T311" s="72"/>
      <c r="U311" s="72"/>
      <c r="V311" s="72"/>
    </row>
    <row r="312" spans="1:25" ht="27.75" customHeight="1">
      <c r="A312" s="87" t="str">
        <f>IF(ISBLANK(C312)," ",307-COUNTBLANK($C$6:C312))</f>
        <v xml:space="preserve"> </v>
      </c>
      <c r="B312" s="88"/>
      <c r="C312" s="88"/>
      <c r="D312" s="89"/>
      <c r="E312" s="89"/>
      <c r="F312" s="73"/>
      <c r="G312" s="73"/>
      <c r="H312" s="73"/>
      <c r="I312" s="73"/>
      <c r="J312" s="73"/>
      <c r="K312" s="73"/>
      <c r="L312" s="73"/>
      <c r="M312" s="74"/>
      <c r="N312" s="71" t="str">
        <f t="shared" si="4"/>
        <v/>
      </c>
      <c r="O312" s="72"/>
      <c r="P312" s="72"/>
      <c r="Q312" s="72"/>
      <c r="R312" s="72"/>
      <c r="S312" s="72"/>
      <c r="T312" s="72"/>
      <c r="U312" s="72"/>
      <c r="V312" s="72"/>
    </row>
    <row r="313" spans="1:25" ht="27.75" customHeight="1">
      <c r="A313" s="87" t="str">
        <f>IF(ISBLANK(C313)," ",308-COUNTBLANK($C$6:C313))</f>
        <v xml:space="preserve"> </v>
      </c>
      <c r="B313" s="88"/>
      <c r="C313" s="88"/>
      <c r="D313" s="89"/>
      <c r="E313" s="89"/>
      <c r="F313" s="73"/>
      <c r="G313" s="73"/>
      <c r="H313" s="73"/>
      <c r="I313" s="73"/>
      <c r="J313" s="73"/>
      <c r="K313" s="73"/>
      <c r="L313" s="73"/>
      <c r="M313" s="74"/>
      <c r="N313" s="71" t="str">
        <f t="shared" si="4"/>
        <v/>
      </c>
      <c r="O313" s="72"/>
      <c r="P313" s="72"/>
      <c r="Q313" s="72"/>
      <c r="R313" s="72"/>
      <c r="S313" s="72"/>
      <c r="T313" s="72"/>
      <c r="U313" s="72"/>
      <c r="V313" s="72"/>
    </row>
    <row r="314" spans="1:25" ht="27.75" customHeight="1">
      <c r="A314" s="87" t="str">
        <f>IF(ISBLANK(C314)," ",309-COUNTBLANK($C$6:C314))</f>
        <v xml:space="preserve"> </v>
      </c>
      <c r="B314" s="88"/>
      <c r="C314" s="88"/>
      <c r="D314" s="89"/>
      <c r="E314" s="89"/>
      <c r="F314" s="73"/>
      <c r="G314" s="73"/>
      <c r="H314" s="73"/>
      <c r="I314" s="73"/>
      <c r="J314" s="73"/>
      <c r="K314" s="73"/>
      <c r="L314" s="73"/>
      <c r="M314" s="74"/>
      <c r="N314" s="71" t="str">
        <f t="shared" si="4"/>
        <v/>
      </c>
      <c r="O314" s="72"/>
      <c r="P314" s="72"/>
      <c r="Q314" s="72"/>
      <c r="R314" s="72"/>
      <c r="S314" s="72"/>
      <c r="T314" s="72"/>
      <c r="U314" s="72"/>
      <c r="V314" s="72"/>
    </row>
    <row r="315" spans="1:25" ht="27.75" customHeight="1">
      <c r="A315" s="87" t="str">
        <f>IF(ISBLANK(C315)," ",310-COUNTBLANK($C$6:C315))</f>
        <v xml:space="preserve"> </v>
      </c>
      <c r="B315" s="88"/>
      <c r="C315" s="88"/>
      <c r="D315" s="89"/>
      <c r="E315" s="89"/>
      <c r="F315" s="73"/>
      <c r="G315" s="73"/>
      <c r="H315" s="73"/>
      <c r="I315" s="73"/>
      <c r="J315" s="73"/>
      <c r="K315" s="73"/>
      <c r="L315" s="73"/>
      <c r="M315" s="74"/>
      <c r="N315" s="71" t="str">
        <f t="shared" si="4"/>
        <v/>
      </c>
      <c r="O315" s="75"/>
      <c r="P315" s="72"/>
      <c r="Q315" s="72"/>
      <c r="R315" s="72"/>
      <c r="S315" s="72"/>
      <c r="T315" s="72"/>
      <c r="U315" s="72"/>
      <c r="V315" s="76"/>
    </row>
    <row r="316" spans="1:25" ht="27.75" customHeight="1">
      <c r="A316" s="87" t="str">
        <f>IF(ISBLANK(C316)," ",311-COUNTBLANK($C$6:C316))</f>
        <v xml:space="preserve"> </v>
      </c>
      <c r="B316" s="88"/>
      <c r="C316" s="88"/>
      <c r="D316" s="89"/>
      <c r="E316" s="89"/>
      <c r="F316" s="73"/>
      <c r="G316" s="73"/>
      <c r="H316" s="73"/>
      <c r="I316" s="73"/>
      <c r="J316" s="73"/>
      <c r="K316" s="73"/>
      <c r="L316" s="73"/>
      <c r="M316" s="74"/>
      <c r="N316" s="71" t="str">
        <f t="shared" si="4"/>
        <v/>
      </c>
      <c r="O316" s="75"/>
      <c r="P316" s="72"/>
      <c r="Q316" s="72"/>
      <c r="R316" s="72"/>
      <c r="S316" s="72"/>
      <c r="T316" s="72"/>
      <c r="U316" s="72"/>
      <c r="V316" s="76"/>
    </row>
    <row r="317" spans="1:25" ht="27.75" customHeight="1">
      <c r="A317" s="87" t="str">
        <f>IF(ISBLANK(C317)," ",312-COUNTBLANK($C$6:C317))</f>
        <v xml:space="preserve"> </v>
      </c>
      <c r="B317" s="88"/>
      <c r="C317" s="88"/>
      <c r="D317" s="89"/>
      <c r="E317" s="89"/>
      <c r="F317" s="73"/>
      <c r="G317" s="73"/>
      <c r="H317" s="73"/>
      <c r="I317" s="73"/>
      <c r="J317" s="73"/>
      <c r="K317" s="73"/>
      <c r="L317" s="73"/>
      <c r="M317" s="74"/>
      <c r="N317" s="71" t="str">
        <f t="shared" si="4"/>
        <v/>
      </c>
      <c r="O317" s="75"/>
      <c r="P317" s="72"/>
      <c r="Q317" s="72"/>
      <c r="R317" s="72"/>
      <c r="S317" s="72"/>
      <c r="T317" s="72"/>
      <c r="U317" s="72"/>
      <c r="V317" s="76"/>
    </row>
    <row r="318" spans="1:25" ht="27.75" customHeight="1">
      <c r="A318" s="87" t="str">
        <f>IF(ISBLANK(C318)," ",313-COUNTBLANK($C$6:C318))</f>
        <v xml:space="preserve"> </v>
      </c>
      <c r="B318" s="88"/>
      <c r="C318" s="88"/>
      <c r="D318" s="89"/>
      <c r="E318" s="89"/>
      <c r="F318" s="73"/>
      <c r="G318" s="73"/>
      <c r="H318" s="73"/>
      <c r="I318" s="73"/>
      <c r="J318" s="73"/>
      <c r="K318" s="73"/>
      <c r="L318" s="73"/>
      <c r="M318" s="74"/>
      <c r="N318" s="71" t="str">
        <f t="shared" si="4"/>
        <v/>
      </c>
      <c r="O318" s="75"/>
      <c r="P318" s="72"/>
      <c r="Q318" s="72"/>
      <c r="R318" s="72"/>
      <c r="S318" s="72"/>
      <c r="T318" s="72"/>
      <c r="U318" s="72"/>
      <c r="V318" s="76"/>
    </row>
    <row r="319" spans="1:25" ht="27.75" customHeight="1">
      <c r="A319" s="87" t="str">
        <f>IF(ISBLANK(C319)," ",314-COUNTBLANK($C$6:C319))</f>
        <v xml:space="preserve"> </v>
      </c>
      <c r="B319" s="88"/>
      <c r="C319" s="88"/>
      <c r="D319" s="89"/>
      <c r="E319" s="89"/>
      <c r="F319" s="73"/>
      <c r="G319" s="73"/>
      <c r="H319" s="73"/>
      <c r="I319" s="73"/>
      <c r="J319" s="73"/>
      <c r="K319" s="73"/>
      <c r="L319" s="73"/>
      <c r="M319" s="74"/>
      <c r="N319" s="71" t="str">
        <f t="shared" si="4"/>
        <v/>
      </c>
      <c r="O319" s="72"/>
      <c r="P319" s="72"/>
      <c r="Q319" s="72"/>
      <c r="R319" s="72"/>
      <c r="S319" s="72"/>
      <c r="T319" s="72"/>
      <c r="U319" s="72"/>
      <c r="V319" s="79"/>
      <c r="W319" s="72"/>
      <c r="X319" s="72"/>
      <c r="Y319" s="72"/>
    </row>
    <row r="320" spans="1:25" ht="27.75" customHeight="1">
      <c r="A320" s="80" t="s">
        <v>58</v>
      </c>
      <c r="B320" s="81"/>
      <c r="C320" s="96"/>
      <c r="D320" s="82"/>
      <c r="E320" s="82">
        <f>SUM(E300:E319)</f>
        <v>0</v>
      </c>
      <c r="F320" s="83"/>
      <c r="G320" s="83"/>
      <c r="H320" s="83"/>
      <c r="I320" s="83"/>
      <c r="J320" s="83"/>
      <c r="K320" s="83"/>
      <c r="L320" s="83"/>
      <c r="M320" s="84"/>
      <c r="N320" s="71" t="str">
        <f t="shared" si="4"/>
        <v/>
      </c>
      <c r="O320" s="75"/>
      <c r="P320" s="72"/>
      <c r="Q320" s="72"/>
      <c r="R320" s="72"/>
      <c r="S320" s="72"/>
      <c r="T320" s="72"/>
      <c r="U320" s="72"/>
      <c r="V320" s="79"/>
      <c r="W320" s="72"/>
      <c r="X320" s="72"/>
      <c r="Y320" s="72"/>
    </row>
    <row r="321" spans="1:22" ht="27.75" customHeight="1">
      <c r="A321" s="93" t="str">
        <f>IF(ISBLANK(C321)," ",316-COUNTBLANK($C$6:C321))</f>
        <v xml:space="preserve"> </v>
      </c>
      <c r="B321" s="94"/>
      <c r="C321" s="94"/>
      <c r="D321" s="95"/>
      <c r="E321" s="95"/>
      <c r="F321" s="85"/>
      <c r="G321" s="85"/>
      <c r="H321" s="85"/>
      <c r="I321" s="85"/>
      <c r="J321" s="85"/>
      <c r="K321" s="85"/>
      <c r="L321" s="85"/>
      <c r="M321" s="86"/>
      <c r="N321" s="71" t="str">
        <f t="shared" si="4"/>
        <v/>
      </c>
      <c r="O321" s="72"/>
      <c r="P321" s="72"/>
      <c r="Q321" s="72"/>
      <c r="R321" s="72"/>
      <c r="S321" s="72"/>
      <c r="T321" s="72"/>
      <c r="U321" s="72"/>
      <c r="V321" s="72"/>
    </row>
    <row r="322" spans="1:22" ht="27.75" customHeight="1">
      <c r="A322" s="87" t="str">
        <f>IF(ISBLANK(C322)," ",317-COUNTBLANK($C$6:C322))</f>
        <v xml:space="preserve"> </v>
      </c>
      <c r="B322" s="88"/>
      <c r="C322" s="88"/>
      <c r="D322" s="89"/>
      <c r="E322" s="89"/>
      <c r="F322" s="73"/>
      <c r="G322" s="73"/>
      <c r="H322" s="73"/>
      <c r="I322" s="73"/>
      <c r="J322" s="73"/>
      <c r="K322" s="73"/>
      <c r="L322" s="73"/>
      <c r="M322" s="74"/>
      <c r="N322" s="71" t="str">
        <f t="shared" si="4"/>
        <v/>
      </c>
      <c r="O322" s="72"/>
      <c r="P322" s="72"/>
      <c r="Q322" s="72"/>
      <c r="R322" s="72"/>
      <c r="S322" s="72"/>
      <c r="T322" s="72"/>
      <c r="U322" s="72"/>
      <c r="V322" s="72"/>
    </row>
    <row r="323" spans="1:22" ht="27.75" customHeight="1">
      <c r="A323" s="87" t="str">
        <f>IF(ISBLANK(C323)," ",318-COUNTBLANK($C$6:C323))</f>
        <v xml:space="preserve"> </v>
      </c>
      <c r="B323" s="88"/>
      <c r="C323" s="88"/>
      <c r="D323" s="89"/>
      <c r="E323" s="89"/>
      <c r="F323" s="73"/>
      <c r="G323" s="73"/>
      <c r="H323" s="73"/>
      <c r="I323" s="73"/>
      <c r="J323" s="73"/>
      <c r="K323" s="73"/>
      <c r="L323" s="73"/>
      <c r="M323" s="74"/>
      <c r="N323" s="71" t="str">
        <f t="shared" si="4"/>
        <v/>
      </c>
      <c r="O323" s="72"/>
      <c r="P323" s="72"/>
      <c r="Q323" s="72"/>
      <c r="R323" s="72"/>
      <c r="S323" s="72"/>
      <c r="T323" s="72"/>
      <c r="U323" s="72"/>
      <c r="V323" s="72"/>
    </row>
    <row r="324" spans="1:22" ht="27.75" customHeight="1">
      <c r="A324" s="87" t="str">
        <f>IF(ISBLANK(C324)," ",319-COUNTBLANK($C$6:C324))</f>
        <v xml:space="preserve"> </v>
      </c>
      <c r="B324" s="88"/>
      <c r="C324" s="88"/>
      <c r="D324" s="89"/>
      <c r="E324" s="89"/>
      <c r="F324" s="73"/>
      <c r="G324" s="73"/>
      <c r="H324" s="73"/>
      <c r="I324" s="73"/>
      <c r="J324" s="73"/>
      <c r="K324" s="73"/>
      <c r="L324" s="73"/>
      <c r="M324" s="74"/>
      <c r="N324" s="71" t="str">
        <f t="shared" si="4"/>
        <v/>
      </c>
      <c r="O324" s="72"/>
      <c r="P324" s="72"/>
      <c r="Q324" s="72"/>
      <c r="R324" s="72"/>
      <c r="S324" s="72"/>
      <c r="T324" s="72"/>
      <c r="U324" s="72"/>
      <c r="V324" s="72"/>
    </row>
    <row r="325" spans="1:22" ht="27.75" customHeight="1">
      <c r="A325" s="87" t="str">
        <f>IF(ISBLANK(C325)," ",320-COUNTBLANK($C$6:C325))</f>
        <v xml:space="preserve"> </v>
      </c>
      <c r="B325" s="88"/>
      <c r="C325" s="88"/>
      <c r="D325" s="89"/>
      <c r="E325" s="89"/>
      <c r="F325" s="73"/>
      <c r="G325" s="73"/>
      <c r="H325" s="73"/>
      <c r="I325" s="73"/>
      <c r="J325" s="73"/>
      <c r="K325" s="73"/>
      <c r="L325" s="73"/>
      <c r="M325" s="74"/>
      <c r="N325" s="71" t="str">
        <f t="shared" si="4"/>
        <v/>
      </c>
      <c r="O325" s="72"/>
      <c r="P325" s="72"/>
      <c r="Q325" s="72"/>
      <c r="R325" s="72"/>
      <c r="S325" s="72"/>
      <c r="T325" s="72"/>
      <c r="U325" s="72"/>
      <c r="V325" s="72"/>
    </row>
    <row r="326" spans="1:22" ht="27.75" customHeight="1">
      <c r="A326" s="87" t="str">
        <f>IF(ISBLANK(C326)," ",321-COUNTBLANK($C$6:C326))</f>
        <v xml:space="preserve"> </v>
      </c>
      <c r="B326" s="88"/>
      <c r="C326" s="88"/>
      <c r="D326" s="89"/>
      <c r="E326" s="89"/>
      <c r="F326" s="73"/>
      <c r="G326" s="73"/>
      <c r="H326" s="73"/>
      <c r="I326" s="73"/>
      <c r="J326" s="73"/>
      <c r="K326" s="73"/>
      <c r="L326" s="73"/>
      <c r="M326" s="74"/>
      <c r="N326" s="71" t="str">
        <f t="shared" ref="N326:N389" si="5">CONCATENATE(C326,H326)</f>
        <v/>
      </c>
      <c r="O326" s="72"/>
      <c r="P326" s="72"/>
      <c r="Q326" s="72"/>
      <c r="R326" s="72"/>
      <c r="S326" s="72"/>
      <c r="T326" s="72"/>
      <c r="U326" s="72"/>
      <c r="V326" s="72"/>
    </row>
    <row r="327" spans="1:22" ht="27.75" customHeight="1">
      <c r="A327" s="87" t="str">
        <f>IF(ISBLANK(C327)," ",322-COUNTBLANK($C$6:C327))</f>
        <v xml:space="preserve"> </v>
      </c>
      <c r="B327" s="88"/>
      <c r="C327" s="88"/>
      <c r="D327" s="89"/>
      <c r="E327" s="89"/>
      <c r="F327" s="73"/>
      <c r="G327" s="73"/>
      <c r="H327" s="73"/>
      <c r="I327" s="73"/>
      <c r="J327" s="73"/>
      <c r="K327" s="73"/>
      <c r="L327" s="73"/>
      <c r="M327" s="74"/>
      <c r="N327" s="71" t="str">
        <f t="shared" si="5"/>
        <v/>
      </c>
      <c r="O327" s="72"/>
      <c r="P327" s="72"/>
      <c r="Q327" s="72"/>
      <c r="R327" s="72"/>
      <c r="S327" s="72"/>
      <c r="T327" s="72"/>
      <c r="U327" s="72"/>
      <c r="V327" s="72"/>
    </row>
    <row r="328" spans="1:22" ht="27.75" customHeight="1">
      <c r="A328" s="87" t="str">
        <f>IF(ISBLANK(C328)," ",323-COUNTBLANK($C$6:C328))</f>
        <v xml:space="preserve"> </v>
      </c>
      <c r="B328" s="88"/>
      <c r="C328" s="88"/>
      <c r="D328" s="89"/>
      <c r="E328" s="89"/>
      <c r="F328" s="73"/>
      <c r="G328" s="73"/>
      <c r="H328" s="73"/>
      <c r="I328" s="73"/>
      <c r="J328" s="73"/>
      <c r="K328" s="73"/>
      <c r="L328" s="73"/>
      <c r="M328" s="74"/>
      <c r="N328" s="71" t="str">
        <f t="shared" si="5"/>
        <v/>
      </c>
      <c r="O328" s="72"/>
      <c r="P328" s="72"/>
      <c r="Q328" s="72"/>
      <c r="R328" s="72"/>
      <c r="S328" s="72"/>
      <c r="T328" s="72"/>
      <c r="U328" s="72"/>
      <c r="V328" s="72"/>
    </row>
    <row r="329" spans="1:22" ht="27.75" customHeight="1">
      <c r="A329" s="87" t="str">
        <f>IF(ISBLANK(C329)," ",324-COUNTBLANK($C$6:C329))</f>
        <v xml:space="preserve"> </v>
      </c>
      <c r="B329" s="88"/>
      <c r="C329" s="88"/>
      <c r="D329" s="89"/>
      <c r="E329" s="89"/>
      <c r="F329" s="73"/>
      <c r="G329" s="73"/>
      <c r="H329" s="73"/>
      <c r="I329" s="73"/>
      <c r="J329" s="73"/>
      <c r="K329" s="73"/>
      <c r="L329" s="73"/>
      <c r="M329" s="74"/>
      <c r="N329" s="71" t="str">
        <f t="shared" si="5"/>
        <v/>
      </c>
      <c r="O329" s="72"/>
      <c r="P329" s="72"/>
      <c r="Q329" s="72"/>
      <c r="R329" s="72"/>
      <c r="S329" s="72"/>
      <c r="T329" s="72"/>
      <c r="U329" s="72"/>
      <c r="V329" s="72"/>
    </row>
    <row r="330" spans="1:22" ht="27.75" customHeight="1">
      <c r="A330" s="87" t="str">
        <f>IF(ISBLANK(C330)," ",325-COUNTBLANK($C$6:C330))</f>
        <v xml:space="preserve"> </v>
      </c>
      <c r="B330" s="88"/>
      <c r="C330" s="88"/>
      <c r="D330" s="89"/>
      <c r="E330" s="89"/>
      <c r="F330" s="73"/>
      <c r="G330" s="73"/>
      <c r="H330" s="73"/>
      <c r="I330" s="73"/>
      <c r="J330" s="73"/>
      <c r="K330" s="73"/>
      <c r="L330" s="73"/>
      <c r="M330" s="74"/>
      <c r="N330" s="71" t="str">
        <f t="shared" si="5"/>
        <v/>
      </c>
      <c r="O330" s="72"/>
      <c r="P330" s="72"/>
      <c r="Q330" s="72"/>
      <c r="R330" s="72"/>
      <c r="S330" s="72"/>
      <c r="T330" s="72"/>
      <c r="U330" s="72"/>
      <c r="V330" s="72"/>
    </row>
    <row r="331" spans="1:22" ht="27.75" customHeight="1">
      <c r="A331" s="87" t="str">
        <f>IF(ISBLANK(C331)," ",326-COUNTBLANK($C$6:C331))</f>
        <v xml:space="preserve"> </v>
      </c>
      <c r="B331" s="88"/>
      <c r="C331" s="88"/>
      <c r="D331" s="89"/>
      <c r="E331" s="89"/>
      <c r="F331" s="73"/>
      <c r="G331" s="73"/>
      <c r="H331" s="73"/>
      <c r="I331" s="73"/>
      <c r="J331" s="73"/>
      <c r="K331" s="73"/>
      <c r="L331" s="73"/>
      <c r="M331" s="74"/>
      <c r="N331" s="71" t="str">
        <f t="shared" si="5"/>
        <v/>
      </c>
      <c r="O331" s="72"/>
      <c r="P331" s="72"/>
      <c r="Q331" s="72"/>
      <c r="R331" s="72"/>
      <c r="S331" s="72"/>
      <c r="T331" s="72"/>
      <c r="U331" s="72"/>
      <c r="V331" s="72"/>
    </row>
    <row r="332" spans="1:22" ht="27.75" customHeight="1">
      <c r="A332" s="87" t="str">
        <f>IF(ISBLANK(C332)," ",327-COUNTBLANK($C$6:C332))</f>
        <v xml:space="preserve"> </v>
      </c>
      <c r="B332" s="88"/>
      <c r="C332" s="88"/>
      <c r="D332" s="89"/>
      <c r="E332" s="89"/>
      <c r="F332" s="73"/>
      <c r="G332" s="73"/>
      <c r="H332" s="73"/>
      <c r="I332" s="73"/>
      <c r="J332" s="73"/>
      <c r="K332" s="73"/>
      <c r="L332" s="73"/>
      <c r="M332" s="74"/>
      <c r="N332" s="71" t="str">
        <f t="shared" si="5"/>
        <v/>
      </c>
      <c r="O332" s="72"/>
      <c r="P332" s="72"/>
      <c r="Q332" s="72"/>
      <c r="R332" s="72"/>
      <c r="S332" s="72"/>
      <c r="T332" s="72"/>
      <c r="U332" s="72"/>
      <c r="V332" s="72"/>
    </row>
    <row r="333" spans="1:22" ht="27.75" customHeight="1">
      <c r="A333" s="87" t="str">
        <f>IF(ISBLANK(C333)," ",328-COUNTBLANK($C$6:C333))</f>
        <v xml:space="preserve"> </v>
      </c>
      <c r="B333" s="88"/>
      <c r="C333" s="88"/>
      <c r="D333" s="89"/>
      <c r="E333" s="89"/>
      <c r="F333" s="73"/>
      <c r="G333" s="73"/>
      <c r="H333" s="73"/>
      <c r="I333" s="73"/>
      <c r="J333" s="73"/>
      <c r="K333" s="73"/>
      <c r="L333" s="73"/>
      <c r="M333" s="74"/>
      <c r="N333" s="71" t="str">
        <f t="shared" si="5"/>
        <v/>
      </c>
      <c r="O333" s="72"/>
      <c r="P333" s="72"/>
      <c r="Q333" s="72"/>
      <c r="R333" s="72"/>
      <c r="S333" s="72"/>
      <c r="T333" s="72"/>
      <c r="U333" s="72"/>
      <c r="V333" s="72"/>
    </row>
    <row r="334" spans="1:22" ht="27.75" customHeight="1">
      <c r="A334" s="87" t="str">
        <f>IF(ISBLANK(C334)," ",329-COUNTBLANK($C$6:C334))</f>
        <v xml:space="preserve"> </v>
      </c>
      <c r="B334" s="88"/>
      <c r="C334" s="88"/>
      <c r="D334" s="89"/>
      <c r="E334" s="89"/>
      <c r="F334" s="73"/>
      <c r="G334" s="73"/>
      <c r="H334" s="73"/>
      <c r="I334" s="73"/>
      <c r="J334" s="73"/>
      <c r="K334" s="73"/>
      <c r="L334" s="73"/>
      <c r="M334" s="74"/>
      <c r="N334" s="71" t="str">
        <f t="shared" si="5"/>
        <v/>
      </c>
      <c r="O334" s="72"/>
      <c r="P334" s="72"/>
      <c r="Q334" s="72"/>
      <c r="R334" s="72"/>
      <c r="S334" s="72"/>
      <c r="T334" s="72"/>
      <c r="U334" s="72"/>
      <c r="V334" s="72"/>
    </row>
    <row r="335" spans="1:22" ht="27.75" customHeight="1">
      <c r="A335" s="87" t="str">
        <f>IF(ISBLANK(C335)," ",330-COUNTBLANK($C$6:C335))</f>
        <v xml:space="preserve"> </v>
      </c>
      <c r="B335" s="88"/>
      <c r="C335" s="88"/>
      <c r="D335" s="89"/>
      <c r="E335" s="89"/>
      <c r="F335" s="73"/>
      <c r="G335" s="73"/>
      <c r="H335" s="73"/>
      <c r="I335" s="73"/>
      <c r="J335" s="73"/>
      <c r="K335" s="73"/>
      <c r="L335" s="73"/>
      <c r="M335" s="74"/>
      <c r="N335" s="71" t="str">
        <f t="shared" si="5"/>
        <v/>
      </c>
      <c r="O335" s="72"/>
      <c r="P335" s="72"/>
      <c r="Q335" s="72"/>
      <c r="R335" s="72"/>
      <c r="S335" s="72"/>
      <c r="T335" s="72"/>
      <c r="U335" s="72"/>
      <c r="V335" s="72"/>
    </row>
    <row r="336" spans="1:22" ht="27.75" customHeight="1">
      <c r="A336" s="87" t="str">
        <f>IF(ISBLANK(C336)," ",331-COUNTBLANK($C$6:C336))</f>
        <v xml:space="preserve"> </v>
      </c>
      <c r="B336" s="88"/>
      <c r="C336" s="88"/>
      <c r="D336" s="89"/>
      <c r="E336" s="89"/>
      <c r="F336" s="73"/>
      <c r="G336" s="73"/>
      <c r="H336" s="73"/>
      <c r="I336" s="73"/>
      <c r="J336" s="73"/>
      <c r="K336" s="73"/>
      <c r="L336" s="73"/>
      <c r="M336" s="74"/>
      <c r="N336" s="71" t="str">
        <f t="shared" si="5"/>
        <v/>
      </c>
      <c r="O336" s="75"/>
      <c r="P336" s="72"/>
      <c r="Q336" s="72"/>
      <c r="R336" s="72"/>
      <c r="S336" s="72"/>
      <c r="T336" s="72"/>
      <c r="U336" s="72"/>
      <c r="V336" s="76"/>
    </row>
    <row r="337" spans="1:25" ht="27.75" customHeight="1">
      <c r="A337" s="87" t="str">
        <f>IF(ISBLANK(C337)," ",332-COUNTBLANK($C$6:C337))</f>
        <v xml:space="preserve"> </v>
      </c>
      <c r="B337" s="88"/>
      <c r="C337" s="88"/>
      <c r="D337" s="89"/>
      <c r="E337" s="89"/>
      <c r="F337" s="73"/>
      <c r="G337" s="73"/>
      <c r="H337" s="73"/>
      <c r="I337" s="73"/>
      <c r="J337" s="73"/>
      <c r="K337" s="73"/>
      <c r="L337" s="73"/>
      <c r="M337" s="74"/>
      <c r="N337" s="71" t="str">
        <f t="shared" si="5"/>
        <v/>
      </c>
      <c r="O337" s="75"/>
      <c r="P337" s="72"/>
      <c r="Q337" s="72"/>
      <c r="R337" s="72"/>
      <c r="S337" s="72"/>
      <c r="T337" s="72"/>
      <c r="U337" s="72"/>
      <c r="V337" s="76"/>
    </row>
    <row r="338" spans="1:25" ht="27.75" customHeight="1">
      <c r="A338" s="87" t="str">
        <f>IF(ISBLANK(C338)," ",333-COUNTBLANK($C$6:C338))</f>
        <v xml:space="preserve"> </v>
      </c>
      <c r="B338" s="88"/>
      <c r="C338" s="88"/>
      <c r="D338" s="89"/>
      <c r="E338" s="89"/>
      <c r="F338" s="73"/>
      <c r="G338" s="73"/>
      <c r="H338" s="73"/>
      <c r="I338" s="73"/>
      <c r="J338" s="73"/>
      <c r="K338" s="73"/>
      <c r="L338" s="73"/>
      <c r="M338" s="74"/>
      <c r="N338" s="71" t="str">
        <f t="shared" si="5"/>
        <v/>
      </c>
      <c r="O338" s="75"/>
      <c r="P338" s="72"/>
      <c r="Q338" s="72"/>
      <c r="R338" s="72"/>
      <c r="S338" s="72"/>
      <c r="T338" s="72"/>
      <c r="U338" s="72"/>
      <c r="V338" s="76"/>
    </row>
    <row r="339" spans="1:25" ht="27.75" customHeight="1">
      <c r="A339" s="87" t="str">
        <f>IF(ISBLANK(C339)," ",334-COUNTBLANK($C$6:C339))</f>
        <v xml:space="preserve"> </v>
      </c>
      <c r="B339" s="88"/>
      <c r="C339" s="88"/>
      <c r="D339" s="89"/>
      <c r="E339" s="89"/>
      <c r="F339" s="73"/>
      <c r="G339" s="73"/>
      <c r="H339" s="73"/>
      <c r="I339" s="73"/>
      <c r="J339" s="73"/>
      <c r="K339" s="73"/>
      <c r="L339" s="73"/>
      <c r="M339" s="74"/>
      <c r="N339" s="71" t="str">
        <f t="shared" si="5"/>
        <v/>
      </c>
      <c r="O339" s="75"/>
      <c r="P339" s="72"/>
      <c r="Q339" s="72"/>
      <c r="R339" s="72"/>
      <c r="S339" s="72"/>
      <c r="T339" s="72"/>
      <c r="U339" s="72"/>
      <c r="V339" s="76"/>
    </row>
    <row r="340" spans="1:25" ht="27.75" customHeight="1">
      <c r="A340" s="87" t="str">
        <f>IF(ISBLANK(C340)," ",335-COUNTBLANK($C$6:C340))</f>
        <v xml:space="preserve"> </v>
      </c>
      <c r="B340" s="88"/>
      <c r="C340" s="88"/>
      <c r="D340" s="89"/>
      <c r="E340" s="89"/>
      <c r="F340" s="73"/>
      <c r="G340" s="73"/>
      <c r="H340" s="73"/>
      <c r="I340" s="73"/>
      <c r="J340" s="73"/>
      <c r="K340" s="73"/>
      <c r="L340" s="73"/>
      <c r="M340" s="74"/>
      <c r="N340" s="71" t="str">
        <f t="shared" si="5"/>
        <v/>
      </c>
      <c r="O340" s="72"/>
      <c r="P340" s="72"/>
      <c r="Q340" s="72"/>
      <c r="R340" s="72"/>
      <c r="S340" s="72"/>
      <c r="T340" s="72"/>
      <c r="U340" s="72"/>
      <c r="V340" s="79"/>
      <c r="W340" s="72"/>
      <c r="X340" s="72"/>
      <c r="Y340" s="72"/>
    </row>
    <row r="341" spans="1:25" ht="27.75" customHeight="1">
      <c r="A341" s="80" t="s">
        <v>58</v>
      </c>
      <c r="B341" s="81"/>
      <c r="C341" s="96"/>
      <c r="D341" s="82"/>
      <c r="E341" s="82">
        <f>SUM(E321:E340)</f>
        <v>0</v>
      </c>
      <c r="F341" s="83"/>
      <c r="G341" s="83"/>
      <c r="H341" s="83"/>
      <c r="I341" s="83"/>
      <c r="J341" s="83"/>
      <c r="K341" s="83"/>
      <c r="L341" s="83"/>
      <c r="M341" s="84"/>
      <c r="N341" s="71" t="str">
        <f t="shared" si="5"/>
        <v/>
      </c>
      <c r="O341" s="75"/>
      <c r="P341" s="72"/>
      <c r="Q341" s="72"/>
      <c r="R341" s="72"/>
      <c r="S341" s="72"/>
      <c r="T341" s="72"/>
      <c r="U341" s="72"/>
      <c r="V341" s="79"/>
      <c r="W341" s="72"/>
      <c r="X341" s="72"/>
      <c r="Y341" s="72"/>
    </row>
    <row r="342" spans="1:25" ht="27.75" customHeight="1">
      <c r="A342" s="93" t="str">
        <f>IF(ISBLANK(C342)," ",337-COUNTBLANK($C$6:C342))</f>
        <v xml:space="preserve"> </v>
      </c>
      <c r="B342" s="94"/>
      <c r="C342" s="94"/>
      <c r="D342" s="95"/>
      <c r="E342" s="95"/>
      <c r="F342" s="85"/>
      <c r="G342" s="85"/>
      <c r="H342" s="85"/>
      <c r="I342" s="85"/>
      <c r="J342" s="85"/>
      <c r="K342" s="85"/>
      <c r="L342" s="85"/>
      <c r="M342" s="86"/>
      <c r="N342" s="71" t="str">
        <f t="shared" si="5"/>
        <v/>
      </c>
      <c r="O342" s="72"/>
      <c r="P342" s="72"/>
      <c r="Q342" s="72"/>
      <c r="R342" s="72"/>
      <c r="S342" s="72"/>
      <c r="T342" s="72"/>
      <c r="U342" s="72"/>
      <c r="V342" s="72"/>
    </row>
    <row r="343" spans="1:25" ht="27.75" customHeight="1">
      <c r="A343" s="87" t="str">
        <f>IF(ISBLANK(C343)," ",338-COUNTBLANK($C$6:C343))</f>
        <v xml:space="preserve"> </v>
      </c>
      <c r="B343" s="88"/>
      <c r="C343" s="88"/>
      <c r="D343" s="89"/>
      <c r="E343" s="89"/>
      <c r="F343" s="73"/>
      <c r="G343" s="73"/>
      <c r="H343" s="73"/>
      <c r="I343" s="73"/>
      <c r="J343" s="73"/>
      <c r="K343" s="73"/>
      <c r="L343" s="73"/>
      <c r="M343" s="74"/>
      <c r="N343" s="71" t="str">
        <f t="shared" si="5"/>
        <v/>
      </c>
      <c r="O343" s="72"/>
      <c r="P343" s="72"/>
      <c r="Q343" s="72"/>
      <c r="R343" s="72"/>
      <c r="S343" s="72"/>
      <c r="T343" s="72"/>
      <c r="U343" s="72"/>
      <c r="V343" s="72"/>
    </row>
    <row r="344" spans="1:25" ht="27.75" customHeight="1">
      <c r="A344" s="87" t="str">
        <f>IF(ISBLANK(C344)," ",339-COUNTBLANK($C$6:C344))</f>
        <v xml:space="preserve"> </v>
      </c>
      <c r="B344" s="88"/>
      <c r="C344" s="88"/>
      <c r="D344" s="89"/>
      <c r="E344" s="89"/>
      <c r="F344" s="73"/>
      <c r="G344" s="73"/>
      <c r="H344" s="73"/>
      <c r="I344" s="73"/>
      <c r="J344" s="73"/>
      <c r="K344" s="73"/>
      <c r="L344" s="73"/>
      <c r="M344" s="74"/>
      <c r="N344" s="71" t="str">
        <f t="shared" si="5"/>
        <v/>
      </c>
      <c r="O344" s="72"/>
      <c r="P344" s="72"/>
      <c r="Q344" s="72"/>
      <c r="R344" s="72"/>
      <c r="S344" s="72"/>
      <c r="T344" s="72"/>
      <c r="U344" s="72"/>
      <c r="V344" s="72"/>
    </row>
    <row r="345" spans="1:25" ht="27.75" customHeight="1">
      <c r="A345" s="87" t="str">
        <f>IF(ISBLANK(C345)," ",340-COUNTBLANK($C$6:C345))</f>
        <v xml:space="preserve"> </v>
      </c>
      <c r="B345" s="88"/>
      <c r="C345" s="88"/>
      <c r="D345" s="89"/>
      <c r="E345" s="89"/>
      <c r="F345" s="73"/>
      <c r="G345" s="73"/>
      <c r="H345" s="73"/>
      <c r="I345" s="73"/>
      <c r="J345" s="73"/>
      <c r="K345" s="73"/>
      <c r="L345" s="73"/>
      <c r="M345" s="74"/>
      <c r="N345" s="71" t="str">
        <f t="shared" si="5"/>
        <v/>
      </c>
      <c r="O345" s="72"/>
      <c r="P345" s="72"/>
      <c r="Q345" s="72"/>
      <c r="R345" s="72"/>
      <c r="S345" s="72"/>
      <c r="T345" s="72"/>
      <c r="U345" s="72"/>
      <c r="V345" s="72"/>
    </row>
    <row r="346" spans="1:25" ht="27.75" customHeight="1">
      <c r="A346" s="87" t="str">
        <f>IF(ISBLANK(C346)," ",341-COUNTBLANK($C$6:C346))</f>
        <v xml:space="preserve"> </v>
      </c>
      <c r="B346" s="88"/>
      <c r="C346" s="88"/>
      <c r="D346" s="89"/>
      <c r="E346" s="89"/>
      <c r="F346" s="73"/>
      <c r="G346" s="73"/>
      <c r="H346" s="73"/>
      <c r="I346" s="73"/>
      <c r="J346" s="73"/>
      <c r="K346" s="73"/>
      <c r="L346" s="73"/>
      <c r="M346" s="74"/>
      <c r="N346" s="71" t="str">
        <f t="shared" si="5"/>
        <v/>
      </c>
      <c r="O346" s="72"/>
      <c r="P346" s="72"/>
      <c r="Q346" s="72"/>
      <c r="R346" s="72"/>
      <c r="S346" s="72"/>
      <c r="T346" s="72"/>
      <c r="U346" s="72"/>
      <c r="V346" s="72"/>
    </row>
    <row r="347" spans="1:25" ht="27.75" customHeight="1">
      <c r="A347" s="87" t="str">
        <f>IF(ISBLANK(C347)," ",342-COUNTBLANK($C$6:C347))</f>
        <v xml:space="preserve"> </v>
      </c>
      <c r="B347" s="88"/>
      <c r="C347" s="88"/>
      <c r="D347" s="89"/>
      <c r="E347" s="89"/>
      <c r="F347" s="73"/>
      <c r="G347" s="73"/>
      <c r="H347" s="73"/>
      <c r="I347" s="73"/>
      <c r="J347" s="73"/>
      <c r="K347" s="73"/>
      <c r="L347" s="73"/>
      <c r="M347" s="74"/>
      <c r="N347" s="71" t="str">
        <f t="shared" si="5"/>
        <v/>
      </c>
      <c r="O347" s="72"/>
      <c r="P347" s="72"/>
      <c r="Q347" s="72"/>
      <c r="R347" s="72"/>
      <c r="S347" s="72"/>
      <c r="T347" s="72"/>
      <c r="U347" s="72"/>
      <c r="V347" s="72"/>
    </row>
    <row r="348" spans="1:25" ht="27.75" customHeight="1">
      <c r="A348" s="87" t="str">
        <f>IF(ISBLANK(C348)," ",343-COUNTBLANK($C$6:C348))</f>
        <v xml:space="preserve"> </v>
      </c>
      <c r="B348" s="88"/>
      <c r="C348" s="88"/>
      <c r="D348" s="89"/>
      <c r="E348" s="89"/>
      <c r="F348" s="73"/>
      <c r="G348" s="73"/>
      <c r="H348" s="73"/>
      <c r="I348" s="73"/>
      <c r="J348" s="73"/>
      <c r="K348" s="73"/>
      <c r="L348" s="73"/>
      <c r="M348" s="74"/>
      <c r="N348" s="71" t="str">
        <f t="shared" si="5"/>
        <v/>
      </c>
      <c r="O348" s="72"/>
      <c r="P348" s="72"/>
      <c r="Q348" s="72"/>
      <c r="R348" s="72"/>
      <c r="S348" s="72"/>
      <c r="T348" s="72"/>
      <c r="U348" s="72"/>
      <c r="V348" s="72"/>
    </row>
    <row r="349" spans="1:25" ht="27.75" customHeight="1">
      <c r="A349" s="87" t="str">
        <f>IF(ISBLANK(C349)," ",344-COUNTBLANK($C$6:C349))</f>
        <v xml:space="preserve"> </v>
      </c>
      <c r="B349" s="88"/>
      <c r="C349" s="88"/>
      <c r="D349" s="89"/>
      <c r="E349" s="89"/>
      <c r="F349" s="73"/>
      <c r="G349" s="73"/>
      <c r="H349" s="73"/>
      <c r="I349" s="73"/>
      <c r="J349" s="73"/>
      <c r="K349" s="73"/>
      <c r="L349" s="73"/>
      <c r="M349" s="74"/>
      <c r="N349" s="71" t="str">
        <f t="shared" si="5"/>
        <v/>
      </c>
      <c r="O349" s="72"/>
      <c r="P349" s="72"/>
      <c r="Q349" s="72"/>
      <c r="R349" s="72"/>
      <c r="S349" s="72"/>
      <c r="T349" s="72"/>
      <c r="U349" s="72"/>
      <c r="V349" s="72"/>
    </row>
    <row r="350" spans="1:25" ht="27.75" customHeight="1">
      <c r="A350" s="87" t="str">
        <f>IF(ISBLANK(C350)," ",345-COUNTBLANK($C$6:C350))</f>
        <v xml:space="preserve"> </v>
      </c>
      <c r="B350" s="88"/>
      <c r="C350" s="88"/>
      <c r="D350" s="89"/>
      <c r="E350" s="89"/>
      <c r="F350" s="73"/>
      <c r="G350" s="73"/>
      <c r="H350" s="73"/>
      <c r="I350" s="73"/>
      <c r="J350" s="73"/>
      <c r="K350" s="73"/>
      <c r="L350" s="73"/>
      <c r="M350" s="74"/>
      <c r="N350" s="71" t="str">
        <f t="shared" si="5"/>
        <v/>
      </c>
      <c r="O350" s="72"/>
      <c r="P350" s="72"/>
      <c r="Q350" s="72"/>
      <c r="R350" s="72"/>
      <c r="S350" s="72"/>
      <c r="T350" s="72"/>
      <c r="U350" s="72"/>
      <c r="V350" s="72"/>
    </row>
    <row r="351" spans="1:25" ht="27.75" customHeight="1">
      <c r="A351" s="87" t="str">
        <f>IF(ISBLANK(C351)," ",346-COUNTBLANK($C$6:C351))</f>
        <v xml:space="preserve"> </v>
      </c>
      <c r="B351" s="88"/>
      <c r="C351" s="88"/>
      <c r="D351" s="89"/>
      <c r="E351" s="89"/>
      <c r="F351" s="73"/>
      <c r="G351" s="73"/>
      <c r="H351" s="73"/>
      <c r="I351" s="73"/>
      <c r="J351" s="73"/>
      <c r="K351" s="73"/>
      <c r="L351" s="73"/>
      <c r="M351" s="74"/>
      <c r="N351" s="71" t="str">
        <f t="shared" si="5"/>
        <v/>
      </c>
      <c r="O351" s="72"/>
      <c r="P351" s="72"/>
      <c r="Q351" s="72"/>
      <c r="R351" s="72"/>
      <c r="S351" s="72"/>
      <c r="T351" s="72"/>
      <c r="U351" s="72"/>
      <c r="V351" s="72"/>
    </row>
    <row r="352" spans="1:25" ht="27.75" customHeight="1">
      <c r="A352" s="87" t="str">
        <f>IF(ISBLANK(C352)," ",347-COUNTBLANK($C$6:C352))</f>
        <v xml:space="preserve"> </v>
      </c>
      <c r="B352" s="88"/>
      <c r="C352" s="88"/>
      <c r="D352" s="89"/>
      <c r="E352" s="89"/>
      <c r="F352" s="73"/>
      <c r="G352" s="73"/>
      <c r="H352" s="73"/>
      <c r="I352" s="73"/>
      <c r="J352" s="73"/>
      <c r="K352" s="73"/>
      <c r="L352" s="73"/>
      <c r="M352" s="74"/>
      <c r="N352" s="71" t="str">
        <f t="shared" si="5"/>
        <v/>
      </c>
      <c r="O352" s="72"/>
      <c r="P352" s="72"/>
      <c r="Q352" s="72"/>
      <c r="R352" s="72"/>
      <c r="S352" s="72"/>
      <c r="T352" s="72"/>
      <c r="U352" s="72"/>
      <c r="V352" s="72"/>
    </row>
    <row r="353" spans="1:25" ht="27.75" customHeight="1">
      <c r="A353" s="87" t="str">
        <f>IF(ISBLANK(C353)," ",348-COUNTBLANK($C$6:C353))</f>
        <v xml:space="preserve"> </v>
      </c>
      <c r="B353" s="88"/>
      <c r="C353" s="88"/>
      <c r="D353" s="89"/>
      <c r="E353" s="89"/>
      <c r="F353" s="73"/>
      <c r="G353" s="73"/>
      <c r="H353" s="73"/>
      <c r="I353" s="73"/>
      <c r="J353" s="73"/>
      <c r="K353" s="73"/>
      <c r="L353" s="73"/>
      <c r="M353" s="74"/>
      <c r="N353" s="71" t="str">
        <f t="shared" si="5"/>
        <v/>
      </c>
      <c r="O353" s="72"/>
      <c r="P353" s="72"/>
      <c r="Q353" s="72"/>
      <c r="R353" s="72"/>
      <c r="S353" s="72"/>
      <c r="T353" s="72"/>
      <c r="U353" s="72"/>
      <c r="V353" s="72"/>
    </row>
    <row r="354" spans="1:25" ht="27.75" customHeight="1">
      <c r="A354" s="87" t="str">
        <f>IF(ISBLANK(C354)," ",349-COUNTBLANK($C$6:C354))</f>
        <v xml:space="preserve"> </v>
      </c>
      <c r="B354" s="88"/>
      <c r="C354" s="88"/>
      <c r="D354" s="89"/>
      <c r="E354" s="89"/>
      <c r="F354" s="73"/>
      <c r="G354" s="73"/>
      <c r="H354" s="73"/>
      <c r="I354" s="73"/>
      <c r="J354" s="73"/>
      <c r="K354" s="73"/>
      <c r="L354" s="73"/>
      <c r="M354" s="74"/>
      <c r="N354" s="71" t="str">
        <f t="shared" si="5"/>
        <v/>
      </c>
      <c r="O354" s="72"/>
      <c r="P354" s="72"/>
      <c r="Q354" s="72"/>
      <c r="R354" s="72"/>
      <c r="S354" s="72"/>
      <c r="T354" s="72"/>
      <c r="U354" s="72"/>
      <c r="V354" s="72"/>
    </row>
    <row r="355" spans="1:25" ht="27.75" customHeight="1">
      <c r="A355" s="87" t="str">
        <f>IF(ISBLANK(C355)," ",350-COUNTBLANK($C$6:C355))</f>
        <v xml:space="preserve"> </v>
      </c>
      <c r="B355" s="88"/>
      <c r="C355" s="88"/>
      <c r="D355" s="89"/>
      <c r="E355" s="89"/>
      <c r="F355" s="73"/>
      <c r="G355" s="73"/>
      <c r="H355" s="73"/>
      <c r="I355" s="73"/>
      <c r="J355" s="73"/>
      <c r="K355" s="73"/>
      <c r="L355" s="73"/>
      <c r="M355" s="74"/>
      <c r="N355" s="71" t="str">
        <f t="shared" si="5"/>
        <v/>
      </c>
      <c r="O355" s="72"/>
      <c r="P355" s="72"/>
      <c r="Q355" s="72"/>
      <c r="R355" s="72"/>
      <c r="S355" s="72"/>
      <c r="T355" s="72"/>
      <c r="U355" s="72"/>
      <c r="V355" s="72"/>
    </row>
    <row r="356" spans="1:25" ht="27.75" customHeight="1">
      <c r="A356" s="87" t="str">
        <f>IF(ISBLANK(C356)," ",351-COUNTBLANK($C$6:C356))</f>
        <v xml:space="preserve"> </v>
      </c>
      <c r="B356" s="88"/>
      <c r="C356" s="88"/>
      <c r="D356" s="89"/>
      <c r="E356" s="89"/>
      <c r="F356" s="73"/>
      <c r="G356" s="73"/>
      <c r="H356" s="73"/>
      <c r="I356" s="73"/>
      <c r="J356" s="73"/>
      <c r="K356" s="73"/>
      <c r="L356" s="73"/>
      <c r="M356" s="74"/>
      <c r="N356" s="71" t="str">
        <f t="shared" si="5"/>
        <v/>
      </c>
      <c r="O356" s="72"/>
      <c r="P356" s="72"/>
      <c r="Q356" s="72"/>
      <c r="R356" s="72"/>
      <c r="S356" s="72"/>
      <c r="T356" s="72"/>
      <c r="U356" s="72"/>
      <c r="V356" s="72"/>
    </row>
    <row r="357" spans="1:25" ht="27.75" customHeight="1">
      <c r="A357" s="87" t="str">
        <f>IF(ISBLANK(C357)," ",352-COUNTBLANK($C$6:C357))</f>
        <v xml:space="preserve"> </v>
      </c>
      <c r="B357" s="88"/>
      <c r="C357" s="88"/>
      <c r="D357" s="89"/>
      <c r="E357" s="89"/>
      <c r="F357" s="73"/>
      <c r="G357" s="73"/>
      <c r="H357" s="73"/>
      <c r="I357" s="73"/>
      <c r="J357" s="73"/>
      <c r="K357" s="73"/>
      <c r="L357" s="73"/>
      <c r="M357" s="74"/>
      <c r="N357" s="71" t="str">
        <f t="shared" si="5"/>
        <v/>
      </c>
      <c r="O357" s="75"/>
      <c r="P357" s="72"/>
      <c r="Q357" s="72"/>
      <c r="R357" s="72"/>
      <c r="S357" s="72"/>
      <c r="T357" s="72"/>
      <c r="U357" s="72"/>
      <c r="V357" s="76"/>
    </row>
    <row r="358" spans="1:25" ht="27.75" customHeight="1">
      <c r="A358" s="87" t="str">
        <f>IF(ISBLANK(C358)," ",353-COUNTBLANK($C$6:C358))</f>
        <v xml:space="preserve"> </v>
      </c>
      <c r="B358" s="88"/>
      <c r="C358" s="88"/>
      <c r="D358" s="89"/>
      <c r="E358" s="89"/>
      <c r="F358" s="73"/>
      <c r="G358" s="73"/>
      <c r="H358" s="73"/>
      <c r="I358" s="73"/>
      <c r="J358" s="73"/>
      <c r="K358" s="73"/>
      <c r="L358" s="73"/>
      <c r="M358" s="74"/>
      <c r="N358" s="71" t="str">
        <f t="shared" si="5"/>
        <v/>
      </c>
      <c r="O358" s="75"/>
      <c r="P358" s="72"/>
      <c r="Q358" s="72"/>
      <c r="R358" s="72"/>
      <c r="S358" s="72"/>
      <c r="T358" s="72"/>
      <c r="U358" s="72"/>
      <c r="V358" s="76"/>
    </row>
    <row r="359" spans="1:25" ht="27.75" customHeight="1">
      <c r="A359" s="87" t="str">
        <f>IF(ISBLANK(C359)," ",354-COUNTBLANK($C$6:C359))</f>
        <v xml:space="preserve"> </v>
      </c>
      <c r="B359" s="88"/>
      <c r="C359" s="88"/>
      <c r="D359" s="89"/>
      <c r="E359" s="89"/>
      <c r="F359" s="73"/>
      <c r="G359" s="73"/>
      <c r="H359" s="73"/>
      <c r="I359" s="73"/>
      <c r="J359" s="73"/>
      <c r="K359" s="73"/>
      <c r="L359" s="73"/>
      <c r="M359" s="74"/>
      <c r="N359" s="71" t="str">
        <f t="shared" si="5"/>
        <v/>
      </c>
      <c r="O359" s="75"/>
      <c r="P359" s="72"/>
      <c r="Q359" s="72"/>
      <c r="R359" s="72"/>
      <c r="S359" s="72"/>
      <c r="T359" s="72"/>
      <c r="U359" s="72"/>
      <c r="V359" s="76"/>
    </row>
    <row r="360" spans="1:25" ht="27.75" customHeight="1">
      <c r="A360" s="87" t="str">
        <f>IF(ISBLANK(C360)," ",355-COUNTBLANK($C$6:C360))</f>
        <v xml:space="preserve"> </v>
      </c>
      <c r="B360" s="88"/>
      <c r="C360" s="88"/>
      <c r="D360" s="89"/>
      <c r="E360" s="89"/>
      <c r="F360" s="73"/>
      <c r="G360" s="73"/>
      <c r="H360" s="73"/>
      <c r="I360" s="73"/>
      <c r="J360" s="73"/>
      <c r="K360" s="73"/>
      <c r="L360" s="73"/>
      <c r="M360" s="74"/>
      <c r="N360" s="71" t="str">
        <f t="shared" si="5"/>
        <v/>
      </c>
      <c r="O360" s="75"/>
      <c r="P360" s="72"/>
      <c r="Q360" s="72"/>
      <c r="R360" s="72"/>
      <c r="S360" s="72"/>
      <c r="T360" s="72"/>
      <c r="U360" s="72"/>
      <c r="V360" s="76"/>
    </row>
    <row r="361" spans="1:25" ht="27.75" customHeight="1">
      <c r="A361" s="87" t="str">
        <f>IF(ISBLANK(C361)," ",356-COUNTBLANK($C$6:C361))</f>
        <v xml:space="preserve"> </v>
      </c>
      <c r="B361" s="88"/>
      <c r="C361" s="88"/>
      <c r="D361" s="89"/>
      <c r="E361" s="89"/>
      <c r="F361" s="73"/>
      <c r="G361" s="73"/>
      <c r="H361" s="73"/>
      <c r="I361" s="73"/>
      <c r="J361" s="73"/>
      <c r="K361" s="73"/>
      <c r="L361" s="73"/>
      <c r="M361" s="74"/>
      <c r="N361" s="71" t="str">
        <f t="shared" si="5"/>
        <v/>
      </c>
      <c r="O361" s="72"/>
      <c r="P361" s="72"/>
      <c r="Q361" s="72"/>
      <c r="R361" s="72"/>
      <c r="S361" s="72"/>
      <c r="T361" s="72"/>
      <c r="U361" s="72"/>
      <c r="V361" s="79"/>
      <c r="W361" s="72"/>
      <c r="X361" s="72"/>
      <c r="Y361" s="72"/>
    </row>
    <row r="362" spans="1:25" ht="27.75" customHeight="1">
      <c r="A362" s="80" t="s">
        <v>58</v>
      </c>
      <c r="B362" s="81"/>
      <c r="C362" s="96"/>
      <c r="D362" s="82"/>
      <c r="E362" s="82">
        <f>SUM(E342:E361)</f>
        <v>0</v>
      </c>
      <c r="F362" s="83"/>
      <c r="G362" s="83"/>
      <c r="H362" s="83"/>
      <c r="I362" s="83"/>
      <c r="J362" s="83"/>
      <c r="K362" s="83"/>
      <c r="L362" s="83"/>
      <c r="M362" s="84"/>
      <c r="N362" s="71" t="str">
        <f t="shared" si="5"/>
        <v/>
      </c>
      <c r="O362" s="75"/>
      <c r="P362" s="72"/>
      <c r="Q362" s="72"/>
      <c r="R362" s="72"/>
      <c r="S362" s="72"/>
      <c r="T362" s="72"/>
      <c r="U362" s="72"/>
      <c r="V362" s="79"/>
      <c r="W362" s="72"/>
      <c r="X362" s="72"/>
      <c r="Y362" s="72"/>
    </row>
    <row r="363" spans="1:25" ht="27.75" customHeight="1">
      <c r="A363" s="93" t="str">
        <f>IF(ISBLANK(C363)," ",358-COUNTBLANK($C$6:C363))</f>
        <v xml:space="preserve"> </v>
      </c>
      <c r="B363" s="94"/>
      <c r="C363" s="94"/>
      <c r="D363" s="95"/>
      <c r="E363" s="95"/>
      <c r="F363" s="85"/>
      <c r="G363" s="85"/>
      <c r="H363" s="85"/>
      <c r="I363" s="85"/>
      <c r="J363" s="85"/>
      <c r="K363" s="85"/>
      <c r="L363" s="85"/>
      <c r="M363" s="86"/>
      <c r="N363" s="71" t="str">
        <f t="shared" si="5"/>
        <v/>
      </c>
      <c r="O363" s="72"/>
      <c r="P363" s="72"/>
      <c r="Q363" s="72"/>
      <c r="R363" s="72"/>
      <c r="S363" s="72"/>
      <c r="T363" s="72"/>
      <c r="U363" s="72"/>
      <c r="V363" s="72"/>
    </row>
    <row r="364" spans="1:25" ht="27.75" customHeight="1">
      <c r="A364" s="87" t="str">
        <f>IF(ISBLANK(C364)," ",359-COUNTBLANK($C$6:C364))</f>
        <v xml:space="preserve"> </v>
      </c>
      <c r="B364" s="88"/>
      <c r="C364" s="88"/>
      <c r="D364" s="89"/>
      <c r="E364" s="89"/>
      <c r="F364" s="73"/>
      <c r="G364" s="73"/>
      <c r="H364" s="73"/>
      <c r="I364" s="73"/>
      <c r="J364" s="73"/>
      <c r="K364" s="73"/>
      <c r="L364" s="73"/>
      <c r="M364" s="74"/>
      <c r="N364" s="71" t="str">
        <f t="shared" si="5"/>
        <v/>
      </c>
      <c r="O364" s="72"/>
      <c r="P364" s="72"/>
      <c r="Q364" s="72"/>
      <c r="R364" s="72"/>
      <c r="S364" s="72"/>
      <c r="T364" s="72"/>
      <c r="U364" s="72"/>
      <c r="V364" s="72"/>
    </row>
    <row r="365" spans="1:25" ht="27.75" customHeight="1">
      <c r="A365" s="87" t="str">
        <f>IF(ISBLANK(C365)," ",360-COUNTBLANK($C$6:C365))</f>
        <v xml:space="preserve"> </v>
      </c>
      <c r="B365" s="88"/>
      <c r="C365" s="88"/>
      <c r="D365" s="89"/>
      <c r="E365" s="89"/>
      <c r="F365" s="73"/>
      <c r="G365" s="73"/>
      <c r="H365" s="73"/>
      <c r="I365" s="73"/>
      <c r="J365" s="73"/>
      <c r="K365" s="73"/>
      <c r="L365" s="73"/>
      <c r="M365" s="74"/>
      <c r="N365" s="71" t="str">
        <f t="shared" si="5"/>
        <v/>
      </c>
      <c r="O365" s="72"/>
      <c r="P365" s="72"/>
      <c r="Q365" s="72"/>
      <c r="R365" s="72"/>
      <c r="S365" s="72"/>
      <c r="T365" s="72"/>
      <c r="U365" s="72"/>
      <c r="V365" s="72"/>
    </row>
    <row r="366" spans="1:25" ht="27.75" customHeight="1">
      <c r="A366" s="87" t="str">
        <f>IF(ISBLANK(C366)," ",361-COUNTBLANK($C$6:C366))</f>
        <v xml:space="preserve"> </v>
      </c>
      <c r="B366" s="88"/>
      <c r="C366" s="88"/>
      <c r="D366" s="89"/>
      <c r="E366" s="89"/>
      <c r="F366" s="73"/>
      <c r="G366" s="73"/>
      <c r="H366" s="73"/>
      <c r="I366" s="73"/>
      <c r="J366" s="73"/>
      <c r="K366" s="73"/>
      <c r="L366" s="73"/>
      <c r="M366" s="74"/>
      <c r="N366" s="71" t="str">
        <f t="shared" si="5"/>
        <v/>
      </c>
      <c r="O366" s="72"/>
      <c r="P366" s="72"/>
      <c r="Q366" s="72"/>
      <c r="R366" s="72"/>
      <c r="S366" s="72"/>
      <c r="T366" s="72"/>
      <c r="U366" s="72"/>
      <c r="V366" s="72"/>
    </row>
    <row r="367" spans="1:25" ht="27.75" customHeight="1">
      <c r="A367" s="87" t="str">
        <f>IF(ISBLANK(C367)," ",362-COUNTBLANK($C$6:C367))</f>
        <v xml:space="preserve"> </v>
      </c>
      <c r="B367" s="88"/>
      <c r="C367" s="88"/>
      <c r="D367" s="89"/>
      <c r="E367" s="89"/>
      <c r="F367" s="73"/>
      <c r="G367" s="73"/>
      <c r="H367" s="73"/>
      <c r="I367" s="73"/>
      <c r="J367" s="73"/>
      <c r="K367" s="73"/>
      <c r="L367" s="73"/>
      <c r="M367" s="74"/>
      <c r="N367" s="71" t="str">
        <f t="shared" si="5"/>
        <v/>
      </c>
      <c r="O367" s="72"/>
      <c r="P367" s="72"/>
      <c r="Q367" s="72"/>
      <c r="R367" s="72"/>
      <c r="S367" s="72"/>
      <c r="T367" s="72"/>
      <c r="U367" s="72"/>
      <c r="V367" s="72"/>
    </row>
    <row r="368" spans="1:25" ht="27.75" customHeight="1">
      <c r="A368" s="87" t="str">
        <f>IF(ISBLANK(C368)," ",363-COUNTBLANK($C$6:C368))</f>
        <v xml:space="preserve"> </v>
      </c>
      <c r="B368" s="88"/>
      <c r="C368" s="88"/>
      <c r="D368" s="89"/>
      <c r="E368" s="89"/>
      <c r="F368" s="73"/>
      <c r="G368" s="73"/>
      <c r="H368" s="73"/>
      <c r="I368" s="73"/>
      <c r="J368" s="73"/>
      <c r="K368" s="73"/>
      <c r="L368" s="73"/>
      <c r="M368" s="74"/>
      <c r="N368" s="71" t="str">
        <f t="shared" si="5"/>
        <v/>
      </c>
      <c r="O368" s="72"/>
      <c r="P368" s="72"/>
      <c r="Q368" s="72"/>
      <c r="R368" s="72"/>
      <c r="S368" s="72"/>
      <c r="T368" s="72"/>
      <c r="U368" s="72"/>
      <c r="V368" s="72"/>
    </row>
    <row r="369" spans="1:25" ht="27.75" customHeight="1">
      <c r="A369" s="87" t="str">
        <f>IF(ISBLANK(C369)," ",364-COUNTBLANK($C$6:C369))</f>
        <v xml:space="preserve"> </v>
      </c>
      <c r="B369" s="88"/>
      <c r="C369" s="88"/>
      <c r="D369" s="89"/>
      <c r="E369" s="89"/>
      <c r="F369" s="73"/>
      <c r="G369" s="73"/>
      <c r="H369" s="73"/>
      <c r="I369" s="73"/>
      <c r="J369" s="73"/>
      <c r="K369" s="73"/>
      <c r="L369" s="73"/>
      <c r="M369" s="74"/>
      <c r="N369" s="71" t="str">
        <f t="shared" si="5"/>
        <v/>
      </c>
      <c r="O369" s="72"/>
      <c r="P369" s="72"/>
      <c r="Q369" s="72"/>
      <c r="R369" s="72"/>
      <c r="S369" s="72"/>
      <c r="T369" s="72"/>
      <c r="U369" s="72"/>
      <c r="V369" s="72"/>
    </row>
    <row r="370" spans="1:25" ht="27.75" customHeight="1">
      <c r="A370" s="87" t="str">
        <f>IF(ISBLANK(C370)," ",365-COUNTBLANK($C$6:C370))</f>
        <v xml:space="preserve"> </v>
      </c>
      <c r="B370" s="88"/>
      <c r="C370" s="88"/>
      <c r="D370" s="89"/>
      <c r="E370" s="89"/>
      <c r="F370" s="73"/>
      <c r="G370" s="73"/>
      <c r="H370" s="73"/>
      <c r="I370" s="73"/>
      <c r="J370" s="73"/>
      <c r="K370" s="73"/>
      <c r="L370" s="73"/>
      <c r="M370" s="74"/>
      <c r="N370" s="71" t="str">
        <f t="shared" si="5"/>
        <v/>
      </c>
      <c r="O370" s="72"/>
      <c r="P370" s="72"/>
      <c r="Q370" s="72"/>
      <c r="R370" s="72"/>
      <c r="S370" s="72"/>
      <c r="T370" s="72"/>
      <c r="U370" s="72"/>
      <c r="V370" s="72"/>
    </row>
    <row r="371" spans="1:25" ht="27.75" customHeight="1">
      <c r="A371" s="87" t="str">
        <f>IF(ISBLANK(C371)," ",366-COUNTBLANK($C$6:C371))</f>
        <v xml:space="preserve"> </v>
      </c>
      <c r="B371" s="88"/>
      <c r="C371" s="88"/>
      <c r="D371" s="89"/>
      <c r="E371" s="89"/>
      <c r="F371" s="73"/>
      <c r="G371" s="73"/>
      <c r="H371" s="73"/>
      <c r="I371" s="73"/>
      <c r="J371" s="73"/>
      <c r="K371" s="73"/>
      <c r="L371" s="73"/>
      <c r="M371" s="74"/>
      <c r="N371" s="71" t="str">
        <f t="shared" si="5"/>
        <v/>
      </c>
      <c r="O371" s="72"/>
      <c r="P371" s="72"/>
      <c r="Q371" s="72"/>
      <c r="R371" s="72"/>
      <c r="S371" s="72"/>
      <c r="T371" s="72"/>
      <c r="U371" s="72"/>
      <c r="V371" s="72"/>
    </row>
    <row r="372" spans="1:25" ht="27.75" customHeight="1">
      <c r="A372" s="87" t="str">
        <f>IF(ISBLANK(C372)," ",367-COUNTBLANK($C$6:C372))</f>
        <v xml:space="preserve"> </v>
      </c>
      <c r="B372" s="88"/>
      <c r="C372" s="88"/>
      <c r="D372" s="89"/>
      <c r="E372" s="89"/>
      <c r="F372" s="73"/>
      <c r="G372" s="73"/>
      <c r="H372" s="73"/>
      <c r="I372" s="73"/>
      <c r="J372" s="73"/>
      <c r="K372" s="73"/>
      <c r="L372" s="73"/>
      <c r="M372" s="74"/>
      <c r="N372" s="71" t="str">
        <f t="shared" si="5"/>
        <v/>
      </c>
      <c r="O372" s="72"/>
      <c r="P372" s="72"/>
      <c r="Q372" s="72"/>
      <c r="R372" s="72"/>
      <c r="S372" s="72"/>
      <c r="T372" s="72"/>
      <c r="U372" s="72"/>
      <c r="V372" s="72"/>
    </row>
    <row r="373" spans="1:25" ht="27.75" customHeight="1">
      <c r="A373" s="87" t="str">
        <f>IF(ISBLANK(C373)," ",368-COUNTBLANK($C$6:C373))</f>
        <v xml:space="preserve"> </v>
      </c>
      <c r="B373" s="88"/>
      <c r="C373" s="88"/>
      <c r="D373" s="89"/>
      <c r="E373" s="89"/>
      <c r="F373" s="73"/>
      <c r="G373" s="73"/>
      <c r="H373" s="73"/>
      <c r="I373" s="73"/>
      <c r="J373" s="73"/>
      <c r="K373" s="73"/>
      <c r="L373" s="73"/>
      <c r="M373" s="74"/>
      <c r="N373" s="71" t="str">
        <f t="shared" si="5"/>
        <v/>
      </c>
      <c r="O373" s="72"/>
      <c r="P373" s="72"/>
      <c r="Q373" s="72"/>
      <c r="R373" s="72"/>
      <c r="S373" s="72"/>
      <c r="T373" s="72"/>
      <c r="U373" s="72"/>
      <c r="V373" s="72"/>
    </row>
    <row r="374" spans="1:25" ht="27.75" customHeight="1">
      <c r="A374" s="87" t="str">
        <f>IF(ISBLANK(C374)," ",369-COUNTBLANK($C$6:C374))</f>
        <v xml:space="preserve"> </v>
      </c>
      <c r="B374" s="88"/>
      <c r="C374" s="88"/>
      <c r="D374" s="89"/>
      <c r="E374" s="89"/>
      <c r="F374" s="73"/>
      <c r="G374" s="73"/>
      <c r="H374" s="73"/>
      <c r="I374" s="73"/>
      <c r="J374" s="73"/>
      <c r="K374" s="73"/>
      <c r="L374" s="73"/>
      <c r="M374" s="74"/>
      <c r="N374" s="71" t="str">
        <f t="shared" si="5"/>
        <v/>
      </c>
      <c r="O374" s="72"/>
      <c r="P374" s="72"/>
      <c r="Q374" s="72"/>
      <c r="R374" s="72"/>
      <c r="S374" s="72"/>
      <c r="T374" s="72"/>
      <c r="U374" s="72"/>
      <c r="V374" s="72"/>
    </row>
    <row r="375" spans="1:25" ht="27.75" customHeight="1">
      <c r="A375" s="87" t="str">
        <f>IF(ISBLANK(C375)," ",370-COUNTBLANK($C$6:C375))</f>
        <v xml:space="preserve"> </v>
      </c>
      <c r="B375" s="88"/>
      <c r="C375" s="88"/>
      <c r="D375" s="89"/>
      <c r="E375" s="89"/>
      <c r="F375" s="73"/>
      <c r="G375" s="73"/>
      <c r="H375" s="73"/>
      <c r="I375" s="73"/>
      <c r="J375" s="73"/>
      <c r="K375" s="73"/>
      <c r="L375" s="73"/>
      <c r="M375" s="74"/>
      <c r="N375" s="71" t="str">
        <f t="shared" si="5"/>
        <v/>
      </c>
      <c r="O375" s="72"/>
      <c r="P375" s="72"/>
      <c r="Q375" s="72"/>
      <c r="R375" s="72"/>
      <c r="S375" s="72"/>
      <c r="T375" s="72"/>
      <c r="U375" s="72"/>
      <c r="V375" s="72"/>
    </row>
    <row r="376" spans="1:25" ht="27.75" customHeight="1">
      <c r="A376" s="87" t="str">
        <f>IF(ISBLANK(C376)," ",371-COUNTBLANK($C$6:C376))</f>
        <v xml:space="preserve"> </v>
      </c>
      <c r="B376" s="88"/>
      <c r="C376" s="88"/>
      <c r="D376" s="89"/>
      <c r="E376" s="89"/>
      <c r="F376" s="73"/>
      <c r="G376" s="73"/>
      <c r="H376" s="73"/>
      <c r="I376" s="73"/>
      <c r="J376" s="73"/>
      <c r="K376" s="73"/>
      <c r="L376" s="73"/>
      <c r="M376" s="74"/>
      <c r="N376" s="71" t="str">
        <f t="shared" si="5"/>
        <v/>
      </c>
      <c r="O376" s="72"/>
      <c r="P376" s="72"/>
      <c r="Q376" s="72"/>
      <c r="R376" s="72"/>
      <c r="S376" s="72"/>
      <c r="T376" s="72"/>
      <c r="U376" s="72"/>
      <c r="V376" s="72"/>
    </row>
    <row r="377" spans="1:25" ht="27.75" customHeight="1">
      <c r="A377" s="87" t="str">
        <f>IF(ISBLANK(C377)," ",372-COUNTBLANK($C$6:C377))</f>
        <v xml:space="preserve"> </v>
      </c>
      <c r="B377" s="88"/>
      <c r="C377" s="88"/>
      <c r="D377" s="89"/>
      <c r="E377" s="89"/>
      <c r="F377" s="73"/>
      <c r="G377" s="73"/>
      <c r="H377" s="73"/>
      <c r="I377" s="73"/>
      <c r="J377" s="73"/>
      <c r="K377" s="73"/>
      <c r="L377" s="73"/>
      <c r="M377" s="74"/>
      <c r="N377" s="71" t="str">
        <f t="shared" si="5"/>
        <v/>
      </c>
      <c r="O377" s="72"/>
      <c r="P377" s="72"/>
      <c r="Q377" s="72"/>
      <c r="R377" s="72"/>
      <c r="S377" s="72"/>
      <c r="T377" s="72"/>
      <c r="U377" s="72"/>
      <c r="V377" s="72"/>
    </row>
    <row r="378" spans="1:25" ht="27.75" customHeight="1">
      <c r="A378" s="87" t="str">
        <f>IF(ISBLANK(C378)," ",373-COUNTBLANK($C$6:C378))</f>
        <v xml:space="preserve"> </v>
      </c>
      <c r="B378" s="88"/>
      <c r="C378" s="88"/>
      <c r="D378" s="89"/>
      <c r="E378" s="89"/>
      <c r="F378" s="73"/>
      <c r="G378" s="73"/>
      <c r="H378" s="73"/>
      <c r="I378" s="73"/>
      <c r="J378" s="73"/>
      <c r="K378" s="73"/>
      <c r="L378" s="73"/>
      <c r="M378" s="74"/>
      <c r="N378" s="71" t="str">
        <f t="shared" si="5"/>
        <v/>
      </c>
      <c r="O378" s="75"/>
      <c r="P378" s="72"/>
      <c r="Q378" s="72"/>
      <c r="R378" s="72"/>
      <c r="S378" s="72"/>
      <c r="T378" s="72"/>
      <c r="U378" s="72"/>
      <c r="V378" s="76"/>
    </row>
    <row r="379" spans="1:25" ht="27.75" customHeight="1">
      <c r="A379" s="87" t="str">
        <f>IF(ISBLANK(C379)," ",374-COUNTBLANK($C$6:C379))</f>
        <v xml:space="preserve"> </v>
      </c>
      <c r="B379" s="88"/>
      <c r="C379" s="88"/>
      <c r="D379" s="89"/>
      <c r="E379" s="89"/>
      <c r="F379" s="73"/>
      <c r="G379" s="73"/>
      <c r="H379" s="73"/>
      <c r="I379" s="73"/>
      <c r="J379" s="73"/>
      <c r="K379" s="73"/>
      <c r="L379" s="73"/>
      <c r="M379" s="74"/>
      <c r="N379" s="71" t="str">
        <f t="shared" si="5"/>
        <v/>
      </c>
      <c r="O379" s="75"/>
      <c r="P379" s="72"/>
      <c r="Q379" s="72"/>
      <c r="R379" s="72"/>
      <c r="S379" s="72"/>
      <c r="T379" s="72"/>
      <c r="U379" s="72"/>
      <c r="V379" s="76"/>
    </row>
    <row r="380" spans="1:25" ht="27.75" customHeight="1">
      <c r="A380" s="87" t="str">
        <f>IF(ISBLANK(C380)," ",375-COUNTBLANK($C$6:C380))</f>
        <v xml:space="preserve"> </v>
      </c>
      <c r="B380" s="88"/>
      <c r="C380" s="88"/>
      <c r="D380" s="89"/>
      <c r="E380" s="89"/>
      <c r="F380" s="73"/>
      <c r="G380" s="73"/>
      <c r="H380" s="73"/>
      <c r="I380" s="73"/>
      <c r="J380" s="73"/>
      <c r="K380" s="73"/>
      <c r="L380" s="73"/>
      <c r="M380" s="74"/>
      <c r="N380" s="71" t="str">
        <f t="shared" si="5"/>
        <v/>
      </c>
      <c r="O380" s="75"/>
      <c r="P380" s="72"/>
      <c r="Q380" s="72"/>
      <c r="R380" s="72"/>
      <c r="S380" s="72"/>
      <c r="T380" s="72"/>
      <c r="U380" s="72"/>
      <c r="V380" s="76"/>
    </row>
    <row r="381" spans="1:25" ht="27.75" customHeight="1">
      <c r="A381" s="87" t="str">
        <f>IF(ISBLANK(C381)," ",376-COUNTBLANK($C$6:C381))</f>
        <v xml:space="preserve"> </v>
      </c>
      <c r="B381" s="88"/>
      <c r="C381" s="88"/>
      <c r="D381" s="89"/>
      <c r="E381" s="89"/>
      <c r="F381" s="73"/>
      <c r="G381" s="73"/>
      <c r="H381" s="73"/>
      <c r="I381" s="73"/>
      <c r="J381" s="73"/>
      <c r="K381" s="73"/>
      <c r="L381" s="73"/>
      <c r="M381" s="74"/>
      <c r="N381" s="71" t="str">
        <f t="shared" si="5"/>
        <v/>
      </c>
      <c r="O381" s="75"/>
      <c r="P381" s="72"/>
      <c r="Q381" s="72"/>
      <c r="R381" s="72"/>
      <c r="S381" s="72"/>
      <c r="T381" s="72"/>
      <c r="U381" s="72"/>
      <c r="V381" s="76"/>
    </row>
    <row r="382" spans="1:25" ht="27.75" customHeight="1">
      <c r="A382" s="87" t="str">
        <f>IF(ISBLANK(C382)," ",377-COUNTBLANK($C$6:C382))</f>
        <v xml:space="preserve"> </v>
      </c>
      <c r="B382" s="88"/>
      <c r="C382" s="88"/>
      <c r="D382" s="89"/>
      <c r="E382" s="89"/>
      <c r="F382" s="73"/>
      <c r="G382" s="73"/>
      <c r="H382" s="73"/>
      <c r="I382" s="73"/>
      <c r="J382" s="73"/>
      <c r="K382" s="73"/>
      <c r="L382" s="73"/>
      <c r="M382" s="74"/>
      <c r="N382" s="71" t="str">
        <f t="shared" si="5"/>
        <v/>
      </c>
      <c r="O382" s="72"/>
      <c r="P382" s="72"/>
      <c r="Q382" s="72"/>
      <c r="R382" s="72"/>
      <c r="S382" s="72"/>
      <c r="T382" s="72"/>
      <c r="U382" s="72"/>
      <c r="V382" s="79"/>
      <c r="W382" s="72"/>
      <c r="X382" s="72"/>
      <c r="Y382" s="72"/>
    </row>
    <row r="383" spans="1:25" ht="27.75" customHeight="1">
      <c r="A383" s="80" t="s">
        <v>58</v>
      </c>
      <c r="B383" s="81"/>
      <c r="C383" s="96"/>
      <c r="D383" s="82"/>
      <c r="E383" s="82">
        <f>SUM(E363:E382)</f>
        <v>0</v>
      </c>
      <c r="F383" s="83"/>
      <c r="G383" s="83"/>
      <c r="H383" s="83"/>
      <c r="I383" s="83"/>
      <c r="J383" s="83"/>
      <c r="K383" s="83"/>
      <c r="L383" s="83"/>
      <c r="M383" s="84"/>
      <c r="N383" s="71" t="str">
        <f t="shared" si="5"/>
        <v/>
      </c>
      <c r="O383" s="75"/>
      <c r="P383" s="72"/>
      <c r="Q383" s="72"/>
      <c r="R383" s="72"/>
      <c r="S383" s="72"/>
      <c r="T383" s="72"/>
      <c r="U383" s="72"/>
      <c r="V383" s="79"/>
      <c r="W383" s="72"/>
      <c r="X383" s="72"/>
      <c r="Y383" s="72"/>
    </row>
    <row r="384" spans="1:25" ht="27.75" customHeight="1">
      <c r="A384" s="93" t="str">
        <f>IF(ISBLANK(C384)," ",379-COUNTBLANK($C$6:C384))</f>
        <v xml:space="preserve"> </v>
      </c>
      <c r="B384" s="94"/>
      <c r="C384" s="94"/>
      <c r="D384" s="95"/>
      <c r="E384" s="95"/>
      <c r="F384" s="85"/>
      <c r="G384" s="85"/>
      <c r="H384" s="85"/>
      <c r="I384" s="85"/>
      <c r="J384" s="85"/>
      <c r="K384" s="85"/>
      <c r="L384" s="85"/>
      <c r="M384" s="86"/>
      <c r="N384" s="71" t="str">
        <f t="shared" si="5"/>
        <v/>
      </c>
      <c r="O384" s="72"/>
      <c r="P384" s="72"/>
      <c r="Q384" s="72"/>
      <c r="R384" s="72"/>
      <c r="S384" s="72"/>
      <c r="T384" s="72"/>
      <c r="U384" s="72"/>
      <c r="V384" s="72"/>
    </row>
    <row r="385" spans="1:22" ht="27.75" customHeight="1">
      <c r="A385" s="87" t="str">
        <f>IF(ISBLANK(C385)," ",380-COUNTBLANK($C$6:C385))</f>
        <v xml:space="preserve"> </v>
      </c>
      <c r="B385" s="88"/>
      <c r="C385" s="88"/>
      <c r="D385" s="89"/>
      <c r="E385" s="89"/>
      <c r="F385" s="73"/>
      <c r="G385" s="73"/>
      <c r="H385" s="73"/>
      <c r="I385" s="73"/>
      <c r="J385" s="73"/>
      <c r="K385" s="73"/>
      <c r="L385" s="73"/>
      <c r="M385" s="74"/>
      <c r="N385" s="71" t="str">
        <f t="shared" si="5"/>
        <v/>
      </c>
      <c r="O385" s="72"/>
      <c r="P385" s="72"/>
      <c r="Q385" s="72"/>
      <c r="R385" s="72"/>
      <c r="S385" s="72"/>
      <c r="T385" s="72"/>
      <c r="U385" s="72"/>
      <c r="V385" s="72"/>
    </row>
    <row r="386" spans="1:22" ht="27.75" customHeight="1">
      <c r="A386" s="87" t="str">
        <f>IF(ISBLANK(C386)," ",381-COUNTBLANK($C$6:C386))</f>
        <v xml:space="preserve"> </v>
      </c>
      <c r="B386" s="88"/>
      <c r="C386" s="88"/>
      <c r="D386" s="89"/>
      <c r="E386" s="89"/>
      <c r="F386" s="73"/>
      <c r="G386" s="73"/>
      <c r="H386" s="73"/>
      <c r="I386" s="73"/>
      <c r="J386" s="73"/>
      <c r="K386" s="73"/>
      <c r="L386" s="73"/>
      <c r="M386" s="74"/>
      <c r="N386" s="71" t="str">
        <f t="shared" si="5"/>
        <v/>
      </c>
      <c r="O386" s="72"/>
      <c r="P386" s="72"/>
      <c r="Q386" s="72"/>
      <c r="R386" s="72"/>
      <c r="S386" s="72"/>
      <c r="T386" s="72"/>
      <c r="U386" s="72"/>
      <c r="V386" s="72"/>
    </row>
    <row r="387" spans="1:22" ht="27.75" customHeight="1">
      <c r="A387" s="87" t="str">
        <f>IF(ISBLANK(C387)," ",382-COUNTBLANK($C$6:C387))</f>
        <v xml:space="preserve"> </v>
      </c>
      <c r="B387" s="88"/>
      <c r="C387" s="88"/>
      <c r="D387" s="89"/>
      <c r="E387" s="89"/>
      <c r="F387" s="73"/>
      <c r="G387" s="73"/>
      <c r="H387" s="73"/>
      <c r="I387" s="73"/>
      <c r="J387" s="73"/>
      <c r="K387" s="73"/>
      <c r="L387" s="73"/>
      <c r="M387" s="74"/>
      <c r="N387" s="71" t="str">
        <f t="shared" si="5"/>
        <v/>
      </c>
      <c r="O387" s="72"/>
      <c r="P387" s="72"/>
      <c r="Q387" s="72"/>
      <c r="R387" s="72"/>
      <c r="S387" s="72"/>
      <c r="T387" s="72"/>
      <c r="U387" s="72"/>
      <c r="V387" s="72"/>
    </row>
    <row r="388" spans="1:22" ht="27.75" customHeight="1">
      <c r="A388" s="87" t="str">
        <f>IF(ISBLANK(C388)," ",383-COUNTBLANK($C$6:C388))</f>
        <v xml:space="preserve"> </v>
      </c>
      <c r="B388" s="88"/>
      <c r="C388" s="88"/>
      <c r="D388" s="89"/>
      <c r="E388" s="89"/>
      <c r="F388" s="73"/>
      <c r="G388" s="73"/>
      <c r="H388" s="73"/>
      <c r="I388" s="73"/>
      <c r="J388" s="73"/>
      <c r="K388" s="73"/>
      <c r="L388" s="73"/>
      <c r="M388" s="74"/>
      <c r="N388" s="71" t="str">
        <f t="shared" si="5"/>
        <v/>
      </c>
      <c r="O388" s="72"/>
      <c r="P388" s="72"/>
      <c r="Q388" s="72"/>
      <c r="R388" s="72"/>
      <c r="S388" s="72"/>
      <c r="T388" s="72"/>
      <c r="U388" s="72"/>
      <c r="V388" s="72"/>
    </row>
    <row r="389" spans="1:22" ht="27.75" customHeight="1">
      <c r="A389" s="87" t="str">
        <f>IF(ISBLANK(C389)," ",384-COUNTBLANK($C$6:C389))</f>
        <v xml:space="preserve"> </v>
      </c>
      <c r="B389" s="88"/>
      <c r="C389" s="88"/>
      <c r="D389" s="89"/>
      <c r="E389" s="89"/>
      <c r="F389" s="73"/>
      <c r="G389" s="73"/>
      <c r="H389" s="73"/>
      <c r="I389" s="73"/>
      <c r="J389" s="73"/>
      <c r="K389" s="73"/>
      <c r="L389" s="73"/>
      <c r="M389" s="74"/>
      <c r="N389" s="71" t="str">
        <f t="shared" si="5"/>
        <v/>
      </c>
      <c r="O389" s="72"/>
      <c r="P389" s="72"/>
      <c r="Q389" s="72"/>
      <c r="R389" s="72"/>
      <c r="S389" s="72"/>
      <c r="T389" s="72"/>
      <c r="U389" s="72"/>
      <c r="V389" s="72"/>
    </row>
    <row r="390" spans="1:22" ht="27.75" customHeight="1">
      <c r="A390" s="87" t="str">
        <f>IF(ISBLANK(C390)," ",385-COUNTBLANK($C$6:C390))</f>
        <v xml:space="preserve"> </v>
      </c>
      <c r="B390" s="88"/>
      <c r="C390" s="88"/>
      <c r="D390" s="89"/>
      <c r="E390" s="89"/>
      <c r="F390" s="73"/>
      <c r="G390" s="73"/>
      <c r="H390" s="73"/>
      <c r="I390" s="73"/>
      <c r="J390" s="73"/>
      <c r="K390" s="73"/>
      <c r="L390" s="73"/>
      <c r="M390" s="74"/>
      <c r="N390" s="71" t="str">
        <f t="shared" ref="N390:N453" si="6">CONCATENATE(C390,H390)</f>
        <v/>
      </c>
      <c r="O390" s="72"/>
      <c r="P390" s="72"/>
      <c r="Q390" s="72"/>
      <c r="R390" s="72"/>
      <c r="S390" s="72"/>
      <c r="T390" s="72"/>
      <c r="U390" s="72"/>
      <c r="V390" s="72"/>
    </row>
    <row r="391" spans="1:22" ht="27.75" customHeight="1">
      <c r="A391" s="87" t="str">
        <f>IF(ISBLANK(C391)," ",386-COUNTBLANK($C$6:C391))</f>
        <v xml:space="preserve"> </v>
      </c>
      <c r="B391" s="88"/>
      <c r="C391" s="88"/>
      <c r="D391" s="89"/>
      <c r="E391" s="89"/>
      <c r="F391" s="73"/>
      <c r="G391" s="73"/>
      <c r="H391" s="73"/>
      <c r="I391" s="73"/>
      <c r="J391" s="73"/>
      <c r="K391" s="73"/>
      <c r="L391" s="73"/>
      <c r="M391" s="74"/>
      <c r="N391" s="71" t="str">
        <f t="shared" si="6"/>
        <v/>
      </c>
      <c r="O391" s="72"/>
      <c r="P391" s="72"/>
      <c r="Q391" s="72"/>
      <c r="R391" s="72"/>
      <c r="S391" s="72"/>
      <c r="T391" s="72"/>
      <c r="U391" s="72"/>
      <c r="V391" s="72"/>
    </row>
    <row r="392" spans="1:22" ht="27.75" customHeight="1">
      <c r="A392" s="87" t="str">
        <f>IF(ISBLANK(C392)," ",387-COUNTBLANK($C$6:C392))</f>
        <v xml:space="preserve"> </v>
      </c>
      <c r="B392" s="88"/>
      <c r="C392" s="88"/>
      <c r="D392" s="89"/>
      <c r="E392" s="89"/>
      <c r="F392" s="73"/>
      <c r="G392" s="73"/>
      <c r="H392" s="73"/>
      <c r="I392" s="73"/>
      <c r="J392" s="73"/>
      <c r="K392" s="73"/>
      <c r="L392" s="73"/>
      <c r="M392" s="74"/>
      <c r="N392" s="71" t="str">
        <f t="shared" si="6"/>
        <v/>
      </c>
      <c r="O392" s="72"/>
      <c r="P392" s="72"/>
      <c r="Q392" s="72"/>
      <c r="R392" s="72"/>
      <c r="S392" s="72"/>
      <c r="T392" s="72"/>
      <c r="U392" s="72"/>
      <c r="V392" s="72"/>
    </row>
    <row r="393" spans="1:22" ht="27.75" customHeight="1">
      <c r="A393" s="87" t="str">
        <f>IF(ISBLANK(C393)," ",388-COUNTBLANK($C$6:C393))</f>
        <v xml:space="preserve"> </v>
      </c>
      <c r="B393" s="88"/>
      <c r="C393" s="88"/>
      <c r="D393" s="89"/>
      <c r="E393" s="89"/>
      <c r="F393" s="73"/>
      <c r="G393" s="73"/>
      <c r="H393" s="73"/>
      <c r="I393" s="73"/>
      <c r="J393" s="73"/>
      <c r="K393" s="73"/>
      <c r="L393" s="73"/>
      <c r="M393" s="74"/>
      <c r="N393" s="71" t="str">
        <f t="shared" si="6"/>
        <v/>
      </c>
      <c r="O393" s="72"/>
      <c r="P393" s="72"/>
      <c r="Q393" s="72"/>
      <c r="R393" s="72"/>
      <c r="S393" s="72"/>
      <c r="T393" s="72"/>
      <c r="U393" s="72"/>
      <c r="V393" s="72"/>
    </row>
    <row r="394" spans="1:22" ht="27.75" customHeight="1">
      <c r="A394" s="87" t="str">
        <f>IF(ISBLANK(C394)," ",389-COUNTBLANK($C$6:C394))</f>
        <v xml:space="preserve"> </v>
      </c>
      <c r="B394" s="88"/>
      <c r="C394" s="88"/>
      <c r="D394" s="89"/>
      <c r="E394" s="89"/>
      <c r="F394" s="73"/>
      <c r="G394" s="73"/>
      <c r="H394" s="73"/>
      <c r="I394" s="73"/>
      <c r="J394" s="73"/>
      <c r="K394" s="73"/>
      <c r="L394" s="73"/>
      <c r="M394" s="74"/>
      <c r="N394" s="71" t="str">
        <f t="shared" si="6"/>
        <v/>
      </c>
      <c r="O394" s="72"/>
      <c r="P394" s="72"/>
      <c r="Q394" s="72"/>
      <c r="R394" s="72"/>
      <c r="S394" s="72"/>
      <c r="T394" s="72"/>
      <c r="U394" s="72"/>
      <c r="V394" s="72"/>
    </row>
    <row r="395" spans="1:22" ht="27.75" customHeight="1">
      <c r="A395" s="87" t="str">
        <f>IF(ISBLANK(C395)," ",390-COUNTBLANK($C$6:C395))</f>
        <v xml:space="preserve"> </v>
      </c>
      <c r="B395" s="88"/>
      <c r="C395" s="88"/>
      <c r="D395" s="89"/>
      <c r="E395" s="89"/>
      <c r="F395" s="73"/>
      <c r="G395" s="73"/>
      <c r="H395" s="73"/>
      <c r="I395" s="73"/>
      <c r="J395" s="73"/>
      <c r="K395" s="73"/>
      <c r="L395" s="73"/>
      <c r="M395" s="74"/>
      <c r="N395" s="71" t="str">
        <f t="shared" si="6"/>
        <v/>
      </c>
      <c r="O395" s="72"/>
      <c r="P395" s="72"/>
      <c r="Q395" s="72"/>
      <c r="R395" s="72"/>
      <c r="S395" s="72"/>
      <c r="T395" s="72"/>
      <c r="U395" s="72"/>
      <c r="V395" s="72"/>
    </row>
    <row r="396" spans="1:22" ht="27.75" customHeight="1">
      <c r="A396" s="87" t="str">
        <f>IF(ISBLANK(C396)," ",391-COUNTBLANK($C$6:C396))</f>
        <v xml:space="preserve"> </v>
      </c>
      <c r="B396" s="88"/>
      <c r="C396" s="88"/>
      <c r="D396" s="89"/>
      <c r="E396" s="89"/>
      <c r="F396" s="73"/>
      <c r="G396" s="73"/>
      <c r="H396" s="73"/>
      <c r="I396" s="73"/>
      <c r="J396" s="73"/>
      <c r="K396" s="73"/>
      <c r="L396" s="73"/>
      <c r="M396" s="74"/>
      <c r="N396" s="71" t="str">
        <f t="shared" si="6"/>
        <v/>
      </c>
      <c r="O396" s="72"/>
      <c r="P396" s="72"/>
      <c r="Q396" s="72"/>
      <c r="R396" s="72"/>
      <c r="S396" s="72"/>
      <c r="T396" s="72"/>
      <c r="U396" s="72"/>
      <c r="V396" s="72"/>
    </row>
    <row r="397" spans="1:22" ht="27.75" customHeight="1">
      <c r="A397" s="87" t="str">
        <f>IF(ISBLANK(C397)," ",392-COUNTBLANK($C$6:C397))</f>
        <v xml:space="preserve"> </v>
      </c>
      <c r="B397" s="88"/>
      <c r="C397" s="88"/>
      <c r="D397" s="89"/>
      <c r="E397" s="89"/>
      <c r="F397" s="73"/>
      <c r="G397" s="73"/>
      <c r="H397" s="73"/>
      <c r="I397" s="73"/>
      <c r="J397" s="73"/>
      <c r="K397" s="73"/>
      <c r="L397" s="73"/>
      <c r="M397" s="74"/>
      <c r="N397" s="71" t="str">
        <f t="shared" si="6"/>
        <v/>
      </c>
      <c r="O397" s="72"/>
      <c r="P397" s="72"/>
      <c r="Q397" s="72"/>
      <c r="R397" s="72"/>
      <c r="S397" s="72"/>
      <c r="T397" s="72"/>
      <c r="U397" s="72"/>
      <c r="V397" s="72"/>
    </row>
    <row r="398" spans="1:22" ht="27.75" customHeight="1">
      <c r="A398" s="87" t="str">
        <f>IF(ISBLANK(C398)," ",393-COUNTBLANK($C$6:C398))</f>
        <v xml:space="preserve"> </v>
      </c>
      <c r="B398" s="88"/>
      <c r="C398" s="88"/>
      <c r="D398" s="89"/>
      <c r="E398" s="89"/>
      <c r="F398" s="73"/>
      <c r="G398" s="73"/>
      <c r="H398" s="73"/>
      <c r="I398" s="73"/>
      <c r="J398" s="73"/>
      <c r="K398" s="73"/>
      <c r="L398" s="73"/>
      <c r="M398" s="74"/>
      <c r="N398" s="71" t="str">
        <f t="shared" si="6"/>
        <v/>
      </c>
      <c r="O398" s="72"/>
      <c r="P398" s="72"/>
      <c r="Q398" s="72"/>
      <c r="R398" s="72"/>
      <c r="S398" s="72"/>
      <c r="T398" s="72"/>
      <c r="U398" s="72"/>
      <c r="V398" s="72"/>
    </row>
    <row r="399" spans="1:22" ht="27.75" customHeight="1">
      <c r="A399" s="87" t="str">
        <f>IF(ISBLANK(C399)," ",394-COUNTBLANK($C$6:C399))</f>
        <v xml:space="preserve"> </v>
      </c>
      <c r="B399" s="88"/>
      <c r="C399" s="88"/>
      <c r="D399" s="89"/>
      <c r="E399" s="89"/>
      <c r="F399" s="73"/>
      <c r="G399" s="73"/>
      <c r="H399" s="73"/>
      <c r="I399" s="73"/>
      <c r="J399" s="73"/>
      <c r="K399" s="73"/>
      <c r="L399" s="73"/>
      <c r="M399" s="74"/>
      <c r="N399" s="71" t="str">
        <f t="shared" si="6"/>
        <v/>
      </c>
      <c r="O399" s="75"/>
      <c r="P399" s="72"/>
      <c r="Q399" s="72"/>
      <c r="R399" s="72"/>
      <c r="S399" s="72"/>
      <c r="T399" s="72"/>
      <c r="U399" s="72"/>
      <c r="V399" s="76"/>
    </row>
    <row r="400" spans="1:22" ht="27.75" customHeight="1">
      <c r="A400" s="87" t="str">
        <f>IF(ISBLANK(C400)," ",395-COUNTBLANK($C$6:C400))</f>
        <v xml:space="preserve"> </v>
      </c>
      <c r="B400" s="88"/>
      <c r="C400" s="88"/>
      <c r="D400" s="89"/>
      <c r="E400" s="89"/>
      <c r="F400" s="73"/>
      <c r="G400" s="73"/>
      <c r="H400" s="73"/>
      <c r="I400" s="73"/>
      <c r="J400" s="73"/>
      <c r="K400" s="73"/>
      <c r="L400" s="73"/>
      <c r="M400" s="74"/>
      <c r="N400" s="71" t="str">
        <f t="shared" si="6"/>
        <v/>
      </c>
      <c r="O400" s="75"/>
      <c r="P400" s="72"/>
      <c r="Q400" s="72"/>
      <c r="R400" s="72"/>
      <c r="S400" s="72"/>
      <c r="T400" s="72"/>
      <c r="U400" s="72"/>
      <c r="V400" s="76"/>
    </row>
    <row r="401" spans="1:25" ht="27.75" customHeight="1">
      <c r="A401" s="87" t="str">
        <f>IF(ISBLANK(C401)," ",396-COUNTBLANK($C$6:C401))</f>
        <v xml:space="preserve"> </v>
      </c>
      <c r="B401" s="88"/>
      <c r="C401" s="88"/>
      <c r="D401" s="89"/>
      <c r="E401" s="89"/>
      <c r="F401" s="73"/>
      <c r="G401" s="73"/>
      <c r="H401" s="73"/>
      <c r="I401" s="73"/>
      <c r="J401" s="73"/>
      <c r="K401" s="73"/>
      <c r="L401" s="73"/>
      <c r="M401" s="74"/>
      <c r="N401" s="71" t="str">
        <f t="shared" si="6"/>
        <v/>
      </c>
      <c r="O401" s="75"/>
      <c r="P401" s="72"/>
      <c r="Q401" s="72"/>
      <c r="R401" s="72"/>
      <c r="S401" s="72"/>
      <c r="T401" s="72"/>
      <c r="U401" s="72"/>
      <c r="V401" s="76"/>
    </row>
    <row r="402" spans="1:25" ht="27.75" customHeight="1">
      <c r="A402" s="87" t="str">
        <f>IF(ISBLANK(C402)," ",397-COUNTBLANK($C$6:C402))</f>
        <v xml:space="preserve"> </v>
      </c>
      <c r="B402" s="88"/>
      <c r="C402" s="88"/>
      <c r="D402" s="89"/>
      <c r="E402" s="89"/>
      <c r="F402" s="73"/>
      <c r="G402" s="73"/>
      <c r="H402" s="73"/>
      <c r="I402" s="73"/>
      <c r="J402" s="73"/>
      <c r="K402" s="73"/>
      <c r="L402" s="73"/>
      <c r="M402" s="74"/>
      <c r="N402" s="71" t="str">
        <f t="shared" si="6"/>
        <v/>
      </c>
      <c r="O402" s="75"/>
      <c r="P402" s="72"/>
      <c r="Q402" s="72"/>
      <c r="R402" s="72"/>
      <c r="S402" s="72"/>
      <c r="T402" s="72"/>
      <c r="U402" s="72"/>
      <c r="V402" s="76"/>
    </row>
    <row r="403" spans="1:25" ht="27.75" customHeight="1">
      <c r="A403" s="87" t="str">
        <f>IF(ISBLANK(C403)," ",398-COUNTBLANK($C$6:C403))</f>
        <v xml:space="preserve"> </v>
      </c>
      <c r="B403" s="88"/>
      <c r="C403" s="88"/>
      <c r="D403" s="89"/>
      <c r="E403" s="89"/>
      <c r="F403" s="73"/>
      <c r="G403" s="73"/>
      <c r="H403" s="73"/>
      <c r="I403" s="73"/>
      <c r="J403" s="73"/>
      <c r="K403" s="73"/>
      <c r="L403" s="73"/>
      <c r="M403" s="74"/>
      <c r="N403" s="71" t="str">
        <f t="shared" si="6"/>
        <v/>
      </c>
      <c r="O403" s="72"/>
      <c r="P403" s="72"/>
      <c r="Q403" s="72"/>
      <c r="R403" s="72"/>
      <c r="S403" s="72"/>
      <c r="T403" s="72"/>
      <c r="U403" s="72"/>
      <c r="V403" s="79"/>
      <c r="W403" s="72"/>
      <c r="X403" s="72"/>
      <c r="Y403" s="72"/>
    </row>
    <row r="404" spans="1:25" ht="27.75" customHeight="1">
      <c r="A404" s="80" t="s">
        <v>58</v>
      </c>
      <c r="B404" s="81"/>
      <c r="C404" s="96"/>
      <c r="D404" s="82"/>
      <c r="E404" s="82">
        <f>SUM(E384:E403)</f>
        <v>0</v>
      </c>
      <c r="F404" s="83"/>
      <c r="G404" s="83"/>
      <c r="H404" s="83"/>
      <c r="I404" s="83"/>
      <c r="J404" s="83"/>
      <c r="K404" s="83"/>
      <c r="L404" s="83"/>
      <c r="M404" s="84"/>
      <c r="N404" s="71" t="str">
        <f t="shared" si="6"/>
        <v/>
      </c>
      <c r="O404" s="75"/>
      <c r="P404" s="72"/>
      <c r="Q404" s="72"/>
      <c r="R404" s="72"/>
      <c r="S404" s="72"/>
      <c r="T404" s="72"/>
      <c r="U404" s="72"/>
      <c r="V404" s="79"/>
      <c r="W404" s="72"/>
      <c r="X404" s="72"/>
      <c r="Y404" s="72"/>
    </row>
    <row r="405" spans="1:25" ht="27.75" customHeight="1">
      <c r="A405" s="93" t="str">
        <f>IF(ISBLANK(C405)," ",400-COUNTBLANK($C$6:C405))</f>
        <v xml:space="preserve"> </v>
      </c>
      <c r="B405" s="94"/>
      <c r="C405" s="94"/>
      <c r="D405" s="95"/>
      <c r="E405" s="95"/>
      <c r="F405" s="85"/>
      <c r="G405" s="85"/>
      <c r="H405" s="85"/>
      <c r="I405" s="85"/>
      <c r="J405" s="85"/>
      <c r="K405" s="85"/>
      <c r="L405" s="85"/>
      <c r="M405" s="86"/>
      <c r="N405" s="71" t="str">
        <f t="shared" si="6"/>
        <v/>
      </c>
      <c r="O405" s="72"/>
      <c r="P405" s="72"/>
      <c r="Q405" s="72"/>
      <c r="R405" s="72"/>
      <c r="S405" s="72"/>
      <c r="T405" s="72"/>
      <c r="U405" s="72"/>
      <c r="V405" s="72"/>
    </row>
    <row r="406" spans="1:25" ht="27.75" customHeight="1">
      <c r="A406" s="87" t="str">
        <f>IF(ISBLANK(C406)," ",401-COUNTBLANK($C$6:C406))</f>
        <v xml:space="preserve"> </v>
      </c>
      <c r="B406" s="88"/>
      <c r="C406" s="88"/>
      <c r="D406" s="89"/>
      <c r="E406" s="89"/>
      <c r="F406" s="73"/>
      <c r="G406" s="73"/>
      <c r="H406" s="73"/>
      <c r="I406" s="73"/>
      <c r="J406" s="73"/>
      <c r="K406" s="73"/>
      <c r="L406" s="73"/>
      <c r="M406" s="74"/>
      <c r="N406" s="71" t="str">
        <f t="shared" si="6"/>
        <v/>
      </c>
      <c r="O406" s="72"/>
      <c r="P406" s="72"/>
      <c r="Q406" s="72"/>
      <c r="R406" s="72"/>
      <c r="S406" s="72"/>
      <c r="T406" s="72"/>
      <c r="U406" s="72"/>
      <c r="V406" s="72"/>
    </row>
    <row r="407" spans="1:25" ht="27.75" customHeight="1">
      <c r="A407" s="87" t="str">
        <f>IF(ISBLANK(C407)," ",402-COUNTBLANK($C$6:C407))</f>
        <v xml:space="preserve"> </v>
      </c>
      <c r="B407" s="88"/>
      <c r="C407" s="88"/>
      <c r="D407" s="89"/>
      <c r="E407" s="89"/>
      <c r="F407" s="73"/>
      <c r="G407" s="73"/>
      <c r="H407" s="73"/>
      <c r="I407" s="73"/>
      <c r="J407" s="73"/>
      <c r="K407" s="73"/>
      <c r="L407" s="73"/>
      <c r="M407" s="74"/>
      <c r="N407" s="71" t="str">
        <f t="shared" si="6"/>
        <v/>
      </c>
      <c r="O407" s="72"/>
      <c r="P407" s="72"/>
      <c r="Q407" s="72"/>
      <c r="R407" s="72"/>
      <c r="S407" s="72"/>
      <c r="T407" s="72"/>
      <c r="U407" s="72"/>
      <c r="V407" s="72"/>
    </row>
    <row r="408" spans="1:25" ht="27.75" customHeight="1">
      <c r="A408" s="87" t="str">
        <f>IF(ISBLANK(C408)," ",403-COUNTBLANK($C$6:C408))</f>
        <v xml:space="preserve"> </v>
      </c>
      <c r="B408" s="88"/>
      <c r="C408" s="88"/>
      <c r="D408" s="89"/>
      <c r="E408" s="89"/>
      <c r="F408" s="73"/>
      <c r="G408" s="73"/>
      <c r="H408" s="73"/>
      <c r="I408" s="73"/>
      <c r="J408" s="73"/>
      <c r="K408" s="73"/>
      <c r="L408" s="73"/>
      <c r="M408" s="74"/>
      <c r="N408" s="71" t="str">
        <f t="shared" si="6"/>
        <v/>
      </c>
      <c r="O408" s="72"/>
      <c r="P408" s="72"/>
      <c r="Q408" s="72"/>
      <c r="R408" s="72"/>
      <c r="S408" s="72"/>
      <c r="T408" s="72"/>
      <c r="U408" s="72"/>
      <c r="V408" s="72"/>
    </row>
    <row r="409" spans="1:25" ht="27.75" customHeight="1">
      <c r="A409" s="87" t="str">
        <f>IF(ISBLANK(C409)," ",404-COUNTBLANK($C$6:C409))</f>
        <v xml:space="preserve"> </v>
      </c>
      <c r="B409" s="88"/>
      <c r="C409" s="88"/>
      <c r="D409" s="89"/>
      <c r="E409" s="89"/>
      <c r="F409" s="73"/>
      <c r="G409" s="73"/>
      <c r="H409" s="73"/>
      <c r="I409" s="73"/>
      <c r="J409" s="73"/>
      <c r="K409" s="73"/>
      <c r="L409" s="73"/>
      <c r="M409" s="74"/>
      <c r="N409" s="71" t="str">
        <f t="shared" si="6"/>
        <v/>
      </c>
      <c r="O409" s="72"/>
      <c r="P409" s="72"/>
      <c r="Q409" s="72"/>
      <c r="R409" s="72"/>
      <c r="S409" s="72"/>
      <c r="T409" s="72"/>
      <c r="U409" s="72"/>
      <c r="V409" s="72"/>
    </row>
    <row r="410" spans="1:25" ht="27.75" customHeight="1">
      <c r="A410" s="87" t="str">
        <f>IF(ISBLANK(C410)," ",405-COUNTBLANK($C$6:C410))</f>
        <v xml:space="preserve"> </v>
      </c>
      <c r="B410" s="88"/>
      <c r="C410" s="88"/>
      <c r="D410" s="89"/>
      <c r="E410" s="89"/>
      <c r="F410" s="73"/>
      <c r="G410" s="73"/>
      <c r="H410" s="73"/>
      <c r="I410" s="73"/>
      <c r="J410" s="73"/>
      <c r="K410" s="73"/>
      <c r="L410" s="73"/>
      <c r="M410" s="74"/>
      <c r="N410" s="71" t="str">
        <f t="shared" si="6"/>
        <v/>
      </c>
      <c r="O410" s="72"/>
      <c r="P410" s="72"/>
      <c r="Q410" s="72"/>
      <c r="R410" s="72"/>
      <c r="S410" s="72"/>
      <c r="T410" s="72"/>
      <c r="U410" s="72"/>
      <c r="V410" s="72"/>
    </row>
    <row r="411" spans="1:25" ht="27.75" customHeight="1">
      <c r="A411" s="87" t="str">
        <f>IF(ISBLANK(C411)," ",406-COUNTBLANK($C$6:C411))</f>
        <v xml:space="preserve"> </v>
      </c>
      <c r="B411" s="88"/>
      <c r="C411" s="88"/>
      <c r="D411" s="89"/>
      <c r="E411" s="89"/>
      <c r="F411" s="73"/>
      <c r="G411" s="73"/>
      <c r="H411" s="73"/>
      <c r="I411" s="73"/>
      <c r="J411" s="73"/>
      <c r="K411" s="73"/>
      <c r="L411" s="73"/>
      <c r="M411" s="74"/>
      <c r="N411" s="71" t="str">
        <f t="shared" si="6"/>
        <v/>
      </c>
      <c r="O411" s="72"/>
      <c r="P411" s="72"/>
      <c r="Q411" s="72"/>
      <c r="R411" s="72"/>
      <c r="S411" s="72"/>
      <c r="T411" s="72"/>
      <c r="U411" s="72"/>
      <c r="V411" s="72"/>
    </row>
    <row r="412" spans="1:25" ht="27.75" customHeight="1">
      <c r="A412" s="87" t="str">
        <f>IF(ISBLANK(C412)," ",407-COUNTBLANK($C$6:C412))</f>
        <v xml:space="preserve"> </v>
      </c>
      <c r="B412" s="88"/>
      <c r="C412" s="88"/>
      <c r="D412" s="89"/>
      <c r="E412" s="89"/>
      <c r="F412" s="73"/>
      <c r="G412" s="73"/>
      <c r="H412" s="73"/>
      <c r="I412" s="73"/>
      <c r="J412" s="73"/>
      <c r="K412" s="73"/>
      <c r="L412" s="73"/>
      <c r="M412" s="74"/>
      <c r="N412" s="71" t="str">
        <f t="shared" si="6"/>
        <v/>
      </c>
      <c r="O412" s="72"/>
      <c r="P412" s="72"/>
      <c r="Q412" s="72"/>
      <c r="R412" s="72"/>
      <c r="S412" s="72"/>
      <c r="T412" s="72"/>
      <c r="U412" s="72"/>
      <c r="V412" s="72"/>
    </row>
    <row r="413" spans="1:25" ht="27.75" customHeight="1">
      <c r="A413" s="87" t="str">
        <f>IF(ISBLANK(C413)," ",408-COUNTBLANK($C$6:C413))</f>
        <v xml:space="preserve"> </v>
      </c>
      <c r="B413" s="88"/>
      <c r="C413" s="88"/>
      <c r="D413" s="89"/>
      <c r="E413" s="89"/>
      <c r="F413" s="73"/>
      <c r="G413" s="73"/>
      <c r="H413" s="73"/>
      <c r="I413" s="73"/>
      <c r="J413" s="73"/>
      <c r="K413" s="73"/>
      <c r="L413" s="73"/>
      <c r="M413" s="74"/>
      <c r="N413" s="71" t="str">
        <f t="shared" si="6"/>
        <v/>
      </c>
      <c r="O413" s="72"/>
      <c r="P413" s="72"/>
      <c r="Q413" s="72"/>
      <c r="R413" s="72"/>
      <c r="S413" s="72"/>
      <c r="T413" s="72"/>
      <c r="U413" s="72"/>
      <c r="V413" s="72"/>
    </row>
    <row r="414" spans="1:25" ht="27.75" customHeight="1">
      <c r="A414" s="87" t="str">
        <f>IF(ISBLANK(C414)," ",409-COUNTBLANK($C$6:C414))</f>
        <v xml:space="preserve"> </v>
      </c>
      <c r="B414" s="88"/>
      <c r="C414" s="88"/>
      <c r="D414" s="89"/>
      <c r="E414" s="89"/>
      <c r="F414" s="73"/>
      <c r="G414" s="73"/>
      <c r="H414" s="73"/>
      <c r="I414" s="73"/>
      <c r="J414" s="73"/>
      <c r="K414" s="73"/>
      <c r="L414" s="73"/>
      <c r="M414" s="74"/>
      <c r="N414" s="71" t="str">
        <f t="shared" si="6"/>
        <v/>
      </c>
      <c r="O414" s="72"/>
      <c r="P414" s="72"/>
      <c r="Q414" s="72"/>
      <c r="R414" s="72"/>
      <c r="S414" s="72"/>
      <c r="T414" s="72"/>
      <c r="U414" s="72"/>
      <c r="V414" s="72"/>
    </row>
    <row r="415" spans="1:25" ht="27.75" customHeight="1">
      <c r="A415" s="87" t="str">
        <f>IF(ISBLANK(C415)," ",410-COUNTBLANK($C$6:C415))</f>
        <v xml:space="preserve"> </v>
      </c>
      <c r="B415" s="88"/>
      <c r="C415" s="88"/>
      <c r="D415" s="89"/>
      <c r="E415" s="89"/>
      <c r="F415" s="73"/>
      <c r="G415" s="73"/>
      <c r="H415" s="73"/>
      <c r="I415" s="73"/>
      <c r="J415" s="73"/>
      <c r="K415" s="73"/>
      <c r="L415" s="73"/>
      <c r="M415" s="74"/>
      <c r="N415" s="71" t="str">
        <f t="shared" si="6"/>
        <v/>
      </c>
      <c r="O415" s="72"/>
      <c r="P415" s="72"/>
      <c r="Q415" s="72"/>
      <c r="R415" s="72"/>
      <c r="S415" s="72"/>
      <c r="T415" s="72"/>
      <c r="U415" s="72"/>
      <c r="V415" s="72"/>
    </row>
    <row r="416" spans="1:25" ht="27.75" customHeight="1">
      <c r="A416" s="87" t="str">
        <f>IF(ISBLANK(C416)," ",411-COUNTBLANK($C$6:C416))</f>
        <v xml:space="preserve"> </v>
      </c>
      <c r="B416" s="88"/>
      <c r="C416" s="88"/>
      <c r="D416" s="89"/>
      <c r="E416" s="89"/>
      <c r="F416" s="73"/>
      <c r="G416" s="73"/>
      <c r="H416" s="73"/>
      <c r="I416" s="73"/>
      <c r="J416" s="73"/>
      <c r="K416" s="73"/>
      <c r="L416" s="73"/>
      <c r="M416" s="74"/>
      <c r="N416" s="71" t="str">
        <f t="shared" si="6"/>
        <v/>
      </c>
      <c r="O416" s="72"/>
      <c r="P416" s="72"/>
      <c r="Q416" s="72"/>
      <c r="R416" s="72"/>
      <c r="S416" s="72"/>
      <c r="T416" s="72"/>
      <c r="U416" s="72"/>
      <c r="V416" s="72"/>
    </row>
    <row r="417" spans="1:25" ht="27.75" customHeight="1">
      <c r="A417" s="87" t="str">
        <f>IF(ISBLANK(C417)," ",412-COUNTBLANK($C$6:C417))</f>
        <v xml:space="preserve"> </v>
      </c>
      <c r="B417" s="88"/>
      <c r="C417" s="88"/>
      <c r="D417" s="89"/>
      <c r="E417" s="89"/>
      <c r="F417" s="73"/>
      <c r="G417" s="73"/>
      <c r="H417" s="73"/>
      <c r="I417" s="73"/>
      <c r="J417" s="73"/>
      <c r="K417" s="73"/>
      <c r="L417" s="73"/>
      <c r="M417" s="74"/>
      <c r="N417" s="71" t="str">
        <f t="shared" si="6"/>
        <v/>
      </c>
      <c r="O417" s="72"/>
      <c r="P417" s="72"/>
      <c r="Q417" s="72"/>
      <c r="R417" s="72"/>
      <c r="S417" s="72"/>
      <c r="T417" s="72"/>
      <c r="U417" s="72"/>
      <c r="V417" s="72"/>
    </row>
    <row r="418" spans="1:25" ht="27.75" customHeight="1">
      <c r="A418" s="87" t="str">
        <f>IF(ISBLANK(C418)," ",413-COUNTBLANK($C$6:C418))</f>
        <v xml:space="preserve"> </v>
      </c>
      <c r="B418" s="88"/>
      <c r="C418" s="88"/>
      <c r="D418" s="89"/>
      <c r="E418" s="89"/>
      <c r="F418" s="73"/>
      <c r="G418" s="73"/>
      <c r="H418" s="73"/>
      <c r="I418" s="73"/>
      <c r="J418" s="73"/>
      <c r="K418" s="73"/>
      <c r="L418" s="73"/>
      <c r="M418" s="74"/>
      <c r="N418" s="71" t="str">
        <f t="shared" si="6"/>
        <v/>
      </c>
      <c r="O418" s="72"/>
      <c r="P418" s="72"/>
      <c r="Q418" s="72"/>
      <c r="R418" s="72"/>
      <c r="S418" s="72"/>
      <c r="T418" s="72"/>
      <c r="U418" s="72"/>
      <c r="V418" s="72"/>
    </row>
    <row r="419" spans="1:25" ht="27.75" customHeight="1">
      <c r="A419" s="87" t="str">
        <f>IF(ISBLANK(C419)," ",414-COUNTBLANK($C$6:C419))</f>
        <v xml:space="preserve"> </v>
      </c>
      <c r="B419" s="88"/>
      <c r="C419" s="88"/>
      <c r="D419" s="89"/>
      <c r="E419" s="89"/>
      <c r="F419" s="73"/>
      <c r="G419" s="73"/>
      <c r="H419" s="73"/>
      <c r="I419" s="73"/>
      <c r="J419" s="73"/>
      <c r="K419" s="73"/>
      <c r="L419" s="73"/>
      <c r="M419" s="74"/>
      <c r="N419" s="71" t="str">
        <f t="shared" si="6"/>
        <v/>
      </c>
      <c r="O419" s="72"/>
      <c r="P419" s="72"/>
      <c r="Q419" s="72"/>
      <c r="R419" s="72"/>
      <c r="S419" s="72"/>
      <c r="T419" s="72"/>
      <c r="U419" s="72"/>
      <c r="V419" s="72"/>
    </row>
    <row r="420" spans="1:25" ht="27.75" customHeight="1">
      <c r="A420" s="87" t="str">
        <f>IF(ISBLANK(C420)," ",415-COUNTBLANK($C$6:C420))</f>
        <v xml:space="preserve"> </v>
      </c>
      <c r="B420" s="88"/>
      <c r="C420" s="88"/>
      <c r="D420" s="89"/>
      <c r="E420" s="89"/>
      <c r="F420" s="73"/>
      <c r="G420" s="73"/>
      <c r="H420" s="73"/>
      <c r="I420" s="73"/>
      <c r="J420" s="73"/>
      <c r="K420" s="73"/>
      <c r="L420" s="73"/>
      <c r="M420" s="74"/>
      <c r="N420" s="71" t="str">
        <f t="shared" si="6"/>
        <v/>
      </c>
      <c r="O420" s="75"/>
      <c r="P420" s="72"/>
      <c r="Q420" s="72"/>
      <c r="R420" s="72"/>
      <c r="S420" s="72"/>
      <c r="T420" s="72"/>
      <c r="U420" s="72"/>
      <c r="V420" s="76"/>
    </row>
    <row r="421" spans="1:25" ht="27.75" customHeight="1">
      <c r="A421" s="87" t="str">
        <f>IF(ISBLANK(C421)," ",416-COUNTBLANK($C$6:C421))</f>
        <v xml:space="preserve"> </v>
      </c>
      <c r="B421" s="88"/>
      <c r="C421" s="88"/>
      <c r="D421" s="89"/>
      <c r="E421" s="89"/>
      <c r="F421" s="73"/>
      <c r="G421" s="73"/>
      <c r="H421" s="73"/>
      <c r="I421" s="73"/>
      <c r="J421" s="73"/>
      <c r="K421" s="73"/>
      <c r="L421" s="73"/>
      <c r="M421" s="74"/>
      <c r="N421" s="71" t="str">
        <f t="shared" si="6"/>
        <v/>
      </c>
      <c r="O421" s="75"/>
      <c r="P421" s="72"/>
      <c r="Q421" s="72"/>
      <c r="R421" s="72"/>
      <c r="S421" s="72"/>
      <c r="T421" s="72"/>
      <c r="U421" s="72"/>
      <c r="V421" s="76"/>
    </row>
    <row r="422" spans="1:25" ht="27.75" customHeight="1">
      <c r="A422" s="87" t="str">
        <f>IF(ISBLANK(C422)," ",417-COUNTBLANK($C$6:C422))</f>
        <v xml:space="preserve"> </v>
      </c>
      <c r="B422" s="88"/>
      <c r="C422" s="88"/>
      <c r="D422" s="89"/>
      <c r="E422" s="89"/>
      <c r="F422" s="73"/>
      <c r="G422" s="73"/>
      <c r="H422" s="73"/>
      <c r="I422" s="73"/>
      <c r="J422" s="73"/>
      <c r="K422" s="73"/>
      <c r="L422" s="73"/>
      <c r="M422" s="74"/>
      <c r="N422" s="71" t="str">
        <f t="shared" si="6"/>
        <v/>
      </c>
      <c r="O422" s="75"/>
      <c r="P422" s="72"/>
      <c r="Q422" s="72"/>
      <c r="R422" s="72"/>
      <c r="S422" s="72"/>
      <c r="T422" s="72"/>
      <c r="U422" s="72"/>
      <c r="V422" s="76"/>
    </row>
    <row r="423" spans="1:25" ht="27.75" customHeight="1">
      <c r="A423" s="87" t="str">
        <f>IF(ISBLANK(C423)," ",418-COUNTBLANK($C$6:C423))</f>
        <v xml:space="preserve"> </v>
      </c>
      <c r="B423" s="88"/>
      <c r="C423" s="88"/>
      <c r="D423" s="89"/>
      <c r="E423" s="89"/>
      <c r="F423" s="73"/>
      <c r="G423" s="73"/>
      <c r="H423" s="73"/>
      <c r="I423" s="73"/>
      <c r="J423" s="73"/>
      <c r="K423" s="73"/>
      <c r="L423" s="73"/>
      <c r="M423" s="74"/>
      <c r="N423" s="71" t="str">
        <f t="shared" si="6"/>
        <v/>
      </c>
      <c r="O423" s="75"/>
      <c r="P423" s="72"/>
      <c r="Q423" s="72"/>
      <c r="R423" s="72"/>
      <c r="S423" s="72"/>
      <c r="T423" s="72"/>
      <c r="U423" s="72"/>
      <c r="V423" s="76"/>
    </row>
    <row r="424" spans="1:25" ht="27.75" customHeight="1">
      <c r="A424" s="87" t="str">
        <f>IF(ISBLANK(C424)," ",419-COUNTBLANK($C$6:C424))</f>
        <v xml:space="preserve"> </v>
      </c>
      <c r="B424" s="88"/>
      <c r="C424" s="88"/>
      <c r="D424" s="89"/>
      <c r="E424" s="89"/>
      <c r="F424" s="73"/>
      <c r="G424" s="73"/>
      <c r="H424" s="73"/>
      <c r="I424" s="73"/>
      <c r="J424" s="73"/>
      <c r="K424" s="73"/>
      <c r="L424" s="73"/>
      <c r="M424" s="74"/>
      <c r="N424" s="71" t="str">
        <f t="shared" si="6"/>
        <v/>
      </c>
      <c r="O424" s="72"/>
      <c r="P424" s="72"/>
      <c r="Q424" s="72"/>
      <c r="R424" s="72"/>
      <c r="S424" s="72"/>
      <c r="T424" s="72"/>
      <c r="U424" s="72"/>
      <c r="V424" s="79"/>
      <c r="W424" s="72"/>
      <c r="X424" s="72"/>
      <c r="Y424" s="72"/>
    </row>
    <row r="425" spans="1:25" ht="27.75" customHeight="1">
      <c r="A425" s="80" t="s">
        <v>58</v>
      </c>
      <c r="B425" s="81"/>
      <c r="C425" s="96"/>
      <c r="D425" s="82"/>
      <c r="E425" s="82">
        <f>SUM(E405:E424)</f>
        <v>0</v>
      </c>
      <c r="F425" s="83"/>
      <c r="G425" s="83"/>
      <c r="H425" s="83"/>
      <c r="I425" s="83"/>
      <c r="J425" s="83"/>
      <c r="K425" s="83"/>
      <c r="L425" s="83"/>
      <c r="M425" s="84"/>
      <c r="N425" s="71" t="str">
        <f t="shared" si="6"/>
        <v/>
      </c>
      <c r="O425" s="75"/>
      <c r="P425" s="72"/>
      <c r="Q425" s="72"/>
      <c r="R425" s="72"/>
      <c r="S425" s="72"/>
      <c r="T425" s="72"/>
      <c r="U425" s="72"/>
      <c r="V425" s="79"/>
      <c r="W425" s="72"/>
      <c r="X425" s="72"/>
      <c r="Y425" s="72"/>
    </row>
    <row r="426" spans="1:25" ht="27.75" customHeight="1">
      <c r="A426" s="93" t="str">
        <f>IF(ISBLANK(C426)," ",421-COUNTBLANK($C$6:C426))</f>
        <v xml:space="preserve"> </v>
      </c>
      <c r="B426" s="94"/>
      <c r="C426" s="94"/>
      <c r="D426" s="95"/>
      <c r="E426" s="95"/>
      <c r="F426" s="85"/>
      <c r="G426" s="85"/>
      <c r="H426" s="85"/>
      <c r="I426" s="85"/>
      <c r="J426" s="85"/>
      <c r="K426" s="85"/>
      <c r="L426" s="85"/>
      <c r="M426" s="86"/>
      <c r="N426" s="71" t="str">
        <f t="shared" si="6"/>
        <v/>
      </c>
      <c r="O426" s="72"/>
      <c r="P426" s="72"/>
      <c r="Q426" s="72"/>
      <c r="R426" s="72"/>
      <c r="S426" s="72"/>
      <c r="T426" s="72"/>
      <c r="U426" s="72"/>
      <c r="V426" s="72"/>
    </row>
    <row r="427" spans="1:25" ht="27.75" customHeight="1">
      <c r="A427" s="87" t="str">
        <f>IF(ISBLANK(C427)," ",422-COUNTBLANK($C$6:C427))</f>
        <v xml:space="preserve"> </v>
      </c>
      <c r="B427" s="88"/>
      <c r="C427" s="88"/>
      <c r="D427" s="89"/>
      <c r="E427" s="89"/>
      <c r="F427" s="73"/>
      <c r="G427" s="73"/>
      <c r="H427" s="73"/>
      <c r="I427" s="73"/>
      <c r="J427" s="73"/>
      <c r="K427" s="73"/>
      <c r="L427" s="73"/>
      <c r="M427" s="74"/>
      <c r="N427" s="71" t="str">
        <f t="shared" si="6"/>
        <v/>
      </c>
      <c r="O427" s="72"/>
      <c r="P427" s="72"/>
      <c r="Q427" s="72"/>
      <c r="R427" s="72"/>
      <c r="S427" s="72"/>
      <c r="T427" s="72"/>
      <c r="U427" s="72"/>
      <c r="V427" s="72"/>
    </row>
    <row r="428" spans="1:25" ht="27.75" customHeight="1">
      <c r="A428" s="87" t="str">
        <f>IF(ISBLANK(C428)," ",423-COUNTBLANK($C$6:C428))</f>
        <v xml:space="preserve"> </v>
      </c>
      <c r="B428" s="88"/>
      <c r="C428" s="88"/>
      <c r="D428" s="89"/>
      <c r="E428" s="89"/>
      <c r="F428" s="73"/>
      <c r="G428" s="73"/>
      <c r="H428" s="73"/>
      <c r="I428" s="73"/>
      <c r="J428" s="73"/>
      <c r="K428" s="73"/>
      <c r="L428" s="73"/>
      <c r="M428" s="74"/>
      <c r="N428" s="71" t="str">
        <f t="shared" si="6"/>
        <v/>
      </c>
      <c r="O428" s="72"/>
      <c r="P428" s="72"/>
      <c r="Q428" s="72"/>
      <c r="R428" s="72"/>
      <c r="S428" s="72"/>
      <c r="T428" s="72"/>
      <c r="U428" s="72"/>
      <c r="V428" s="72"/>
    </row>
    <row r="429" spans="1:25" ht="27.75" customHeight="1">
      <c r="A429" s="87" t="str">
        <f>IF(ISBLANK(C429)," ",424-COUNTBLANK($C$6:C429))</f>
        <v xml:space="preserve"> </v>
      </c>
      <c r="B429" s="88"/>
      <c r="C429" s="88"/>
      <c r="D429" s="89"/>
      <c r="E429" s="89"/>
      <c r="F429" s="73"/>
      <c r="G429" s="73"/>
      <c r="H429" s="73"/>
      <c r="I429" s="73"/>
      <c r="J429" s="73"/>
      <c r="K429" s="73"/>
      <c r="L429" s="73"/>
      <c r="M429" s="74"/>
      <c r="N429" s="71" t="str">
        <f t="shared" si="6"/>
        <v/>
      </c>
      <c r="O429" s="72"/>
      <c r="P429" s="72"/>
      <c r="Q429" s="72"/>
      <c r="R429" s="72"/>
      <c r="S429" s="72"/>
      <c r="T429" s="72"/>
      <c r="U429" s="72"/>
      <c r="V429" s="72"/>
    </row>
    <row r="430" spans="1:25" ht="27.75" customHeight="1">
      <c r="A430" s="87" t="str">
        <f>IF(ISBLANK(C430)," ",425-COUNTBLANK($C$6:C430))</f>
        <v xml:space="preserve"> </v>
      </c>
      <c r="B430" s="88"/>
      <c r="C430" s="88"/>
      <c r="D430" s="89"/>
      <c r="E430" s="89"/>
      <c r="F430" s="73"/>
      <c r="G430" s="73"/>
      <c r="H430" s="73"/>
      <c r="I430" s="73"/>
      <c r="J430" s="73"/>
      <c r="K430" s="73"/>
      <c r="L430" s="73"/>
      <c r="M430" s="74"/>
      <c r="N430" s="71" t="str">
        <f t="shared" si="6"/>
        <v/>
      </c>
      <c r="O430" s="72"/>
      <c r="P430" s="72"/>
      <c r="Q430" s="72"/>
      <c r="R430" s="72"/>
      <c r="S430" s="72"/>
      <c r="T430" s="72"/>
      <c r="U430" s="72"/>
      <c r="V430" s="72"/>
    </row>
    <row r="431" spans="1:25" ht="27.75" customHeight="1">
      <c r="A431" s="87" t="str">
        <f>IF(ISBLANK(C431)," ",426-COUNTBLANK($C$6:C431))</f>
        <v xml:space="preserve"> </v>
      </c>
      <c r="B431" s="88"/>
      <c r="C431" s="88"/>
      <c r="D431" s="89"/>
      <c r="E431" s="89"/>
      <c r="F431" s="73"/>
      <c r="G431" s="73"/>
      <c r="H431" s="73"/>
      <c r="I431" s="73"/>
      <c r="J431" s="73"/>
      <c r="K431" s="73"/>
      <c r="L431" s="73"/>
      <c r="M431" s="74"/>
      <c r="N431" s="71" t="str">
        <f t="shared" si="6"/>
        <v/>
      </c>
      <c r="O431" s="72"/>
      <c r="P431" s="72"/>
      <c r="Q431" s="72"/>
      <c r="R431" s="72"/>
      <c r="S431" s="72"/>
      <c r="T431" s="72"/>
      <c r="U431" s="72"/>
      <c r="V431" s="72"/>
    </row>
    <row r="432" spans="1:25" ht="27.75" customHeight="1">
      <c r="A432" s="87" t="str">
        <f>IF(ISBLANK(C432)," ",427-COUNTBLANK($C$6:C432))</f>
        <v xml:space="preserve"> </v>
      </c>
      <c r="B432" s="88"/>
      <c r="C432" s="88"/>
      <c r="D432" s="89"/>
      <c r="E432" s="89"/>
      <c r="F432" s="73"/>
      <c r="G432" s="73"/>
      <c r="H432" s="73"/>
      <c r="I432" s="73"/>
      <c r="J432" s="73"/>
      <c r="K432" s="73"/>
      <c r="L432" s="73"/>
      <c r="M432" s="74"/>
      <c r="N432" s="71" t="str">
        <f t="shared" si="6"/>
        <v/>
      </c>
      <c r="O432" s="72"/>
      <c r="P432" s="72"/>
      <c r="Q432" s="72"/>
      <c r="R432" s="72"/>
      <c r="S432" s="72"/>
      <c r="T432" s="72"/>
      <c r="U432" s="72"/>
      <c r="V432" s="72"/>
    </row>
    <row r="433" spans="1:25" ht="27.75" customHeight="1">
      <c r="A433" s="87" t="str">
        <f>IF(ISBLANK(C433)," ",428-COUNTBLANK($C$6:C433))</f>
        <v xml:space="preserve"> </v>
      </c>
      <c r="B433" s="88"/>
      <c r="C433" s="88"/>
      <c r="D433" s="89"/>
      <c r="E433" s="89"/>
      <c r="F433" s="73"/>
      <c r="G433" s="73"/>
      <c r="H433" s="73"/>
      <c r="I433" s="73"/>
      <c r="J433" s="73"/>
      <c r="K433" s="73"/>
      <c r="L433" s="73"/>
      <c r="M433" s="74"/>
      <c r="N433" s="71" t="str">
        <f t="shared" si="6"/>
        <v/>
      </c>
      <c r="O433" s="72"/>
      <c r="P433" s="72"/>
      <c r="Q433" s="72"/>
      <c r="R433" s="72"/>
      <c r="S433" s="72"/>
      <c r="T433" s="72"/>
      <c r="U433" s="72"/>
      <c r="V433" s="72"/>
    </row>
    <row r="434" spans="1:25" ht="27.75" customHeight="1">
      <c r="A434" s="87" t="str">
        <f>IF(ISBLANK(C434)," ",429-COUNTBLANK($C$6:C434))</f>
        <v xml:space="preserve"> </v>
      </c>
      <c r="B434" s="88"/>
      <c r="C434" s="88"/>
      <c r="D434" s="89"/>
      <c r="E434" s="89"/>
      <c r="F434" s="73"/>
      <c r="G434" s="73"/>
      <c r="H434" s="73"/>
      <c r="I434" s="73"/>
      <c r="J434" s="73"/>
      <c r="K434" s="73"/>
      <c r="L434" s="73"/>
      <c r="M434" s="74"/>
      <c r="N434" s="71" t="str">
        <f t="shared" si="6"/>
        <v/>
      </c>
      <c r="O434" s="72"/>
      <c r="P434" s="72"/>
      <c r="Q434" s="72"/>
      <c r="R434" s="72"/>
      <c r="S434" s="72"/>
      <c r="T434" s="72"/>
      <c r="U434" s="72"/>
      <c r="V434" s="72"/>
    </row>
    <row r="435" spans="1:25" ht="27.75" customHeight="1">
      <c r="A435" s="87" t="str">
        <f>IF(ISBLANK(C435)," ",430-COUNTBLANK($C$6:C435))</f>
        <v xml:space="preserve"> </v>
      </c>
      <c r="B435" s="88"/>
      <c r="C435" s="88"/>
      <c r="D435" s="89"/>
      <c r="E435" s="89"/>
      <c r="F435" s="73"/>
      <c r="G435" s="73"/>
      <c r="H435" s="73"/>
      <c r="I435" s="73"/>
      <c r="J435" s="73"/>
      <c r="K435" s="73"/>
      <c r="L435" s="73"/>
      <c r="M435" s="74"/>
      <c r="N435" s="71" t="str">
        <f t="shared" si="6"/>
        <v/>
      </c>
      <c r="O435" s="72"/>
      <c r="P435" s="72"/>
      <c r="Q435" s="72"/>
      <c r="R435" s="72"/>
      <c r="S435" s="72"/>
      <c r="T435" s="72"/>
      <c r="U435" s="72"/>
      <c r="V435" s="72"/>
    </row>
    <row r="436" spans="1:25" ht="27.75" customHeight="1">
      <c r="A436" s="87" t="str">
        <f>IF(ISBLANK(C436)," ",431-COUNTBLANK($C$6:C436))</f>
        <v xml:space="preserve"> </v>
      </c>
      <c r="B436" s="88"/>
      <c r="C436" s="88"/>
      <c r="D436" s="89"/>
      <c r="E436" s="89"/>
      <c r="F436" s="73"/>
      <c r="G436" s="73"/>
      <c r="H436" s="73"/>
      <c r="I436" s="73"/>
      <c r="J436" s="73"/>
      <c r="K436" s="73"/>
      <c r="L436" s="73"/>
      <c r="M436" s="74"/>
      <c r="N436" s="71" t="str">
        <f t="shared" si="6"/>
        <v/>
      </c>
      <c r="O436" s="72"/>
      <c r="P436" s="72"/>
      <c r="Q436" s="72"/>
      <c r="R436" s="72"/>
      <c r="S436" s="72"/>
      <c r="T436" s="72"/>
      <c r="U436" s="72"/>
      <c r="V436" s="72"/>
    </row>
    <row r="437" spans="1:25" ht="27.75" customHeight="1">
      <c r="A437" s="87" t="str">
        <f>IF(ISBLANK(C437)," ",432-COUNTBLANK($C$6:C437))</f>
        <v xml:space="preserve"> </v>
      </c>
      <c r="B437" s="88"/>
      <c r="C437" s="88"/>
      <c r="D437" s="89"/>
      <c r="E437" s="89"/>
      <c r="F437" s="73"/>
      <c r="G437" s="73"/>
      <c r="H437" s="73"/>
      <c r="I437" s="73"/>
      <c r="J437" s="73"/>
      <c r="K437" s="73"/>
      <c r="L437" s="73"/>
      <c r="M437" s="74"/>
      <c r="N437" s="71" t="str">
        <f t="shared" si="6"/>
        <v/>
      </c>
      <c r="O437" s="72"/>
      <c r="P437" s="72"/>
      <c r="Q437" s="72"/>
      <c r="R437" s="72"/>
      <c r="S437" s="72"/>
      <c r="T437" s="72"/>
      <c r="U437" s="72"/>
      <c r="V437" s="72"/>
    </row>
    <row r="438" spans="1:25" ht="27.75" customHeight="1">
      <c r="A438" s="87" t="str">
        <f>IF(ISBLANK(C438)," ",433-COUNTBLANK($C$6:C438))</f>
        <v xml:space="preserve"> </v>
      </c>
      <c r="B438" s="88"/>
      <c r="C438" s="88"/>
      <c r="D438" s="89"/>
      <c r="E438" s="89"/>
      <c r="F438" s="73"/>
      <c r="G438" s="73"/>
      <c r="H438" s="73"/>
      <c r="I438" s="73"/>
      <c r="J438" s="73"/>
      <c r="K438" s="73"/>
      <c r="L438" s="73"/>
      <c r="M438" s="74"/>
      <c r="N438" s="71" t="str">
        <f t="shared" si="6"/>
        <v/>
      </c>
      <c r="O438" s="72"/>
      <c r="P438" s="72"/>
      <c r="Q438" s="72"/>
      <c r="R438" s="72"/>
      <c r="S438" s="72"/>
      <c r="T438" s="72"/>
      <c r="U438" s="72"/>
      <c r="V438" s="72"/>
    </row>
    <row r="439" spans="1:25" ht="27.75" customHeight="1">
      <c r="A439" s="87" t="str">
        <f>IF(ISBLANK(C439)," ",434-COUNTBLANK($C$6:C439))</f>
        <v xml:space="preserve"> </v>
      </c>
      <c r="B439" s="88"/>
      <c r="C439" s="88"/>
      <c r="D439" s="89"/>
      <c r="E439" s="89"/>
      <c r="F439" s="73"/>
      <c r="G439" s="73"/>
      <c r="H439" s="73"/>
      <c r="I439" s="73"/>
      <c r="J439" s="73"/>
      <c r="K439" s="73"/>
      <c r="L439" s="73"/>
      <c r="M439" s="74"/>
      <c r="N439" s="71" t="str">
        <f t="shared" si="6"/>
        <v/>
      </c>
      <c r="O439" s="72"/>
      <c r="P439" s="72"/>
      <c r="Q439" s="72"/>
      <c r="R439" s="72"/>
      <c r="S439" s="72"/>
      <c r="T439" s="72"/>
      <c r="U439" s="72"/>
      <c r="V439" s="72"/>
    </row>
    <row r="440" spans="1:25" ht="27.75" customHeight="1">
      <c r="A440" s="87" t="str">
        <f>IF(ISBLANK(C440)," ",435-COUNTBLANK($C$6:C440))</f>
        <v xml:space="preserve"> </v>
      </c>
      <c r="B440" s="88"/>
      <c r="C440" s="88"/>
      <c r="D440" s="89"/>
      <c r="E440" s="89"/>
      <c r="F440" s="73"/>
      <c r="G440" s="73"/>
      <c r="H440" s="73"/>
      <c r="I440" s="73"/>
      <c r="J440" s="73"/>
      <c r="K440" s="73"/>
      <c r="L440" s="73"/>
      <c r="M440" s="74"/>
      <c r="N440" s="71" t="str">
        <f t="shared" si="6"/>
        <v/>
      </c>
      <c r="O440" s="72"/>
      <c r="P440" s="72"/>
      <c r="Q440" s="72"/>
      <c r="R440" s="72"/>
      <c r="S440" s="72"/>
      <c r="T440" s="72"/>
      <c r="U440" s="72"/>
      <c r="V440" s="72"/>
    </row>
    <row r="441" spans="1:25" ht="27.75" customHeight="1">
      <c r="A441" s="87" t="str">
        <f>IF(ISBLANK(C441)," ",436-COUNTBLANK($C$6:C441))</f>
        <v xml:space="preserve"> </v>
      </c>
      <c r="B441" s="88"/>
      <c r="C441" s="88"/>
      <c r="D441" s="89"/>
      <c r="E441" s="89"/>
      <c r="F441" s="73"/>
      <c r="G441" s="73"/>
      <c r="H441" s="73"/>
      <c r="I441" s="73"/>
      <c r="J441" s="73"/>
      <c r="K441" s="73"/>
      <c r="L441" s="73"/>
      <c r="M441" s="74"/>
      <c r="N441" s="71" t="str">
        <f t="shared" si="6"/>
        <v/>
      </c>
      <c r="O441" s="75"/>
      <c r="P441" s="72"/>
      <c r="Q441" s="72"/>
      <c r="R441" s="72"/>
      <c r="S441" s="72"/>
      <c r="T441" s="72"/>
      <c r="U441" s="72"/>
      <c r="V441" s="76"/>
    </row>
    <row r="442" spans="1:25" ht="27.75" customHeight="1">
      <c r="A442" s="87" t="str">
        <f>IF(ISBLANK(C442)," ",437-COUNTBLANK($C$6:C442))</f>
        <v xml:space="preserve"> </v>
      </c>
      <c r="B442" s="88"/>
      <c r="C442" s="88"/>
      <c r="D442" s="89"/>
      <c r="E442" s="89"/>
      <c r="F442" s="73"/>
      <c r="G442" s="73"/>
      <c r="H442" s="73"/>
      <c r="I442" s="73"/>
      <c r="J442" s="73"/>
      <c r="K442" s="73"/>
      <c r="L442" s="73"/>
      <c r="M442" s="74"/>
      <c r="N442" s="71" t="str">
        <f t="shared" si="6"/>
        <v/>
      </c>
      <c r="O442" s="75"/>
      <c r="P442" s="72"/>
      <c r="Q442" s="72"/>
      <c r="R442" s="72"/>
      <c r="S442" s="72"/>
      <c r="T442" s="72"/>
      <c r="U442" s="72"/>
      <c r="V442" s="76"/>
    </row>
    <row r="443" spans="1:25" ht="27.75" customHeight="1">
      <c r="A443" s="87" t="str">
        <f>IF(ISBLANK(C443)," ",438-COUNTBLANK($C$6:C443))</f>
        <v xml:space="preserve"> </v>
      </c>
      <c r="B443" s="88"/>
      <c r="C443" s="88"/>
      <c r="D443" s="89"/>
      <c r="E443" s="89"/>
      <c r="F443" s="73"/>
      <c r="G443" s="73"/>
      <c r="H443" s="73"/>
      <c r="I443" s="73"/>
      <c r="J443" s="73"/>
      <c r="K443" s="73"/>
      <c r="L443" s="73"/>
      <c r="M443" s="74"/>
      <c r="N443" s="71" t="str">
        <f t="shared" si="6"/>
        <v/>
      </c>
      <c r="O443" s="75"/>
      <c r="P443" s="72"/>
      <c r="Q443" s="72"/>
      <c r="R443" s="72"/>
      <c r="S443" s="72"/>
      <c r="T443" s="72"/>
      <c r="U443" s="72"/>
      <c r="V443" s="76"/>
    </row>
    <row r="444" spans="1:25" ht="27.75" customHeight="1">
      <c r="A444" s="87" t="str">
        <f>IF(ISBLANK(C444)," ",439-COUNTBLANK($C$6:C444))</f>
        <v xml:space="preserve"> </v>
      </c>
      <c r="B444" s="88"/>
      <c r="C444" s="88"/>
      <c r="D444" s="89"/>
      <c r="E444" s="89"/>
      <c r="F444" s="73"/>
      <c r="G444" s="73"/>
      <c r="H444" s="73"/>
      <c r="I444" s="73"/>
      <c r="J444" s="73"/>
      <c r="K444" s="73"/>
      <c r="L444" s="73"/>
      <c r="M444" s="74"/>
      <c r="N444" s="71" t="str">
        <f t="shared" si="6"/>
        <v/>
      </c>
      <c r="O444" s="75"/>
      <c r="P444" s="72"/>
      <c r="Q444" s="72"/>
      <c r="R444" s="72"/>
      <c r="S444" s="72"/>
      <c r="T444" s="72"/>
      <c r="U444" s="72"/>
      <c r="V444" s="76"/>
    </row>
    <row r="445" spans="1:25" ht="27.75" customHeight="1">
      <c r="A445" s="87" t="str">
        <f>IF(ISBLANK(C445)," ",440-COUNTBLANK($C$6:C445))</f>
        <v xml:space="preserve"> </v>
      </c>
      <c r="B445" s="88"/>
      <c r="C445" s="88"/>
      <c r="D445" s="89"/>
      <c r="E445" s="89"/>
      <c r="F445" s="73"/>
      <c r="G445" s="73"/>
      <c r="H445" s="73"/>
      <c r="I445" s="73"/>
      <c r="J445" s="73"/>
      <c r="K445" s="73"/>
      <c r="L445" s="73"/>
      <c r="M445" s="74"/>
      <c r="N445" s="71" t="str">
        <f t="shared" si="6"/>
        <v/>
      </c>
      <c r="O445" s="72"/>
      <c r="P445" s="72"/>
      <c r="Q445" s="72"/>
      <c r="R445" s="72"/>
      <c r="S445" s="72"/>
      <c r="T445" s="72"/>
      <c r="U445" s="72"/>
      <c r="V445" s="79"/>
      <c r="W445" s="72"/>
      <c r="X445" s="72"/>
      <c r="Y445" s="72"/>
    </row>
    <row r="446" spans="1:25" ht="27.75" customHeight="1">
      <c r="A446" s="80" t="s">
        <v>58</v>
      </c>
      <c r="B446" s="81"/>
      <c r="C446" s="96"/>
      <c r="D446" s="82"/>
      <c r="E446" s="82">
        <f>SUM(E426:E445)</f>
        <v>0</v>
      </c>
      <c r="F446" s="83"/>
      <c r="G446" s="83"/>
      <c r="H446" s="83"/>
      <c r="I446" s="83"/>
      <c r="J446" s="83"/>
      <c r="K446" s="83"/>
      <c r="L446" s="83"/>
      <c r="M446" s="84"/>
      <c r="N446" s="71" t="str">
        <f t="shared" si="6"/>
        <v/>
      </c>
      <c r="O446" s="75"/>
      <c r="P446" s="72"/>
      <c r="Q446" s="72"/>
      <c r="R446" s="72"/>
      <c r="S446" s="72"/>
      <c r="T446" s="72"/>
      <c r="U446" s="72"/>
      <c r="V446" s="79"/>
      <c r="W446" s="72"/>
      <c r="X446" s="72"/>
      <c r="Y446" s="72"/>
    </row>
    <row r="447" spans="1:25" ht="27.75" customHeight="1">
      <c r="A447" s="93" t="str">
        <f>IF(ISBLANK(C447)," ",442-COUNTBLANK($C$6:C447))</f>
        <v xml:space="preserve"> </v>
      </c>
      <c r="B447" s="94"/>
      <c r="C447" s="94"/>
      <c r="D447" s="95"/>
      <c r="E447" s="95"/>
      <c r="F447" s="85"/>
      <c r="G447" s="85"/>
      <c r="H447" s="85"/>
      <c r="I447" s="85"/>
      <c r="J447" s="85"/>
      <c r="K447" s="85"/>
      <c r="L447" s="85"/>
      <c r="M447" s="86"/>
      <c r="N447" s="71" t="str">
        <f t="shared" si="6"/>
        <v/>
      </c>
      <c r="O447" s="72"/>
      <c r="P447" s="72"/>
      <c r="Q447" s="72"/>
      <c r="R447" s="72"/>
      <c r="S447" s="72"/>
      <c r="T447" s="72"/>
      <c r="U447" s="72"/>
      <c r="V447" s="72"/>
    </row>
    <row r="448" spans="1:25" ht="27.75" customHeight="1">
      <c r="A448" s="87" t="str">
        <f>IF(ISBLANK(C448)," ",443-COUNTBLANK($C$6:C448))</f>
        <v xml:space="preserve"> </v>
      </c>
      <c r="B448" s="88"/>
      <c r="C448" s="88"/>
      <c r="D448" s="89"/>
      <c r="E448" s="89"/>
      <c r="F448" s="73"/>
      <c r="G448" s="73"/>
      <c r="H448" s="73"/>
      <c r="I448" s="73"/>
      <c r="J448" s="73"/>
      <c r="K448" s="73"/>
      <c r="L448" s="73"/>
      <c r="M448" s="74"/>
      <c r="N448" s="71" t="str">
        <f t="shared" si="6"/>
        <v/>
      </c>
      <c r="O448" s="72"/>
      <c r="P448" s="72"/>
      <c r="Q448" s="72"/>
      <c r="R448" s="72"/>
      <c r="S448" s="72"/>
      <c r="T448" s="72"/>
      <c r="U448" s="72"/>
      <c r="V448" s="72"/>
    </row>
    <row r="449" spans="1:22" ht="27.75" customHeight="1">
      <c r="A449" s="87" t="str">
        <f>IF(ISBLANK(C449)," ",444-COUNTBLANK($C$6:C449))</f>
        <v xml:space="preserve"> </v>
      </c>
      <c r="B449" s="88"/>
      <c r="C449" s="88"/>
      <c r="D449" s="89"/>
      <c r="E449" s="89"/>
      <c r="F449" s="73"/>
      <c r="G449" s="73"/>
      <c r="H449" s="73"/>
      <c r="I449" s="73"/>
      <c r="J449" s="73"/>
      <c r="K449" s="73"/>
      <c r="L449" s="73"/>
      <c r="M449" s="74"/>
      <c r="N449" s="71" t="str">
        <f t="shared" si="6"/>
        <v/>
      </c>
      <c r="O449" s="72"/>
      <c r="P449" s="72"/>
      <c r="Q449" s="72"/>
      <c r="R449" s="72"/>
      <c r="S449" s="72"/>
      <c r="T449" s="72"/>
      <c r="U449" s="72"/>
      <c r="V449" s="72"/>
    </row>
    <row r="450" spans="1:22" ht="27.75" customHeight="1">
      <c r="A450" s="87" t="str">
        <f>IF(ISBLANK(C450)," ",445-COUNTBLANK($C$6:C450))</f>
        <v xml:space="preserve"> </v>
      </c>
      <c r="B450" s="88"/>
      <c r="C450" s="88"/>
      <c r="D450" s="89"/>
      <c r="E450" s="89"/>
      <c r="F450" s="73"/>
      <c r="G450" s="73"/>
      <c r="H450" s="73"/>
      <c r="I450" s="73"/>
      <c r="J450" s="73"/>
      <c r="K450" s="73"/>
      <c r="L450" s="73"/>
      <c r="M450" s="74"/>
      <c r="N450" s="71" t="str">
        <f t="shared" si="6"/>
        <v/>
      </c>
      <c r="O450" s="72"/>
      <c r="P450" s="72"/>
      <c r="Q450" s="72"/>
      <c r="R450" s="72"/>
      <c r="S450" s="72"/>
      <c r="T450" s="72"/>
      <c r="U450" s="72"/>
      <c r="V450" s="72"/>
    </row>
    <row r="451" spans="1:22" ht="27.75" customHeight="1">
      <c r="A451" s="87" t="str">
        <f>IF(ISBLANK(C451)," ",446-COUNTBLANK($C$6:C451))</f>
        <v xml:space="preserve"> </v>
      </c>
      <c r="B451" s="88"/>
      <c r="C451" s="88"/>
      <c r="D451" s="89"/>
      <c r="E451" s="89"/>
      <c r="F451" s="73"/>
      <c r="G451" s="73"/>
      <c r="H451" s="73"/>
      <c r="I451" s="73"/>
      <c r="J451" s="73"/>
      <c r="K451" s="73"/>
      <c r="L451" s="73"/>
      <c r="M451" s="74"/>
      <c r="N451" s="71" t="str">
        <f t="shared" si="6"/>
        <v/>
      </c>
      <c r="O451" s="72"/>
      <c r="P451" s="72"/>
      <c r="Q451" s="72"/>
      <c r="R451" s="72"/>
      <c r="S451" s="72"/>
      <c r="T451" s="72"/>
      <c r="U451" s="72"/>
      <c r="V451" s="72"/>
    </row>
    <row r="452" spans="1:22" ht="27.75" customHeight="1">
      <c r="A452" s="87" t="str">
        <f>IF(ISBLANK(C452)," ",447-COUNTBLANK($C$6:C452))</f>
        <v xml:space="preserve"> </v>
      </c>
      <c r="B452" s="88"/>
      <c r="C452" s="88"/>
      <c r="D452" s="89"/>
      <c r="E452" s="89"/>
      <c r="F452" s="73"/>
      <c r="G452" s="73"/>
      <c r="H452" s="73"/>
      <c r="I452" s="73"/>
      <c r="J452" s="73"/>
      <c r="K452" s="73"/>
      <c r="L452" s="73"/>
      <c r="M452" s="74"/>
      <c r="N452" s="71" t="str">
        <f t="shared" si="6"/>
        <v/>
      </c>
      <c r="O452" s="72"/>
      <c r="P452" s="72"/>
      <c r="Q452" s="72"/>
      <c r="R452" s="72"/>
      <c r="S452" s="72"/>
      <c r="T452" s="72"/>
      <c r="U452" s="72"/>
      <c r="V452" s="72"/>
    </row>
    <row r="453" spans="1:22" ht="27.75" customHeight="1">
      <c r="A453" s="87" t="str">
        <f>IF(ISBLANK(C453)," ",448-COUNTBLANK($C$6:C453))</f>
        <v xml:space="preserve"> </v>
      </c>
      <c r="B453" s="88"/>
      <c r="C453" s="88"/>
      <c r="D453" s="89"/>
      <c r="E453" s="89"/>
      <c r="F453" s="73"/>
      <c r="G453" s="73"/>
      <c r="H453" s="73"/>
      <c r="I453" s="73"/>
      <c r="J453" s="73"/>
      <c r="K453" s="73"/>
      <c r="L453" s="73"/>
      <c r="M453" s="74"/>
      <c r="N453" s="71" t="str">
        <f t="shared" si="6"/>
        <v/>
      </c>
      <c r="O453" s="72"/>
      <c r="P453" s="72"/>
      <c r="Q453" s="72"/>
      <c r="R453" s="72"/>
      <c r="S453" s="72"/>
      <c r="T453" s="72"/>
      <c r="U453" s="72"/>
      <c r="V453" s="72"/>
    </row>
    <row r="454" spans="1:22" ht="27.75" customHeight="1">
      <c r="A454" s="87" t="str">
        <f>IF(ISBLANK(C454)," ",449-COUNTBLANK($C$6:C454))</f>
        <v xml:space="preserve"> </v>
      </c>
      <c r="B454" s="88"/>
      <c r="C454" s="88"/>
      <c r="D454" s="89"/>
      <c r="E454" s="89"/>
      <c r="F454" s="73"/>
      <c r="G454" s="73"/>
      <c r="H454" s="73"/>
      <c r="I454" s="73"/>
      <c r="J454" s="73"/>
      <c r="K454" s="73"/>
      <c r="L454" s="73"/>
      <c r="M454" s="74"/>
      <c r="N454" s="71" t="str">
        <f t="shared" ref="N454:N517" si="7">CONCATENATE(C454,H454)</f>
        <v/>
      </c>
      <c r="O454" s="72"/>
      <c r="P454" s="72"/>
      <c r="Q454" s="72"/>
      <c r="R454" s="72"/>
      <c r="S454" s="72"/>
      <c r="T454" s="72"/>
      <c r="U454" s="72"/>
      <c r="V454" s="72"/>
    </row>
    <row r="455" spans="1:22" ht="27.75" customHeight="1">
      <c r="A455" s="87" t="str">
        <f>IF(ISBLANK(C455)," ",450-COUNTBLANK($C$6:C455))</f>
        <v xml:space="preserve"> </v>
      </c>
      <c r="B455" s="88"/>
      <c r="C455" s="88"/>
      <c r="D455" s="89"/>
      <c r="E455" s="89"/>
      <c r="F455" s="73"/>
      <c r="G455" s="73"/>
      <c r="H455" s="73"/>
      <c r="I455" s="73"/>
      <c r="J455" s="73"/>
      <c r="K455" s="73"/>
      <c r="L455" s="73"/>
      <c r="M455" s="74"/>
      <c r="N455" s="71" t="str">
        <f t="shared" si="7"/>
        <v/>
      </c>
      <c r="O455" s="72"/>
      <c r="P455" s="72"/>
      <c r="Q455" s="72"/>
      <c r="R455" s="72"/>
      <c r="S455" s="72"/>
      <c r="T455" s="72"/>
      <c r="U455" s="72"/>
      <c r="V455" s="72"/>
    </row>
    <row r="456" spans="1:22" ht="27.75" customHeight="1">
      <c r="A456" s="87" t="str">
        <f>IF(ISBLANK(C456)," ",451-COUNTBLANK($C$6:C456))</f>
        <v xml:space="preserve"> </v>
      </c>
      <c r="B456" s="88"/>
      <c r="C456" s="88"/>
      <c r="D456" s="89"/>
      <c r="E456" s="89"/>
      <c r="F456" s="73"/>
      <c r="G456" s="73"/>
      <c r="H456" s="73"/>
      <c r="I456" s="73"/>
      <c r="J456" s="73"/>
      <c r="K456" s="73"/>
      <c r="L456" s="73"/>
      <c r="M456" s="74"/>
      <c r="N456" s="71" t="str">
        <f t="shared" si="7"/>
        <v/>
      </c>
      <c r="O456" s="72"/>
      <c r="P456" s="72"/>
      <c r="Q456" s="72"/>
      <c r="R456" s="72"/>
      <c r="S456" s="72"/>
      <c r="T456" s="72"/>
      <c r="U456" s="72"/>
      <c r="V456" s="72"/>
    </row>
    <row r="457" spans="1:22" ht="27.75" customHeight="1">
      <c r="A457" s="87" t="str">
        <f>IF(ISBLANK(C457)," ",452-COUNTBLANK($C$6:C457))</f>
        <v xml:space="preserve"> </v>
      </c>
      <c r="B457" s="88"/>
      <c r="C457" s="88"/>
      <c r="D457" s="89"/>
      <c r="E457" s="89"/>
      <c r="F457" s="73"/>
      <c r="G457" s="73"/>
      <c r="H457" s="73"/>
      <c r="I457" s="73"/>
      <c r="J457" s="73"/>
      <c r="K457" s="73"/>
      <c r="L457" s="73"/>
      <c r="M457" s="74"/>
      <c r="N457" s="71" t="str">
        <f t="shared" si="7"/>
        <v/>
      </c>
      <c r="O457" s="72"/>
      <c r="P457" s="72"/>
      <c r="Q457" s="72"/>
      <c r="R457" s="72"/>
      <c r="S457" s="72"/>
      <c r="T457" s="72"/>
      <c r="U457" s="72"/>
      <c r="V457" s="72"/>
    </row>
    <row r="458" spans="1:22" ht="27.75" customHeight="1">
      <c r="A458" s="87" t="str">
        <f>IF(ISBLANK(C458)," ",453-COUNTBLANK($C$6:C458))</f>
        <v xml:space="preserve"> </v>
      </c>
      <c r="B458" s="88"/>
      <c r="C458" s="88"/>
      <c r="D458" s="89"/>
      <c r="E458" s="89"/>
      <c r="F458" s="73"/>
      <c r="G458" s="73"/>
      <c r="H458" s="73"/>
      <c r="I458" s="73"/>
      <c r="J458" s="73"/>
      <c r="K458" s="73"/>
      <c r="L458" s="73"/>
      <c r="M458" s="74"/>
      <c r="N458" s="71" t="str">
        <f t="shared" si="7"/>
        <v/>
      </c>
      <c r="O458" s="72"/>
      <c r="P458" s="72"/>
      <c r="Q458" s="72"/>
      <c r="R458" s="72"/>
      <c r="S458" s="72"/>
      <c r="T458" s="72"/>
      <c r="U458" s="72"/>
      <c r="V458" s="72"/>
    </row>
    <row r="459" spans="1:22" ht="27.75" customHeight="1">
      <c r="A459" s="87" t="str">
        <f>IF(ISBLANK(C459)," ",454-COUNTBLANK($C$6:C459))</f>
        <v xml:space="preserve"> </v>
      </c>
      <c r="B459" s="88"/>
      <c r="C459" s="88"/>
      <c r="D459" s="89"/>
      <c r="E459" s="89"/>
      <c r="F459" s="73"/>
      <c r="G459" s="73"/>
      <c r="H459" s="73"/>
      <c r="I459" s="73"/>
      <c r="J459" s="73"/>
      <c r="K459" s="73"/>
      <c r="L459" s="73"/>
      <c r="M459" s="74"/>
      <c r="N459" s="71" t="str">
        <f t="shared" si="7"/>
        <v/>
      </c>
      <c r="O459" s="72"/>
      <c r="P459" s="72"/>
      <c r="Q459" s="72"/>
      <c r="R459" s="72"/>
      <c r="S459" s="72"/>
      <c r="T459" s="72"/>
      <c r="U459" s="72"/>
      <c r="V459" s="72"/>
    </row>
    <row r="460" spans="1:22" ht="27.75" customHeight="1">
      <c r="A460" s="87" t="str">
        <f>IF(ISBLANK(C460)," ",455-COUNTBLANK($C$6:C460))</f>
        <v xml:space="preserve"> </v>
      </c>
      <c r="B460" s="88"/>
      <c r="C460" s="88"/>
      <c r="D460" s="89"/>
      <c r="E460" s="89"/>
      <c r="F460" s="73"/>
      <c r="G460" s="73"/>
      <c r="H460" s="73"/>
      <c r="I460" s="73"/>
      <c r="J460" s="73"/>
      <c r="K460" s="73"/>
      <c r="L460" s="73"/>
      <c r="M460" s="74"/>
      <c r="N460" s="71" t="str">
        <f t="shared" si="7"/>
        <v/>
      </c>
      <c r="O460" s="72"/>
      <c r="P460" s="72"/>
      <c r="Q460" s="72"/>
      <c r="R460" s="72"/>
      <c r="S460" s="72"/>
      <c r="T460" s="72"/>
      <c r="U460" s="72"/>
      <c r="V460" s="72"/>
    </row>
    <row r="461" spans="1:22" ht="27.75" customHeight="1">
      <c r="A461" s="87" t="str">
        <f>IF(ISBLANK(C461)," ",456-COUNTBLANK($C$6:C461))</f>
        <v xml:space="preserve"> </v>
      </c>
      <c r="B461" s="88"/>
      <c r="C461" s="88"/>
      <c r="D461" s="89"/>
      <c r="E461" s="89"/>
      <c r="F461" s="73"/>
      <c r="G461" s="73"/>
      <c r="H461" s="73"/>
      <c r="I461" s="73"/>
      <c r="J461" s="73"/>
      <c r="K461" s="73"/>
      <c r="L461" s="73"/>
      <c r="M461" s="74"/>
      <c r="N461" s="71" t="str">
        <f t="shared" si="7"/>
        <v/>
      </c>
      <c r="O461" s="72"/>
      <c r="P461" s="72"/>
      <c r="Q461" s="72"/>
      <c r="R461" s="72"/>
      <c r="S461" s="72"/>
      <c r="T461" s="72"/>
      <c r="U461" s="72"/>
      <c r="V461" s="72"/>
    </row>
    <row r="462" spans="1:22" ht="27.75" customHeight="1">
      <c r="A462" s="87" t="str">
        <f>IF(ISBLANK(C462)," ",457-COUNTBLANK($C$6:C462))</f>
        <v xml:space="preserve"> </v>
      </c>
      <c r="B462" s="88"/>
      <c r="C462" s="88"/>
      <c r="D462" s="89"/>
      <c r="E462" s="89"/>
      <c r="F462" s="73"/>
      <c r="G462" s="73"/>
      <c r="H462" s="73"/>
      <c r="I462" s="73"/>
      <c r="J462" s="73"/>
      <c r="K462" s="73"/>
      <c r="L462" s="73"/>
      <c r="M462" s="74"/>
      <c r="N462" s="71" t="str">
        <f t="shared" si="7"/>
        <v/>
      </c>
      <c r="O462" s="75"/>
      <c r="P462" s="72"/>
      <c r="Q462" s="72"/>
      <c r="R462" s="72"/>
      <c r="S462" s="72"/>
      <c r="T462" s="72"/>
      <c r="U462" s="72"/>
      <c r="V462" s="76"/>
    </row>
    <row r="463" spans="1:22" ht="27.75" customHeight="1">
      <c r="A463" s="87" t="str">
        <f>IF(ISBLANK(C463)," ",458-COUNTBLANK($C$6:C463))</f>
        <v xml:space="preserve"> </v>
      </c>
      <c r="B463" s="88"/>
      <c r="C463" s="88"/>
      <c r="D463" s="89"/>
      <c r="E463" s="89"/>
      <c r="F463" s="73"/>
      <c r="G463" s="73"/>
      <c r="H463" s="73"/>
      <c r="I463" s="73"/>
      <c r="J463" s="73"/>
      <c r="K463" s="73"/>
      <c r="L463" s="73"/>
      <c r="M463" s="74"/>
      <c r="N463" s="71" t="str">
        <f t="shared" si="7"/>
        <v/>
      </c>
      <c r="O463" s="75"/>
      <c r="P463" s="72"/>
      <c r="Q463" s="72"/>
      <c r="R463" s="72"/>
      <c r="S463" s="72"/>
      <c r="T463" s="72"/>
      <c r="U463" s="72"/>
      <c r="V463" s="76"/>
    </row>
    <row r="464" spans="1:22" ht="27.75" customHeight="1">
      <c r="A464" s="87" t="str">
        <f>IF(ISBLANK(C464)," ",459-COUNTBLANK($C$6:C464))</f>
        <v xml:space="preserve"> </v>
      </c>
      <c r="B464" s="88"/>
      <c r="C464" s="88"/>
      <c r="D464" s="89"/>
      <c r="E464" s="89"/>
      <c r="F464" s="73"/>
      <c r="G464" s="73"/>
      <c r="H464" s="73"/>
      <c r="I464" s="73"/>
      <c r="J464" s="73"/>
      <c r="K464" s="73"/>
      <c r="L464" s="73"/>
      <c r="M464" s="74"/>
      <c r="N464" s="71" t="str">
        <f t="shared" si="7"/>
        <v/>
      </c>
      <c r="O464" s="75"/>
      <c r="P464" s="72"/>
      <c r="Q464" s="72"/>
      <c r="R464" s="72"/>
      <c r="S464" s="72"/>
      <c r="T464" s="72"/>
      <c r="U464" s="72"/>
      <c r="V464" s="76"/>
    </row>
    <row r="465" spans="1:25" ht="27.75" customHeight="1">
      <c r="A465" s="87" t="str">
        <f>IF(ISBLANK(C465)," ",460-COUNTBLANK($C$6:C465))</f>
        <v xml:space="preserve"> </v>
      </c>
      <c r="B465" s="88"/>
      <c r="C465" s="88"/>
      <c r="D465" s="89"/>
      <c r="E465" s="89"/>
      <c r="F465" s="73"/>
      <c r="G465" s="73"/>
      <c r="H465" s="73"/>
      <c r="I465" s="73"/>
      <c r="J465" s="73"/>
      <c r="K465" s="73"/>
      <c r="L465" s="73"/>
      <c r="M465" s="74"/>
      <c r="N465" s="71" t="str">
        <f t="shared" si="7"/>
        <v/>
      </c>
      <c r="O465" s="75"/>
      <c r="P465" s="72"/>
      <c r="Q465" s="72"/>
      <c r="R465" s="72"/>
      <c r="S465" s="72"/>
      <c r="T465" s="72"/>
      <c r="U465" s="72"/>
      <c r="V465" s="76"/>
    </row>
    <row r="466" spans="1:25" ht="27.75" customHeight="1">
      <c r="A466" s="87" t="str">
        <f>IF(ISBLANK(C466)," ",461-COUNTBLANK($C$6:C466))</f>
        <v xml:space="preserve"> </v>
      </c>
      <c r="B466" s="88"/>
      <c r="C466" s="88"/>
      <c r="D466" s="89"/>
      <c r="E466" s="89"/>
      <c r="F466" s="73"/>
      <c r="G466" s="73"/>
      <c r="H466" s="73"/>
      <c r="I466" s="73"/>
      <c r="J466" s="73"/>
      <c r="K466" s="73"/>
      <c r="L466" s="73"/>
      <c r="M466" s="74"/>
      <c r="N466" s="71" t="str">
        <f t="shared" si="7"/>
        <v/>
      </c>
      <c r="O466" s="72"/>
      <c r="P466" s="72"/>
      <c r="Q466" s="72"/>
      <c r="R466" s="72"/>
      <c r="S466" s="72"/>
      <c r="T466" s="72"/>
      <c r="U466" s="72"/>
      <c r="V466" s="79"/>
      <c r="W466" s="72"/>
      <c r="X466" s="72"/>
      <c r="Y466" s="72"/>
    </row>
    <row r="467" spans="1:25" ht="27.75" customHeight="1">
      <c r="A467" s="80" t="s">
        <v>58</v>
      </c>
      <c r="B467" s="81"/>
      <c r="C467" s="96"/>
      <c r="D467" s="82"/>
      <c r="E467" s="82">
        <f>SUM(E447:E466)</f>
        <v>0</v>
      </c>
      <c r="F467" s="83"/>
      <c r="G467" s="83"/>
      <c r="H467" s="83"/>
      <c r="I467" s="83"/>
      <c r="J467" s="83"/>
      <c r="K467" s="83"/>
      <c r="L467" s="83"/>
      <c r="M467" s="84"/>
      <c r="N467" s="71" t="str">
        <f t="shared" si="7"/>
        <v/>
      </c>
      <c r="O467" s="75"/>
      <c r="P467" s="72"/>
      <c r="Q467" s="72"/>
      <c r="R467" s="72"/>
      <c r="S467" s="72"/>
      <c r="T467" s="72"/>
      <c r="U467" s="72"/>
      <c r="V467" s="79"/>
      <c r="W467" s="72"/>
      <c r="X467" s="72"/>
      <c r="Y467" s="72"/>
    </row>
    <row r="468" spans="1:25" ht="27.75" customHeight="1">
      <c r="A468" s="93" t="str">
        <f>IF(ISBLANK(C468)," ",463-COUNTBLANK($C$6:C468))</f>
        <v xml:space="preserve"> </v>
      </c>
      <c r="B468" s="94"/>
      <c r="C468" s="94"/>
      <c r="D468" s="95"/>
      <c r="E468" s="95"/>
      <c r="F468" s="85"/>
      <c r="G468" s="85"/>
      <c r="H468" s="85"/>
      <c r="I468" s="85"/>
      <c r="J468" s="85"/>
      <c r="K468" s="85"/>
      <c r="L468" s="85"/>
      <c r="M468" s="86"/>
      <c r="N468" s="71" t="str">
        <f t="shared" si="7"/>
        <v/>
      </c>
      <c r="O468" s="72"/>
      <c r="P468" s="72"/>
      <c r="Q468" s="72"/>
      <c r="R468" s="72"/>
      <c r="S468" s="72"/>
      <c r="T468" s="72"/>
      <c r="U468" s="72"/>
      <c r="V468" s="72"/>
    </row>
    <row r="469" spans="1:25" ht="27.75" customHeight="1">
      <c r="A469" s="87" t="str">
        <f>IF(ISBLANK(C469)," ",464-COUNTBLANK($C$6:C469))</f>
        <v xml:space="preserve"> </v>
      </c>
      <c r="B469" s="88"/>
      <c r="C469" s="88"/>
      <c r="D469" s="89"/>
      <c r="E469" s="89"/>
      <c r="F469" s="73"/>
      <c r="G469" s="73"/>
      <c r="H469" s="73"/>
      <c r="I469" s="73"/>
      <c r="J469" s="73"/>
      <c r="K469" s="73"/>
      <c r="L469" s="73"/>
      <c r="M469" s="74"/>
      <c r="N469" s="71" t="str">
        <f t="shared" si="7"/>
        <v/>
      </c>
      <c r="O469" s="72"/>
      <c r="P469" s="72"/>
      <c r="Q469" s="72"/>
      <c r="R469" s="72"/>
      <c r="S469" s="72"/>
      <c r="T469" s="72"/>
      <c r="U469" s="72"/>
      <c r="V469" s="72"/>
    </row>
    <row r="470" spans="1:25" ht="27.75" customHeight="1">
      <c r="A470" s="87" t="str">
        <f>IF(ISBLANK(C470)," ",465-COUNTBLANK($C$6:C470))</f>
        <v xml:space="preserve"> </v>
      </c>
      <c r="B470" s="88"/>
      <c r="C470" s="88"/>
      <c r="D470" s="89"/>
      <c r="E470" s="89"/>
      <c r="F470" s="73"/>
      <c r="G470" s="73"/>
      <c r="H470" s="73"/>
      <c r="I470" s="73"/>
      <c r="J470" s="73"/>
      <c r="K470" s="73"/>
      <c r="L470" s="73"/>
      <c r="M470" s="74"/>
      <c r="N470" s="71" t="str">
        <f t="shared" si="7"/>
        <v/>
      </c>
      <c r="O470" s="72"/>
      <c r="P470" s="72"/>
      <c r="Q470" s="72"/>
      <c r="R470" s="72"/>
      <c r="S470" s="72"/>
      <c r="T470" s="72"/>
      <c r="U470" s="72"/>
      <c r="V470" s="72"/>
    </row>
    <row r="471" spans="1:25" ht="27.75" customHeight="1">
      <c r="A471" s="87" t="str">
        <f>IF(ISBLANK(C471)," ",466-COUNTBLANK($C$6:C471))</f>
        <v xml:space="preserve"> </v>
      </c>
      <c r="B471" s="88"/>
      <c r="C471" s="88"/>
      <c r="D471" s="89"/>
      <c r="E471" s="89"/>
      <c r="F471" s="73"/>
      <c r="G471" s="73"/>
      <c r="H471" s="73"/>
      <c r="I471" s="73"/>
      <c r="J471" s="73"/>
      <c r="K471" s="73"/>
      <c r="L471" s="73"/>
      <c r="M471" s="74"/>
      <c r="N471" s="71" t="str">
        <f t="shared" si="7"/>
        <v/>
      </c>
      <c r="O471" s="72"/>
      <c r="P471" s="72"/>
      <c r="Q471" s="72"/>
      <c r="R471" s="72"/>
      <c r="S471" s="72"/>
      <c r="T471" s="72"/>
      <c r="U471" s="72"/>
      <c r="V471" s="72"/>
    </row>
    <row r="472" spans="1:25" ht="27.75" customHeight="1">
      <c r="A472" s="87" t="str">
        <f>IF(ISBLANK(C472)," ",467-COUNTBLANK($C$6:C472))</f>
        <v xml:space="preserve"> </v>
      </c>
      <c r="B472" s="88"/>
      <c r="C472" s="88"/>
      <c r="D472" s="89"/>
      <c r="E472" s="89"/>
      <c r="F472" s="73"/>
      <c r="G472" s="73"/>
      <c r="H472" s="73"/>
      <c r="I472" s="73"/>
      <c r="J472" s="73"/>
      <c r="K472" s="73"/>
      <c r="L472" s="73"/>
      <c r="M472" s="74"/>
      <c r="N472" s="71" t="str">
        <f t="shared" si="7"/>
        <v/>
      </c>
      <c r="O472" s="72"/>
      <c r="P472" s="72"/>
      <c r="Q472" s="72"/>
      <c r="R472" s="72"/>
      <c r="S472" s="72"/>
      <c r="T472" s="72"/>
      <c r="U472" s="72"/>
      <c r="V472" s="72"/>
    </row>
    <row r="473" spans="1:25" ht="27.75" customHeight="1">
      <c r="A473" s="87" t="str">
        <f>IF(ISBLANK(C473)," ",468-COUNTBLANK($C$6:C473))</f>
        <v xml:space="preserve"> </v>
      </c>
      <c r="B473" s="88"/>
      <c r="C473" s="88"/>
      <c r="D473" s="89"/>
      <c r="E473" s="89"/>
      <c r="F473" s="73"/>
      <c r="G473" s="73"/>
      <c r="H473" s="73"/>
      <c r="I473" s="73"/>
      <c r="J473" s="73"/>
      <c r="K473" s="73"/>
      <c r="L473" s="73"/>
      <c r="M473" s="74"/>
      <c r="N473" s="71" t="str">
        <f t="shared" si="7"/>
        <v/>
      </c>
      <c r="O473" s="72"/>
      <c r="P473" s="72"/>
      <c r="Q473" s="72"/>
      <c r="R473" s="72"/>
      <c r="S473" s="72"/>
      <c r="T473" s="72"/>
      <c r="U473" s="72"/>
      <c r="V473" s="72"/>
    </row>
    <row r="474" spans="1:25" ht="27.75" customHeight="1">
      <c r="A474" s="87" t="str">
        <f>IF(ISBLANK(C474)," ",469-COUNTBLANK($C$6:C474))</f>
        <v xml:space="preserve"> </v>
      </c>
      <c r="B474" s="88"/>
      <c r="C474" s="88"/>
      <c r="D474" s="89"/>
      <c r="E474" s="89"/>
      <c r="F474" s="73"/>
      <c r="G474" s="73"/>
      <c r="H474" s="73"/>
      <c r="I474" s="73"/>
      <c r="J474" s="73"/>
      <c r="K474" s="73"/>
      <c r="L474" s="73"/>
      <c r="M474" s="74"/>
      <c r="N474" s="71" t="str">
        <f t="shared" si="7"/>
        <v/>
      </c>
      <c r="O474" s="72"/>
      <c r="P474" s="72"/>
      <c r="Q474" s="72"/>
      <c r="R474" s="72"/>
      <c r="S474" s="72"/>
      <c r="T474" s="72"/>
      <c r="U474" s="72"/>
      <c r="V474" s="72"/>
    </row>
    <row r="475" spans="1:25" ht="27.75" customHeight="1">
      <c r="A475" s="87" t="str">
        <f>IF(ISBLANK(C475)," ",470-COUNTBLANK($C$6:C475))</f>
        <v xml:space="preserve"> </v>
      </c>
      <c r="B475" s="88"/>
      <c r="C475" s="88"/>
      <c r="D475" s="89"/>
      <c r="E475" s="89"/>
      <c r="F475" s="73"/>
      <c r="G475" s="73"/>
      <c r="H475" s="73"/>
      <c r="I475" s="73"/>
      <c r="J475" s="73"/>
      <c r="K475" s="73"/>
      <c r="L475" s="73"/>
      <c r="M475" s="74"/>
      <c r="N475" s="71" t="str">
        <f t="shared" si="7"/>
        <v/>
      </c>
      <c r="O475" s="72"/>
      <c r="P475" s="72"/>
      <c r="Q475" s="72"/>
      <c r="R475" s="72"/>
      <c r="S475" s="72"/>
      <c r="T475" s="72"/>
      <c r="U475" s="72"/>
      <c r="V475" s="72"/>
    </row>
    <row r="476" spans="1:25" ht="27.75" customHeight="1">
      <c r="A476" s="87" t="str">
        <f>IF(ISBLANK(C476)," ",471-COUNTBLANK($C$6:C476))</f>
        <v xml:space="preserve"> </v>
      </c>
      <c r="B476" s="88"/>
      <c r="C476" s="88"/>
      <c r="D476" s="89"/>
      <c r="E476" s="89"/>
      <c r="F476" s="73"/>
      <c r="G476" s="73"/>
      <c r="H476" s="73"/>
      <c r="I476" s="73"/>
      <c r="J476" s="73"/>
      <c r="K476" s="73"/>
      <c r="L476" s="73"/>
      <c r="M476" s="74"/>
      <c r="N476" s="71" t="str">
        <f t="shared" si="7"/>
        <v/>
      </c>
      <c r="O476" s="72"/>
      <c r="P476" s="72"/>
      <c r="Q476" s="72"/>
      <c r="R476" s="72"/>
      <c r="S476" s="72"/>
      <c r="T476" s="72"/>
      <c r="U476" s="72"/>
      <c r="V476" s="72"/>
    </row>
    <row r="477" spans="1:25" ht="27.75" customHeight="1">
      <c r="A477" s="87" t="str">
        <f>IF(ISBLANK(C477)," ",472-COUNTBLANK($C$6:C477))</f>
        <v xml:space="preserve"> </v>
      </c>
      <c r="B477" s="88"/>
      <c r="C477" s="88"/>
      <c r="D477" s="89"/>
      <c r="E477" s="89"/>
      <c r="F477" s="73"/>
      <c r="G477" s="73"/>
      <c r="H477" s="73"/>
      <c r="I477" s="73"/>
      <c r="J477" s="73"/>
      <c r="K477" s="73"/>
      <c r="L477" s="73"/>
      <c r="M477" s="74"/>
      <c r="N477" s="71" t="str">
        <f t="shared" si="7"/>
        <v/>
      </c>
      <c r="O477" s="72"/>
      <c r="P477" s="72"/>
      <c r="Q477" s="72"/>
      <c r="R477" s="72"/>
      <c r="S477" s="72"/>
      <c r="T477" s="72"/>
      <c r="U477" s="72"/>
      <c r="V477" s="72"/>
    </row>
    <row r="478" spans="1:25" ht="27.75" customHeight="1">
      <c r="A478" s="87" t="str">
        <f>IF(ISBLANK(C478)," ",473-COUNTBLANK($C$6:C478))</f>
        <v xml:space="preserve"> </v>
      </c>
      <c r="B478" s="88"/>
      <c r="C478" s="88"/>
      <c r="D478" s="89"/>
      <c r="E478" s="89"/>
      <c r="F478" s="73"/>
      <c r="G478" s="73"/>
      <c r="H478" s="73"/>
      <c r="I478" s="73"/>
      <c r="J478" s="73"/>
      <c r="K478" s="73"/>
      <c r="L478" s="73"/>
      <c r="M478" s="74"/>
      <c r="N478" s="71" t="str">
        <f t="shared" si="7"/>
        <v/>
      </c>
      <c r="O478" s="72"/>
      <c r="P478" s="72"/>
      <c r="Q478" s="72"/>
      <c r="R478" s="72"/>
      <c r="S478" s="72"/>
      <c r="T478" s="72"/>
      <c r="U478" s="72"/>
      <c r="V478" s="72"/>
    </row>
    <row r="479" spans="1:25" ht="27.75" customHeight="1">
      <c r="A479" s="87" t="str">
        <f>IF(ISBLANK(C479)," ",474-COUNTBLANK($C$6:C479))</f>
        <v xml:space="preserve"> </v>
      </c>
      <c r="B479" s="88"/>
      <c r="C479" s="88"/>
      <c r="D479" s="89"/>
      <c r="E479" s="89"/>
      <c r="F479" s="73"/>
      <c r="G479" s="73"/>
      <c r="H479" s="73"/>
      <c r="I479" s="73"/>
      <c r="J479" s="73"/>
      <c r="K479" s="73"/>
      <c r="L479" s="73"/>
      <c r="M479" s="74"/>
      <c r="N479" s="71" t="str">
        <f t="shared" si="7"/>
        <v/>
      </c>
      <c r="O479" s="72"/>
      <c r="P479" s="72"/>
      <c r="Q479" s="72"/>
      <c r="R479" s="72"/>
      <c r="S479" s="72"/>
      <c r="T479" s="72"/>
      <c r="U479" s="72"/>
      <c r="V479" s="72"/>
    </row>
    <row r="480" spans="1:25" ht="27.75" customHeight="1">
      <c r="A480" s="87" t="str">
        <f>IF(ISBLANK(C480)," ",475-COUNTBLANK($C$6:C480))</f>
        <v xml:space="preserve"> </v>
      </c>
      <c r="B480" s="88"/>
      <c r="C480" s="88"/>
      <c r="D480" s="89"/>
      <c r="E480" s="89"/>
      <c r="F480" s="73"/>
      <c r="G480" s="73"/>
      <c r="H480" s="73"/>
      <c r="I480" s="73"/>
      <c r="J480" s="73"/>
      <c r="K480" s="73"/>
      <c r="L480" s="73"/>
      <c r="M480" s="74"/>
      <c r="N480" s="71" t="str">
        <f t="shared" si="7"/>
        <v/>
      </c>
      <c r="O480" s="72"/>
      <c r="P480" s="72"/>
      <c r="Q480" s="72"/>
      <c r="R480" s="72"/>
      <c r="S480" s="72"/>
      <c r="T480" s="72"/>
      <c r="U480" s="72"/>
      <c r="V480" s="72"/>
    </row>
    <row r="481" spans="1:25" ht="27.75" customHeight="1">
      <c r="A481" s="87" t="str">
        <f>IF(ISBLANK(C481)," ",476-COUNTBLANK($C$6:C481))</f>
        <v xml:space="preserve"> </v>
      </c>
      <c r="B481" s="88"/>
      <c r="C481" s="88"/>
      <c r="D481" s="89"/>
      <c r="E481" s="89"/>
      <c r="F481" s="73"/>
      <c r="G481" s="73"/>
      <c r="H481" s="73"/>
      <c r="I481" s="73"/>
      <c r="J481" s="73"/>
      <c r="K481" s="73"/>
      <c r="L481" s="73"/>
      <c r="M481" s="74"/>
      <c r="N481" s="71" t="str">
        <f t="shared" si="7"/>
        <v/>
      </c>
      <c r="O481" s="72"/>
      <c r="P481" s="72"/>
      <c r="Q481" s="72"/>
      <c r="R481" s="72"/>
      <c r="S481" s="72"/>
      <c r="T481" s="72"/>
      <c r="U481" s="72"/>
      <c r="V481" s="72"/>
    </row>
    <row r="482" spans="1:25" ht="27.75" customHeight="1">
      <c r="A482" s="87" t="str">
        <f>IF(ISBLANK(C482)," ",477-COUNTBLANK($C$6:C482))</f>
        <v xml:space="preserve"> </v>
      </c>
      <c r="B482" s="88"/>
      <c r="C482" s="88"/>
      <c r="D482" s="89"/>
      <c r="E482" s="89"/>
      <c r="F482" s="73"/>
      <c r="G482" s="73"/>
      <c r="H482" s="73"/>
      <c r="I482" s="73"/>
      <c r="J482" s="73"/>
      <c r="K482" s="73"/>
      <c r="L482" s="73"/>
      <c r="M482" s="74"/>
      <c r="N482" s="71" t="str">
        <f t="shared" si="7"/>
        <v/>
      </c>
      <c r="O482" s="72"/>
      <c r="P482" s="72"/>
      <c r="Q482" s="72"/>
      <c r="R482" s="72"/>
      <c r="S482" s="72"/>
      <c r="T482" s="72"/>
      <c r="U482" s="72"/>
      <c r="V482" s="72"/>
    </row>
    <row r="483" spans="1:25" ht="27.75" customHeight="1">
      <c r="A483" s="87" t="str">
        <f>IF(ISBLANK(C483)," ",478-COUNTBLANK($C$6:C483))</f>
        <v xml:space="preserve"> </v>
      </c>
      <c r="B483" s="88"/>
      <c r="C483" s="88"/>
      <c r="D483" s="89"/>
      <c r="E483" s="89"/>
      <c r="F483" s="73"/>
      <c r="G483" s="73"/>
      <c r="H483" s="73"/>
      <c r="I483" s="73"/>
      <c r="J483" s="73"/>
      <c r="K483" s="73"/>
      <c r="L483" s="73"/>
      <c r="M483" s="74"/>
      <c r="N483" s="71" t="str">
        <f t="shared" si="7"/>
        <v/>
      </c>
      <c r="O483" s="75"/>
      <c r="P483" s="72"/>
      <c r="Q483" s="72"/>
      <c r="R483" s="72"/>
      <c r="S483" s="72"/>
      <c r="T483" s="72"/>
      <c r="U483" s="72"/>
      <c r="V483" s="76"/>
    </row>
    <row r="484" spans="1:25" ht="27.75" customHeight="1">
      <c r="A484" s="87" t="str">
        <f>IF(ISBLANK(C484)," ",479-COUNTBLANK($C$6:C484))</f>
        <v xml:space="preserve"> </v>
      </c>
      <c r="B484" s="88"/>
      <c r="C484" s="88"/>
      <c r="D484" s="89"/>
      <c r="E484" s="89"/>
      <c r="F484" s="73"/>
      <c r="G484" s="73"/>
      <c r="H484" s="73"/>
      <c r="I484" s="73"/>
      <c r="J484" s="73"/>
      <c r="K484" s="73"/>
      <c r="L484" s="73"/>
      <c r="M484" s="74"/>
      <c r="N484" s="71" t="str">
        <f t="shared" si="7"/>
        <v/>
      </c>
      <c r="O484" s="75"/>
      <c r="P484" s="72"/>
      <c r="Q484" s="72"/>
      <c r="R484" s="72"/>
      <c r="S484" s="72"/>
      <c r="T484" s="72"/>
      <c r="U484" s="72"/>
      <c r="V484" s="76"/>
    </row>
    <row r="485" spans="1:25" ht="27.75" customHeight="1">
      <c r="A485" s="87" t="str">
        <f>IF(ISBLANK(C485)," ",480-COUNTBLANK($C$6:C485))</f>
        <v xml:space="preserve"> </v>
      </c>
      <c r="B485" s="88"/>
      <c r="C485" s="88"/>
      <c r="D485" s="89"/>
      <c r="E485" s="89"/>
      <c r="F485" s="73"/>
      <c r="G485" s="73"/>
      <c r="H485" s="73"/>
      <c r="I485" s="73"/>
      <c r="J485" s="73"/>
      <c r="K485" s="73"/>
      <c r="L485" s="73"/>
      <c r="M485" s="74"/>
      <c r="N485" s="71" t="str">
        <f t="shared" si="7"/>
        <v/>
      </c>
      <c r="O485" s="75"/>
      <c r="P485" s="72"/>
      <c r="Q485" s="72"/>
      <c r="R485" s="72"/>
      <c r="S485" s="72"/>
      <c r="T485" s="72"/>
      <c r="U485" s="72"/>
      <c r="V485" s="76"/>
    </row>
    <row r="486" spans="1:25" ht="27.75" customHeight="1">
      <c r="A486" s="87" t="str">
        <f>IF(ISBLANK(C486)," ",481-COUNTBLANK($C$6:C486))</f>
        <v xml:space="preserve"> </v>
      </c>
      <c r="B486" s="88"/>
      <c r="C486" s="88"/>
      <c r="D486" s="89"/>
      <c r="E486" s="89"/>
      <c r="F486" s="73"/>
      <c r="G486" s="73"/>
      <c r="H486" s="73"/>
      <c r="I486" s="73"/>
      <c r="J486" s="73"/>
      <c r="K486" s="73"/>
      <c r="L486" s="73"/>
      <c r="M486" s="74"/>
      <c r="N486" s="71" t="str">
        <f t="shared" si="7"/>
        <v/>
      </c>
      <c r="O486" s="75"/>
      <c r="P486" s="72"/>
      <c r="Q486" s="72"/>
      <c r="R486" s="72"/>
      <c r="S486" s="72"/>
      <c r="T486" s="72"/>
      <c r="U486" s="72"/>
      <c r="V486" s="76"/>
    </row>
    <row r="487" spans="1:25" ht="27.75" customHeight="1">
      <c r="A487" s="87" t="str">
        <f>IF(ISBLANK(C487)," ",482-COUNTBLANK($C$6:C487))</f>
        <v xml:space="preserve"> </v>
      </c>
      <c r="B487" s="88"/>
      <c r="C487" s="88"/>
      <c r="D487" s="89"/>
      <c r="E487" s="89"/>
      <c r="F487" s="73"/>
      <c r="G487" s="73"/>
      <c r="H487" s="73"/>
      <c r="I487" s="73"/>
      <c r="J487" s="73"/>
      <c r="K487" s="73"/>
      <c r="L487" s="73"/>
      <c r="M487" s="74"/>
      <c r="N487" s="71" t="str">
        <f t="shared" si="7"/>
        <v/>
      </c>
      <c r="O487" s="72"/>
      <c r="P487" s="72"/>
      <c r="Q487" s="72"/>
      <c r="R487" s="72"/>
      <c r="S487" s="72"/>
      <c r="T487" s="72"/>
      <c r="U487" s="72"/>
      <c r="V487" s="79"/>
      <c r="W487" s="72"/>
      <c r="X487" s="72"/>
      <c r="Y487" s="72"/>
    </row>
    <row r="488" spans="1:25" ht="27.75" customHeight="1">
      <c r="A488" s="80" t="s">
        <v>58</v>
      </c>
      <c r="B488" s="81"/>
      <c r="C488" s="96"/>
      <c r="D488" s="82"/>
      <c r="E488" s="82">
        <f>SUM(E468:E487)</f>
        <v>0</v>
      </c>
      <c r="F488" s="83"/>
      <c r="G488" s="83"/>
      <c r="H488" s="83"/>
      <c r="I488" s="83"/>
      <c r="J488" s="83"/>
      <c r="K488" s="83"/>
      <c r="L488" s="83"/>
      <c r="M488" s="84"/>
      <c r="N488" s="71" t="str">
        <f t="shared" si="7"/>
        <v/>
      </c>
      <c r="O488" s="75"/>
      <c r="P488" s="72"/>
      <c r="Q488" s="72"/>
      <c r="R488" s="72"/>
      <c r="S488" s="72"/>
      <c r="T488" s="72"/>
      <c r="U488" s="72"/>
      <c r="V488" s="79"/>
      <c r="W488" s="72"/>
      <c r="X488" s="72"/>
      <c r="Y488" s="72"/>
    </row>
    <row r="489" spans="1:25" ht="27.75" customHeight="1">
      <c r="A489" s="93" t="str">
        <f>IF(ISBLANK(C489)," ",484-COUNTBLANK($C$6:C489))</f>
        <v xml:space="preserve"> </v>
      </c>
      <c r="B489" s="94"/>
      <c r="C489" s="94"/>
      <c r="D489" s="95"/>
      <c r="E489" s="95"/>
      <c r="F489" s="85"/>
      <c r="G489" s="85"/>
      <c r="H489" s="85"/>
      <c r="I489" s="85"/>
      <c r="J489" s="85"/>
      <c r="K489" s="85"/>
      <c r="L489" s="85"/>
      <c r="M489" s="86"/>
      <c r="N489" s="71" t="str">
        <f t="shared" si="7"/>
        <v/>
      </c>
      <c r="O489" s="72"/>
      <c r="P489" s="72"/>
      <c r="Q489" s="72"/>
      <c r="R489" s="72"/>
      <c r="S489" s="72"/>
      <c r="T489" s="72"/>
      <c r="U489" s="72"/>
      <c r="V489" s="72"/>
    </row>
    <row r="490" spans="1:25" ht="27.75" customHeight="1">
      <c r="A490" s="87" t="str">
        <f>IF(ISBLANK(C490)," ",485-COUNTBLANK($C$6:C490))</f>
        <v xml:space="preserve"> </v>
      </c>
      <c r="B490" s="88"/>
      <c r="C490" s="88"/>
      <c r="D490" s="89"/>
      <c r="E490" s="89"/>
      <c r="F490" s="73"/>
      <c r="G490" s="73"/>
      <c r="H490" s="73"/>
      <c r="I490" s="73"/>
      <c r="J490" s="73"/>
      <c r="K490" s="73"/>
      <c r="L490" s="73"/>
      <c r="M490" s="74"/>
      <c r="N490" s="71" t="str">
        <f t="shared" si="7"/>
        <v/>
      </c>
      <c r="O490" s="72"/>
      <c r="P490" s="72"/>
      <c r="Q490" s="72"/>
      <c r="R490" s="72"/>
      <c r="S490" s="72"/>
      <c r="T490" s="72"/>
      <c r="U490" s="72"/>
      <c r="V490" s="72"/>
    </row>
    <row r="491" spans="1:25" ht="27.75" customHeight="1">
      <c r="A491" s="87" t="str">
        <f>IF(ISBLANK(C491)," ",486-COUNTBLANK($C$6:C491))</f>
        <v xml:space="preserve"> </v>
      </c>
      <c r="B491" s="88"/>
      <c r="C491" s="88"/>
      <c r="D491" s="89"/>
      <c r="E491" s="89"/>
      <c r="F491" s="73"/>
      <c r="G491" s="73"/>
      <c r="H491" s="73"/>
      <c r="I491" s="73"/>
      <c r="J491" s="73"/>
      <c r="K491" s="73"/>
      <c r="L491" s="73"/>
      <c r="M491" s="74"/>
      <c r="N491" s="71" t="str">
        <f t="shared" si="7"/>
        <v/>
      </c>
      <c r="O491" s="72"/>
      <c r="P491" s="72"/>
      <c r="Q491" s="72"/>
      <c r="R491" s="72"/>
      <c r="S491" s="72"/>
      <c r="T491" s="72"/>
      <c r="U491" s="72"/>
      <c r="V491" s="72"/>
    </row>
    <row r="492" spans="1:25" ht="27.75" customHeight="1">
      <c r="A492" s="87" t="str">
        <f>IF(ISBLANK(C492)," ",487-COUNTBLANK($C$6:C492))</f>
        <v xml:space="preserve"> </v>
      </c>
      <c r="B492" s="88"/>
      <c r="C492" s="88"/>
      <c r="D492" s="89"/>
      <c r="E492" s="89"/>
      <c r="F492" s="73"/>
      <c r="G492" s="73"/>
      <c r="H492" s="73"/>
      <c r="I492" s="73"/>
      <c r="J492" s="73"/>
      <c r="K492" s="73"/>
      <c r="L492" s="73"/>
      <c r="M492" s="74"/>
      <c r="N492" s="71" t="str">
        <f t="shared" si="7"/>
        <v/>
      </c>
      <c r="O492" s="72"/>
      <c r="P492" s="72"/>
      <c r="Q492" s="72"/>
      <c r="R492" s="72"/>
      <c r="S492" s="72"/>
      <c r="T492" s="72"/>
      <c r="U492" s="72"/>
      <c r="V492" s="72"/>
    </row>
    <row r="493" spans="1:25" ht="27.75" customHeight="1">
      <c r="A493" s="87" t="str">
        <f>IF(ISBLANK(C493)," ",488-COUNTBLANK($C$6:C493))</f>
        <v xml:space="preserve"> </v>
      </c>
      <c r="B493" s="88"/>
      <c r="C493" s="88"/>
      <c r="D493" s="89"/>
      <c r="E493" s="89"/>
      <c r="F493" s="73"/>
      <c r="G493" s="73"/>
      <c r="H493" s="73"/>
      <c r="I493" s="73"/>
      <c r="J493" s="73"/>
      <c r="K493" s="73"/>
      <c r="L493" s="73"/>
      <c r="M493" s="74"/>
      <c r="N493" s="71" t="str">
        <f t="shared" si="7"/>
        <v/>
      </c>
      <c r="O493" s="72"/>
      <c r="P493" s="72"/>
      <c r="Q493" s="72"/>
      <c r="R493" s="72"/>
      <c r="S493" s="72"/>
      <c r="T493" s="72"/>
      <c r="U493" s="72"/>
      <c r="V493" s="72"/>
    </row>
    <row r="494" spans="1:25" ht="27.75" customHeight="1">
      <c r="A494" s="87" t="str">
        <f>IF(ISBLANK(C494)," ",489-COUNTBLANK($C$6:C494))</f>
        <v xml:space="preserve"> </v>
      </c>
      <c r="B494" s="88"/>
      <c r="C494" s="88"/>
      <c r="D494" s="89"/>
      <c r="E494" s="89"/>
      <c r="F494" s="73"/>
      <c r="G494" s="73"/>
      <c r="H494" s="73"/>
      <c r="I494" s="73"/>
      <c r="J494" s="73"/>
      <c r="K494" s="73"/>
      <c r="L494" s="73"/>
      <c r="M494" s="74"/>
      <c r="N494" s="71" t="str">
        <f t="shared" si="7"/>
        <v/>
      </c>
      <c r="O494" s="72"/>
      <c r="P494" s="72"/>
      <c r="Q494" s="72"/>
      <c r="R494" s="72"/>
      <c r="S494" s="72"/>
      <c r="T494" s="72"/>
      <c r="U494" s="72"/>
      <c r="V494" s="72"/>
    </row>
    <row r="495" spans="1:25" ht="27.75" customHeight="1">
      <c r="A495" s="87" t="str">
        <f>IF(ISBLANK(C495)," ",490-COUNTBLANK($C$6:C495))</f>
        <v xml:space="preserve"> </v>
      </c>
      <c r="B495" s="88"/>
      <c r="C495" s="88"/>
      <c r="D495" s="89"/>
      <c r="E495" s="89"/>
      <c r="F495" s="73"/>
      <c r="G495" s="73"/>
      <c r="H495" s="73"/>
      <c r="I495" s="73"/>
      <c r="J495" s="73"/>
      <c r="K495" s="73"/>
      <c r="L495" s="73"/>
      <c r="M495" s="74"/>
      <c r="N495" s="71" t="str">
        <f t="shared" si="7"/>
        <v/>
      </c>
      <c r="O495" s="72"/>
      <c r="P495" s="72"/>
      <c r="Q495" s="72"/>
      <c r="R495" s="72"/>
      <c r="S495" s="72"/>
      <c r="T495" s="72"/>
      <c r="U495" s="72"/>
      <c r="V495" s="72"/>
    </row>
    <row r="496" spans="1:25" ht="27.75" customHeight="1">
      <c r="A496" s="87" t="str">
        <f>IF(ISBLANK(C496)," ",491-COUNTBLANK($C$6:C496))</f>
        <v xml:space="preserve"> </v>
      </c>
      <c r="B496" s="88"/>
      <c r="C496" s="88"/>
      <c r="D496" s="89"/>
      <c r="E496" s="89"/>
      <c r="F496" s="73"/>
      <c r="G496" s="73"/>
      <c r="H496" s="73"/>
      <c r="I496" s="73"/>
      <c r="J496" s="73"/>
      <c r="K496" s="73"/>
      <c r="L496" s="73"/>
      <c r="M496" s="74"/>
      <c r="N496" s="71" t="str">
        <f t="shared" si="7"/>
        <v/>
      </c>
      <c r="O496" s="72"/>
      <c r="P496" s="72"/>
      <c r="Q496" s="72"/>
      <c r="R496" s="72"/>
      <c r="S496" s="72"/>
      <c r="T496" s="72"/>
      <c r="U496" s="72"/>
      <c r="V496" s="72"/>
    </row>
    <row r="497" spans="1:25" ht="27.75" customHeight="1">
      <c r="A497" s="87" t="str">
        <f>IF(ISBLANK(C497)," ",492-COUNTBLANK($C$6:C497))</f>
        <v xml:space="preserve"> </v>
      </c>
      <c r="B497" s="88"/>
      <c r="C497" s="88"/>
      <c r="D497" s="89"/>
      <c r="E497" s="89"/>
      <c r="F497" s="73"/>
      <c r="G497" s="73"/>
      <c r="H497" s="73"/>
      <c r="I497" s="73"/>
      <c r="J497" s="73"/>
      <c r="K497" s="73"/>
      <c r="L497" s="73"/>
      <c r="M497" s="74"/>
      <c r="N497" s="71" t="str">
        <f t="shared" si="7"/>
        <v/>
      </c>
      <c r="O497" s="72"/>
      <c r="P497" s="72"/>
      <c r="Q497" s="72"/>
      <c r="R497" s="72"/>
      <c r="S497" s="72"/>
      <c r="T497" s="72"/>
      <c r="U497" s="72"/>
      <c r="V497" s="72"/>
    </row>
    <row r="498" spans="1:25" ht="27.75" customHeight="1">
      <c r="A498" s="87" t="str">
        <f>IF(ISBLANK(C498)," ",493-COUNTBLANK($C$6:C498))</f>
        <v xml:space="preserve"> </v>
      </c>
      <c r="B498" s="88"/>
      <c r="C498" s="88"/>
      <c r="D498" s="89"/>
      <c r="E498" s="89"/>
      <c r="F498" s="73"/>
      <c r="G498" s="73"/>
      <c r="H498" s="73"/>
      <c r="I498" s="73"/>
      <c r="J498" s="73"/>
      <c r="K498" s="73"/>
      <c r="L498" s="73"/>
      <c r="M498" s="74"/>
      <c r="N498" s="71" t="str">
        <f t="shared" si="7"/>
        <v/>
      </c>
      <c r="O498" s="72"/>
      <c r="P498" s="72"/>
      <c r="Q498" s="72"/>
      <c r="R498" s="72"/>
      <c r="S498" s="72"/>
      <c r="T498" s="72"/>
      <c r="U498" s="72"/>
      <c r="V498" s="72"/>
    </row>
    <row r="499" spans="1:25" ht="27.75" customHeight="1">
      <c r="A499" s="87" t="str">
        <f>IF(ISBLANK(C499)," ",494-COUNTBLANK($C$6:C499))</f>
        <v xml:space="preserve"> </v>
      </c>
      <c r="B499" s="88"/>
      <c r="C499" s="88"/>
      <c r="D499" s="89"/>
      <c r="E499" s="89"/>
      <c r="F499" s="73"/>
      <c r="G499" s="73"/>
      <c r="H499" s="73"/>
      <c r="I499" s="73"/>
      <c r="J499" s="73"/>
      <c r="K499" s="73"/>
      <c r="L499" s="73"/>
      <c r="M499" s="74"/>
      <c r="N499" s="71" t="str">
        <f t="shared" si="7"/>
        <v/>
      </c>
      <c r="O499" s="72"/>
      <c r="P499" s="72"/>
      <c r="Q499" s="72"/>
      <c r="R499" s="72"/>
      <c r="S499" s="72"/>
      <c r="T499" s="72"/>
      <c r="U499" s="72"/>
      <c r="V499" s="72"/>
    </row>
    <row r="500" spans="1:25" ht="27.75" customHeight="1">
      <c r="A500" s="87" t="str">
        <f>IF(ISBLANK(C500)," ",495-COUNTBLANK($C$6:C500))</f>
        <v xml:space="preserve"> </v>
      </c>
      <c r="B500" s="88"/>
      <c r="C500" s="88"/>
      <c r="D500" s="89"/>
      <c r="E500" s="89"/>
      <c r="F500" s="73"/>
      <c r="G500" s="73"/>
      <c r="H500" s="73"/>
      <c r="I500" s="73"/>
      <c r="J500" s="73"/>
      <c r="K500" s="73"/>
      <c r="L500" s="73"/>
      <c r="M500" s="74"/>
      <c r="N500" s="71" t="str">
        <f t="shared" si="7"/>
        <v/>
      </c>
      <c r="O500" s="72"/>
      <c r="P500" s="72"/>
      <c r="Q500" s="72"/>
      <c r="R500" s="72"/>
      <c r="S500" s="72"/>
      <c r="T500" s="72"/>
      <c r="U500" s="72"/>
      <c r="V500" s="72"/>
    </row>
    <row r="501" spans="1:25" ht="27.75" customHeight="1">
      <c r="A501" s="87" t="str">
        <f>IF(ISBLANK(C501)," ",496-COUNTBLANK($C$6:C501))</f>
        <v xml:space="preserve"> </v>
      </c>
      <c r="B501" s="88"/>
      <c r="C501" s="88"/>
      <c r="D501" s="89"/>
      <c r="E501" s="89"/>
      <c r="F501" s="73"/>
      <c r="G501" s="73"/>
      <c r="H501" s="73"/>
      <c r="I501" s="73"/>
      <c r="J501" s="73"/>
      <c r="K501" s="73"/>
      <c r="L501" s="73"/>
      <c r="M501" s="74"/>
      <c r="N501" s="71" t="str">
        <f t="shared" si="7"/>
        <v/>
      </c>
      <c r="O501" s="72"/>
      <c r="P501" s="72"/>
      <c r="Q501" s="72"/>
      <c r="R501" s="72"/>
      <c r="S501" s="72"/>
      <c r="T501" s="72"/>
      <c r="U501" s="72"/>
      <c r="V501" s="72"/>
    </row>
    <row r="502" spans="1:25" ht="27.75" customHeight="1">
      <c r="A502" s="87" t="str">
        <f>IF(ISBLANK(C502)," ",497-COUNTBLANK($C$6:C502))</f>
        <v xml:space="preserve"> </v>
      </c>
      <c r="B502" s="88"/>
      <c r="C502" s="88"/>
      <c r="D502" s="89"/>
      <c r="E502" s="89"/>
      <c r="F502" s="73"/>
      <c r="G502" s="73"/>
      <c r="H502" s="73"/>
      <c r="I502" s="73"/>
      <c r="J502" s="73"/>
      <c r="K502" s="73"/>
      <c r="L502" s="73"/>
      <c r="M502" s="74"/>
      <c r="N502" s="71" t="str">
        <f t="shared" si="7"/>
        <v/>
      </c>
      <c r="O502" s="72"/>
      <c r="P502" s="72"/>
      <c r="Q502" s="72"/>
      <c r="R502" s="72"/>
      <c r="S502" s="72"/>
      <c r="T502" s="72"/>
      <c r="U502" s="72"/>
      <c r="V502" s="72"/>
    </row>
    <row r="503" spans="1:25" ht="27.75" customHeight="1">
      <c r="A503" s="87" t="str">
        <f>IF(ISBLANK(C503)," ",498-COUNTBLANK($C$6:C503))</f>
        <v xml:space="preserve"> </v>
      </c>
      <c r="B503" s="88"/>
      <c r="C503" s="88"/>
      <c r="D503" s="89"/>
      <c r="E503" s="89"/>
      <c r="F503" s="73"/>
      <c r="G503" s="73"/>
      <c r="H503" s="73"/>
      <c r="I503" s="73"/>
      <c r="J503" s="73"/>
      <c r="K503" s="73"/>
      <c r="L503" s="73"/>
      <c r="M503" s="74"/>
      <c r="N503" s="71" t="str">
        <f t="shared" si="7"/>
        <v/>
      </c>
      <c r="O503" s="72"/>
      <c r="P503" s="72"/>
      <c r="Q503" s="72"/>
      <c r="R503" s="72"/>
      <c r="S503" s="72"/>
      <c r="T503" s="72"/>
      <c r="U503" s="72"/>
      <c r="V503" s="72"/>
    </row>
    <row r="504" spans="1:25" ht="27.75" customHeight="1">
      <c r="A504" s="87" t="str">
        <f>IF(ISBLANK(C504)," ",499-COUNTBLANK($C$6:C504))</f>
        <v xml:space="preserve"> </v>
      </c>
      <c r="B504" s="88"/>
      <c r="C504" s="88"/>
      <c r="D504" s="89"/>
      <c r="E504" s="89"/>
      <c r="F504" s="73"/>
      <c r="G504" s="73"/>
      <c r="H504" s="73"/>
      <c r="I504" s="73"/>
      <c r="J504" s="73"/>
      <c r="K504" s="73"/>
      <c r="L504" s="73"/>
      <c r="M504" s="74"/>
      <c r="N504" s="71" t="str">
        <f t="shared" si="7"/>
        <v/>
      </c>
      <c r="O504" s="75"/>
      <c r="P504" s="72"/>
      <c r="Q504" s="72"/>
      <c r="R504" s="72"/>
      <c r="S504" s="72"/>
      <c r="T504" s="72"/>
      <c r="U504" s="72"/>
      <c r="V504" s="76"/>
    </row>
    <row r="505" spans="1:25" ht="27.75" customHeight="1">
      <c r="A505" s="87" t="str">
        <f>IF(ISBLANK(C505)," ",500-COUNTBLANK($C$6:C505))</f>
        <v xml:space="preserve"> </v>
      </c>
      <c r="B505" s="88"/>
      <c r="C505" s="88"/>
      <c r="D505" s="89"/>
      <c r="E505" s="89"/>
      <c r="F505" s="73"/>
      <c r="G505" s="73"/>
      <c r="H505" s="73"/>
      <c r="I505" s="73"/>
      <c r="J505" s="73"/>
      <c r="K505" s="73"/>
      <c r="L505" s="73"/>
      <c r="M505" s="74"/>
      <c r="N505" s="71" t="str">
        <f t="shared" si="7"/>
        <v/>
      </c>
      <c r="O505" s="75"/>
      <c r="P505" s="72"/>
      <c r="Q505" s="72"/>
      <c r="R505" s="72"/>
      <c r="S505" s="72"/>
      <c r="T505" s="72"/>
      <c r="U505" s="72"/>
      <c r="V505" s="76"/>
    </row>
    <row r="506" spans="1:25" ht="27.75" customHeight="1">
      <c r="A506" s="87" t="str">
        <f>IF(ISBLANK(C506)," ",501-COUNTBLANK($C$6:C506))</f>
        <v xml:space="preserve"> </v>
      </c>
      <c r="B506" s="88"/>
      <c r="C506" s="88"/>
      <c r="D506" s="89"/>
      <c r="E506" s="89"/>
      <c r="F506" s="73"/>
      <c r="G506" s="73"/>
      <c r="H506" s="73"/>
      <c r="I506" s="73"/>
      <c r="J506" s="73"/>
      <c r="K506" s="73"/>
      <c r="L506" s="73"/>
      <c r="M506" s="74"/>
      <c r="N506" s="71" t="str">
        <f t="shared" si="7"/>
        <v/>
      </c>
      <c r="O506" s="75"/>
      <c r="P506" s="72"/>
      <c r="Q506" s="72"/>
      <c r="R506" s="72"/>
      <c r="S506" s="72"/>
      <c r="T506" s="72"/>
      <c r="U506" s="72"/>
      <c r="V506" s="76"/>
    </row>
    <row r="507" spans="1:25" ht="27.75" customHeight="1">
      <c r="A507" s="87" t="str">
        <f>IF(ISBLANK(C507)," ",502-COUNTBLANK($C$6:C507))</f>
        <v xml:space="preserve"> </v>
      </c>
      <c r="B507" s="88"/>
      <c r="C507" s="88"/>
      <c r="D507" s="89"/>
      <c r="E507" s="89"/>
      <c r="F507" s="73"/>
      <c r="G507" s="73"/>
      <c r="H507" s="73"/>
      <c r="I507" s="73"/>
      <c r="J507" s="73"/>
      <c r="K507" s="73"/>
      <c r="L507" s="73"/>
      <c r="M507" s="74"/>
      <c r="N507" s="71" t="str">
        <f t="shared" si="7"/>
        <v/>
      </c>
      <c r="O507" s="75"/>
      <c r="P507" s="72"/>
      <c r="Q507" s="72"/>
      <c r="R507" s="72"/>
      <c r="S507" s="72"/>
      <c r="T507" s="72"/>
      <c r="U507" s="72"/>
      <c r="V507" s="76"/>
    </row>
    <row r="508" spans="1:25" ht="27.75" customHeight="1">
      <c r="A508" s="87" t="str">
        <f>IF(ISBLANK(C508)," ",503-COUNTBLANK($C$6:C508))</f>
        <v xml:space="preserve"> </v>
      </c>
      <c r="B508" s="88"/>
      <c r="C508" s="88"/>
      <c r="D508" s="89"/>
      <c r="E508" s="89"/>
      <c r="F508" s="73"/>
      <c r="G508" s="73"/>
      <c r="H508" s="73"/>
      <c r="I508" s="73"/>
      <c r="J508" s="73"/>
      <c r="K508" s="73"/>
      <c r="L508" s="73"/>
      <c r="M508" s="74"/>
      <c r="N508" s="71" t="str">
        <f t="shared" si="7"/>
        <v/>
      </c>
      <c r="O508" s="72"/>
      <c r="P508" s="72"/>
      <c r="Q508" s="72"/>
      <c r="R508" s="72"/>
      <c r="S508" s="72"/>
      <c r="T508" s="72"/>
      <c r="U508" s="72"/>
      <c r="V508" s="79"/>
      <c r="W508" s="72"/>
      <c r="X508" s="72"/>
      <c r="Y508" s="72"/>
    </row>
    <row r="509" spans="1:25" ht="27.75" customHeight="1">
      <c r="A509" s="80" t="s">
        <v>58</v>
      </c>
      <c r="B509" s="81"/>
      <c r="C509" s="96"/>
      <c r="D509" s="82"/>
      <c r="E509" s="82">
        <f>SUM(E489:E508)</f>
        <v>0</v>
      </c>
      <c r="F509" s="83"/>
      <c r="G509" s="83"/>
      <c r="H509" s="83"/>
      <c r="I509" s="83"/>
      <c r="J509" s="83"/>
      <c r="K509" s="83"/>
      <c r="L509" s="83"/>
      <c r="M509" s="84"/>
      <c r="N509" s="71" t="str">
        <f t="shared" si="7"/>
        <v/>
      </c>
      <c r="O509" s="75"/>
      <c r="P509" s="72"/>
      <c r="Q509" s="72"/>
      <c r="R509" s="72"/>
      <c r="S509" s="72"/>
      <c r="T509" s="72"/>
      <c r="U509" s="72"/>
      <c r="V509" s="79"/>
      <c r="W509" s="72"/>
      <c r="X509" s="72"/>
      <c r="Y509" s="72"/>
    </row>
    <row r="510" spans="1:25" ht="27.75" customHeight="1">
      <c r="A510" s="93" t="str">
        <f>IF(ISBLANK(C510)," ",505-COUNTBLANK($C$6:C510))</f>
        <v xml:space="preserve"> </v>
      </c>
      <c r="B510" s="94"/>
      <c r="C510" s="94"/>
      <c r="D510" s="95"/>
      <c r="E510" s="95"/>
      <c r="F510" s="85"/>
      <c r="G510" s="85"/>
      <c r="H510" s="85"/>
      <c r="I510" s="85"/>
      <c r="J510" s="85"/>
      <c r="K510" s="85"/>
      <c r="L510" s="85"/>
      <c r="M510" s="86"/>
      <c r="N510" s="71" t="str">
        <f t="shared" si="7"/>
        <v/>
      </c>
      <c r="O510" s="72"/>
      <c r="P510" s="72"/>
      <c r="Q510" s="72"/>
      <c r="R510" s="72"/>
      <c r="S510" s="72"/>
      <c r="T510" s="72"/>
      <c r="U510" s="72"/>
      <c r="V510" s="72"/>
    </row>
    <row r="511" spans="1:25" ht="27.75" customHeight="1">
      <c r="A511" s="87" t="str">
        <f>IF(ISBLANK(C511)," ",506-COUNTBLANK($C$6:C511))</f>
        <v xml:space="preserve"> </v>
      </c>
      <c r="B511" s="88"/>
      <c r="C511" s="88"/>
      <c r="D511" s="89"/>
      <c r="E511" s="89"/>
      <c r="F511" s="73"/>
      <c r="G511" s="73"/>
      <c r="H511" s="73"/>
      <c r="I511" s="73"/>
      <c r="J511" s="73"/>
      <c r="K511" s="73"/>
      <c r="L511" s="73"/>
      <c r="M511" s="74"/>
      <c r="N511" s="71" t="str">
        <f t="shared" si="7"/>
        <v/>
      </c>
      <c r="O511" s="72"/>
      <c r="P511" s="72"/>
      <c r="Q511" s="72"/>
      <c r="R511" s="72"/>
      <c r="S511" s="72"/>
      <c r="T511" s="72"/>
      <c r="U511" s="72"/>
      <c r="V511" s="72"/>
    </row>
    <row r="512" spans="1:25" ht="27.75" customHeight="1">
      <c r="A512" s="87" t="str">
        <f>IF(ISBLANK(C512)," ",507-COUNTBLANK($C$6:C512))</f>
        <v xml:space="preserve"> </v>
      </c>
      <c r="B512" s="88"/>
      <c r="C512" s="88"/>
      <c r="D512" s="89"/>
      <c r="E512" s="89"/>
      <c r="F512" s="73"/>
      <c r="G512" s="73"/>
      <c r="H512" s="73"/>
      <c r="I512" s="73"/>
      <c r="J512" s="73"/>
      <c r="K512" s="73"/>
      <c r="L512" s="73"/>
      <c r="M512" s="74"/>
      <c r="N512" s="71" t="str">
        <f t="shared" si="7"/>
        <v/>
      </c>
      <c r="O512" s="72"/>
      <c r="P512" s="72"/>
      <c r="Q512" s="72"/>
      <c r="R512" s="72"/>
      <c r="S512" s="72"/>
      <c r="T512" s="72"/>
      <c r="U512" s="72"/>
      <c r="V512" s="72"/>
    </row>
    <row r="513" spans="1:22" ht="27.75" customHeight="1">
      <c r="A513" s="87" t="str">
        <f>IF(ISBLANK(C513)," ",508-COUNTBLANK($C$6:C513))</f>
        <v xml:space="preserve"> </v>
      </c>
      <c r="B513" s="88"/>
      <c r="C513" s="88"/>
      <c r="D513" s="89"/>
      <c r="E513" s="89"/>
      <c r="F513" s="73"/>
      <c r="G513" s="73"/>
      <c r="H513" s="73"/>
      <c r="I513" s="73"/>
      <c r="J513" s="73"/>
      <c r="K513" s="73"/>
      <c r="L513" s="73"/>
      <c r="M513" s="74"/>
      <c r="N513" s="71" t="str">
        <f t="shared" si="7"/>
        <v/>
      </c>
      <c r="O513" s="72"/>
      <c r="P513" s="72"/>
      <c r="Q513" s="72"/>
      <c r="R513" s="72"/>
      <c r="S513" s="72"/>
      <c r="T513" s="72"/>
      <c r="U513" s="72"/>
      <c r="V513" s="72"/>
    </row>
    <row r="514" spans="1:22" ht="27.75" customHeight="1">
      <c r="A514" s="87" t="str">
        <f>IF(ISBLANK(C514)," ",509-COUNTBLANK($C$6:C514))</f>
        <v xml:space="preserve"> </v>
      </c>
      <c r="B514" s="88"/>
      <c r="C514" s="88"/>
      <c r="D514" s="89"/>
      <c r="E514" s="89"/>
      <c r="F514" s="73"/>
      <c r="G514" s="73"/>
      <c r="H514" s="73"/>
      <c r="I514" s="73"/>
      <c r="J514" s="73"/>
      <c r="K514" s="73"/>
      <c r="L514" s="73"/>
      <c r="M514" s="74"/>
      <c r="N514" s="71" t="str">
        <f t="shared" si="7"/>
        <v/>
      </c>
      <c r="O514" s="72"/>
      <c r="P514" s="72"/>
      <c r="Q514" s="72"/>
      <c r="R514" s="72"/>
      <c r="S514" s="72"/>
      <c r="T514" s="72"/>
      <c r="U514" s="72"/>
      <c r="V514" s="72"/>
    </row>
    <row r="515" spans="1:22" ht="27.75" customHeight="1">
      <c r="A515" s="87" t="str">
        <f>IF(ISBLANK(C515)," ",510-COUNTBLANK($C$6:C515))</f>
        <v xml:space="preserve"> </v>
      </c>
      <c r="B515" s="88"/>
      <c r="C515" s="88"/>
      <c r="D515" s="89"/>
      <c r="E515" s="89"/>
      <c r="F515" s="73"/>
      <c r="G515" s="73"/>
      <c r="H515" s="73"/>
      <c r="I515" s="73"/>
      <c r="J515" s="73"/>
      <c r="K515" s="73"/>
      <c r="L515" s="73"/>
      <c r="M515" s="74"/>
      <c r="N515" s="71" t="str">
        <f t="shared" si="7"/>
        <v/>
      </c>
      <c r="O515" s="72"/>
      <c r="P515" s="72"/>
      <c r="Q515" s="72"/>
      <c r="R515" s="72"/>
      <c r="S515" s="72"/>
      <c r="T515" s="72"/>
      <c r="U515" s="72"/>
      <c r="V515" s="72"/>
    </row>
    <row r="516" spans="1:22" ht="27.75" customHeight="1">
      <c r="A516" s="87" t="str">
        <f>IF(ISBLANK(C516)," ",511-COUNTBLANK($C$6:C516))</f>
        <v xml:space="preserve"> </v>
      </c>
      <c r="B516" s="88"/>
      <c r="C516" s="88"/>
      <c r="D516" s="89"/>
      <c r="E516" s="89"/>
      <c r="F516" s="73"/>
      <c r="G516" s="73"/>
      <c r="H516" s="73"/>
      <c r="I516" s="73"/>
      <c r="J516" s="73"/>
      <c r="K516" s="73"/>
      <c r="L516" s="73"/>
      <c r="M516" s="74"/>
      <c r="N516" s="71" t="str">
        <f t="shared" si="7"/>
        <v/>
      </c>
      <c r="O516" s="72"/>
      <c r="P516" s="72"/>
      <c r="Q516" s="72"/>
      <c r="R516" s="72"/>
      <c r="S516" s="72"/>
      <c r="T516" s="72"/>
      <c r="U516" s="72"/>
      <c r="V516" s="72"/>
    </row>
    <row r="517" spans="1:22" ht="27.75" customHeight="1">
      <c r="A517" s="87" t="str">
        <f>IF(ISBLANK(C517)," ",512-COUNTBLANK($C$6:C517))</f>
        <v xml:space="preserve"> </v>
      </c>
      <c r="B517" s="88"/>
      <c r="C517" s="88"/>
      <c r="D517" s="89"/>
      <c r="E517" s="89"/>
      <c r="F517" s="73"/>
      <c r="G517" s="73"/>
      <c r="H517" s="73"/>
      <c r="I517" s="73"/>
      <c r="J517" s="73"/>
      <c r="K517" s="73"/>
      <c r="L517" s="73"/>
      <c r="M517" s="74"/>
      <c r="N517" s="71" t="str">
        <f t="shared" si="7"/>
        <v/>
      </c>
      <c r="O517" s="72"/>
      <c r="P517" s="72"/>
      <c r="Q517" s="72"/>
      <c r="R517" s="72"/>
      <c r="S517" s="72"/>
      <c r="T517" s="72"/>
      <c r="U517" s="72"/>
      <c r="V517" s="72"/>
    </row>
    <row r="518" spans="1:22" ht="27.75" customHeight="1">
      <c r="A518" s="87" t="str">
        <f>IF(ISBLANK(C518)," ",513-COUNTBLANK($C$6:C518))</f>
        <v xml:space="preserve"> </v>
      </c>
      <c r="B518" s="88"/>
      <c r="C518" s="88"/>
      <c r="D518" s="89"/>
      <c r="E518" s="89"/>
      <c r="F518" s="73"/>
      <c r="G518" s="73"/>
      <c r="H518" s="73"/>
      <c r="I518" s="73"/>
      <c r="J518" s="73"/>
      <c r="K518" s="73"/>
      <c r="L518" s="73"/>
      <c r="M518" s="74"/>
      <c r="N518" s="71" t="str">
        <f t="shared" ref="N518:N530" si="8">CONCATENATE(C518,H518)</f>
        <v/>
      </c>
      <c r="O518" s="72"/>
      <c r="P518" s="72"/>
      <c r="Q518" s="72"/>
      <c r="R518" s="72"/>
      <c r="S518" s="72"/>
      <c r="T518" s="72"/>
      <c r="U518" s="72"/>
      <c r="V518" s="72"/>
    </row>
    <row r="519" spans="1:22" ht="27.75" customHeight="1">
      <c r="A519" s="87" t="str">
        <f>IF(ISBLANK(C519)," ",514-COUNTBLANK($C$6:C519))</f>
        <v xml:space="preserve"> </v>
      </c>
      <c r="B519" s="88"/>
      <c r="C519" s="88"/>
      <c r="D519" s="89"/>
      <c r="E519" s="89"/>
      <c r="F519" s="73"/>
      <c r="G519" s="73"/>
      <c r="H519" s="73"/>
      <c r="I519" s="73"/>
      <c r="J519" s="73"/>
      <c r="K519" s="73"/>
      <c r="L519" s="73"/>
      <c r="M519" s="74"/>
      <c r="N519" s="71" t="str">
        <f t="shared" si="8"/>
        <v/>
      </c>
      <c r="O519" s="72"/>
      <c r="P519" s="72"/>
      <c r="Q519" s="72"/>
      <c r="R519" s="72"/>
      <c r="S519" s="72"/>
      <c r="T519" s="72"/>
      <c r="U519" s="72"/>
      <c r="V519" s="72"/>
    </row>
    <row r="520" spans="1:22" ht="27.75" customHeight="1">
      <c r="A520" s="87" t="str">
        <f>IF(ISBLANK(C520)," ",515-COUNTBLANK($C$6:C520))</f>
        <v xml:space="preserve"> </v>
      </c>
      <c r="B520" s="88"/>
      <c r="C520" s="88"/>
      <c r="D520" s="89"/>
      <c r="E520" s="89"/>
      <c r="F520" s="73"/>
      <c r="G520" s="73"/>
      <c r="H520" s="73"/>
      <c r="I520" s="73"/>
      <c r="J520" s="73"/>
      <c r="K520" s="73"/>
      <c r="L520" s="73"/>
      <c r="M520" s="74"/>
      <c r="N520" s="71" t="str">
        <f t="shared" si="8"/>
        <v/>
      </c>
      <c r="O520" s="72"/>
      <c r="P520" s="72"/>
      <c r="Q520" s="72"/>
      <c r="R520" s="72"/>
      <c r="S520" s="72"/>
      <c r="T520" s="72"/>
      <c r="U520" s="72"/>
      <c r="V520" s="72"/>
    </row>
    <row r="521" spans="1:22" ht="27.75" customHeight="1">
      <c r="A521" s="87" t="str">
        <f>IF(ISBLANK(C521)," ",516-COUNTBLANK($C$6:C521))</f>
        <v xml:space="preserve"> </v>
      </c>
      <c r="B521" s="88"/>
      <c r="C521" s="88"/>
      <c r="D521" s="89"/>
      <c r="E521" s="89"/>
      <c r="F521" s="73"/>
      <c r="G521" s="73"/>
      <c r="H521" s="73"/>
      <c r="I521" s="73"/>
      <c r="J521" s="73"/>
      <c r="K521" s="73"/>
      <c r="L521" s="73"/>
      <c r="M521" s="74"/>
      <c r="N521" s="71" t="str">
        <f t="shared" si="8"/>
        <v/>
      </c>
      <c r="O521" s="72"/>
      <c r="P521" s="72"/>
      <c r="Q521" s="72"/>
      <c r="R521" s="72"/>
      <c r="S521" s="72"/>
      <c r="T521" s="72"/>
      <c r="U521" s="72"/>
      <c r="V521" s="72"/>
    </row>
    <row r="522" spans="1:22" ht="27.75" customHeight="1">
      <c r="A522" s="87" t="str">
        <f>IF(ISBLANK(C522)," ",517-COUNTBLANK($C$6:C522))</f>
        <v xml:space="preserve"> </v>
      </c>
      <c r="B522" s="88"/>
      <c r="C522" s="88"/>
      <c r="D522" s="89"/>
      <c r="E522" s="89"/>
      <c r="F522" s="73"/>
      <c r="G522" s="73"/>
      <c r="H522" s="73"/>
      <c r="I522" s="73"/>
      <c r="J522" s="73"/>
      <c r="K522" s="73"/>
      <c r="L522" s="73"/>
      <c r="M522" s="74"/>
      <c r="N522" s="71" t="str">
        <f t="shared" si="8"/>
        <v/>
      </c>
      <c r="O522" s="72"/>
      <c r="P522" s="72"/>
      <c r="Q522" s="72"/>
      <c r="R522" s="72"/>
      <c r="S522" s="72"/>
      <c r="T522" s="72"/>
      <c r="U522" s="72"/>
      <c r="V522" s="72"/>
    </row>
    <row r="523" spans="1:22" ht="27.75" customHeight="1">
      <c r="A523" s="87" t="str">
        <f>IF(ISBLANK(C523)," ",518-COUNTBLANK($C$6:C523))</f>
        <v xml:space="preserve"> </v>
      </c>
      <c r="B523" s="88"/>
      <c r="C523" s="88"/>
      <c r="D523" s="89"/>
      <c r="E523" s="89"/>
      <c r="F523" s="73"/>
      <c r="G523" s="73"/>
      <c r="H523" s="73"/>
      <c r="I523" s="73"/>
      <c r="J523" s="73"/>
      <c r="K523" s="73"/>
      <c r="L523" s="73"/>
      <c r="M523" s="74"/>
      <c r="N523" s="71" t="str">
        <f t="shared" si="8"/>
        <v/>
      </c>
      <c r="O523" s="72"/>
      <c r="P523" s="72"/>
      <c r="Q523" s="72"/>
      <c r="R523" s="72"/>
      <c r="S523" s="72"/>
      <c r="T523" s="72"/>
      <c r="U523" s="72"/>
      <c r="V523" s="72"/>
    </row>
    <row r="524" spans="1:22" ht="27.75" customHeight="1">
      <c r="A524" s="87" t="str">
        <f>IF(ISBLANK(C524)," ",519-COUNTBLANK($C$6:C524))</f>
        <v xml:space="preserve"> </v>
      </c>
      <c r="B524" s="88"/>
      <c r="C524" s="88"/>
      <c r="D524" s="89"/>
      <c r="E524" s="89"/>
      <c r="F524" s="73"/>
      <c r="G524" s="73"/>
      <c r="H524" s="73"/>
      <c r="I524" s="73"/>
      <c r="J524" s="73"/>
      <c r="K524" s="73"/>
      <c r="L524" s="73"/>
      <c r="M524" s="74"/>
      <c r="N524" s="71" t="str">
        <f t="shared" si="8"/>
        <v/>
      </c>
      <c r="O524" s="72"/>
      <c r="P524" s="72"/>
      <c r="Q524" s="72"/>
      <c r="R524" s="72"/>
      <c r="S524" s="72"/>
      <c r="T524" s="72"/>
      <c r="U524" s="72"/>
      <c r="V524" s="72"/>
    </row>
    <row r="525" spans="1:22" ht="27.75" customHeight="1">
      <c r="A525" s="87" t="str">
        <f>IF(ISBLANK(C525)," ",520-COUNTBLANK($C$6:C525))</f>
        <v xml:space="preserve"> </v>
      </c>
      <c r="B525" s="88"/>
      <c r="C525" s="88"/>
      <c r="D525" s="89"/>
      <c r="E525" s="89"/>
      <c r="F525" s="73"/>
      <c r="G525" s="73"/>
      <c r="H525" s="73"/>
      <c r="I525" s="73"/>
      <c r="J525" s="73"/>
      <c r="K525" s="73"/>
      <c r="L525" s="73"/>
      <c r="M525" s="74"/>
      <c r="N525" s="71" t="str">
        <f t="shared" si="8"/>
        <v/>
      </c>
      <c r="O525" s="75"/>
      <c r="P525" s="72"/>
      <c r="Q525" s="72"/>
      <c r="R525" s="72"/>
      <c r="S525" s="72"/>
      <c r="T525" s="72"/>
      <c r="U525" s="72"/>
      <c r="V525" s="76"/>
    </row>
    <row r="526" spans="1:22" ht="27.75" customHeight="1">
      <c r="A526" s="87" t="str">
        <f>IF(ISBLANK(C526)," ",521-COUNTBLANK($C$6:C526))</f>
        <v xml:space="preserve"> </v>
      </c>
      <c r="B526" s="88"/>
      <c r="C526" s="88"/>
      <c r="D526" s="89"/>
      <c r="E526" s="89"/>
      <c r="F526" s="73"/>
      <c r="G526" s="73"/>
      <c r="H526" s="73"/>
      <c r="I526" s="73"/>
      <c r="J526" s="73"/>
      <c r="K526" s="73"/>
      <c r="L526" s="73"/>
      <c r="M526" s="74"/>
      <c r="N526" s="71" t="str">
        <f t="shared" si="8"/>
        <v/>
      </c>
      <c r="O526" s="75"/>
      <c r="P526" s="72"/>
      <c r="Q526" s="72"/>
      <c r="R526" s="72"/>
      <c r="S526" s="72"/>
      <c r="T526" s="72"/>
      <c r="U526" s="72"/>
      <c r="V526" s="76"/>
    </row>
    <row r="527" spans="1:22" ht="27.75" customHeight="1">
      <c r="A527" s="87" t="str">
        <f>IF(ISBLANK(C527)," ",522-COUNTBLANK($C$6:C527))</f>
        <v xml:space="preserve"> </v>
      </c>
      <c r="B527" s="88"/>
      <c r="C527" s="88"/>
      <c r="D527" s="89"/>
      <c r="E527" s="89"/>
      <c r="F527" s="73"/>
      <c r="G527" s="73"/>
      <c r="H527" s="73"/>
      <c r="I527" s="73"/>
      <c r="J527" s="73"/>
      <c r="K527" s="73"/>
      <c r="L527" s="73"/>
      <c r="M527" s="74"/>
      <c r="N527" s="71" t="str">
        <f t="shared" si="8"/>
        <v/>
      </c>
      <c r="O527" s="75"/>
      <c r="P527" s="72"/>
      <c r="Q527" s="72"/>
      <c r="R527" s="72"/>
      <c r="S527" s="72"/>
      <c r="T527" s="72"/>
      <c r="U527" s="72"/>
      <c r="V527" s="76"/>
    </row>
    <row r="528" spans="1:22" ht="27.75" customHeight="1">
      <c r="A528" s="87" t="str">
        <f>IF(ISBLANK(C528)," ",523-COUNTBLANK($C$6:C528))</f>
        <v xml:space="preserve"> </v>
      </c>
      <c r="B528" s="88"/>
      <c r="C528" s="88"/>
      <c r="D528" s="89"/>
      <c r="E528" s="89"/>
      <c r="F528" s="73"/>
      <c r="G528" s="73"/>
      <c r="H528" s="73"/>
      <c r="I528" s="73"/>
      <c r="J528" s="73"/>
      <c r="K528" s="73"/>
      <c r="L528" s="73"/>
      <c r="M528" s="74"/>
      <c r="N528" s="71" t="str">
        <f t="shared" si="8"/>
        <v/>
      </c>
      <c r="O528" s="75"/>
      <c r="P528" s="72"/>
      <c r="Q528" s="72"/>
      <c r="R528" s="72"/>
      <c r="S528" s="72"/>
      <c r="T528" s="72"/>
      <c r="U528" s="72"/>
      <c r="V528" s="76"/>
    </row>
    <row r="529" spans="1:25" ht="27.75" customHeight="1">
      <c r="A529" s="87" t="str">
        <f>IF(ISBLANK(C529)," ",524-COUNTBLANK($C$6:C529))</f>
        <v xml:space="preserve"> </v>
      </c>
      <c r="B529" s="88"/>
      <c r="C529" s="88"/>
      <c r="D529" s="89"/>
      <c r="E529" s="89"/>
      <c r="F529" s="73"/>
      <c r="G529" s="73"/>
      <c r="H529" s="73"/>
      <c r="I529" s="73"/>
      <c r="J529" s="73"/>
      <c r="K529" s="73"/>
      <c r="L529" s="73"/>
      <c r="M529" s="74"/>
      <c r="N529" s="71" t="str">
        <f t="shared" si="8"/>
        <v/>
      </c>
      <c r="O529" s="72"/>
      <c r="P529" s="72"/>
      <c r="Q529" s="72"/>
      <c r="R529" s="72"/>
      <c r="S529" s="72"/>
      <c r="T529" s="72"/>
      <c r="U529" s="72"/>
      <c r="V529" s="79"/>
      <c r="W529" s="72"/>
      <c r="X529" s="72"/>
      <c r="Y529" s="72"/>
    </row>
    <row r="530" spans="1:25" ht="27.75" customHeight="1">
      <c r="A530" s="80" t="s">
        <v>58</v>
      </c>
      <c r="B530" s="81"/>
      <c r="C530" s="96"/>
      <c r="D530" s="82"/>
      <c r="E530" s="82">
        <f>SUM(E510:E529)</f>
        <v>0</v>
      </c>
      <c r="F530" s="83"/>
      <c r="G530" s="83"/>
      <c r="H530" s="83"/>
      <c r="I530" s="83"/>
      <c r="J530" s="83"/>
      <c r="K530" s="83"/>
      <c r="L530" s="83"/>
      <c r="M530" s="84"/>
      <c r="N530" s="71" t="str">
        <f t="shared" si="8"/>
        <v/>
      </c>
      <c r="O530" s="75"/>
      <c r="P530" s="72"/>
      <c r="Q530" s="72"/>
      <c r="R530" s="72"/>
      <c r="S530" s="72"/>
      <c r="T530" s="72"/>
      <c r="U530" s="72"/>
      <c r="V530" s="79"/>
      <c r="W530" s="72"/>
      <c r="X530" s="72"/>
      <c r="Y530" s="72"/>
    </row>
    <row r="531" spans="1:25">
      <c r="O531" s="99"/>
      <c r="P531" s="99"/>
      <c r="Q531" s="99"/>
      <c r="R531" s="99"/>
      <c r="S531" s="99"/>
      <c r="T531" s="99"/>
      <c r="U531" s="99"/>
      <c r="V531" s="99"/>
    </row>
    <row r="532" spans="1:25">
      <c r="O532" s="99"/>
      <c r="P532" s="99"/>
      <c r="Q532" s="99"/>
      <c r="R532" s="99"/>
      <c r="S532" s="99"/>
      <c r="T532" s="99"/>
      <c r="U532" s="99"/>
      <c r="V532" s="99"/>
    </row>
  </sheetData>
  <mergeCells count="4">
    <mergeCell ref="B4:B5"/>
    <mergeCell ref="C4:C5"/>
    <mergeCell ref="H4:I4"/>
    <mergeCell ref="M4:M5"/>
  </mergeCells>
  <phoneticPr fontId="5" type="noConversion"/>
  <printOptions horizontalCentered="1" verticalCentered="1"/>
  <pageMargins left="0.19685039370078741" right="0.19685039370078741" top="1.1811023622047245" bottom="0.59055118110236227" header="0.59055118110236227" footer="0.19685039370078741"/>
  <pageSetup paperSize="9" orientation="portrait" horizontalDpi="4294967292" r:id="rId1"/>
  <headerFooter alignWithMargins="0"/>
  <rowBreaks count="11" manualBreakCount="11">
    <brk id="26" max="16383" man="1"/>
    <brk id="47" max="16383" man="1"/>
    <brk id="68" max="16383" man="1"/>
    <brk id="89" max="16383" man="1"/>
    <brk id="110" max="16383" man="1"/>
    <brk id="131" max="16383" man="1"/>
    <brk id="152" max="16383" man="1"/>
    <brk id="173" max="16383" man="1"/>
    <brk id="194" max="16383" man="1"/>
    <brk id="215" max="16383" man="1"/>
    <brk id="2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15</vt:i4>
      </vt:variant>
      <vt:variant>
        <vt:lpstr>이름이 지정된 범위</vt:lpstr>
      </vt:variant>
      <vt:variant>
        <vt:i4>24</vt:i4>
      </vt:variant>
    </vt:vector>
  </HeadingPairs>
  <TitlesOfParts>
    <vt:vector size="39" baseType="lpstr">
      <vt:lpstr>(당초)전체</vt:lpstr>
      <vt:lpstr>(변경)전체</vt:lpstr>
      <vt:lpstr>(당초)집계표</vt:lpstr>
      <vt:lpstr>(변경)집계표</vt:lpstr>
      <vt:lpstr>(당초)대두리</vt:lpstr>
      <vt:lpstr>토지세목조서</vt:lpstr>
      <vt:lpstr>(당초)봉락리</vt:lpstr>
      <vt:lpstr>(당초)칠전리</vt:lpstr>
      <vt:lpstr>(당초)마룡리</vt:lpstr>
      <vt:lpstr>(당초)창리</vt:lpstr>
      <vt:lpstr>6</vt:lpstr>
      <vt:lpstr>7</vt:lpstr>
      <vt:lpstr>8</vt:lpstr>
      <vt:lpstr>9</vt:lpstr>
      <vt:lpstr>10</vt:lpstr>
      <vt:lpstr>'(당초)대두리'!Print_Area</vt:lpstr>
      <vt:lpstr>'(당초)마룡리'!Print_Area</vt:lpstr>
      <vt:lpstr>'(당초)봉락리'!Print_Area</vt:lpstr>
      <vt:lpstr>'(당초)전체'!Print_Area</vt:lpstr>
      <vt:lpstr>'(당초)집계표'!Print_Area</vt:lpstr>
      <vt:lpstr>'(당초)창리'!Print_Area</vt:lpstr>
      <vt:lpstr>'(당초)칠전리'!Print_Area</vt:lpstr>
      <vt:lpstr>'(변경)전체'!Print_Area</vt:lpstr>
      <vt:lpstr>'(변경)집계표'!Print_Area</vt:lpstr>
      <vt:lpstr>'6'!Print_Area</vt:lpstr>
      <vt:lpstr>토지세목조서!Print_Area</vt:lpstr>
      <vt:lpstr>'(당초)대두리'!Print_Titles</vt:lpstr>
      <vt:lpstr>'(당초)마룡리'!Print_Titles</vt:lpstr>
      <vt:lpstr>'(당초)봉락리'!Print_Titles</vt:lpstr>
      <vt:lpstr>'(당초)집계표'!Print_Titles</vt:lpstr>
      <vt:lpstr>'(당초)창리'!Print_Titles</vt:lpstr>
      <vt:lpstr>'(당초)칠전리'!Print_Titles</vt:lpstr>
      <vt:lpstr>'(변경)집계표'!Print_Titles</vt:lpstr>
      <vt:lpstr>'10'!Print_Titles</vt:lpstr>
      <vt:lpstr>'6'!Print_Titles</vt:lpstr>
      <vt:lpstr>'7'!Print_Titles</vt:lpstr>
      <vt:lpstr>'8'!Print_Titles</vt:lpstr>
      <vt:lpstr>'9'!Print_Titles</vt:lpstr>
      <vt:lpstr>토지세목조서!Print_Titles</vt:lpstr>
    </vt:vector>
  </TitlesOfParts>
  <Company>roadline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박경수</dc:creator>
  <cp:lastModifiedBy>김희주</cp:lastModifiedBy>
  <cp:lastPrinted>2017-04-07T08:57:41Z</cp:lastPrinted>
  <dcterms:created xsi:type="dcterms:W3CDTF">2004-03-19T08:29:24Z</dcterms:created>
  <dcterms:modified xsi:type="dcterms:W3CDTF">2017-04-14T00:09:10Z</dcterms:modified>
</cp:coreProperties>
</file>