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20760" yWindow="420" windowWidth="15336" windowHeight="10896" tabRatio="966" firstSheet="5" activeTab="10"/>
  </bookViews>
  <sheets>
    <sheet name="기초자료입력" sheetId="20" r:id="rId1"/>
    <sheet name="지반조사입력" sheetId="25" r:id="rId2"/>
    <sheet name="표지" sheetId="14" r:id="rId3"/>
    <sheet name="내역서" sheetId="11" r:id="rId4"/>
    <sheet name="사업대가" sheetId="9" r:id="rId5"/>
    <sheet name="일위대가" sheetId="6" r:id="rId6"/>
    <sheet name="하천측량" sheetId="21" r:id="rId7"/>
    <sheet name="노선측량" sheetId="22" r:id="rId8"/>
    <sheet name="시가지측량" sheetId="23" r:id="rId9"/>
    <sheet name="수도노선측량" sheetId="24" r:id="rId10"/>
    <sheet name="지형현황측량" sheetId="1" r:id="rId11"/>
    <sheet name="용지측량" sheetId="3" r:id="rId12"/>
    <sheet name="공공측량성과심사" sheetId="26" r:id="rId13"/>
    <sheet name="여비" sheetId="16" r:id="rId14"/>
    <sheet name="손해배상공제" sheetId="18" r:id="rId15"/>
    <sheet name="사전환경성검토" sheetId="27" r:id="rId16"/>
    <sheet name="환경측정분석비" sheetId="31" r:id="rId17"/>
    <sheet name="인허가" sheetId="28" r:id="rId18"/>
    <sheet name="노임단가" sheetId="4" r:id="rId19"/>
    <sheet name="시험단가" sheetId="29" r:id="rId20"/>
    <sheet name="각종기준" sheetId="19" r:id="rId21"/>
  </sheets>
  <definedNames>
    <definedName name="_Fill" localSheetId="14" hidden="1">#REF!</definedName>
    <definedName name="_Fill" hidden="1">#REF!</definedName>
    <definedName name="HTML_CodePage" hidden="1">949</definedName>
    <definedName name="HTML_Control" hidden="1">{"'관경확장'!$A$79:$M$98","'관경확장'!$A$54:$M$78"}</definedName>
    <definedName name="HTML_Description" hidden="1">""</definedName>
    <definedName name="HTML_Email" hidden="1">""</definedName>
    <definedName name="HTML_Header" hidden="1">"관경확장"</definedName>
    <definedName name="HTML_LastUpdate" hidden="1">"2001-06-25"</definedName>
    <definedName name="HTML_LineAfter" hidden="1">FALSE</definedName>
    <definedName name="HTML_LineBefore" hidden="1">FALSE</definedName>
    <definedName name="HTML_Name" hidden="1">"Hyunwook, Jang"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"C:\USERS\JHW\Kwangju\Distribution-Analysis\4.htm"</definedName>
    <definedName name="HTML_PathTemplate" hidden="1">"C:\USERS\JHW\Kwangju\Distribution-Analysis\HTMLTemp.htm"</definedName>
    <definedName name="HTML_Title" hidden="1">"관경개량계획,절점급수량조정"</definedName>
    <definedName name="_xlnm.Print_Area" localSheetId="12">공공측량성과심사!$A$1:$AD$92</definedName>
    <definedName name="_xlnm.Print_Area" localSheetId="0">기초자료입력!$A$1:$L$18</definedName>
    <definedName name="_xlnm.Print_Area" localSheetId="3">내역서!$A$1:$N$47</definedName>
    <definedName name="_xlnm.Print_Area" localSheetId="4">사업대가!$E$1:$BA$42</definedName>
    <definedName name="_xlnm.Print_Area" localSheetId="15">사전환경성검토!$D$1:$AF$106</definedName>
    <definedName name="_xlnm.Print_Area" localSheetId="14">손해배상공제!$A$1:$L$43</definedName>
    <definedName name="_xlnm.Print_Area" localSheetId="5">일위대가!$B$1:$N$152</definedName>
    <definedName name="_xlnm.Print_Area" localSheetId="2">표지!$A$1:$U$80</definedName>
    <definedName name="_xlnm.Print_Titles" localSheetId="3">내역서!$1:$3</definedName>
    <definedName name="_xlnm.Print_Titles" localSheetId="5">일위대가!$1:$3</definedName>
    <definedName name="감리사">노임단가!$C$31</definedName>
    <definedName name="감리사보">노임단가!$C$32</definedName>
    <definedName name="건설사업관리기술자고급">노임단가!$C$31</definedName>
    <definedName name="건설사업관리기술자중급">노임단가!$C$32</definedName>
    <definedName name="건설사업관리기술자초급">노임단가!$C$33</definedName>
    <definedName name="건설사업관리기술자특급">노임단가!$C$30</definedName>
    <definedName name="검측감리원">노임단가!#REF!</definedName>
    <definedName name="고급감리원">노임단가!#REF!</definedName>
    <definedName name="고급도화기능사">노임단가!$C$19</definedName>
    <definedName name="공공수치지형축척">공공측량성과심사!$V$72:$V$73</definedName>
    <definedName name="공공수치축척">공공측량성과심사!$B$72:$B$77</definedName>
    <definedName name="공공수치취득방법">공공측량성과심사!$M$89:$M$92</definedName>
    <definedName name="공공영상축척">공공측량성과심사!$B$90:$B$92</definedName>
    <definedName name="공공좌표축척">공공측량성과심사!$V$78:$V$83</definedName>
    <definedName name="공공지하축척">공공측량성과심사!$B$82:$B$85</definedName>
    <definedName name="공공지형축척">공공측량성과심사!$I$55:$I$62</definedName>
    <definedName name="공사의종류">손해배상공제!$A$22:$A$43</definedName>
    <definedName name="기준점2급구하는점">지형현황측량!$J$9</definedName>
    <definedName name="기준점3급구하는점">지형현황측량!$J$11</definedName>
    <definedName name="기준점4급구하는점">지형현황측량!$J$13</definedName>
    <definedName name="노선지구기준">노선측량!$F$4</definedName>
    <definedName name="노선측량일수기준">노선측량!$A$19:$O$23</definedName>
    <definedName name="노선측량측부기준">노선측량!$A$26:$O$30</definedName>
    <definedName name="다짐시험">시험단가!$D$20</definedName>
    <definedName name="대기측정분석비">환경측정분석비!$O$3</definedName>
    <definedName name="문화재수리기능자">노임단가!$C$35</definedName>
    <definedName name="문화재수리기술자">노임단가!$C$34</definedName>
    <definedName name="밀도">시험단가!$D$4</definedName>
    <definedName name="보링공">노임단가!$C$36</definedName>
    <definedName name="보통인부">노임단가!$C$38</definedName>
    <definedName name="산출근거44" hidden="1">{"'제10장(표)'!$A$5:$L$10"}</definedName>
    <definedName name="소고급기능사">노임단가!$C$26</definedName>
    <definedName name="소고급기술자">노임단가!$C$23</definedName>
    <definedName name="소기술사">노임단가!$C$21</definedName>
    <definedName name="소성한계">시험단가!$D$5</definedName>
    <definedName name="소음측정분석비">환경측정분석비!$O$39</definedName>
    <definedName name="소중급기능사">노임단가!$C$27</definedName>
    <definedName name="소중급기술자">노임단가!$C$24</definedName>
    <definedName name="소초급기능사">노임단가!$C$28</definedName>
    <definedName name="소초급기술자">노임단가!$C$25</definedName>
    <definedName name="소특급기술자">노임단가!$C$22</definedName>
    <definedName name="손해배상공제보험료기준">손해배상공제!$A$22:$L$43</definedName>
    <definedName name="수도인부기준">수도노선측량!$A$25:$I$28</definedName>
    <definedName name="수도일수기준">수도노선측량!$A$19:$I$22</definedName>
    <definedName name="수도지구기준">수도노선측량!$F$4</definedName>
    <definedName name="수석감리사">노임단가!$C$30</definedName>
    <definedName name="수준작업량계수">지형현황측량!$U$42</definedName>
    <definedName name="순용역금액">내역서!$G$9</definedName>
    <definedName name="순위결정" hidden="1">{"'제10장(표)'!$A$5:$L$10"}</definedName>
    <definedName name="시가지인부기준">시가지측량!$A$25:$K$28</definedName>
    <definedName name="시가지일수기준">시가지측량!$A$19:$K$22</definedName>
    <definedName name="시가지지구기준">시가지측량!$F$4</definedName>
    <definedName name="실내씨비알">시험단가!$D$21</definedName>
    <definedName name="액성한계">시험단가!$D$6</definedName>
    <definedName name="엔고급기능사">노임단가!$C$8</definedName>
    <definedName name="엔고급기술자">노임단가!$C$5</definedName>
    <definedName name="엔기술사">노임단가!$C$3</definedName>
    <definedName name="엔중급기능사">노임단가!$C$9</definedName>
    <definedName name="엔중급기술자">노임단가!$C$6</definedName>
    <definedName name="엔지니어링요율">사업대가!$F$20:$T$36</definedName>
    <definedName name="엔초급기능사">노임단가!$C$10</definedName>
    <definedName name="엔초급기술자">노임단가!$C$7</definedName>
    <definedName name="엔특급기술자">노임단가!$C$4</definedName>
    <definedName name="요율구분계수">기초자료입력!$P$3</definedName>
    <definedName name="용지지구기준">용지측량!$H$4</definedName>
    <definedName name="용지지구기준1">용지측량!$C$25:$M$28</definedName>
    <definedName name="용지지구기준2">용지측량!$C$29:$M$32</definedName>
    <definedName name="용지지구기준3">용지측량!$C$33:$M$36</definedName>
    <definedName name="용지지구기준4">용지측량!$C$37:$M$40</definedName>
    <definedName name="용지필지수기준">용지측량!$O$23:$R$28</definedName>
    <definedName name="일위대가" hidden="1">{"'제10장(표)'!$A$5:$L$10"}</definedName>
    <definedName name="일위대가전체">일위대가!$B$4:$N$152</definedName>
    <definedName name="입도">시험단가!$D$8</definedName>
    <definedName name="입력기준점지형">지형현황측량!$A$61:$A$65</definedName>
    <definedName name="입력노선지구">노선측량!$A$20:$A$23</definedName>
    <definedName name="입력수도지구">수도노선측량!$A$20:$A$22</definedName>
    <definedName name="입력수준지형">지형현황측량!$P$35:$P$39</definedName>
    <definedName name="입력시가지지구">시가지측량!$A$20:$A$22</definedName>
    <definedName name="입력용지지구">용지측량!$Z$4:$Z$7</definedName>
    <definedName name="입력지형작업">지형현황측량!$A$44:$A$45</definedName>
    <definedName name="입력지형지형">지형현황측량!$A$31:$A$35</definedName>
    <definedName name="입력지형축척">지형현황측량!$A$38:$A$41</definedName>
    <definedName name="자료기준지형">지형현황측량!$J$8</definedName>
    <definedName name="자료수준작업">지형현황측량!$J$16</definedName>
    <definedName name="자료수준지형">지형현황측량!$J$17</definedName>
    <definedName name="자료입력원">노임단가!$C$29</definedName>
    <definedName name="자료지형작업">지형현황측량!$J$7</definedName>
    <definedName name="자료지형지형">지형현황측량!$J$5</definedName>
    <definedName name="자료지형축척">지형현황측량!$J$6</definedName>
    <definedName name="작업계수">지형현황측량!$A$43:$D$45</definedName>
    <definedName name="작업량2급기준">지형현황측량!$F$68</definedName>
    <definedName name="작업량2급수준">지형현황측량!$X$24</definedName>
    <definedName name="작업량3급기준">지형현황측량!$U$68</definedName>
    <definedName name="작업량4급기준">지형현황측량!$S$87</definedName>
    <definedName name="작업량계수">지형현황측량!$L$38</definedName>
    <definedName name="점간거리">지형현황측량!$J$15</definedName>
    <definedName name="점간거리계수기준">지형현황측량!$V$86:$Y$91</definedName>
    <definedName name="중급감리원">노임단가!#REF!</definedName>
    <definedName name="지표수질측정분석비">환경측정분석비!$O$10</definedName>
    <definedName name="지하수질측정분석비">환경측정분석비!$O$23</definedName>
    <definedName name="지형2급기준">지형현황측량!$A$60:$D$65</definedName>
    <definedName name="지형2급수준">지형현황측량!$P$34:$S$39</definedName>
    <definedName name="지형3급기준">지형현황측량!$P$60:$S$65</definedName>
    <definedName name="지형4급기준">지형현황측량!$A$86:$D$91</definedName>
    <definedName name="지형계수">지형현황측량!$A$30:$D$35</definedName>
    <definedName name="지형면적">지형현황측량!$J$4</definedName>
    <definedName name="직접전단시험급속">시험단가!$D$16</definedName>
    <definedName name="진동측정분석비">환경측정분석비!$O$40</definedName>
    <definedName name="초급감리원">노임단가!#REF!</definedName>
    <definedName name="축척계수">지형현황측량!$A$37:$D$41</definedName>
    <definedName name="측고급기능사">노임단가!$C$16</definedName>
    <definedName name="측고급기술자">노임단가!$C$13</definedName>
    <definedName name="측부">노임단가!$C$20</definedName>
    <definedName name="측중급기능사">노임단가!$C$17</definedName>
    <definedName name="측중급기술자">노임단가!$C$14</definedName>
    <definedName name="측초급기능사">노임단가!$C$18</definedName>
    <definedName name="측초급기술자">노임단가!$C$15</definedName>
    <definedName name="측특급기술자">노임단가!$C$12</definedName>
    <definedName name="템플리트모듈1">[0]!BlankMacro1</definedName>
    <definedName name="템플리트모듈10">[0]!BlankMacro1</definedName>
    <definedName name="템플리트모듈2">[0]!BlankMacro1</definedName>
    <definedName name="템플리트모듈3">[0]!BlankMacro1</definedName>
    <definedName name="템플리트모듈4">[0]!BlankMacro1</definedName>
    <definedName name="템플리트모듈5">[0]!BlankMacro1</definedName>
    <definedName name="템플리트모듈6">[0]!BlankMacro1</definedName>
    <definedName name="템플리트모튤11">[0]!BlankMacro1</definedName>
    <definedName name="템플리트모튤12">[0]!BlankMacro1</definedName>
    <definedName name="템플리트모튤13">[0]!BlankMacro1</definedName>
    <definedName name="토질조사비일위대가">일위대가!$C$46:$M$77</definedName>
    <definedName name="통과량">시험단가!$D$3</definedName>
    <definedName name="특급감리원">노임단가!$C$33</definedName>
    <definedName name="특별인부">노임단가!$C$37</definedName>
    <definedName name="표준작업량2급">지형현황측량!$I$50</definedName>
    <definedName name="표준작업량3급">지형현황측량!$X$50</definedName>
    <definedName name="표준작업량4급">지형현황측량!$I$76</definedName>
    <definedName name="하천자료제내">하천측량!$G$5</definedName>
    <definedName name="하천자료제외">하천측량!$G$4</definedName>
    <definedName name="하천횡단측량">하천측량!$A$21:$Q$33</definedName>
    <definedName name="함수비">시험단가!$D$11</definedName>
  </definedNames>
  <calcPr calcId="145621"/>
</workbook>
</file>

<file path=xl/calcChain.xml><?xml version="1.0" encoding="utf-8"?>
<calcChain xmlns="http://schemas.openxmlformats.org/spreadsheetml/2006/main">
  <c r="AI9" i="9" l="1"/>
  <c r="AI8" i="9"/>
  <c r="B6" i="20" l="1"/>
  <c r="H34" i="6" l="1"/>
  <c r="H35" i="6"/>
  <c r="F35" i="6" s="1"/>
  <c r="H36" i="6"/>
  <c r="F36" i="6" s="1"/>
  <c r="H37" i="6"/>
  <c r="H38" i="6"/>
  <c r="H41" i="6"/>
  <c r="H42" i="6"/>
  <c r="H43" i="6"/>
  <c r="H44" i="6"/>
  <c r="F44" i="6" s="1"/>
  <c r="H47" i="6"/>
  <c r="I47" i="6" s="1"/>
  <c r="H48" i="6"/>
  <c r="I48" i="6" s="1"/>
  <c r="G48" i="6" s="1"/>
  <c r="H49" i="6"/>
  <c r="I49" i="6" s="1"/>
  <c r="G49" i="6" s="1"/>
  <c r="D50" i="6"/>
  <c r="F50" i="6"/>
  <c r="D51" i="6"/>
  <c r="K51" i="6" s="1"/>
  <c r="F51" i="6"/>
  <c r="D52" i="6"/>
  <c r="I52" i="6" s="1"/>
  <c r="F52" i="6"/>
  <c r="D53" i="6"/>
  <c r="I53" i="6" s="1"/>
  <c r="F53" i="6"/>
  <c r="D54" i="6"/>
  <c r="K54" i="6" s="1"/>
  <c r="F54" i="6"/>
  <c r="D55" i="6"/>
  <c r="I55" i="6" s="1"/>
  <c r="F55" i="6"/>
  <c r="D56" i="6"/>
  <c r="I56" i="6" s="1"/>
  <c r="F56" i="6"/>
  <c r="D57" i="6"/>
  <c r="K57" i="6" s="1"/>
  <c r="F57" i="6"/>
  <c r="I57" i="6"/>
  <c r="D58" i="6"/>
  <c r="I58" i="6" s="1"/>
  <c r="G58" i="6" s="1"/>
  <c r="F58" i="6"/>
  <c r="F59" i="6"/>
  <c r="F60" i="6"/>
  <c r="H63" i="6"/>
  <c r="I63" i="6" s="1"/>
  <c r="H64" i="6"/>
  <c r="I64" i="6" s="1"/>
  <c r="G64" i="6" s="1"/>
  <c r="H65" i="6"/>
  <c r="I65" i="6" s="1"/>
  <c r="G65" i="6" s="1"/>
  <c r="D66" i="6"/>
  <c r="I66" i="6" s="1"/>
  <c r="G66" i="6" s="1"/>
  <c r="F66" i="6"/>
  <c r="K66" i="6"/>
  <c r="D67" i="6"/>
  <c r="K67" i="6" s="1"/>
  <c r="F67" i="6"/>
  <c r="D68" i="6"/>
  <c r="I68" i="6" s="1"/>
  <c r="F68" i="6"/>
  <c r="K68" i="6"/>
  <c r="D69" i="6"/>
  <c r="F69" i="6"/>
  <c r="K69" i="6"/>
  <c r="D70" i="6"/>
  <c r="K70" i="6" s="1"/>
  <c r="F70" i="6"/>
  <c r="I70" i="6"/>
  <c r="D71" i="6"/>
  <c r="F71" i="6"/>
  <c r="I71" i="6"/>
  <c r="K71" i="6"/>
  <c r="D72" i="6"/>
  <c r="F72" i="6"/>
  <c r="I72" i="6"/>
  <c r="G72" i="6" s="1"/>
  <c r="K72" i="6"/>
  <c r="D73" i="6"/>
  <c r="I73" i="6" s="1"/>
  <c r="F73" i="6"/>
  <c r="D74" i="6"/>
  <c r="I74" i="6" s="1"/>
  <c r="G74" i="6" s="1"/>
  <c r="F74" i="6"/>
  <c r="F75" i="6"/>
  <c r="I75" i="6"/>
  <c r="K75" i="6"/>
  <c r="G75" i="6" s="1"/>
  <c r="D76" i="6"/>
  <c r="I76" i="6" s="1"/>
  <c r="F76" i="6"/>
  <c r="K76" i="6"/>
  <c r="F79" i="6"/>
  <c r="M79" i="6"/>
  <c r="M78" i="6" s="1"/>
  <c r="G78" i="6" s="1"/>
  <c r="H94" i="6"/>
  <c r="F94" i="6" s="1"/>
  <c r="H95" i="6"/>
  <c r="H96" i="6"/>
  <c r="H97" i="6"/>
  <c r="F97" i="6" s="1"/>
  <c r="H98" i="6"/>
  <c r="F98" i="6" s="1"/>
  <c r="H99" i="6"/>
  <c r="H102" i="6"/>
  <c r="F102" i="6" s="1"/>
  <c r="H103" i="6"/>
  <c r="H104" i="6"/>
  <c r="H105" i="6"/>
  <c r="F105" i="6" s="1"/>
  <c r="H106" i="6"/>
  <c r="F106" i="6" s="1"/>
  <c r="H107" i="6"/>
  <c r="H110" i="6"/>
  <c r="F110" i="6" s="1"/>
  <c r="H111" i="6"/>
  <c r="H112" i="6"/>
  <c r="F113" i="6"/>
  <c r="H113" i="6"/>
  <c r="H114" i="6"/>
  <c r="F114" i="6" s="1"/>
  <c r="H115" i="6"/>
  <c r="H118" i="6"/>
  <c r="F118" i="6" s="1"/>
  <c r="H119" i="6"/>
  <c r="H120" i="6"/>
  <c r="H121" i="6"/>
  <c r="F121" i="6" s="1"/>
  <c r="H124" i="6"/>
  <c r="F124" i="6" s="1"/>
  <c r="H125" i="6"/>
  <c r="F125" i="6" s="1"/>
  <c r="H126" i="6"/>
  <c r="F126" i="6" s="1"/>
  <c r="H127" i="6"/>
  <c r="H137" i="6"/>
  <c r="I137" i="6" s="1"/>
  <c r="K137" i="6"/>
  <c r="H138" i="6"/>
  <c r="F138" i="6" s="1"/>
  <c r="K138" i="6"/>
  <c r="H139" i="6"/>
  <c r="I139" i="6" s="1"/>
  <c r="G139" i="6" s="1"/>
  <c r="K139" i="6"/>
  <c r="F140" i="6"/>
  <c r="H140" i="6"/>
  <c r="I140" i="6" s="1"/>
  <c r="K140" i="6"/>
  <c r="F141" i="6"/>
  <c r="K141" i="6"/>
  <c r="G141" i="6" s="1"/>
  <c r="K143" i="6"/>
  <c r="L143" i="6"/>
  <c r="M143" i="6" s="1"/>
  <c r="K56" i="6" l="1"/>
  <c r="K52" i="6"/>
  <c r="G140" i="6"/>
  <c r="G68" i="6"/>
  <c r="K55" i="6"/>
  <c r="G55" i="6" s="1"/>
  <c r="I51" i="6"/>
  <c r="G51" i="6" s="1"/>
  <c r="G76" i="6"/>
  <c r="G71" i="6"/>
  <c r="I67" i="6"/>
  <c r="G67" i="6" s="1"/>
  <c r="I54" i="6"/>
  <c r="G54" i="6" s="1"/>
  <c r="R50" i="6"/>
  <c r="R51" i="6" s="1"/>
  <c r="D59" i="6" s="1"/>
  <c r="I59" i="6" s="1"/>
  <c r="M136" i="6"/>
  <c r="G143" i="6"/>
  <c r="G79" i="6"/>
  <c r="K73" i="6"/>
  <c r="G73" i="6" s="1"/>
  <c r="K53" i="6"/>
  <c r="G53" i="6" s="1"/>
  <c r="G52" i="6"/>
  <c r="K50" i="6"/>
  <c r="G70" i="6"/>
  <c r="R66" i="6"/>
  <c r="R67" i="6" s="1"/>
  <c r="G56" i="6"/>
  <c r="F143" i="6"/>
  <c r="G57" i="6"/>
  <c r="F49" i="6"/>
  <c r="F47" i="6"/>
  <c r="F48" i="6"/>
  <c r="I138" i="6"/>
  <c r="G138" i="6" s="1"/>
  <c r="F137" i="6"/>
  <c r="F120" i="6"/>
  <c r="F112" i="6"/>
  <c r="F104" i="6"/>
  <c r="F96" i="6"/>
  <c r="F43" i="6"/>
  <c r="G47" i="6"/>
  <c r="G63" i="6"/>
  <c r="I69" i="6"/>
  <c r="G69" i="6" s="1"/>
  <c r="F65" i="6"/>
  <c r="F64" i="6"/>
  <c r="F63" i="6"/>
  <c r="I50" i="6"/>
  <c r="G50" i="6" s="1"/>
  <c r="F42" i="6"/>
  <c r="F38" i="6"/>
  <c r="F34" i="6"/>
  <c r="F139" i="6"/>
  <c r="F127" i="6"/>
  <c r="F119" i="6"/>
  <c r="F115" i="6"/>
  <c r="F111" i="6"/>
  <c r="F107" i="6"/>
  <c r="F103" i="6"/>
  <c r="F99" i="6"/>
  <c r="F95" i="6"/>
  <c r="F41" i="6"/>
  <c r="F37" i="6"/>
  <c r="J142" i="6"/>
  <c r="G137" i="6"/>
  <c r="AI7" i="9"/>
  <c r="AQ7" i="9" s="1"/>
  <c r="AI6" i="9"/>
  <c r="AQ6" i="9" s="1"/>
  <c r="AI5" i="9"/>
  <c r="AQ5" i="9" s="1"/>
  <c r="AI12" i="9"/>
  <c r="AQ12" i="9" s="1"/>
  <c r="AI11" i="9"/>
  <c r="AQ11" i="9" s="1"/>
  <c r="AI10" i="9"/>
  <c r="AQ10" i="9" s="1"/>
  <c r="D60" i="6" l="1"/>
  <c r="K59" i="6"/>
  <c r="K62" i="6"/>
  <c r="I136" i="6"/>
  <c r="I60" i="6"/>
  <c r="I46" i="6" s="1"/>
  <c r="K60" i="6"/>
  <c r="K46" i="6" s="1"/>
  <c r="G59" i="6"/>
  <c r="K142" i="6"/>
  <c r="F142" i="6"/>
  <c r="I62" i="6"/>
  <c r="G62" i="6" s="1"/>
  <c r="AQ9" i="9"/>
  <c r="G142" i="6" l="1"/>
  <c r="K136" i="6"/>
  <c r="G136" i="6" s="1"/>
  <c r="G46" i="6"/>
  <c r="G60" i="6"/>
  <c r="AQ8" i="9"/>
  <c r="AJ34" i="9" l="1"/>
  <c r="AN13" i="9" l="1"/>
  <c r="AA33" i="9" s="1"/>
  <c r="P28" i="28"/>
  <c r="C7" i="11"/>
  <c r="C8" i="11"/>
  <c r="F23" i="22" l="1"/>
  <c r="F22" i="22"/>
  <c r="F21" i="22"/>
  <c r="F20" i="22"/>
  <c r="H67" i="14" l="1"/>
  <c r="I67" i="14" s="1"/>
  <c r="J67" i="14" s="1"/>
  <c r="K67" i="14" s="1"/>
  <c r="L67" i="14" s="1"/>
  <c r="M67" i="14" s="1"/>
  <c r="N67" i="14" s="1"/>
  <c r="O67" i="14" s="1"/>
  <c r="N15" i="21" l="1"/>
  <c r="N13" i="21"/>
  <c r="O13" i="21"/>
  <c r="O20" i="28" l="1"/>
  <c r="N20" i="28"/>
  <c r="M20" i="28"/>
  <c r="L20" i="28"/>
  <c r="K20" i="28"/>
  <c r="J20" i="28"/>
  <c r="O17" i="28"/>
  <c r="N17" i="28"/>
  <c r="M17" i="28"/>
  <c r="L17" i="28"/>
  <c r="K17" i="28"/>
  <c r="J17" i="28"/>
  <c r="P10" i="23"/>
  <c r="Q10" i="23"/>
  <c r="R10" i="23"/>
  <c r="P11" i="23"/>
  <c r="Q11" i="23"/>
  <c r="R11" i="23"/>
  <c r="P12" i="23"/>
  <c r="Q12" i="23"/>
  <c r="S12" i="23" s="1"/>
  <c r="R12" i="23"/>
  <c r="P13" i="23"/>
  <c r="Q13" i="23"/>
  <c r="R13" i="23"/>
  <c r="P14" i="23"/>
  <c r="Q14" i="23"/>
  <c r="S14" i="23" s="1"/>
  <c r="R14" i="23"/>
  <c r="D10" i="23"/>
  <c r="E10" i="23"/>
  <c r="F10" i="23"/>
  <c r="D11" i="23"/>
  <c r="E11" i="23"/>
  <c r="F11" i="23"/>
  <c r="D12" i="23"/>
  <c r="E12" i="23"/>
  <c r="F12" i="23"/>
  <c r="D13" i="23"/>
  <c r="E13" i="23"/>
  <c r="F13" i="23"/>
  <c r="D14" i="23"/>
  <c r="E14" i="23"/>
  <c r="F14" i="23"/>
  <c r="F5" i="26"/>
  <c r="J5" i="26" s="1"/>
  <c r="N14" i="21"/>
  <c r="Q4" i="27"/>
  <c r="Q5" i="27"/>
  <c r="A20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F10" i="26"/>
  <c r="F9" i="26"/>
  <c r="J9" i="26" s="1"/>
  <c r="O14" i="26" s="1"/>
  <c r="P14" i="26" s="1"/>
  <c r="F8" i="26"/>
  <c r="F7" i="26"/>
  <c r="J7" i="26" s="1"/>
  <c r="F6" i="26"/>
  <c r="J6" i="26" s="1"/>
  <c r="F4" i="26"/>
  <c r="J4" i="26" s="1"/>
  <c r="C30" i="25"/>
  <c r="L89" i="6" s="1"/>
  <c r="C29" i="25"/>
  <c r="L88" i="6" s="1"/>
  <c r="C28" i="25"/>
  <c r="L87" i="6" s="1"/>
  <c r="C27" i="25"/>
  <c r="C26" i="25"/>
  <c r="C25" i="25"/>
  <c r="C24" i="25"/>
  <c r="C23" i="25"/>
  <c r="C22" i="25"/>
  <c r="A26" i="28"/>
  <c r="U50" i="28"/>
  <c r="T50" i="28"/>
  <c r="S50" i="28"/>
  <c r="R50" i="28"/>
  <c r="Q50" i="28"/>
  <c r="P50" i="28"/>
  <c r="U47" i="28"/>
  <c r="T47" i="28"/>
  <c r="S47" i="28"/>
  <c r="R47" i="28"/>
  <c r="Q47" i="28"/>
  <c r="P47" i="28"/>
  <c r="U46" i="28"/>
  <c r="T46" i="28"/>
  <c r="S46" i="28"/>
  <c r="R46" i="28"/>
  <c r="Q46" i="28"/>
  <c r="P46" i="28"/>
  <c r="N58" i="28"/>
  <c r="S51" i="28" s="1"/>
  <c r="O45" i="28"/>
  <c r="O56" i="28" s="1"/>
  <c r="N45" i="28"/>
  <c r="M45" i="28"/>
  <c r="L45" i="28"/>
  <c r="L56" i="28" s="1"/>
  <c r="K45" i="28"/>
  <c r="J45" i="28"/>
  <c r="J49" i="28"/>
  <c r="O49" i="28"/>
  <c r="N49" i="28"/>
  <c r="N56" i="28" s="1"/>
  <c r="M49" i="28"/>
  <c r="M56" i="28" s="1"/>
  <c r="L49" i="28"/>
  <c r="K49" i="28"/>
  <c r="K3" i="27"/>
  <c r="Q91" i="27"/>
  <c r="O91" i="27"/>
  <c r="M91" i="27"/>
  <c r="K91" i="27"/>
  <c r="Q99" i="27"/>
  <c r="O99" i="27"/>
  <c r="M99" i="27"/>
  <c r="K99" i="27"/>
  <c r="Q86" i="27"/>
  <c r="Q85" i="27" s="1"/>
  <c r="O86" i="27"/>
  <c r="M86" i="27"/>
  <c r="K86" i="27"/>
  <c r="Q81" i="27"/>
  <c r="O81" i="27"/>
  <c r="M81" i="27"/>
  <c r="K81" i="27"/>
  <c r="Q77" i="27"/>
  <c r="O77" i="27"/>
  <c r="M77" i="27"/>
  <c r="K77" i="27"/>
  <c r="Q73" i="27"/>
  <c r="O73" i="27"/>
  <c r="M73" i="27"/>
  <c r="K73" i="27"/>
  <c r="D106" i="27"/>
  <c r="Y62" i="27"/>
  <c r="W62" i="27"/>
  <c r="U62" i="27"/>
  <c r="S62" i="27"/>
  <c r="Y61" i="27"/>
  <c r="W61" i="27"/>
  <c r="U61" i="27"/>
  <c r="S61" i="27"/>
  <c r="Y60" i="27"/>
  <c r="W60" i="27"/>
  <c r="U60" i="27"/>
  <c r="S60" i="27"/>
  <c r="Y59" i="27"/>
  <c r="W59" i="27"/>
  <c r="U59" i="27"/>
  <c r="S59" i="27"/>
  <c r="Y58" i="27"/>
  <c r="W58" i="27"/>
  <c r="U58" i="27"/>
  <c r="S58" i="27"/>
  <c r="Y57" i="27"/>
  <c r="W57" i="27"/>
  <c r="U57" i="27"/>
  <c r="S57" i="27"/>
  <c r="Y56" i="27"/>
  <c r="W56" i="27"/>
  <c r="U56" i="27"/>
  <c r="S56" i="27"/>
  <c r="Y55" i="27"/>
  <c r="W55" i="27"/>
  <c r="U55" i="27"/>
  <c r="S55" i="27"/>
  <c r="Y54" i="27"/>
  <c r="W54" i="27"/>
  <c r="U54" i="27"/>
  <c r="S54" i="27"/>
  <c r="Y53" i="27"/>
  <c r="W53" i="27"/>
  <c r="U53" i="27"/>
  <c r="S53" i="27"/>
  <c r="Y52" i="27"/>
  <c r="W52" i="27"/>
  <c r="U52" i="27"/>
  <c r="S52" i="27"/>
  <c r="Y50" i="27"/>
  <c r="W50" i="27"/>
  <c r="U50" i="27"/>
  <c r="S50" i="27"/>
  <c r="Y48" i="27"/>
  <c r="W48" i="27"/>
  <c r="U48" i="27"/>
  <c r="S48" i="27"/>
  <c r="Y47" i="27"/>
  <c r="W47" i="27"/>
  <c r="U47" i="27"/>
  <c r="S47" i="27"/>
  <c r="Y46" i="27"/>
  <c r="W46" i="27"/>
  <c r="U46" i="27"/>
  <c r="S46" i="27"/>
  <c r="Y45" i="27"/>
  <c r="W45" i="27"/>
  <c r="U45" i="27"/>
  <c r="S45" i="27"/>
  <c r="Q51" i="27"/>
  <c r="Q49" i="27" s="1"/>
  <c r="Q63" i="27" s="1"/>
  <c r="O51" i="27"/>
  <c r="O49" i="27" s="1"/>
  <c r="O63" i="27" s="1"/>
  <c r="M51" i="27"/>
  <c r="M49" i="27" s="1"/>
  <c r="M63" i="27" s="1"/>
  <c r="K51" i="27"/>
  <c r="K49" i="27" s="1"/>
  <c r="K63" i="27" s="1"/>
  <c r="O40" i="31"/>
  <c r="L134" i="6" s="1"/>
  <c r="O39" i="31"/>
  <c r="L133" i="6" s="1"/>
  <c r="L37" i="31"/>
  <c r="O37" i="31" s="1"/>
  <c r="L36" i="31"/>
  <c r="O36" i="31" s="1"/>
  <c r="L35" i="31"/>
  <c r="O35" i="31" s="1"/>
  <c r="O34" i="31"/>
  <c r="O33" i="31"/>
  <c r="O32" i="31"/>
  <c r="O31" i="31"/>
  <c r="O30" i="31"/>
  <c r="O29" i="31"/>
  <c r="O28" i="31"/>
  <c r="O27" i="31"/>
  <c r="O26" i="31"/>
  <c r="O25" i="31"/>
  <c r="L24" i="31"/>
  <c r="O24" i="31" s="1"/>
  <c r="O22" i="31"/>
  <c r="O21" i="31"/>
  <c r="O20" i="31"/>
  <c r="O19" i="31"/>
  <c r="O18" i="31"/>
  <c r="O17" i="31"/>
  <c r="O16" i="31"/>
  <c r="O15" i="31"/>
  <c r="O14" i="31"/>
  <c r="O13" i="31"/>
  <c r="O12" i="31"/>
  <c r="O11" i="31"/>
  <c r="O9" i="31"/>
  <c r="O8" i="31"/>
  <c r="O7" i="31"/>
  <c r="O6" i="31"/>
  <c r="O5" i="31"/>
  <c r="O4" i="31"/>
  <c r="Y51" i="27"/>
  <c r="T28" i="28"/>
  <c r="S24" i="28" s="1"/>
  <c r="O7" i="28"/>
  <c r="N7" i="28"/>
  <c r="M7" i="28"/>
  <c r="L7" i="28"/>
  <c r="K7" i="28"/>
  <c r="J7" i="28"/>
  <c r="O4" i="28"/>
  <c r="N4" i="28"/>
  <c r="M4" i="28"/>
  <c r="L4" i="28"/>
  <c r="K4" i="28"/>
  <c r="J4" i="28"/>
  <c r="P5" i="27"/>
  <c r="Y98" i="27"/>
  <c r="W98" i="27"/>
  <c r="U98" i="27"/>
  <c r="S98" i="27"/>
  <c r="Y97" i="27"/>
  <c r="W97" i="27"/>
  <c r="U97" i="27"/>
  <c r="S97" i="27"/>
  <c r="Y96" i="27"/>
  <c r="W96" i="27"/>
  <c r="U96" i="27"/>
  <c r="S96" i="27"/>
  <c r="Y89" i="27"/>
  <c r="W89" i="27"/>
  <c r="U89" i="27"/>
  <c r="S89" i="27"/>
  <c r="Y80" i="27"/>
  <c r="W80" i="27"/>
  <c r="U80" i="27"/>
  <c r="S80" i="27"/>
  <c r="Y43" i="26"/>
  <c r="Y41" i="26"/>
  <c r="AA24" i="26"/>
  <c r="W24" i="26"/>
  <c r="U24" i="26"/>
  <c r="U15" i="26"/>
  <c r="U14" i="26"/>
  <c r="E17" i="16"/>
  <c r="E18" i="16"/>
  <c r="D36" i="26"/>
  <c r="Q18" i="26"/>
  <c r="P18" i="26"/>
  <c r="I101" i="26"/>
  <c r="N101" i="26" s="1"/>
  <c r="I100" i="26"/>
  <c r="N100" i="26" s="1"/>
  <c r="I99" i="26"/>
  <c r="N99" i="26" s="1"/>
  <c r="I98" i="26"/>
  <c r="N98" i="26" s="1"/>
  <c r="I97" i="26"/>
  <c r="N97" i="26" s="1"/>
  <c r="I96" i="26"/>
  <c r="N96" i="26" s="1"/>
  <c r="T9" i="26"/>
  <c r="O31" i="26" s="1"/>
  <c r="P31" i="26" s="1"/>
  <c r="T7" i="26"/>
  <c r="O28" i="26" s="1"/>
  <c r="P28" i="26" s="1"/>
  <c r="T8" i="26"/>
  <c r="O29" i="26" s="1"/>
  <c r="P29" i="26" s="1"/>
  <c r="V5" i="26"/>
  <c r="V24" i="26" s="1"/>
  <c r="T5" i="26"/>
  <c r="O24" i="26" s="1"/>
  <c r="P24" i="26" s="1"/>
  <c r="T4" i="26"/>
  <c r="O20" i="26" s="1"/>
  <c r="P20" i="26" s="1"/>
  <c r="T6" i="26"/>
  <c r="O25" i="26" s="1"/>
  <c r="P25" i="26" s="1"/>
  <c r="Q22" i="26"/>
  <c r="P19" i="26"/>
  <c r="H8" i="26"/>
  <c r="J8" i="26" s="1"/>
  <c r="O17" i="26" s="1"/>
  <c r="P17" i="26" s="1"/>
  <c r="P16" i="26"/>
  <c r="Q23" i="26"/>
  <c r="Q19" i="26"/>
  <c r="Q32" i="26"/>
  <c r="Q31" i="26"/>
  <c r="Q30" i="26"/>
  <c r="Q29" i="26"/>
  <c r="Q27" i="26"/>
  <c r="Q28" i="26"/>
  <c r="Q26" i="26"/>
  <c r="Q25" i="26"/>
  <c r="Q24" i="26"/>
  <c r="Q21" i="26"/>
  <c r="Q20" i="26"/>
  <c r="Q16" i="26"/>
  <c r="Q17" i="26"/>
  <c r="P27" i="26"/>
  <c r="Q14" i="26"/>
  <c r="Q15" i="26"/>
  <c r="T62" i="26"/>
  <c r="AB62" i="26"/>
  <c r="Z62" i="26"/>
  <c r="X62" i="26"/>
  <c r="V62" i="26"/>
  <c r="AB54" i="26"/>
  <c r="Z54" i="26"/>
  <c r="X54" i="26"/>
  <c r="V54" i="26"/>
  <c r="T54" i="26"/>
  <c r="J10" i="26"/>
  <c r="O15" i="26" s="1"/>
  <c r="P15" i="26" s="1"/>
  <c r="V15" i="26" s="1"/>
  <c r="L30" i="25"/>
  <c r="K30" i="25"/>
  <c r="J30" i="25"/>
  <c r="I30" i="25"/>
  <c r="H30" i="25"/>
  <c r="G30" i="25"/>
  <c r="F30" i="25"/>
  <c r="E30" i="25"/>
  <c r="D30" i="25"/>
  <c r="L29" i="25"/>
  <c r="K29" i="25"/>
  <c r="J29" i="25"/>
  <c r="I29" i="25"/>
  <c r="H29" i="25"/>
  <c r="G29" i="25"/>
  <c r="F29" i="25"/>
  <c r="E29" i="25"/>
  <c r="D29" i="25"/>
  <c r="L28" i="25"/>
  <c r="K28" i="25"/>
  <c r="J28" i="25"/>
  <c r="I28" i="25"/>
  <c r="H28" i="25"/>
  <c r="G28" i="25"/>
  <c r="F28" i="25"/>
  <c r="E28" i="25"/>
  <c r="D28" i="25"/>
  <c r="L27" i="25"/>
  <c r="K27" i="25"/>
  <c r="J27" i="25"/>
  <c r="I27" i="25"/>
  <c r="H27" i="25"/>
  <c r="G27" i="25"/>
  <c r="F27" i="25"/>
  <c r="E27" i="25"/>
  <c r="D27" i="25"/>
  <c r="L26" i="25"/>
  <c r="K26" i="25"/>
  <c r="J26" i="25"/>
  <c r="I26" i="25"/>
  <c r="H26" i="25"/>
  <c r="G26" i="25"/>
  <c r="F26" i="25"/>
  <c r="E26" i="25"/>
  <c r="D26" i="25"/>
  <c r="L25" i="25"/>
  <c r="K25" i="25"/>
  <c r="J25" i="25"/>
  <c r="I25" i="25"/>
  <c r="H25" i="25"/>
  <c r="G25" i="25"/>
  <c r="F25" i="25"/>
  <c r="E25" i="25"/>
  <c r="D25" i="25"/>
  <c r="L24" i="25"/>
  <c r="K24" i="25"/>
  <c r="J24" i="25"/>
  <c r="I24" i="25"/>
  <c r="H24" i="25"/>
  <c r="G24" i="25"/>
  <c r="F24" i="25"/>
  <c r="E24" i="25"/>
  <c r="D24" i="25"/>
  <c r="L23" i="25"/>
  <c r="K23" i="25"/>
  <c r="J23" i="25"/>
  <c r="I23" i="25"/>
  <c r="H23" i="25"/>
  <c r="G23" i="25"/>
  <c r="F23" i="25"/>
  <c r="E23" i="25"/>
  <c r="D23" i="25"/>
  <c r="L22" i="25"/>
  <c r="K22" i="25"/>
  <c r="J22" i="25"/>
  <c r="I22" i="25"/>
  <c r="H22" i="25"/>
  <c r="G22" i="25"/>
  <c r="F22" i="25"/>
  <c r="E22" i="25"/>
  <c r="D22" i="25"/>
  <c r="G23" i="1"/>
  <c r="G24" i="1"/>
  <c r="G25" i="1"/>
  <c r="G26" i="1"/>
  <c r="G27" i="1"/>
  <c r="G28" i="1"/>
  <c r="J23" i="1"/>
  <c r="I23" i="1"/>
  <c r="L14" i="24"/>
  <c r="L13" i="24"/>
  <c r="L12" i="24"/>
  <c r="L11" i="24"/>
  <c r="L10" i="24"/>
  <c r="H14" i="24"/>
  <c r="H13" i="24"/>
  <c r="H12" i="24"/>
  <c r="H11" i="24"/>
  <c r="H10" i="24"/>
  <c r="K10" i="24" s="1"/>
  <c r="D14" i="24"/>
  <c r="D13" i="24"/>
  <c r="D12" i="24"/>
  <c r="D11" i="24"/>
  <c r="D10" i="24"/>
  <c r="L14" i="23"/>
  <c r="L13" i="23"/>
  <c r="L12" i="23"/>
  <c r="L11" i="23"/>
  <c r="L10" i="23"/>
  <c r="H14" i="23"/>
  <c r="H13" i="23"/>
  <c r="H12" i="23"/>
  <c r="H11" i="23"/>
  <c r="H10" i="23"/>
  <c r="S11" i="22"/>
  <c r="S12" i="22"/>
  <c r="S13" i="22"/>
  <c r="S14" i="22"/>
  <c r="S10" i="22"/>
  <c r="P11" i="22"/>
  <c r="P12" i="22"/>
  <c r="P13" i="22"/>
  <c r="P14" i="22"/>
  <c r="P10" i="22"/>
  <c r="M11" i="22"/>
  <c r="O11" i="22" s="1"/>
  <c r="M12" i="22"/>
  <c r="M13" i="22"/>
  <c r="M14" i="22"/>
  <c r="M10" i="22"/>
  <c r="O10" i="22" s="1"/>
  <c r="J11" i="22"/>
  <c r="J12" i="22"/>
  <c r="J13" i="22"/>
  <c r="J14" i="22"/>
  <c r="J10" i="22"/>
  <c r="G11" i="22"/>
  <c r="G12" i="22"/>
  <c r="G13" i="22"/>
  <c r="G14" i="22"/>
  <c r="G10" i="22"/>
  <c r="D13" i="22"/>
  <c r="D14" i="22"/>
  <c r="O14" i="21"/>
  <c r="O15" i="21"/>
  <c r="N16" i="21"/>
  <c r="O16" i="21"/>
  <c r="N17" i="21"/>
  <c r="O17" i="21"/>
  <c r="E16" i="16"/>
  <c r="F10" i="3"/>
  <c r="N14" i="24"/>
  <c r="M14" i="24"/>
  <c r="J14" i="24"/>
  <c r="I14" i="24"/>
  <c r="F14" i="24"/>
  <c r="E14" i="24"/>
  <c r="N13" i="24"/>
  <c r="M13" i="24"/>
  <c r="J13" i="24"/>
  <c r="I13" i="24"/>
  <c r="K13" i="24" s="1"/>
  <c r="F13" i="24"/>
  <c r="E13" i="24"/>
  <c r="N12" i="24"/>
  <c r="M12" i="24"/>
  <c r="J12" i="24"/>
  <c r="I12" i="24"/>
  <c r="F12" i="24"/>
  <c r="E12" i="24"/>
  <c r="G12" i="24" s="1"/>
  <c r="N11" i="24"/>
  <c r="M11" i="24"/>
  <c r="J11" i="24"/>
  <c r="I11" i="24"/>
  <c r="K11" i="24" s="1"/>
  <c r="F11" i="24"/>
  <c r="E11" i="24"/>
  <c r="G11" i="24" s="1"/>
  <c r="N10" i="24"/>
  <c r="M10" i="24"/>
  <c r="J10" i="24"/>
  <c r="I10" i="24"/>
  <c r="F10" i="24"/>
  <c r="E10" i="24"/>
  <c r="G10" i="24" s="1"/>
  <c r="N14" i="23"/>
  <c r="M14" i="23"/>
  <c r="J14" i="23"/>
  <c r="I14" i="23"/>
  <c r="K14" i="23" s="1"/>
  <c r="N13" i="23"/>
  <c r="M13" i="23"/>
  <c r="O13" i="23" s="1"/>
  <c r="J13" i="23"/>
  <c r="I13" i="23"/>
  <c r="N12" i="23"/>
  <c r="M12" i="23"/>
  <c r="J12" i="23"/>
  <c r="I12" i="23"/>
  <c r="K12" i="23" s="1"/>
  <c r="N11" i="23"/>
  <c r="M11" i="23"/>
  <c r="J11" i="23"/>
  <c r="I11" i="23"/>
  <c r="N10" i="23"/>
  <c r="M10" i="23"/>
  <c r="J10" i="23"/>
  <c r="I10" i="23"/>
  <c r="T14" i="22"/>
  <c r="Q14" i="22"/>
  <c r="K14" i="22"/>
  <c r="L14" i="22" s="1"/>
  <c r="H14" i="22"/>
  <c r="E14" i="22"/>
  <c r="T13" i="22"/>
  <c r="Q13" i="22"/>
  <c r="O13" i="22"/>
  <c r="K13" i="22"/>
  <c r="H13" i="22"/>
  <c r="E13" i="22"/>
  <c r="F13" i="22" s="1"/>
  <c r="T12" i="22"/>
  <c r="Q12" i="22"/>
  <c r="K12" i="22"/>
  <c r="H12" i="22"/>
  <c r="I12" i="22" s="1"/>
  <c r="E12" i="22"/>
  <c r="F12" i="22" s="1"/>
  <c r="T11" i="22"/>
  <c r="Q11" i="22"/>
  <c r="K11" i="22"/>
  <c r="L11" i="22" s="1"/>
  <c r="H11" i="22"/>
  <c r="E11" i="22"/>
  <c r="F11" i="22" s="1"/>
  <c r="T10" i="22"/>
  <c r="Q10" i="22"/>
  <c r="K10" i="22"/>
  <c r="H10" i="22"/>
  <c r="I10" i="22" s="1"/>
  <c r="E10" i="22"/>
  <c r="F10" i="22" s="1"/>
  <c r="H10" i="21"/>
  <c r="D10" i="21"/>
  <c r="J9" i="21"/>
  <c r="J15" i="21" s="1"/>
  <c r="H9" i="21"/>
  <c r="H14" i="21" s="1"/>
  <c r="F9" i="21"/>
  <c r="F15" i="21" s="1"/>
  <c r="D9" i="21"/>
  <c r="D17" i="21" s="1"/>
  <c r="K84" i="1"/>
  <c r="I84" i="1"/>
  <c r="F84" i="1"/>
  <c r="X58" i="1"/>
  <c r="U58" i="1"/>
  <c r="I58" i="1"/>
  <c r="F58" i="1"/>
  <c r="K83" i="1"/>
  <c r="I83" i="1"/>
  <c r="F83" i="1"/>
  <c r="X57" i="1"/>
  <c r="U57" i="1"/>
  <c r="I57" i="1"/>
  <c r="F57" i="1"/>
  <c r="K82" i="1"/>
  <c r="I82" i="1"/>
  <c r="F82" i="1"/>
  <c r="X56" i="1"/>
  <c r="U56" i="1"/>
  <c r="I56" i="1"/>
  <c r="F56" i="1"/>
  <c r="K81" i="1"/>
  <c r="I81" i="1"/>
  <c r="F81" i="1"/>
  <c r="X55" i="1"/>
  <c r="U55" i="1"/>
  <c r="I55" i="1"/>
  <c r="F55" i="1"/>
  <c r="K80" i="1"/>
  <c r="I80" i="1"/>
  <c r="F80" i="1"/>
  <c r="X54" i="1"/>
  <c r="U54" i="1"/>
  <c r="I54" i="1"/>
  <c r="F54" i="1"/>
  <c r="K79" i="1"/>
  <c r="I79" i="1"/>
  <c r="F79" i="1"/>
  <c r="X53" i="1"/>
  <c r="U53" i="1"/>
  <c r="I53" i="1"/>
  <c r="F53" i="1"/>
  <c r="G77" i="1"/>
  <c r="V51" i="1"/>
  <c r="G51" i="1"/>
  <c r="E75" i="1"/>
  <c r="G76" i="1" s="1"/>
  <c r="I76" i="1" s="1"/>
  <c r="G83" i="1" s="1"/>
  <c r="T49" i="1"/>
  <c r="S69" i="1" s="1"/>
  <c r="U68" i="1" s="1"/>
  <c r="V50" i="1"/>
  <c r="X50" i="1" s="1"/>
  <c r="V57" i="1" s="1"/>
  <c r="E49" i="1"/>
  <c r="G50" i="1" s="1"/>
  <c r="I50" i="1" s="1"/>
  <c r="G58" i="1" s="1"/>
  <c r="J39" i="1"/>
  <c r="L38" i="1" s="1"/>
  <c r="L28" i="1"/>
  <c r="J28" i="1"/>
  <c r="I28" i="1"/>
  <c r="F28" i="1"/>
  <c r="L27" i="1"/>
  <c r="J27" i="1"/>
  <c r="I27" i="1"/>
  <c r="F27" i="1"/>
  <c r="L26" i="1"/>
  <c r="J26" i="1"/>
  <c r="I26" i="1"/>
  <c r="F26" i="1"/>
  <c r="L25" i="1"/>
  <c r="J25" i="1"/>
  <c r="I25" i="1"/>
  <c r="F25" i="1"/>
  <c r="L24" i="1"/>
  <c r="J24" i="1"/>
  <c r="I24" i="1"/>
  <c r="F24" i="1"/>
  <c r="L23" i="1"/>
  <c r="F23" i="1"/>
  <c r="P3" i="20"/>
  <c r="C15" i="16"/>
  <c r="C16" i="16"/>
  <c r="B3" i="16"/>
  <c r="A5" i="18"/>
  <c r="G5" i="18" s="1"/>
  <c r="F64" i="14"/>
  <c r="E10" i="18"/>
  <c r="B10" i="18" s="1"/>
  <c r="F62" i="14"/>
  <c r="F13" i="14"/>
  <c r="F61" i="14" s="1"/>
  <c r="B9" i="14"/>
  <c r="B34" i="14" s="1"/>
  <c r="R18" i="3"/>
  <c r="R17" i="3"/>
  <c r="R16" i="3"/>
  <c r="R15" i="3"/>
  <c r="P18" i="3"/>
  <c r="P17" i="3"/>
  <c r="P16" i="3"/>
  <c r="P15" i="3"/>
  <c r="M23" i="25"/>
  <c r="D83" i="6" s="1"/>
  <c r="O11" i="24"/>
  <c r="O10" i="24"/>
  <c r="O12" i="24"/>
  <c r="O14" i="24"/>
  <c r="G14" i="24"/>
  <c r="J13" i="21"/>
  <c r="J16" i="21"/>
  <c r="H31" i="6"/>
  <c r="F31" i="6" s="1"/>
  <c r="H30" i="6"/>
  <c r="F30" i="6" s="1"/>
  <c r="H29" i="6"/>
  <c r="F29" i="6" s="1"/>
  <c r="H28" i="6"/>
  <c r="F28" i="6" s="1"/>
  <c r="H27" i="6"/>
  <c r="F27" i="6" s="1"/>
  <c r="H24" i="6"/>
  <c r="F24" i="6" s="1"/>
  <c r="H23" i="6"/>
  <c r="F23" i="6" s="1"/>
  <c r="H22" i="6"/>
  <c r="F22" i="6" s="1"/>
  <c r="H21" i="6"/>
  <c r="F21" i="6" s="1"/>
  <c r="H20" i="6"/>
  <c r="F20" i="6" s="1"/>
  <c r="H17" i="6"/>
  <c r="F17" i="6" s="1"/>
  <c r="H16" i="6"/>
  <c r="F16" i="6" s="1"/>
  <c r="H15" i="6"/>
  <c r="F15" i="6" s="1"/>
  <c r="H14" i="6"/>
  <c r="F14" i="6" s="1"/>
  <c r="H13" i="6"/>
  <c r="F13" i="6" s="1"/>
  <c r="H10" i="6"/>
  <c r="F10" i="6" s="1"/>
  <c r="H9" i="6"/>
  <c r="F9" i="6" s="1"/>
  <c r="H8" i="6"/>
  <c r="F8" i="6" s="1"/>
  <c r="H7" i="6"/>
  <c r="F7" i="6" s="1"/>
  <c r="H6" i="6"/>
  <c r="F6" i="6" s="1"/>
  <c r="H5" i="6"/>
  <c r="F5" i="6" s="1"/>
  <c r="B3" i="14"/>
  <c r="C7" i="14" s="1"/>
  <c r="R36" i="9"/>
  <c r="R35" i="9"/>
  <c r="R34" i="9"/>
  <c r="R33" i="9"/>
  <c r="R32" i="9"/>
  <c r="R31" i="9"/>
  <c r="R30" i="9"/>
  <c r="R29" i="9"/>
  <c r="R28" i="9"/>
  <c r="R27" i="9"/>
  <c r="R26" i="9"/>
  <c r="R25" i="9"/>
  <c r="R24" i="9"/>
  <c r="R23" i="9"/>
  <c r="R22" i="9"/>
  <c r="R21" i="9"/>
  <c r="R20" i="9"/>
  <c r="M18" i="3"/>
  <c r="M17" i="3"/>
  <c r="M16" i="3"/>
  <c r="M15" i="3"/>
  <c r="J18" i="3"/>
  <c r="J17" i="3"/>
  <c r="J16" i="3"/>
  <c r="J15" i="3"/>
  <c r="G18" i="3"/>
  <c r="G17" i="3"/>
  <c r="G16" i="3"/>
  <c r="G15" i="3"/>
  <c r="D18" i="3"/>
  <c r="D17" i="3"/>
  <c r="D16" i="3"/>
  <c r="D15" i="3"/>
  <c r="X32" i="1"/>
  <c r="X31" i="1"/>
  <c r="X30" i="1"/>
  <c r="X29" i="1"/>
  <c r="X28" i="1"/>
  <c r="X27" i="1"/>
  <c r="S43" i="1"/>
  <c r="U42" i="1" s="1"/>
  <c r="V25" i="1"/>
  <c r="R23" i="1"/>
  <c r="V24" i="1" s="1"/>
  <c r="U32" i="1"/>
  <c r="U31" i="1"/>
  <c r="U30" i="1"/>
  <c r="U29" i="1"/>
  <c r="U28" i="1"/>
  <c r="U27" i="1"/>
  <c r="J17" i="21"/>
  <c r="J12" i="21"/>
  <c r="J14" i="21"/>
  <c r="C18" i="16"/>
  <c r="F18" i="16" s="1"/>
  <c r="C17" i="16"/>
  <c r="F16" i="16"/>
  <c r="F15" i="16"/>
  <c r="S10" i="23"/>
  <c r="D69" i="1"/>
  <c r="F68" i="1" s="1"/>
  <c r="J57" i="1" s="1"/>
  <c r="K57" i="1" s="1"/>
  <c r="T9" i="1" s="1"/>
  <c r="O12" i="22"/>
  <c r="L13" i="22"/>
  <c r="F14" i="22"/>
  <c r="I11" i="22"/>
  <c r="I14" i="22"/>
  <c r="O14" i="22"/>
  <c r="B9" i="20"/>
  <c r="O38" i="31"/>
  <c r="G55" i="1"/>
  <c r="G53" i="1"/>
  <c r="G57" i="1"/>
  <c r="G56" i="1"/>
  <c r="G54" i="1"/>
  <c r="G81" i="1"/>
  <c r="R14" i="22" l="1"/>
  <c r="L10" i="22"/>
  <c r="J56" i="1"/>
  <c r="O21" i="26"/>
  <c r="P21" i="26" s="1"/>
  <c r="S21" i="26" s="1"/>
  <c r="F14" i="21"/>
  <c r="U10" i="22"/>
  <c r="O12" i="23"/>
  <c r="K14" i="24"/>
  <c r="M24" i="25"/>
  <c r="D84" i="6" s="1"/>
  <c r="M27" i="25"/>
  <c r="D90" i="6" s="1"/>
  <c r="M28" i="25"/>
  <c r="D87" i="6" s="1"/>
  <c r="M87" i="6" s="1"/>
  <c r="G87" i="6" s="1"/>
  <c r="F12" i="21"/>
  <c r="J54" i="1"/>
  <c r="K54" i="1" s="1"/>
  <c r="T6" i="1" s="1"/>
  <c r="H13" i="21"/>
  <c r="O22" i="26"/>
  <c r="P22" i="26" s="1"/>
  <c r="V56" i="1"/>
  <c r="O23" i="26"/>
  <c r="P23" i="26" s="1"/>
  <c r="F16" i="21"/>
  <c r="T16" i="3"/>
  <c r="D42" i="6" s="1"/>
  <c r="I42" i="6" s="1"/>
  <c r="G42" i="6" s="1"/>
  <c r="M22" i="25"/>
  <c r="D82" i="6" s="1"/>
  <c r="M26" i="25"/>
  <c r="D86" i="6" s="1"/>
  <c r="F17" i="21"/>
  <c r="G79" i="1"/>
  <c r="G82" i="1"/>
  <c r="F13" i="21"/>
  <c r="M13" i="21" s="1"/>
  <c r="AA15" i="26"/>
  <c r="AB15" i="26" s="1"/>
  <c r="H16" i="21"/>
  <c r="P11" i="24"/>
  <c r="D35" i="6" s="1"/>
  <c r="I35" i="6" s="1"/>
  <c r="G35" i="6" s="1"/>
  <c r="I13" i="22"/>
  <c r="G13" i="24"/>
  <c r="P13" i="24" s="1"/>
  <c r="D37" i="6" s="1"/>
  <c r="I37" i="6" s="1"/>
  <c r="G37" i="6" s="1"/>
  <c r="M25" i="25"/>
  <c r="D85" i="6" s="1"/>
  <c r="M29" i="25"/>
  <c r="D88" i="6" s="1"/>
  <c r="M30" i="25"/>
  <c r="D89" i="6" s="1"/>
  <c r="J25" i="28"/>
  <c r="Q72" i="27"/>
  <c r="Q105" i="27" s="1"/>
  <c r="S23" i="26"/>
  <c r="S18" i="26"/>
  <c r="Y30" i="1"/>
  <c r="Y31" i="1"/>
  <c r="Y29" i="1"/>
  <c r="Y28" i="1"/>
  <c r="V55" i="1"/>
  <c r="O26" i="26"/>
  <c r="P26" i="26" s="1"/>
  <c r="L5" i="18"/>
  <c r="B11" i="18" s="1"/>
  <c r="B12" i="18" s="1"/>
  <c r="H13" i="18" s="1"/>
  <c r="I13" i="18" s="1"/>
  <c r="V58" i="1"/>
  <c r="G84" i="1"/>
  <c r="E5" i="18"/>
  <c r="H5" i="18"/>
  <c r="M14" i="21"/>
  <c r="K10" i="23"/>
  <c r="O14" i="23"/>
  <c r="O13" i="24"/>
  <c r="S16" i="26"/>
  <c r="F133" i="6"/>
  <c r="M133" i="6"/>
  <c r="G133" i="6" s="1"/>
  <c r="S51" i="27"/>
  <c r="S49" i="27" s="1"/>
  <c r="S63" i="27" s="1"/>
  <c r="D118" i="6" s="1"/>
  <c r="I118" i="6" s="1"/>
  <c r="L84" i="6"/>
  <c r="L148" i="6"/>
  <c r="F89" i="6"/>
  <c r="M89" i="6"/>
  <c r="G89" i="6" s="1"/>
  <c r="K56" i="1"/>
  <c r="T8" i="1" s="1"/>
  <c r="V53" i="1"/>
  <c r="F17" i="16"/>
  <c r="F19" i="16" s="1"/>
  <c r="B13" i="20" s="1"/>
  <c r="K5" i="18"/>
  <c r="H15" i="21"/>
  <c r="F134" i="6"/>
  <c r="M134" i="6"/>
  <c r="G134" i="6" s="1"/>
  <c r="O85" i="27"/>
  <c r="O72" i="27" s="1"/>
  <c r="O105" i="27" s="1"/>
  <c r="L85" i="6"/>
  <c r="L149" i="6"/>
  <c r="G14" i="23"/>
  <c r="G10" i="23"/>
  <c r="S13" i="23"/>
  <c r="S11" i="23"/>
  <c r="L86" i="6"/>
  <c r="L150" i="6"/>
  <c r="V54" i="1"/>
  <c r="G80" i="1"/>
  <c r="T15" i="3"/>
  <c r="D41" i="6" s="1"/>
  <c r="I41" i="6" s="1"/>
  <c r="W14" i="26"/>
  <c r="U51" i="27"/>
  <c r="U49" i="27" s="1"/>
  <c r="U63" i="27" s="1"/>
  <c r="D119" i="6" s="1"/>
  <c r="I119" i="6" s="1"/>
  <c r="G119" i="6" s="1"/>
  <c r="L90" i="6"/>
  <c r="L151" i="6"/>
  <c r="T18" i="3"/>
  <c r="D44" i="6" s="1"/>
  <c r="I44" i="6" s="1"/>
  <c r="G44" i="6" s="1"/>
  <c r="L12" i="22"/>
  <c r="K11" i="23"/>
  <c r="W51" i="27"/>
  <c r="L82" i="6"/>
  <c r="L146" i="6"/>
  <c r="F87" i="6"/>
  <c r="D5" i="18"/>
  <c r="I5" i="18"/>
  <c r="F5" i="18"/>
  <c r="H17" i="21"/>
  <c r="X24" i="1"/>
  <c r="V27" i="1" s="1"/>
  <c r="Z27" i="1" s="1"/>
  <c r="Z5" i="1" s="1"/>
  <c r="T17" i="3"/>
  <c r="D43" i="6" s="1"/>
  <c r="I43" i="6" s="1"/>
  <c r="G43" i="6" s="1"/>
  <c r="H12" i="21"/>
  <c r="O11" i="23"/>
  <c r="N25" i="28"/>
  <c r="K85" i="27"/>
  <c r="K72" i="27" s="1"/>
  <c r="K105" i="27" s="1"/>
  <c r="L147" i="6"/>
  <c r="L83" i="6"/>
  <c r="M88" i="6"/>
  <c r="G88" i="6" s="1"/>
  <c r="F88" i="6"/>
  <c r="S22" i="26"/>
  <c r="S15" i="26"/>
  <c r="B5" i="18"/>
  <c r="D13" i="18" s="1"/>
  <c r="J5" i="18"/>
  <c r="S28" i="26"/>
  <c r="S31" i="26"/>
  <c r="S25" i="26"/>
  <c r="S26" i="26"/>
  <c r="S29" i="26"/>
  <c r="J33" i="11"/>
  <c r="K33" i="11" s="1"/>
  <c r="K31" i="11" s="1"/>
  <c r="K6" i="11" s="1"/>
  <c r="K9" i="11" s="1"/>
  <c r="K11" i="11" s="1"/>
  <c r="Y58" i="1"/>
  <c r="Y53" i="1"/>
  <c r="Y55" i="1"/>
  <c r="Y57" i="1"/>
  <c r="Z57" i="1" s="1"/>
  <c r="V9" i="1" s="1"/>
  <c r="Y56" i="1"/>
  <c r="Z56" i="1" s="1"/>
  <c r="V8" i="1" s="1"/>
  <c r="Y54" i="1"/>
  <c r="Z54" i="1" s="1"/>
  <c r="V6" i="1" s="1"/>
  <c r="K28" i="1"/>
  <c r="M28" i="1" s="1"/>
  <c r="R10" i="1" s="1"/>
  <c r="K27" i="1"/>
  <c r="M27" i="1" s="1"/>
  <c r="R9" i="1" s="1"/>
  <c r="K24" i="1"/>
  <c r="M24" i="1" s="1"/>
  <c r="R6" i="1" s="1"/>
  <c r="K23" i="1"/>
  <c r="M23" i="1" s="1"/>
  <c r="R5" i="1" s="1"/>
  <c r="K26" i="1"/>
  <c r="M26" i="1" s="1"/>
  <c r="R8" i="1" s="1"/>
  <c r="K25" i="1"/>
  <c r="M25" i="1" s="1"/>
  <c r="R7" i="1" s="1"/>
  <c r="O23" i="31"/>
  <c r="L132" i="6" s="1"/>
  <c r="L33" i="11"/>
  <c r="M33" i="11" s="1"/>
  <c r="AB24" i="26"/>
  <c r="Y24" i="26"/>
  <c r="J55" i="1"/>
  <c r="K55" i="1" s="1"/>
  <c r="T7" i="1" s="1"/>
  <c r="J53" i="1"/>
  <c r="K53" i="1" s="1"/>
  <c r="T5" i="1" s="1"/>
  <c r="J58" i="1"/>
  <c r="K58" i="1" s="1"/>
  <c r="T10" i="1" s="1"/>
  <c r="V14" i="26"/>
  <c r="S14" i="26"/>
  <c r="S20" i="26"/>
  <c r="Y49" i="27"/>
  <c r="Y63" i="27" s="1"/>
  <c r="D121" i="6" s="1"/>
  <c r="I121" i="6" s="1"/>
  <c r="G121" i="6" s="1"/>
  <c r="G12" i="23"/>
  <c r="T12" i="23" s="1"/>
  <c r="D29" i="6" s="1"/>
  <c r="I29" i="6" s="1"/>
  <c r="G29" i="6" s="1"/>
  <c r="Z58" i="1"/>
  <c r="V10" i="1" s="1"/>
  <c r="Y32" i="1"/>
  <c r="Q88" i="1"/>
  <c r="S87" i="1" s="1"/>
  <c r="O32" i="26"/>
  <c r="P32" i="26" s="1"/>
  <c r="S32" i="26" s="1"/>
  <c r="S27" i="26"/>
  <c r="S24" i="26"/>
  <c r="O3" i="31"/>
  <c r="L130" i="6" s="1"/>
  <c r="J56" i="28"/>
  <c r="G13" i="23"/>
  <c r="P10" i="24"/>
  <c r="D34" i="6" s="1"/>
  <c r="I34" i="6" s="1"/>
  <c r="W15" i="26"/>
  <c r="Y15" i="26" s="1"/>
  <c r="S17" i="26"/>
  <c r="M25" i="28"/>
  <c r="Z55" i="1"/>
  <c r="V7" i="1" s="1"/>
  <c r="Y27" i="1"/>
  <c r="P14" i="24"/>
  <c r="D38" i="6" s="1"/>
  <c r="I38" i="6" s="1"/>
  <c r="G38" i="6" s="1"/>
  <c r="O10" i="23"/>
  <c r="K13" i="23"/>
  <c r="K12" i="24"/>
  <c r="P12" i="24" s="1"/>
  <c r="D36" i="6" s="1"/>
  <c r="I36" i="6" s="1"/>
  <c r="G36" i="6" s="1"/>
  <c r="O30" i="26"/>
  <c r="P30" i="26" s="1"/>
  <c r="S30" i="26" s="1"/>
  <c r="S19" i="26"/>
  <c r="O10" i="31"/>
  <c r="L131" i="6" s="1"/>
  <c r="M85" i="27"/>
  <c r="M72" i="27" s="1"/>
  <c r="M105" i="27" s="1"/>
  <c r="Q3" i="27"/>
  <c r="A29" i="27" s="1"/>
  <c r="G11" i="23"/>
  <c r="W49" i="27"/>
  <c r="W63" i="27" s="1"/>
  <c r="D120" i="6" s="1"/>
  <c r="I120" i="6" s="1"/>
  <c r="G120" i="6" s="1"/>
  <c r="U14" i="22"/>
  <c r="V14" i="22" s="1"/>
  <c r="D24" i="6" s="1"/>
  <c r="I24" i="6" s="1"/>
  <c r="G24" i="6" s="1"/>
  <c r="AA14" i="26"/>
  <c r="L25" i="28"/>
  <c r="M17" i="21"/>
  <c r="L17" i="21"/>
  <c r="U13" i="22"/>
  <c r="V13" i="22" s="1"/>
  <c r="K56" i="28"/>
  <c r="V10" i="22"/>
  <c r="D20" i="6" s="1"/>
  <c r="I20" i="6" s="1"/>
  <c r="F60" i="14"/>
  <c r="M15" i="21"/>
  <c r="U12" i="22"/>
  <c r="U11" i="22"/>
  <c r="V11" i="22" s="1"/>
  <c r="K25" i="28"/>
  <c r="O25" i="28"/>
  <c r="Q53" i="28"/>
  <c r="Q54" i="28"/>
  <c r="Q48" i="28"/>
  <c r="Q45" i="28" s="1"/>
  <c r="S55" i="28"/>
  <c r="T55" i="28"/>
  <c r="P48" i="28"/>
  <c r="P45" i="28" s="1"/>
  <c r="U51" i="28"/>
  <c r="T48" i="28"/>
  <c r="T45" i="28" s="1"/>
  <c r="U53" i="28"/>
  <c r="Q55" i="28"/>
  <c r="R53" i="28"/>
  <c r="U54" i="28"/>
  <c r="P55" i="28"/>
  <c r="P54" i="28"/>
  <c r="T51" i="28"/>
  <c r="S48" i="28"/>
  <c r="S45" i="28" s="1"/>
  <c r="Q51" i="28"/>
  <c r="T53" i="28"/>
  <c r="S53" i="28"/>
  <c r="P52" i="28"/>
  <c r="R51" i="28"/>
  <c r="T52" i="28"/>
  <c r="S54" i="28"/>
  <c r="R55" i="28"/>
  <c r="U52" i="28"/>
  <c r="P53" i="28"/>
  <c r="P51" i="28"/>
  <c r="U48" i="28"/>
  <c r="U45" i="28" s="1"/>
  <c r="R48" i="28"/>
  <c r="R45" i="28" s="1"/>
  <c r="R54" i="28"/>
  <c r="U55" i="28"/>
  <c r="S52" i="28"/>
  <c r="T54" i="28"/>
  <c r="Q52" i="28"/>
  <c r="R52" i="28"/>
  <c r="D12" i="21"/>
  <c r="D16" i="21"/>
  <c r="D14" i="21"/>
  <c r="D15" i="21"/>
  <c r="D13" i="21"/>
  <c r="AR23" i="9"/>
  <c r="C23" i="9" s="1"/>
  <c r="Q8" i="28"/>
  <c r="U10" i="28"/>
  <c r="Q16" i="28"/>
  <c r="P24" i="28"/>
  <c r="U8" i="28"/>
  <c r="S11" i="28"/>
  <c r="Q14" i="28"/>
  <c r="U16" i="28"/>
  <c r="R18" i="28"/>
  <c r="P22" i="28"/>
  <c r="T24" i="28"/>
  <c r="S13" i="28"/>
  <c r="R21" i="28"/>
  <c r="R5" i="28"/>
  <c r="S9" i="28"/>
  <c r="Q12" i="28"/>
  <c r="U14" i="28"/>
  <c r="P19" i="28"/>
  <c r="T22" i="28"/>
  <c r="S6" i="28"/>
  <c r="Q10" i="28"/>
  <c r="U12" i="28"/>
  <c r="S15" i="28"/>
  <c r="T19" i="28"/>
  <c r="R23" i="28"/>
  <c r="U5" i="28"/>
  <c r="Q5" i="28"/>
  <c r="R6" i="28"/>
  <c r="R8" i="28"/>
  <c r="P9" i="28"/>
  <c r="T9" i="28"/>
  <c r="R10" i="28"/>
  <c r="P11" i="28"/>
  <c r="T11" i="28"/>
  <c r="R12" i="28"/>
  <c r="P13" i="28"/>
  <c r="T13" i="28"/>
  <c r="R14" i="28"/>
  <c r="P15" i="28"/>
  <c r="T15" i="28"/>
  <c r="R16" i="28"/>
  <c r="S18" i="28"/>
  <c r="Q19" i="28"/>
  <c r="U19" i="28"/>
  <c r="S21" i="28"/>
  <c r="Q22" i="28"/>
  <c r="U22" i="28"/>
  <c r="S23" i="28"/>
  <c r="Q24" i="28"/>
  <c r="U24" i="28"/>
  <c r="T5" i="28"/>
  <c r="U6" i="28"/>
  <c r="Q6" i="28"/>
  <c r="S8" i="28"/>
  <c r="Q9" i="28"/>
  <c r="U9" i="28"/>
  <c r="S10" i="28"/>
  <c r="Q11" i="28"/>
  <c r="U11" i="28"/>
  <c r="S12" i="28"/>
  <c r="Q13" i="28"/>
  <c r="U13" i="28"/>
  <c r="S14" i="28"/>
  <c r="Q15" i="28"/>
  <c r="U15" i="28"/>
  <c r="S16" i="28"/>
  <c r="P5" i="28"/>
  <c r="P18" i="28"/>
  <c r="T18" i="28"/>
  <c r="R19" i="28"/>
  <c r="P21" i="28"/>
  <c r="T21" i="28"/>
  <c r="R22" i="28"/>
  <c r="P23" i="28"/>
  <c r="T23" i="28"/>
  <c r="R24" i="28"/>
  <c r="S5" i="28"/>
  <c r="T6" i="28"/>
  <c r="P8" i="28"/>
  <c r="T8" i="28"/>
  <c r="R9" i="28"/>
  <c r="P10" i="28"/>
  <c r="T10" i="28"/>
  <c r="R11" i="28"/>
  <c r="P12" i="28"/>
  <c r="T12" i="28"/>
  <c r="R13" i="28"/>
  <c r="P14" i="28"/>
  <c r="T14" i="28"/>
  <c r="R15" i="28"/>
  <c r="P16" i="28"/>
  <c r="T16" i="28"/>
  <c r="P6" i="28"/>
  <c r="Q18" i="28"/>
  <c r="U18" i="28"/>
  <c r="S19" i="28"/>
  <c r="Q21" i="28"/>
  <c r="U21" i="28"/>
  <c r="S22" i="28"/>
  <c r="Q23" i="28"/>
  <c r="U23" i="28"/>
  <c r="C5" i="18"/>
  <c r="F13" i="18" s="1"/>
  <c r="G42" i="14"/>
  <c r="C30" i="14"/>
  <c r="V29" i="1" l="1"/>
  <c r="Z29" i="1" s="1"/>
  <c r="Z7" i="1" s="1"/>
  <c r="M16" i="21"/>
  <c r="Z53" i="1"/>
  <c r="V5" i="1" s="1"/>
  <c r="T10" i="23"/>
  <c r="D27" i="6" s="1"/>
  <c r="I27" i="6" s="1"/>
  <c r="G27" i="6" s="1"/>
  <c r="AB14" i="26"/>
  <c r="D37" i="26" s="1"/>
  <c r="V40" i="26" s="1"/>
  <c r="V28" i="1"/>
  <c r="Z28" i="1" s="1"/>
  <c r="Z6" i="1" s="1"/>
  <c r="V32" i="1"/>
  <c r="Z32" i="1" s="1"/>
  <c r="Z10" i="1" s="1"/>
  <c r="AB10" i="1" s="1"/>
  <c r="D10" i="6" s="1"/>
  <c r="I10" i="6" s="1"/>
  <c r="G10" i="6" s="1"/>
  <c r="V31" i="1"/>
  <c r="Z31" i="1" s="1"/>
  <c r="Z9" i="1" s="1"/>
  <c r="V30" i="1"/>
  <c r="Z30" i="1" s="1"/>
  <c r="Z8" i="1" s="1"/>
  <c r="M83" i="6"/>
  <c r="G83" i="6" s="1"/>
  <c r="F83" i="6"/>
  <c r="Y14" i="26"/>
  <c r="Y33" i="26" s="1"/>
  <c r="M147" i="6"/>
  <c r="G147" i="6" s="1"/>
  <c r="F147" i="6"/>
  <c r="F131" i="6"/>
  <c r="M131" i="6"/>
  <c r="G131" i="6" s="1"/>
  <c r="F132" i="6"/>
  <c r="M132" i="6"/>
  <c r="G132" i="6" s="1"/>
  <c r="M146" i="6"/>
  <c r="F146" i="6"/>
  <c r="M151" i="6"/>
  <c r="G151" i="6" s="1"/>
  <c r="F151" i="6"/>
  <c r="T14" i="23"/>
  <c r="D31" i="6" s="1"/>
  <c r="I31" i="6" s="1"/>
  <c r="G31" i="6" s="1"/>
  <c r="G118" i="6"/>
  <c r="I117" i="6"/>
  <c r="G117" i="6" s="1"/>
  <c r="V12" i="22"/>
  <c r="D22" i="6" s="1"/>
  <c r="I22" i="6" s="1"/>
  <c r="M82" i="6"/>
  <c r="F82" i="6"/>
  <c r="M90" i="6"/>
  <c r="G90" i="6" s="1"/>
  <c r="F90" i="6"/>
  <c r="M150" i="6"/>
  <c r="G150" i="6" s="1"/>
  <c r="F150" i="6"/>
  <c r="M149" i="6"/>
  <c r="G149" i="6" s="1"/>
  <c r="F149" i="6"/>
  <c r="M148" i="6"/>
  <c r="G148" i="6" s="1"/>
  <c r="F148" i="6"/>
  <c r="M86" i="6"/>
  <c r="G86" i="6" s="1"/>
  <c r="F86" i="6"/>
  <c r="F85" i="6"/>
  <c r="M85" i="6"/>
  <c r="G85" i="6" s="1"/>
  <c r="M84" i="6"/>
  <c r="G84" i="6" s="1"/>
  <c r="F84" i="6"/>
  <c r="F130" i="6"/>
  <c r="M130" i="6"/>
  <c r="T11" i="23"/>
  <c r="D28" i="6" s="1"/>
  <c r="I28" i="6" s="1"/>
  <c r="G28" i="6" s="1"/>
  <c r="G34" i="6"/>
  <c r="G33" i="6" s="1"/>
  <c r="I33" i="6"/>
  <c r="I40" i="6"/>
  <c r="G41" i="6"/>
  <c r="G40" i="6" s="1"/>
  <c r="G20" i="6"/>
  <c r="G13" i="18"/>
  <c r="D21" i="6"/>
  <c r="I21" i="6" s="1"/>
  <c r="D23" i="6"/>
  <c r="I23" i="6" s="1"/>
  <c r="G23" i="6" s="1"/>
  <c r="U17" i="28"/>
  <c r="R4" i="28"/>
  <c r="D10" i="11"/>
  <c r="P17" i="28"/>
  <c r="A25" i="27"/>
  <c r="B30" i="27"/>
  <c r="A22" i="27"/>
  <c r="A30" i="27"/>
  <c r="B21" i="27"/>
  <c r="B31" i="27"/>
  <c r="A20" i="27"/>
  <c r="B26" i="27"/>
  <c r="A28" i="27"/>
  <c r="B20" i="27"/>
  <c r="A33" i="27"/>
  <c r="B23" i="27"/>
  <c r="B35" i="27"/>
  <c r="A21" i="27"/>
  <c r="B29" i="27"/>
  <c r="A31" i="27"/>
  <c r="A35" i="27"/>
  <c r="B24" i="27"/>
  <c r="A34" i="27"/>
  <c r="A26" i="27"/>
  <c r="B34" i="27"/>
  <c r="B27" i="27"/>
  <c r="I12" i="27"/>
  <c r="B32" i="27"/>
  <c r="A32" i="27"/>
  <c r="B33" i="27"/>
  <c r="A27" i="27"/>
  <c r="B22" i="27"/>
  <c r="A24" i="27"/>
  <c r="B25" i="27"/>
  <c r="S33" i="26"/>
  <c r="S49" i="28"/>
  <c r="S56" i="28" s="1"/>
  <c r="D113" i="6" s="1"/>
  <c r="I113" i="6" s="1"/>
  <c r="G113" i="6" s="1"/>
  <c r="A23" i="27"/>
  <c r="T13" i="23"/>
  <c r="D30" i="6" s="1"/>
  <c r="I30" i="6" s="1"/>
  <c r="G30" i="6" s="1"/>
  <c r="B28" i="27"/>
  <c r="J84" i="1"/>
  <c r="L84" i="1" s="1"/>
  <c r="X10" i="1" s="1"/>
  <c r="J80" i="1"/>
  <c r="L80" i="1" s="1"/>
  <c r="X6" i="1" s="1"/>
  <c r="AB6" i="1" s="1"/>
  <c r="D6" i="6" s="1"/>
  <c r="I6" i="6" s="1"/>
  <c r="J79" i="1"/>
  <c r="L79" i="1" s="1"/>
  <c r="X5" i="1" s="1"/>
  <c r="AB5" i="1" s="1"/>
  <c r="D5" i="6" s="1"/>
  <c r="I5" i="6" s="1"/>
  <c r="G5" i="6" s="1"/>
  <c r="J83" i="1"/>
  <c r="L83" i="1" s="1"/>
  <c r="X9" i="1" s="1"/>
  <c r="J82" i="1"/>
  <c r="L82" i="1" s="1"/>
  <c r="X8" i="1" s="1"/>
  <c r="AB8" i="1" s="1"/>
  <c r="D8" i="6" s="1"/>
  <c r="I8" i="6" s="1"/>
  <c r="G8" i="6" s="1"/>
  <c r="J81" i="1"/>
  <c r="L81" i="1" s="1"/>
  <c r="X7" i="1" s="1"/>
  <c r="AB7" i="1" s="1"/>
  <c r="D7" i="6" s="1"/>
  <c r="I7" i="6" s="1"/>
  <c r="G7" i="6" s="1"/>
  <c r="P17" i="21"/>
  <c r="D17" i="6" s="1"/>
  <c r="I17" i="6" s="1"/>
  <c r="G17" i="6" s="1"/>
  <c r="C32" i="9"/>
  <c r="C33" i="9"/>
  <c r="C21" i="9"/>
  <c r="AF29" i="9"/>
  <c r="B34" i="9"/>
  <c r="C27" i="9"/>
  <c r="B29" i="9"/>
  <c r="C20" i="9"/>
  <c r="B23" i="9"/>
  <c r="C24" i="9"/>
  <c r="B24" i="9"/>
  <c r="B28" i="9"/>
  <c r="B36" i="9"/>
  <c r="C36" i="9"/>
  <c r="C29" i="9"/>
  <c r="B35" i="9"/>
  <c r="C26" i="9"/>
  <c r="C28" i="9"/>
  <c r="B33" i="9"/>
  <c r="B32" i="9"/>
  <c r="B20" i="9"/>
  <c r="B31" i="9"/>
  <c r="B30" i="9"/>
  <c r="C22" i="9"/>
  <c r="B21" i="9"/>
  <c r="C34" i="9"/>
  <c r="C25" i="9"/>
  <c r="C35" i="9"/>
  <c r="B25" i="9"/>
  <c r="C30" i="9"/>
  <c r="C31" i="9"/>
  <c r="L13" i="21"/>
  <c r="P13" i="21" s="1"/>
  <c r="D13" i="6" s="1"/>
  <c r="I13" i="6" s="1"/>
  <c r="L15" i="21"/>
  <c r="P15" i="21" s="1"/>
  <c r="D15" i="6" s="1"/>
  <c r="I15" i="6" s="1"/>
  <c r="G15" i="6" s="1"/>
  <c r="L14" i="21"/>
  <c r="P14" i="21" s="1"/>
  <c r="D14" i="6" s="1"/>
  <c r="I14" i="6" s="1"/>
  <c r="G14" i="6" s="1"/>
  <c r="L16" i="21"/>
  <c r="P16" i="21" s="1"/>
  <c r="D16" i="6" s="1"/>
  <c r="I16" i="6" s="1"/>
  <c r="G16" i="6" s="1"/>
  <c r="R49" i="28"/>
  <c r="R56" i="28" s="1"/>
  <c r="D112" i="6" s="1"/>
  <c r="I112" i="6" s="1"/>
  <c r="G112" i="6" s="1"/>
  <c r="Q49" i="28"/>
  <c r="Q56" i="28" s="1"/>
  <c r="D111" i="6" s="1"/>
  <c r="I111" i="6" s="1"/>
  <c r="G111" i="6" s="1"/>
  <c r="P49" i="28"/>
  <c r="P56" i="28" s="1"/>
  <c r="D110" i="6" s="1"/>
  <c r="I110" i="6" s="1"/>
  <c r="T49" i="28"/>
  <c r="T56" i="28" s="1"/>
  <c r="D114" i="6" s="1"/>
  <c r="I114" i="6" s="1"/>
  <c r="G114" i="6" s="1"/>
  <c r="U49" i="28"/>
  <c r="U56" i="28" s="1"/>
  <c r="D115" i="6" s="1"/>
  <c r="I115" i="6" s="1"/>
  <c r="G115" i="6" s="1"/>
  <c r="B22" i="9"/>
  <c r="B26" i="9"/>
  <c r="B27" i="9"/>
  <c r="Q17" i="28"/>
  <c r="R17" i="28"/>
  <c r="S4" i="28"/>
  <c r="R20" i="28"/>
  <c r="S20" i="28"/>
  <c r="P20" i="28"/>
  <c r="U7" i="28"/>
  <c r="T17" i="28"/>
  <c r="T20" i="28"/>
  <c r="T7" i="28"/>
  <c r="Q7" i="28"/>
  <c r="S7" i="28"/>
  <c r="R7" i="28"/>
  <c r="P7" i="28"/>
  <c r="P4" i="28"/>
  <c r="T4" i="28"/>
  <c r="U20" i="28"/>
  <c r="Q4" i="28"/>
  <c r="Q20" i="28"/>
  <c r="S17" i="28"/>
  <c r="U4" i="28"/>
  <c r="AB9" i="1" l="1"/>
  <c r="D9" i="6" s="1"/>
  <c r="I9" i="6" s="1"/>
  <c r="G9" i="6" s="1"/>
  <c r="I19" i="6"/>
  <c r="H29" i="11" s="1"/>
  <c r="G130" i="6"/>
  <c r="M129" i="6"/>
  <c r="G129" i="6" s="1"/>
  <c r="L91" i="6"/>
  <c r="G82" i="6"/>
  <c r="AB33" i="26"/>
  <c r="G26" i="6"/>
  <c r="B36" i="27"/>
  <c r="I11" i="27" s="1"/>
  <c r="N11" i="27" s="1"/>
  <c r="L152" i="6"/>
  <c r="G146" i="6"/>
  <c r="G110" i="6"/>
  <c r="I109" i="6"/>
  <c r="G109" i="6" s="1"/>
  <c r="G21" i="6"/>
  <c r="G22" i="6"/>
  <c r="H33" i="11"/>
  <c r="I26" i="6"/>
  <c r="G6" i="6"/>
  <c r="G4" i="6" s="1"/>
  <c r="I4" i="6"/>
  <c r="A36" i="27"/>
  <c r="I10" i="27" s="1"/>
  <c r="J11" i="27"/>
  <c r="L11" i="27"/>
  <c r="R11" i="27"/>
  <c r="C37" i="9"/>
  <c r="AR24" i="9" s="1"/>
  <c r="AL31" i="9" s="1"/>
  <c r="G13" i="6"/>
  <c r="G12" i="6" s="1"/>
  <c r="I12" i="6"/>
  <c r="B37" i="9"/>
  <c r="AR25" i="9" s="1"/>
  <c r="AL29" i="9" s="1"/>
  <c r="V41" i="26"/>
  <c r="AA40" i="26"/>
  <c r="R25" i="28"/>
  <c r="S25" i="28"/>
  <c r="T25" i="28"/>
  <c r="P25" i="28"/>
  <c r="U25" i="28"/>
  <c r="Q25" i="28"/>
  <c r="G19" i="6" l="1"/>
  <c r="M152" i="6"/>
  <c r="F152" i="6"/>
  <c r="M91" i="6"/>
  <c r="F91" i="6"/>
  <c r="P11" i="27"/>
  <c r="D105" i="6"/>
  <c r="I105" i="6" s="1"/>
  <c r="G105" i="6" s="1"/>
  <c r="D97" i="6"/>
  <c r="I97" i="6" s="1"/>
  <c r="G97" i="6" s="1"/>
  <c r="D99" i="6"/>
  <c r="I99" i="6" s="1"/>
  <c r="G99" i="6" s="1"/>
  <c r="D107" i="6"/>
  <c r="I107" i="6" s="1"/>
  <c r="G107" i="6" s="1"/>
  <c r="D95" i="6"/>
  <c r="I95" i="6" s="1"/>
  <c r="G95" i="6" s="1"/>
  <c r="D103" i="6"/>
  <c r="I103" i="6" s="1"/>
  <c r="G103" i="6" s="1"/>
  <c r="D94" i="6"/>
  <c r="I94" i="6" s="1"/>
  <c r="D102" i="6"/>
  <c r="I102" i="6" s="1"/>
  <c r="D96" i="6"/>
  <c r="I96" i="6" s="1"/>
  <c r="G96" i="6" s="1"/>
  <c r="D104" i="6"/>
  <c r="I104" i="6" s="1"/>
  <c r="G104" i="6" s="1"/>
  <c r="D98" i="6"/>
  <c r="I98" i="6" s="1"/>
  <c r="G98" i="6" s="1"/>
  <c r="D106" i="6"/>
  <c r="I106" i="6" s="1"/>
  <c r="G106" i="6" s="1"/>
  <c r="I29" i="11"/>
  <c r="G29" i="11" s="1"/>
  <c r="I33" i="11"/>
  <c r="F33" i="11"/>
  <c r="AR27" i="9"/>
  <c r="AW29" i="9" s="1"/>
  <c r="F29" i="11"/>
  <c r="P10" i="27"/>
  <c r="P12" i="27" s="1"/>
  <c r="R10" i="27"/>
  <c r="R12" i="27" s="1"/>
  <c r="J10" i="27"/>
  <c r="L10" i="27"/>
  <c r="L12" i="27" s="1"/>
  <c r="N10" i="27"/>
  <c r="N12" i="27" s="1"/>
  <c r="AR26" i="9"/>
  <c r="AA30" i="9" s="1"/>
  <c r="AR31" i="9"/>
  <c r="V42" i="26"/>
  <c r="AA42" i="26" s="1"/>
  <c r="AA41" i="26"/>
  <c r="V43" i="26"/>
  <c r="AA43" i="26" s="1"/>
  <c r="AA44" i="26" l="1"/>
  <c r="G91" i="6"/>
  <c r="M81" i="6"/>
  <c r="G81" i="6" s="1"/>
  <c r="G152" i="6"/>
  <c r="G145" i="6" s="1"/>
  <c r="M145" i="6"/>
  <c r="L34" i="11" s="1"/>
  <c r="G102" i="6"/>
  <c r="I101" i="6"/>
  <c r="G101" i="6" s="1"/>
  <c r="G94" i="6"/>
  <c r="I93" i="6"/>
  <c r="G93" i="6" s="1"/>
  <c r="I28" i="11"/>
  <c r="G28" i="11" s="1"/>
  <c r="G33" i="11"/>
  <c r="S71" i="27"/>
  <c r="S75" i="27"/>
  <c r="S88" i="27"/>
  <c r="S95" i="27"/>
  <c r="S90" i="27"/>
  <c r="S76" i="27"/>
  <c r="S101" i="27"/>
  <c r="S102" i="27"/>
  <c r="S100" i="27"/>
  <c r="S79" i="27"/>
  <c r="S93" i="27"/>
  <c r="S70" i="27"/>
  <c r="S82" i="27"/>
  <c r="S103" i="27"/>
  <c r="S83" i="27"/>
  <c r="S92" i="27"/>
  <c r="S78" i="27"/>
  <c r="S74" i="27"/>
  <c r="S73" i="27" s="1"/>
  <c r="S84" i="27"/>
  <c r="S94" i="27"/>
  <c r="S87" i="27"/>
  <c r="S104" i="27"/>
  <c r="S69" i="27"/>
  <c r="Y70" i="27"/>
  <c r="Y74" i="27"/>
  <c r="Y75" i="27"/>
  <c r="Y87" i="27"/>
  <c r="Y69" i="27"/>
  <c r="Y92" i="27"/>
  <c r="Y76" i="27"/>
  <c r="Y102" i="27"/>
  <c r="Y104" i="27"/>
  <c r="Y82" i="27"/>
  <c r="Y84" i="27"/>
  <c r="Y94" i="27"/>
  <c r="Y79" i="27"/>
  <c r="Y95" i="27"/>
  <c r="Y71" i="27"/>
  <c r="Y88" i="27"/>
  <c r="Y100" i="27"/>
  <c r="Y78" i="27"/>
  <c r="Y77" i="27" s="1"/>
  <c r="Y83" i="27"/>
  <c r="Y90" i="27"/>
  <c r="Y101" i="27"/>
  <c r="Y103" i="27"/>
  <c r="Y93" i="27"/>
  <c r="U79" i="27"/>
  <c r="U70" i="27"/>
  <c r="U71" i="27"/>
  <c r="U101" i="27"/>
  <c r="U76" i="27"/>
  <c r="U90" i="27"/>
  <c r="U94" i="27"/>
  <c r="U104" i="27"/>
  <c r="U83" i="27"/>
  <c r="U103" i="27"/>
  <c r="U95" i="27"/>
  <c r="U78" i="27"/>
  <c r="U93" i="27"/>
  <c r="U100" i="27"/>
  <c r="U84" i="27"/>
  <c r="U69" i="27"/>
  <c r="U92" i="27"/>
  <c r="U88" i="27"/>
  <c r="U102" i="27"/>
  <c r="U75" i="27"/>
  <c r="U82" i="27"/>
  <c r="U87" i="27"/>
  <c r="U74" i="27"/>
  <c r="W79" i="27"/>
  <c r="W93" i="27"/>
  <c r="W75" i="27"/>
  <c r="W71" i="27"/>
  <c r="W74" i="27"/>
  <c r="W102" i="27"/>
  <c r="W69" i="27"/>
  <c r="W104" i="27"/>
  <c r="W83" i="27"/>
  <c r="W100" i="27"/>
  <c r="W88" i="27"/>
  <c r="W94" i="27"/>
  <c r="W95" i="27"/>
  <c r="W101" i="27"/>
  <c r="W90" i="27"/>
  <c r="W92" i="27"/>
  <c r="W76" i="27"/>
  <c r="W82" i="27"/>
  <c r="W103" i="27"/>
  <c r="W84" i="27"/>
  <c r="W78" i="27"/>
  <c r="W77" i="27" s="1"/>
  <c r="W87" i="27"/>
  <c r="W70" i="27"/>
  <c r="AS29" i="9"/>
  <c r="AA32" i="9" s="1"/>
  <c r="AJ33" i="9" s="1"/>
  <c r="AA34" i="9" s="1"/>
  <c r="AA35" i="9" s="1"/>
  <c r="M26" i="11" s="1"/>
  <c r="W86" i="27" l="1"/>
  <c r="U81" i="27"/>
  <c r="F34" i="11"/>
  <c r="M34" i="11"/>
  <c r="U91" i="27"/>
  <c r="U86" i="27"/>
  <c r="W99" i="27"/>
  <c r="W81" i="27"/>
  <c r="I27" i="11"/>
  <c r="I5" i="11" s="1"/>
  <c r="G5" i="11" s="1"/>
  <c r="U77" i="27"/>
  <c r="U85" i="27"/>
  <c r="U99" i="27"/>
  <c r="Y99" i="27"/>
  <c r="S91" i="27"/>
  <c r="Y86" i="27"/>
  <c r="W73" i="27"/>
  <c r="W91" i="27"/>
  <c r="W85" i="27" s="1"/>
  <c r="U73" i="27"/>
  <c r="Y81" i="27"/>
  <c r="Y91" i="27"/>
  <c r="Y73" i="27"/>
  <c r="S86" i="27"/>
  <c r="S85" i="27" s="1"/>
  <c r="S72" i="27" s="1"/>
  <c r="S105" i="27" s="1"/>
  <c r="D124" i="6" s="1"/>
  <c r="I124" i="6" s="1"/>
  <c r="S77" i="27"/>
  <c r="S81" i="27"/>
  <c r="S99" i="27"/>
  <c r="M4" i="11"/>
  <c r="G4" i="11" s="1"/>
  <c r="G26" i="11"/>
  <c r="H32" i="11"/>
  <c r="G27" i="11" l="1"/>
  <c r="G124" i="6"/>
  <c r="U72" i="27"/>
  <c r="U105" i="27" s="1"/>
  <c r="D125" i="6" s="1"/>
  <c r="I125" i="6" s="1"/>
  <c r="G125" i="6" s="1"/>
  <c r="G34" i="11"/>
  <c r="M31" i="11"/>
  <c r="M6" i="11" s="1"/>
  <c r="I32" i="11"/>
  <c r="I31" i="11" s="1"/>
  <c r="F32" i="11"/>
  <c r="W72" i="27"/>
  <c r="W105" i="27" s="1"/>
  <c r="D126" i="6" s="1"/>
  <c r="I126" i="6" s="1"/>
  <c r="G126" i="6" s="1"/>
  <c r="Y85" i="27"/>
  <c r="Y72" i="27" s="1"/>
  <c r="Y105" i="27" s="1"/>
  <c r="D127" i="6" s="1"/>
  <c r="I127" i="6" s="1"/>
  <c r="G127" i="6" s="1"/>
  <c r="I123" i="6" l="1"/>
  <c r="G123" i="6" s="1"/>
  <c r="G31" i="11"/>
  <c r="L35" i="11"/>
  <c r="M35" i="11" s="1"/>
  <c r="G32" i="11"/>
  <c r="I6" i="11" l="1"/>
  <c r="G6" i="11" l="1"/>
  <c r="I9" i="11"/>
  <c r="I11" i="11" s="1"/>
  <c r="F35" i="11"/>
  <c r="G35" i="11" l="1"/>
  <c r="L36" i="11" s="1"/>
  <c r="M36" i="11" s="1"/>
  <c r="M7" i="11"/>
  <c r="G7" i="11" l="1"/>
  <c r="F36" i="11"/>
  <c r="G36" i="11" l="1"/>
  <c r="M8" i="11"/>
  <c r="G8" i="11" l="1"/>
  <c r="M9" i="11"/>
  <c r="G9" i="11" s="1"/>
  <c r="B9" i="18" l="1"/>
  <c r="B13" i="18"/>
  <c r="J13" i="18" l="1"/>
  <c r="B14" i="18"/>
  <c r="E14" i="18" l="1"/>
  <c r="F14" i="18"/>
  <c r="B15" i="18"/>
  <c r="G14" i="18"/>
  <c r="H14" i="18"/>
  <c r="I14" i="18" s="1"/>
  <c r="D14" i="18"/>
  <c r="J14" i="18" l="1"/>
  <c r="B16" i="18"/>
  <c r="H15" i="18"/>
  <c r="I15" i="18" s="1"/>
  <c r="F15" i="18"/>
  <c r="G15" i="18"/>
  <c r="E15" i="18"/>
  <c r="D15" i="18"/>
  <c r="J15" i="18" l="1"/>
  <c r="E16" i="18"/>
  <c r="G16" i="18"/>
  <c r="D16" i="18"/>
  <c r="B17" i="18"/>
  <c r="F16" i="18"/>
  <c r="H16" i="18"/>
  <c r="I16" i="18" s="1"/>
  <c r="J16" i="18" l="1"/>
  <c r="E17" i="18"/>
  <c r="G17" i="18"/>
  <c r="F17" i="18"/>
  <c r="D17" i="18"/>
  <c r="H17" i="18"/>
  <c r="I17" i="18" s="1"/>
  <c r="J17" i="18" l="1"/>
  <c r="J18" i="18" s="1"/>
  <c r="G10" i="11" s="1"/>
  <c r="M10" i="11" l="1"/>
  <c r="M11" i="11" s="1"/>
  <c r="G11" i="11" s="1"/>
  <c r="G12" i="11" s="1"/>
  <c r="G13" i="11" s="1"/>
  <c r="G14" i="11" s="1"/>
  <c r="P15" i="11" l="1"/>
  <c r="G15" i="11" s="1"/>
  <c r="O21" i="14" s="1"/>
  <c r="F21" i="14" s="1"/>
  <c r="O23" i="14" l="1"/>
  <c r="F23" i="14"/>
</calcChain>
</file>

<file path=xl/comments1.xml><?xml version="1.0" encoding="utf-8"?>
<comments xmlns="http://schemas.openxmlformats.org/spreadsheetml/2006/main">
  <authors>
    <author>admin</author>
  </authors>
  <commentList>
    <comment ref="P3" authorId="0">
      <text>
        <r>
          <rPr>
            <b/>
            <sz val="9"/>
            <color indexed="81"/>
            <rFont val="돋움"/>
            <family val="3"/>
            <charset val="129"/>
          </rPr>
          <t>수정하시면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안됍니다</t>
        </r>
        <r>
          <rPr>
            <b/>
            <sz val="9"/>
            <color indexed="81"/>
            <rFont val="Tahoma"/>
            <family val="2"/>
          </rPr>
          <t xml:space="preserve">.
</t>
        </r>
        <r>
          <rPr>
            <b/>
            <sz val="9"/>
            <color indexed="81"/>
            <rFont val="돋움"/>
            <family val="3"/>
            <charset val="129"/>
          </rPr>
          <t>자동수식에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필요한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숫자입니다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B11" authorId="0">
      <text>
        <r>
          <rPr>
            <b/>
            <sz val="9"/>
            <color indexed="81"/>
            <rFont val="돋움"/>
            <family val="3"/>
            <charset val="129"/>
          </rPr>
          <t>○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기본설계와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실시설계를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동시에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발주하는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경우에는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해당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실시설계요율의</t>
        </r>
        <r>
          <rPr>
            <b/>
            <sz val="9"/>
            <color indexed="81"/>
            <rFont val="Tahoma"/>
            <family val="2"/>
          </rPr>
          <t xml:space="preserve"> 1.45</t>
        </r>
        <r>
          <rPr>
            <b/>
            <sz val="9"/>
            <color indexed="81"/>
            <rFont val="돋움"/>
            <family val="3"/>
            <charset val="129"/>
          </rPr>
          <t>배를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적용한다</t>
        </r>
        <r>
          <rPr>
            <b/>
            <sz val="9"/>
            <color indexed="81"/>
            <rFont val="Tahoma"/>
            <family val="2"/>
          </rPr>
          <t xml:space="preserve">.
</t>
        </r>
        <r>
          <rPr>
            <b/>
            <sz val="9"/>
            <color indexed="81"/>
            <rFont val="돋움"/>
            <family val="3"/>
            <charset val="129"/>
          </rPr>
          <t>○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타당성조사와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기본설계를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동시에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발주하는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경우에는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해당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기본설계요율의</t>
        </r>
        <r>
          <rPr>
            <b/>
            <sz val="9"/>
            <color indexed="81"/>
            <rFont val="Tahoma"/>
            <family val="2"/>
          </rPr>
          <t xml:space="preserve">  1.35</t>
        </r>
        <r>
          <rPr>
            <b/>
            <sz val="9"/>
            <color indexed="81"/>
            <rFont val="돋움"/>
            <family val="3"/>
            <charset val="129"/>
          </rPr>
          <t>배를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적용한다</t>
        </r>
        <r>
          <rPr>
            <b/>
            <sz val="9"/>
            <color indexed="81"/>
            <rFont val="Tahoma"/>
            <family val="2"/>
          </rPr>
          <t xml:space="preserve">.
</t>
        </r>
        <r>
          <rPr>
            <b/>
            <sz val="9"/>
            <color indexed="81"/>
            <rFont val="돋움"/>
            <family val="3"/>
            <charset val="129"/>
          </rPr>
          <t>○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기본설계를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시행하지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않는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실시설계는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해당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실시설계요율의</t>
        </r>
        <r>
          <rPr>
            <b/>
            <sz val="9"/>
            <color indexed="81"/>
            <rFont val="Tahoma"/>
            <family val="2"/>
          </rPr>
          <t xml:space="preserve">  1.35</t>
        </r>
        <r>
          <rPr>
            <b/>
            <sz val="9"/>
            <color indexed="81"/>
            <rFont val="돋움"/>
            <family val="3"/>
            <charset val="129"/>
          </rPr>
          <t>배를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적용한다</t>
        </r>
        <r>
          <rPr>
            <b/>
            <sz val="9"/>
            <color indexed="81"/>
            <rFont val="Tahoma"/>
            <family val="2"/>
          </rPr>
          <t xml:space="preserve">.
</t>
        </r>
        <r>
          <rPr>
            <b/>
            <sz val="9"/>
            <color indexed="81"/>
            <rFont val="돋움"/>
            <family val="3"/>
            <charset val="129"/>
          </rPr>
          <t>○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타당성조사를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시행하지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않는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기본설계는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해당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기본설계요율의</t>
        </r>
        <r>
          <rPr>
            <b/>
            <sz val="9"/>
            <color indexed="81"/>
            <rFont val="Tahoma"/>
            <family val="2"/>
          </rPr>
          <t xml:space="preserve">  1.24
</t>
        </r>
        <r>
          <rPr>
            <b/>
            <sz val="9"/>
            <color indexed="81"/>
            <rFont val="돋움"/>
            <family val="3"/>
            <charset val="129"/>
          </rPr>
          <t>배를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적용한다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H14" authorId="0">
      <text>
        <r>
          <rPr>
            <b/>
            <sz val="10"/>
            <color indexed="81"/>
            <rFont val="맑은 고딕"/>
            <family val="3"/>
            <charset val="129"/>
          </rPr>
          <t>1. 공공측량성과심사의 경우 측량·수로조사 및 지적에 관한 법률로 강제하고 있는 사항입니다.
2. 지형현황측량 30,000㎡이상, 노선1㎞이상의 하천, 도로 등의 설계시 검토하여 주시기 바랍니다.
3. 대가는 용역비에 포함하셔도 되고, 발주기관에서 직접납부하셔도 됩니다.
   (후자가 편할듯, Sheet는 만들었지만 너무 어렵습니다. 용역완료후 신청하면 대한측량협회에서 금액계산해서 통보옵니다.)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K3" authorId="0">
      <text>
        <r>
          <rPr>
            <b/>
            <sz val="12"/>
            <color indexed="81"/>
            <rFont val="맑은 고딕"/>
            <family val="3"/>
            <charset val="129"/>
          </rPr>
          <t>한국지질자원연구원
(회원가입이 필요합니다. 무료)</t>
        </r>
      </text>
    </comment>
    <comment ref="B13" authorId="0">
      <text>
        <r>
          <rPr>
            <b/>
            <sz val="12"/>
            <color indexed="81"/>
            <rFont val="맑은 고딕"/>
            <family val="3"/>
            <charset val="129"/>
          </rPr>
          <t>BX : 케이싱 직경 D41mm, 불교란시료 채취 불가능
NX : 케이싱 직경D54mm, 불교란시교 채취 가능(지반의 강도 정수 추정 및 분석 활용 가능)</t>
        </r>
      </text>
    </comment>
    <comment ref="C22" authorId="0">
      <text>
        <r>
          <rPr>
            <sz val="12"/>
            <color indexed="81"/>
            <rFont val="맑은 고딕"/>
            <family val="3"/>
            <charset val="129"/>
          </rPr>
          <t>한국건설산업품질연구원 시험단가(2011년)</t>
        </r>
      </text>
    </comment>
    <comment ref="H22" authorId="0">
      <text>
        <r>
          <rPr>
            <b/>
            <sz val="14"/>
            <color indexed="81"/>
            <rFont val="맑은 고딕"/>
            <family val="3"/>
            <charset val="129"/>
          </rPr>
          <t>황토색 부분은 시험이 가능할 것으로 판단되는 구간입니다.(참고만)</t>
        </r>
      </text>
    </comment>
    <comment ref="I25" authorId="0">
      <text>
        <r>
          <rPr>
            <b/>
            <sz val="14"/>
            <color indexed="81"/>
            <rFont val="맑은 고딕"/>
            <family val="3"/>
            <charset val="129"/>
          </rPr>
          <t>붉은색 부분은 시험이 불가능할 것으로 판단되는 구간입니다.(참고만)</t>
        </r>
      </text>
    </comment>
    <comment ref="B30" authorId="0">
      <text>
        <r>
          <rPr>
            <b/>
            <sz val="14"/>
            <color indexed="81"/>
            <rFont val="맑은 고딕"/>
            <family val="3"/>
            <charset val="129"/>
          </rPr>
          <t>도로설계에 필요함
(도로포장두께산정에 필요함 실험)</t>
        </r>
      </text>
    </comment>
  </commentList>
</comments>
</file>

<file path=xl/comments3.xml><?xml version="1.0" encoding="utf-8"?>
<comments xmlns="http://schemas.openxmlformats.org/spreadsheetml/2006/main">
  <authors>
    <author>admin</author>
  </authors>
  <commentList>
    <comment ref="AR23" authorId="0">
      <text>
        <r>
          <rPr>
            <b/>
            <sz val="9"/>
            <color indexed="81"/>
            <rFont val="맑은 고딕"/>
            <family val="3"/>
            <charset val="129"/>
          </rPr>
          <t>개략공사비는 천원단위로 환산하세요.
개략공사비 계와 연결하세요.
(200억이상은 다른 프로그램 쓰세요.)</t>
        </r>
      </text>
    </comment>
  </commentList>
</comments>
</file>

<file path=xl/comments4.xml><?xml version="1.0" encoding="utf-8"?>
<comments xmlns="http://schemas.openxmlformats.org/spreadsheetml/2006/main">
  <authors>
    <author>admin</author>
  </authors>
  <commentList>
    <comment ref="J8" authorId="0">
      <text>
        <r>
          <rPr>
            <sz val="9"/>
            <color indexed="81"/>
            <rFont val="돋움"/>
            <family val="3"/>
            <charset val="129"/>
          </rPr>
          <t>지형현황측량의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구릉지와
기준점측량의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산지와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비슷한지형임</t>
        </r>
      </text>
    </comment>
  </commentList>
</comments>
</file>

<file path=xl/comments5.xml><?xml version="1.0" encoding="utf-8"?>
<comments xmlns="http://schemas.openxmlformats.org/spreadsheetml/2006/main">
  <authors>
    <author>admin</author>
  </authors>
  <commentList>
    <comment ref="Y2" authorId="0">
      <text>
        <r>
          <rPr>
            <b/>
            <sz val="9"/>
            <color indexed="81"/>
            <rFont val="맑은 고딕"/>
            <family val="3"/>
            <charset val="129"/>
          </rPr>
          <t>현지심사가 필요하다고 인정될 경우에는
측량계획기관과 협의하여 실시</t>
        </r>
      </text>
    </comment>
    <comment ref="Y43" authorId="0">
      <text>
        <r>
          <rPr>
            <sz val="8"/>
            <color indexed="81"/>
            <rFont val="맑은 고딕"/>
            <family val="3"/>
            <charset val="129"/>
          </rPr>
          <t>왕복 120km 미만의 경우 1/3적용</t>
        </r>
      </text>
    </comment>
    <comment ref="M44" authorId="0">
      <text>
        <r>
          <rPr>
            <b/>
            <sz val="8"/>
            <color indexed="81"/>
            <rFont val="맑은 고딕"/>
            <family val="3"/>
            <charset val="129"/>
          </rPr>
          <t>음성 - 3만원</t>
        </r>
      </text>
    </comment>
    <comment ref="B94" authorId="0">
      <text>
        <r>
          <rPr>
            <b/>
            <sz val="10"/>
            <color indexed="81"/>
            <rFont val="맑은 고딕"/>
            <family val="3"/>
            <charset val="129"/>
          </rPr>
          <t>적용하지 못했습니다. 측량장비의 가격에 대한 상각비는 계산하였는데 각 심사항목별로 어떤기계조합이 얼마의 시간동안 사용되는지에 대한 자료를 찾을 길이 없어 대가산정에 실폐하였습니다.
혹시 의견이나 자료 등이 있으신 분은 연락주세요.</t>
        </r>
      </text>
    </comment>
  </commentList>
</comments>
</file>

<file path=xl/comments6.xml><?xml version="1.0" encoding="utf-8"?>
<comments xmlns="http://schemas.openxmlformats.org/spreadsheetml/2006/main">
  <authors>
    <author>admin</author>
  </authors>
  <commentList>
    <comment ref="G11" authorId="0">
      <text>
        <r>
          <rPr>
            <b/>
            <sz val="12"/>
            <color indexed="81"/>
            <rFont val="맑은 고딕"/>
            <family val="3"/>
            <charset val="129"/>
          </rPr>
          <t>음성 3만원</t>
        </r>
      </text>
    </comment>
  </commentList>
</comments>
</file>

<file path=xl/comments7.xml><?xml version="1.0" encoding="utf-8"?>
<comments xmlns="http://schemas.openxmlformats.org/spreadsheetml/2006/main">
  <authors>
    <author>admin</author>
  </authors>
  <commentList>
    <comment ref="K3" authorId="0">
      <text>
        <r>
          <rPr>
            <b/>
            <sz val="9"/>
            <color indexed="81"/>
            <rFont val="맑은 고딕"/>
            <family val="3"/>
            <charset val="129"/>
          </rPr>
          <t>소요인력 할증표 적용을 위한
숫자입니다. 지우지 마세요.</t>
        </r>
      </text>
    </comment>
  </commentList>
</comments>
</file>

<file path=xl/sharedStrings.xml><?xml version="1.0" encoding="utf-8"?>
<sst xmlns="http://schemas.openxmlformats.org/spreadsheetml/2006/main" count="2785" uniqueCount="1564">
  <si>
    <t>21-8 지형현황(’08년 보완)</t>
  </si>
  <si>
    <t>◦ 지형 유형에 따른 계수(K)</t>
  </si>
  <si>
    <t>◦ 축척에 따른 계수(S)</t>
  </si>
  <si>
    <t>◦ 작업종류에 따른 계수(T)</t>
  </si>
  <si>
    <t>고급기술자</t>
    <phoneticPr fontId="1" type="noConversion"/>
  </si>
  <si>
    <t>중급기술자</t>
    <phoneticPr fontId="1" type="noConversion"/>
  </si>
  <si>
    <t>초급기술자</t>
    <phoneticPr fontId="1" type="noConversion"/>
  </si>
  <si>
    <t>구분</t>
    <phoneticPr fontId="1" type="noConversion"/>
  </si>
  <si>
    <t>내업</t>
    <phoneticPr fontId="1" type="noConversion"/>
  </si>
  <si>
    <t>외업</t>
    <phoneticPr fontId="1" type="noConversion"/>
  </si>
  <si>
    <t>특급기술자</t>
    <phoneticPr fontId="1" type="noConversion"/>
  </si>
  <si>
    <t>총수량</t>
    <phoneticPr fontId="1" type="noConversion"/>
  </si>
  <si>
    <t>작업량(거리)</t>
    <phoneticPr fontId="1" type="noConversion"/>
  </si>
  <si>
    <t>종단측량</t>
    <phoneticPr fontId="1" type="noConversion"/>
  </si>
  <si>
    <t>횡단측량</t>
    <phoneticPr fontId="1" type="noConversion"/>
  </si>
  <si>
    <t>지구별</t>
    <phoneticPr fontId="2" type="noConversion"/>
  </si>
  <si>
    <t>노선선정</t>
    <phoneticPr fontId="2" type="noConversion"/>
  </si>
  <si>
    <t>노선선점</t>
    <phoneticPr fontId="2" type="noConversion"/>
  </si>
  <si>
    <t>중심선측량</t>
    <phoneticPr fontId="2" type="noConversion"/>
  </si>
  <si>
    <t>종단측량</t>
    <phoneticPr fontId="2" type="noConversion"/>
  </si>
  <si>
    <t>횡단측량</t>
    <phoneticPr fontId="2" type="noConversion"/>
  </si>
  <si>
    <t>평판측량</t>
    <phoneticPr fontId="2" type="noConversion"/>
  </si>
  <si>
    <t>보통시가지</t>
    <phoneticPr fontId="2" type="noConversion"/>
  </si>
  <si>
    <t>교외촌락지</t>
    <phoneticPr fontId="2" type="noConversion"/>
  </si>
  <si>
    <t>농지,구릉지</t>
    <phoneticPr fontId="2" type="noConversion"/>
  </si>
  <si>
    <t>1. 진행기준(1반1일)(1km당 1반 소요일수)</t>
    <phoneticPr fontId="2" type="noConversion"/>
  </si>
  <si>
    <t>고급기술자</t>
    <phoneticPr fontId="2" type="noConversion"/>
  </si>
  <si>
    <t>중급기술자</t>
    <phoneticPr fontId="2" type="noConversion"/>
  </si>
  <si>
    <t>초급기술자</t>
    <phoneticPr fontId="2" type="noConversion"/>
  </si>
  <si>
    <t>초급기능사</t>
    <phoneticPr fontId="2" type="noConversion"/>
  </si>
  <si>
    <t>3. 작업별 인원 편성</t>
    <phoneticPr fontId="2" type="noConversion"/>
  </si>
  <si>
    <t>용지경계말뚝설치</t>
    <phoneticPr fontId="2" type="noConversion"/>
  </si>
  <si>
    <t>번화지구</t>
    <phoneticPr fontId="2" type="noConversion"/>
  </si>
  <si>
    <t>보통지구</t>
    <phoneticPr fontId="2" type="noConversion"/>
  </si>
  <si>
    <t>촌락지구</t>
    <phoneticPr fontId="2" type="noConversion"/>
  </si>
  <si>
    <t>2. 지역별 소요 인부(1반1일)</t>
    <phoneticPr fontId="2" type="noConversion"/>
  </si>
  <si>
    <t>2. 지역별 소요 인부(초급기능사,측부)(1반1일)</t>
    <phoneticPr fontId="2" type="noConversion"/>
  </si>
  <si>
    <t>초급기능사(측량)</t>
    <phoneticPr fontId="2" type="noConversion"/>
  </si>
  <si>
    <t>번화시가지</t>
    <phoneticPr fontId="2" type="noConversion"/>
  </si>
  <si>
    <t>교외시가지</t>
    <phoneticPr fontId="2" type="noConversion"/>
  </si>
  <si>
    <t>삼림지</t>
    <phoneticPr fontId="2" type="noConversion"/>
  </si>
  <si>
    <t>신규</t>
  </si>
  <si>
    <t>직접입력</t>
    <phoneticPr fontId="1" type="noConversion"/>
  </si>
  <si>
    <t>실시</t>
  </si>
  <si>
    <t>=</t>
    <phoneticPr fontId="2" type="noConversion"/>
  </si>
  <si>
    <t>규   격</t>
  </si>
  <si>
    <t>수 량</t>
  </si>
  <si>
    <t>단위</t>
  </si>
  <si>
    <t>합    계</t>
  </si>
  <si>
    <t>노무비</t>
  </si>
  <si>
    <t>재료비</t>
  </si>
  <si>
    <t>경    비</t>
  </si>
  <si>
    <t>2.</t>
  </si>
  <si>
    <t>%</t>
  </si>
  <si>
    <t>단  가</t>
  </si>
  <si>
    <t>금   액</t>
  </si>
  <si>
    <t>지질조사</t>
    <phoneticPr fontId="2" type="noConversion"/>
  </si>
  <si>
    <t>원</t>
    <phoneticPr fontId="2" type="noConversion"/>
  </si>
  <si>
    <t>공     종</t>
  </si>
  <si>
    <t>계</t>
  </si>
  <si>
    <t>3.</t>
  </si>
  <si>
    <t>4.</t>
  </si>
  <si>
    <t>시행방법 :</t>
  </si>
  <si>
    <t>도급시행</t>
  </si>
  <si>
    <t>용역기간 :</t>
  </si>
  <si>
    <t>기술사</t>
    <phoneticPr fontId="1" type="noConversion"/>
  </si>
  <si>
    <t>초급기술자</t>
    <phoneticPr fontId="1" type="noConversion"/>
  </si>
  <si>
    <t>고급기능사</t>
    <phoneticPr fontId="1" type="noConversion"/>
  </si>
  <si>
    <t>중급기능사</t>
    <phoneticPr fontId="1" type="noConversion"/>
  </si>
  <si>
    <t>초급기능사</t>
    <phoneticPr fontId="1" type="noConversion"/>
  </si>
  <si>
    <t>중급기능사</t>
    <phoneticPr fontId="2" type="noConversion"/>
  </si>
  <si>
    <t>측부</t>
    <phoneticPr fontId="2" type="noConversion"/>
  </si>
  <si>
    <t>자료입력원</t>
    <phoneticPr fontId="1" type="noConversion"/>
  </si>
  <si>
    <t>구 분</t>
  </si>
  <si>
    <t>150㎜</t>
  </si>
  <si>
    <t>250㎜</t>
  </si>
  <si>
    <t>450㎜</t>
  </si>
  <si>
    <t>신설관로</t>
  </si>
  <si>
    <t>천원/m</t>
  </si>
  <si>
    <t>제수밸브실</t>
  </si>
  <si>
    <t>천원/개소</t>
  </si>
  <si>
    <t>유량계실</t>
  </si>
  <si>
    <t>감압밸브실</t>
  </si>
  <si>
    <t>이토밸브실</t>
  </si>
  <si>
    <t>공기밸브실</t>
  </si>
  <si>
    <t>수압계실</t>
  </si>
  <si>
    <t>수질계실</t>
  </si>
  <si>
    <t>가압펌프실</t>
  </si>
  <si>
    <t>점검구</t>
  </si>
  <si>
    <t>포장상태</t>
  </si>
  <si>
    <t>ASP포장</t>
  </si>
  <si>
    <t>CON'C포장</t>
  </si>
  <si>
    <t>보도블록포장</t>
  </si>
  <si>
    <t>D50</t>
  </si>
  <si>
    <t>D80</t>
  </si>
  <si>
    <t>D100</t>
  </si>
  <si>
    <t>D150</t>
  </si>
  <si>
    <t>D200</t>
  </si>
  <si>
    <t>D250</t>
  </si>
  <si>
    <t>D300</t>
  </si>
  <si>
    <t>D350</t>
  </si>
  <si>
    <t>D400</t>
  </si>
  <si>
    <t>D450</t>
  </si>
  <si>
    <t>D500</t>
  </si>
  <si>
    <t>D600</t>
  </si>
  <si>
    <t>기존계량기교체</t>
  </si>
  <si>
    <t>D13</t>
  </si>
  <si>
    <t>D20</t>
  </si>
  <si>
    <t>D75</t>
  </si>
  <si>
    <t>D25</t>
  </si>
  <si>
    <t>D32</t>
  </si>
  <si>
    <t>D40</t>
  </si>
  <si>
    <t>항 목</t>
  </si>
  <si>
    <t>구축비</t>
  </si>
  <si>
    <t>비 고</t>
  </si>
  <si>
    <t>하드웨어(기본)</t>
  </si>
  <si>
    <t>-</t>
  </si>
  <si>
    <t>1식</t>
  </si>
  <si>
    <t>하드웨어(선택)</t>
  </si>
  <si>
    <t>OA</t>
  </si>
  <si>
    <t>NETWORK</t>
  </si>
  <si>
    <t>Supervisory System</t>
  </si>
  <si>
    <t>솔루션(기본)</t>
  </si>
  <si>
    <t>관망감시</t>
  </si>
  <si>
    <t>20블록</t>
  </si>
  <si>
    <t>기본</t>
  </si>
  <si>
    <t>운영분석</t>
  </si>
  <si>
    <t>솔루션(선택)</t>
  </si>
  <si>
    <t>운영모의</t>
  </si>
  <si>
    <t>솔루션(확장)</t>
  </si>
  <si>
    <t>1블록</t>
  </si>
  <si>
    <t>초과분</t>
  </si>
  <si>
    <t>솔루션 엔지니어링</t>
  </si>
  <si>
    <t>현장제어반-시스템간 통신설비</t>
  </si>
  <si>
    <t>M</t>
    <phoneticPr fontId="70" type="noConversion"/>
  </si>
  <si>
    <t>표준관입시험</t>
    <phoneticPr fontId="70" type="noConversion"/>
  </si>
  <si>
    <t>회</t>
    <phoneticPr fontId="70" type="noConversion"/>
  </si>
  <si>
    <t>EA</t>
    <phoneticPr fontId="70" type="noConversion"/>
  </si>
  <si>
    <t>보링</t>
    <phoneticPr fontId="70" type="noConversion"/>
  </si>
  <si>
    <t>시료채취</t>
    <phoneticPr fontId="70" type="noConversion"/>
  </si>
  <si>
    <t>구역화물</t>
    <phoneticPr fontId="70" type="noConversion"/>
  </si>
  <si>
    <t>함수량</t>
    <phoneticPr fontId="70" type="noConversion"/>
  </si>
  <si>
    <t>입도</t>
    <phoneticPr fontId="70" type="noConversion"/>
  </si>
  <si>
    <t>액성한계</t>
    <phoneticPr fontId="70" type="noConversion"/>
  </si>
  <si>
    <t>소성한계</t>
    <phoneticPr fontId="70" type="noConversion"/>
  </si>
  <si>
    <t>다짐시험</t>
    <phoneticPr fontId="70" type="noConversion"/>
  </si>
  <si>
    <t>실내CBR</t>
    <phoneticPr fontId="70" type="noConversion"/>
  </si>
  <si>
    <t>체가름</t>
    <phoneticPr fontId="70" type="noConversion"/>
  </si>
  <si>
    <t>시료조작비</t>
    <phoneticPr fontId="70" type="noConversion"/>
  </si>
  <si>
    <t>경비의</t>
    <phoneticPr fontId="70" type="noConversion"/>
  </si>
  <si>
    <t>%</t>
    <phoneticPr fontId="70" type="noConversion"/>
  </si>
  <si>
    <t>특별인부</t>
    <phoneticPr fontId="70" type="noConversion"/>
  </si>
  <si>
    <t>보통인부</t>
    <phoneticPr fontId="70" type="noConversion"/>
  </si>
  <si>
    <t>비고</t>
    <phoneticPr fontId="2" type="noConversion"/>
  </si>
  <si>
    <t>단위</t>
    <phoneticPr fontId="1" type="noConversion"/>
  </si>
  <si>
    <t>단 가</t>
    <phoneticPr fontId="1" type="noConversion"/>
  </si>
  <si>
    <t>금  액</t>
    <phoneticPr fontId="1" type="noConversion"/>
  </si>
  <si>
    <t>노  무  비</t>
    <phoneticPr fontId="2" type="noConversion"/>
  </si>
  <si>
    <t>재  료  비</t>
    <phoneticPr fontId="2" type="noConversion"/>
  </si>
  <si>
    <t>경      비</t>
    <phoneticPr fontId="1" type="noConversion"/>
  </si>
  <si>
    <t>합     계</t>
    <phoneticPr fontId="1" type="noConversion"/>
  </si>
  <si>
    <t>설   계   년   월   일</t>
    <phoneticPr fontId="2" type="noConversion"/>
  </si>
  <si>
    <t>위         치 :</t>
    <phoneticPr fontId="1" type="noConversion"/>
  </si>
  <si>
    <t>용 역 내 역 :</t>
    <phoneticPr fontId="2" type="noConversion"/>
  </si>
  <si>
    <t>용   역   비 :</t>
    <phoneticPr fontId="1" type="noConversion"/>
  </si>
  <si>
    <t>원)</t>
    <phoneticPr fontId="1" type="noConversion"/>
  </si>
  <si>
    <t>도급예정액 :</t>
    <phoneticPr fontId="1" type="noConversion"/>
  </si>
  <si>
    <t>음    성    군</t>
    <phoneticPr fontId="2" type="noConversion"/>
  </si>
  <si>
    <t>설     계     설     명     서</t>
    <phoneticPr fontId="2" type="noConversion"/>
  </si>
  <si>
    <t>1.</t>
    <phoneticPr fontId="2" type="noConversion"/>
  </si>
  <si>
    <t>위      치 :</t>
    <phoneticPr fontId="2" type="noConversion"/>
  </si>
  <si>
    <t>용역개요 :</t>
    <phoneticPr fontId="2" type="noConversion"/>
  </si>
  <si>
    <t>5.</t>
    <phoneticPr fontId="2" type="noConversion"/>
  </si>
  <si>
    <t>공      정</t>
    <phoneticPr fontId="1" type="noConversion"/>
  </si>
  <si>
    <t>비  고</t>
    <phoneticPr fontId="1" type="noConversion"/>
  </si>
  <si>
    <t>조사측량</t>
    <phoneticPr fontId="2" type="noConversion"/>
  </si>
  <si>
    <t>여비(국내출장비)</t>
    <phoneticPr fontId="2" type="noConversion"/>
  </si>
  <si>
    <t xml:space="preserve">  - 출장장소 :</t>
    <phoneticPr fontId="2" type="noConversion"/>
  </si>
  <si>
    <t xml:space="preserve">  - 출장인원 :</t>
    <phoneticPr fontId="2" type="noConversion"/>
  </si>
  <si>
    <t xml:space="preserve">  - 출장기간 :</t>
    <phoneticPr fontId="2" type="noConversion"/>
  </si>
  <si>
    <t xml:space="preserve">  - 출장비용 :</t>
    <phoneticPr fontId="2" type="noConversion"/>
  </si>
  <si>
    <t>공무원 여비규정(제2호) 적용</t>
    <phoneticPr fontId="2" type="noConversion"/>
  </si>
  <si>
    <t>구        분</t>
    <phoneticPr fontId="2" type="noConversion"/>
  </si>
  <si>
    <t>운임</t>
    <phoneticPr fontId="2" type="noConversion"/>
  </si>
  <si>
    <t>일비(1일당)</t>
    <phoneticPr fontId="2" type="noConversion"/>
  </si>
  <si>
    <t>식비(1일당)</t>
    <phoneticPr fontId="2" type="noConversion"/>
  </si>
  <si>
    <t>제2호</t>
    <phoneticPr fontId="2" type="noConversion"/>
  </si>
  <si>
    <t>실비</t>
    <phoneticPr fontId="2" type="noConversion"/>
  </si>
  <si>
    <t>구  분</t>
    <phoneticPr fontId="2" type="noConversion"/>
  </si>
  <si>
    <t>규격</t>
    <phoneticPr fontId="2" type="noConversion"/>
  </si>
  <si>
    <t>수량</t>
    <phoneticPr fontId="2" type="noConversion"/>
  </si>
  <si>
    <t>단위</t>
    <phoneticPr fontId="2" type="noConversion"/>
  </si>
  <si>
    <t>단가</t>
    <phoneticPr fontId="2" type="noConversion"/>
  </si>
  <si>
    <t>금액</t>
    <phoneticPr fontId="2" type="noConversion"/>
  </si>
  <si>
    <t>인원×출장일</t>
    <phoneticPr fontId="2" type="noConversion"/>
  </si>
  <si>
    <t>인</t>
    <phoneticPr fontId="2" type="noConversion"/>
  </si>
  <si>
    <t>일비</t>
    <phoneticPr fontId="2" type="noConversion"/>
  </si>
  <si>
    <t>숙박료</t>
    <phoneticPr fontId="2" type="noConversion"/>
  </si>
  <si>
    <t>야</t>
    <phoneticPr fontId="2" type="noConversion"/>
  </si>
  <si>
    <t>식비</t>
    <phoneticPr fontId="2" type="noConversion"/>
  </si>
  <si>
    <t>합계</t>
    <phoneticPr fontId="2" type="noConversion"/>
  </si>
  <si>
    <t>규  격</t>
    <phoneticPr fontId="1" type="noConversion"/>
  </si>
  <si>
    <t>목록선택</t>
    <phoneticPr fontId="1" type="noConversion"/>
  </si>
  <si>
    <t>지구별기준</t>
    <phoneticPr fontId="1" type="noConversion"/>
  </si>
  <si>
    <t>보통시가지</t>
    <phoneticPr fontId="1" type="noConversion"/>
  </si>
  <si>
    <t>노선선정</t>
    <phoneticPr fontId="1" type="noConversion"/>
  </si>
  <si>
    <t>노선선점</t>
    <phoneticPr fontId="1" type="noConversion"/>
  </si>
  <si>
    <t>중심선측량</t>
    <phoneticPr fontId="1" type="noConversion"/>
  </si>
  <si>
    <t>평판측량</t>
    <phoneticPr fontId="1" type="noConversion"/>
  </si>
  <si>
    <t>소요인원</t>
    <phoneticPr fontId="1" type="noConversion"/>
  </si>
  <si>
    <t>소요일수</t>
    <phoneticPr fontId="1" type="noConversion"/>
  </si>
  <si>
    <t>거리</t>
    <phoneticPr fontId="1" type="noConversion"/>
  </si>
  <si>
    <t>인부(측부)</t>
    <phoneticPr fontId="2" type="noConversion"/>
  </si>
  <si>
    <t>용지경계말뚝설치</t>
    <phoneticPr fontId="1" type="noConversion"/>
  </si>
  <si>
    <t>각종 인허가 서류작성</t>
    <phoneticPr fontId="1" type="noConversion"/>
  </si>
  <si>
    <t>5억원이하</t>
  </si>
  <si>
    <t>공사의 종류</t>
    <phoneticPr fontId="2" type="noConversion"/>
  </si>
  <si>
    <t>5억원이하</t>
    <phoneticPr fontId="2" type="noConversion"/>
  </si>
  <si>
    <t>기본요율</t>
    <phoneticPr fontId="2" type="noConversion"/>
  </si>
  <si>
    <t>가산요율</t>
    <phoneticPr fontId="2" type="noConversion"/>
  </si>
  <si>
    <t>기본요율</t>
  </si>
  <si>
    <t>가산요율</t>
  </si>
  <si>
    <t>교량공사</t>
  </si>
  <si>
    <t>공항건설공사</t>
  </si>
  <si>
    <t>댐축조공사</t>
  </si>
  <si>
    <t>도로공사</t>
  </si>
  <si>
    <t>가산요율 × 표준공사기간 초과일수  / 365</t>
    <phoneticPr fontId="2" type="noConversion"/>
  </si>
  <si>
    <t>에너지저장시설공사</t>
  </si>
  <si>
    <t>간척공사</t>
  </si>
  <si>
    <t>항만공사</t>
  </si>
  <si>
    <t>철도공사</t>
  </si>
  <si>
    <t>개월(</t>
    <phoneticPr fontId="2" type="noConversion"/>
  </si>
  <si>
    <t>지하철공사</t>
  </si>
  <si>
    <t>년</t>
    <phoneticPr fontId="2" type="noConversion"/>
  </si>
  <si>
    <t>터널공사</t>
  </si>
  <si>
    <t>일</t>
    <phoneticPr fontId="2" type="noConversion"/>
  </si>
  <si>
    <t>발전소건설공사</t>
  </si>
  <si>
    <t>쓰레기소각로건설공사</t>
  </si>
  <si>
    <t>폐수처리장건설공사</t>
  </si>
  <si>
    <t>하수종말처리장건설공사</t>
  </si>
  <si>
    <t>상수도(정수장포함)건설공사</t>
  </si>
  <si>
    <t>하수도건설공사</t>
  </si>
  <si>
    <t>관람집회시설공사</t>
  </si>
  <si>
    <t>전시시설공사</t>
  </si>
  <si>
    <t>공용청사건설공사</t>
  </si>
  <si>
    <t>송전공사</t>
  </si>
  <si>
    <t>변전공사</t>
  </si>
  <si>
    <t>공동주택건설공사</t>
  </si>
  <si>
    <t>20억원초과 30억원이하</t>
    <phoneticPr fontId="2" type="noConversion"/>
  </si>
  <si>
    <t>30억원초과 50억원이하</t>
    <phoneticPr fontId="1" type="noConversion"/>
  </si>
  <si>
    <t>표준
공사기간(년)</t>
    <phoneticPr fontId="1" type="noConversion"/>
  </si>
  <si>
    <t>5억원초과 10억원이하</t>
    <phoneticPr fontId="2" type="noConversion"/>
  </si>
  <si>
    <t>5억원초과 10억원이하 금액</t>
    <phoneticPr fontId="1" type="noConversion"/>
  </si>
  <si>
    <t>5억이하 금액</t>
    <phoneticPr fontId="1" type="noConversion"/>
  </si>
  <si>
    <t>10억원초과 20억원이하</t>
    <phoneticPr fontId="2" type="noConversion"/>
  </si>
  <si>
    <t>10억원초과 20억원이하 금액</t>
    <phoneticPr fontId="1" type="noConversion"/>
  </si>
  <si>
    <t>20억원초과 30억원이하 금액</t>
    <phoneticPr fontId="1" type="noConversion"/>
  </si>
  <si>
    <t>30억원초과 50억원이하 금액</t>
    <phoneticPr fontId="1" type="noConversion"/>
  </si>
  <si>
    <t>+</t>
    <phoneticPr fontId="1" type="noConversion"/>
  </si>
  <si>
    <t>라. 적용가산요율 :</t>
    <phoneticPr fontId="2" type="noConversion"/>
  </si>
  <si>
    <t>다. 적용요율 :</t>
    <phoneticPr fontId="2" type="noConversion"/>
  </si>
  <si>
    <t>1. 개략공사비</t>
    <phoneticPr fontId="5" type="noConversion"/>
  </si>
  <si>
    <t>식</t>
    <phoneticPr fontId="1" type="noConversion"/>
  </si>
  <si>
    <t>공     종</t>
    <phoneticPr fontId="1" type="noConversion"/>
  </si>
  <si>
    <t>비고</t>
    <phoneticPr fontId="1" type="noConversion"/>
  </si>
  <si>
    <t>특별인부</t>
    <phoneticPr fontId="2" type="noConversion"/>
  </si>
  <si>
    <t>보통인부</t>
    <phoneticPr fontId="2" type="noConversion"/>
  </si>
  <si>
    <t>일   위   대   가</t>
    <phoneticPr fontId="1" type="noConversion"/>
  </si>
  <si>
    <t>손해배상 공제보험료 합계</t>
    <phoneticPr fontId="1" type="noConversion"/>
  </si>
  <si>
    <t>식</t>
    <phoneticPr fontId="1" type="noConversion"/>
  </si>
  <si>
    <t>(1)</t>
    <phoneticPr fontId="1" type="noConversion"/>
  </si>
  <si>
    <t>측량비</t>
    <phoneticPr fontId="1" type="noConversion"/>
  </si>
  <si>
    <t>하천측량</t>
    <phoneticPr fontId="1" type="noConversion"/>
  </si>
  <si>
    <t>노선측량</t>
    <phoneticPr fontId="1" type="noConversion"/>
  </si>
  <si>
    <t>수도노선측량</t>
    <phoneticPr fontId="1" type="noConversion"/>
  </si>
  <si>
    <t>용지측량</t>
    <phoneticPr fontId="1" type="noConversion"/>
  </si>
  <si>
    <t>특급기술자</t>
    <phoneticPr fontId="1" type="noConversion"/>
  </si>
  <si>
    <t>고급기술자</t>
    <phoneticPr fontId="1" type="noConversion"/>
  </si>
  <si>
    <t>중급기술자</t>
    <phoneticPr fontId="1" type="noConversion"/>
  </si>
  <si>
    <t>초급기술자</t>
    <phoneticPr fontId="1" type="noConversion"/>
  </si>
  <si>
    <t>초급기능사(측량)</t>
    <phoneticPr fontId="1" type="noConversion"/>
  </si>
  <si>
    <t>인부(측부)</t>
    <phoneticPr fontId="1" type="noConversion"/>
  </si>
  <si>
    <t>인</t>
    <phoneticPr fontId="1" type="noConversion"/>
  </si>
  <si>
    <t>토질시험비 (실내시험) 식 당</t>
    <phoneticPr fontId="70" type="noConversion"/>
  </si>
  <si>
    <t>하천측량</t>
    <phoneticPr fontId="70" type="noConversion"/>
  </si>
  <si>
    <t>용지측량</t>
    <phoneticPr fontId="70" type="noConversion"/>
  </si>
  <si>
    <t>건</t>
    <phoneticPr fontId="1" type="noConversion"/>
  </si>
  <si>
    <t>수량</t>
    <phoneticPr fontId="1" type="noConversion"/>
  </si>
  <si>
    <t>노선측량</t>
    <phoneticPr fontId="70" type="noConversion"/>
  </si>
  <si>
    <t>시가지노선측량</t>
    <phoneticPr fontId="70" type="noConversion"/>
  </si>
  <si>
    <t>수도노선측량</t>
    <phoneticPr fontId="70" type="noConversion"/>
  </si>
  <si>
    <t>블럭시스템구축 공사비</t>
    <phoneticPr fontId="1" type="noConversion"/>
  </si>
  <si>
    <t>(단위시설당 공사비)</t>
    <phoneticPr fontId="1" type="noConversion"/>
  </si>
  <si>
    <t>1.</t>
    <phoneticPr fontId="1" type="noConversion"/>
  </si>
  <si>
    <t>실시설계비</t>
    <phoneticPr fontId="1" type="noConversion"/>
  </si>
  <si>
    <t>식</t>
    <phoneticPr fontId="1" type="noConversion"/>
  </si>
  <si>
    <t>2.</t>
    <phoneticPr fontId="1" type="noConversion"/>
  </si>
  <si>
    <t>직접경비</t>
    <phoneticPr fontId="1" type="noConversion"/>
  </si>
  <si>
    <t>식</t>
    <phoneticPr fontId="1" type="noConversion"/>
  </si>
  <si>
    <t>추가업무비용</t>
    <phoneticPr fontId="1" type="noConversion"/>
  </si>
  <si>
    <t>실시설계용역 설계시 기준이 되는 각종 기준</t>
    <phoneticPr fontId="1" type="noConversion"/>
  </si>
  <si>
    <t>2. 지역별 소요 측부(1반1일)</t>
    <phoneticPr fontId="2" type="noConversion"/>
  </si>
  <si>
    <t>제경비</t>
    <phoneticPr fontId="1" type="noConversion"/>
  </si>
  <si>
    <t>%</t>
    <phoneticPr fontId="1" type="noConversion"/>
  </si>
  <si>
    <t>기술료</t>
    <phoneticPr fontId="1" type="noConversion"/>
  </si>
  <si>
    <t>-------(</t>
    <phoneticPr fontId="1" type="noConversion"/>
  </si>
  <si>
    <t>설  계  내  역  서</t>
    <phoneticPr fontId="1" type="noConversion"/>
  </si>
  <si>
    <t>기본설계</t>
    <phoneticPr fontId="2" type="noConversion"/>
  </si>
  <si>
    <t>실시설계</t>
    <phoneticPr fontId="2" type="noConversion"/>
  </si>
  <si>
    <t>기    타</t>
    <phoneticPr fontId="1" type="noConversion"/>
  </si>
  <si>
    <t>용 역  명 :</t>
    <phoneticPr fontId="2" type="noConversion"/>
  </si>
  <si>
    <t>구  분</t>
    <phoneticPr fontId="2" type="noConversion"/>
  </si>
  <si>
    <t>공  종</t>
    <phoneticPr fontId="2" type="noConversion"/>
  </si>
  <si>
    <t>단가(원/인)</t>
    <phoneticPr fontId="2" type="noConversion"/>
  </si>
  <si>
    <t>비    고</t>
    <phoneticPr fontId="2" type="noConversion"/>
  </si>
  <si>
    <t>건설 및 기타엔지니어링 노임단가</t>
    <phoneticPr fontId="2" type="noConversion"/>
  </si>
  <si>
    <t>측량기술자 노임단가</t>
    <phoneticPr fontId="2" type="noConversion"/>
  </si>
  <si>
    <t>고급기능사</t>
    <phoneticPr fontId="2" type="noConversion"/>
  </si>
  <si>
    <t>소프트웨어 노임단가</t>
    <phoneticPr fontId="1" type="noConversion"/>
  </si>
  <si>
    <t>문화재수리 노임단간</t>
    <phoneticPr fontId="1" type="noConversion"/>
  </si>
  <si>
    <t>보링공(지질조사)</t>
    <phoneticPr fontId="2" type="noConversion"/>
  </si>
  <si>
    <t>노임단가</t>
    <phoneticPr fontId="2" type="noConversion"/>
  </si>
  <si>
    <t>자료출처</t>
    <phoneticPr fontId="2" type="noConversion"/>
  </si>
  <si>
    <t>문화재수리기술자(보존과학기술자)</t>
    <phoneticPr fontId="1" type="noConversion"/>
  </si>
  <si>
    <t>문화재수리기능자(보존과학공)</t>
    <phoneticPr fontId="1" type="noConversion"/>
  </si>
  <si>
    <t>4.</t>
    <phoneticPr fontId="2" type="noConversion"/>
  </si>
  <si>
    <t>5.</t>
  </si>
  <si>
    <t>1.</t>
    <phoneticPr fontId="1" type="noConversion"/>
  </si>
  <si>
    <t>실시설계비</t>
    <phoneticPr fontId="1" type="noConversion"/>
  </si>
  <si>
    <t>식</t>
    <phoneticPr fontId="1" type="noConversion"/>
  </si>
  <si>
    <t>2.</t>
    <phoneticPr fontId="1" type="noConversion"/>
  </si>
  <si>
    <t>직접경비</t>
    <phoneticPr fontId="1" type="noConversion"/>
  </si>
  <si>
    <t>추가업무비용</t>
    <phoneticPr fontId="1" type="noConversion"/>
  </si>
  <si>
    <t>제경비</t>
    <phoneticPr fontId="1" type="noConversion"/>
  </si>
  <si>
    <t>기술료</t>
    <phoneticPr fontId="1" type="noConversion"/>
  </si>
  <si>
    <t>소계</t>
    <phoneticPr fontId="1" type="noConversion"/>
  </si>
  <si>
    <t>손해배상보험료</t>
    <phoneticPr fontId="1" type="noConversion"/>
  </si>
  <si>
    <t>%</t>
    <phoneticPr fontId="1" type="noConversion"/>
  </si>
  <si>
    <t>공급가액</t>
    <phoneticPr fontId="1" type="noConversion"/>
  </si>
  <si>
    <t>부가가치세</t>
    <phoneticPr fontId="1" type="noConversion"/>
  </si>
  <si>
    <t>총계</t>
    <phoneticPr fontId="1" type="noConversion"/>
  </si>
  <si>
    <t>식</t>
    <phoneticPr fontId="1" type="noConversion"/>
  </si>
  <si>
    <t>도급예정액</t>
    <phoneticPr fontId="1" type="noConversion"/>
  </si>
  <si>
    <t>7.</t>
  </si>
  <si>
    <t>인</t>
    <phoneticPr fontId="1" type="noConversion"/>
  </si>
  <si>
    <t>일</t>
    <phoneticPr fontId="1" type="noConversion"/>
  </si>
  <si>
    <t>인·일</t>
    <phoneticPr fontId="2" type="noConversion"/>
  </si>
  <si>
    <t>4인 1실</t>
    <phoneticPr fontId="1" type="noConversion"/>
  </si>
  <si>
    <t>공사의 종류</t>
    <phoneticPr fontId="2" type="noConversion"/>
  </si>
  <si>
    <t>5억원초과 10억이하</t>
    <phoneticPr fontId="1" type="noConversion"/>
  </si>
  <si>
    <t>10억원초과 20억원이하</t>
    <phoneticPr fontId="1" type="noConversion"/>
  </si>
  <si>
    <t>20억원초과 30억원이하</t>
    <phoneticPr fontId="1" type="noConversion"/>
  </si>
  <si>
    <t>30억원초과 50억원이하</t>
    <phoneticPr fontId="1" type="noConversion"/>
  </si>
  <si>
    <t>표준
공사기간(년)</t>
    <phoneticPr fontId="1" type="noConversion"/>
  </si>
  <si>
    <t>손해배상 공제보험료  산정</t>
    <phoneticPr fontId="2" type="noConversion"/>
  </si>
  <si>
    <t>마. 순용역금액 :</t>
    <phoneticPr fontId="2" type="noConversion"/>
  </si>
  <si>
    <t>바. 예정공사기간 :</t>
    <phoneticPr fontId="2" type="noConversion"/>
  </si>
  <si>
    <t>사. 표준공사기간 :</t>
    <phoneticPr fontId="2" type="noConversion"/>
  </si>
  <si>
    <t>아. 초과일수 :</t>
    <phoneticPr fontId="2" type="noConversion"/>
  </si>
  <si>
    <t>나. 산정방법 :</t>
    <phoneticPr fontId="2" type="noConversion"/>
  </si>
  <si>
    <t>가. 실시설계보험요율 :</t>
    <phoneticPr fontId="2" type="noConversion"/>
  </si>
  <si>
    <t>순용역 금액   ×  적용요율</t>
    <phoneticPr fontId="2" type="noConversion"/>
  </si>
  <si>
    <t>기본요율 + 적용가산  요율</t>
    <phoneticPr fontId="2" type="noConversion"/>
  </si>
  <si>
    <t>)일</t>
    <phoneticPr fontId="2" type="noConversion"/>
  </si>
  <si>
    <t>(상수도관망 최적관리시스템 구축 및 유지관리 표준업무처리지침) 환경부</t>
    <phoneticPr fontId="1" type="noConversion"/>
  </si>
  <si>
    <t>군도</t>
    <phoneticPr fontId="1" type="noConversion"/>
  </si>
  <si>
    <t>농어촌도로</t>
    <phoneticPr fontId="1" type="noConversion"/>
  </si>
  <si>
    <t>도시계획도로</t>
    <phoneticPr fontId="1" type="noConversion"/>
  </si>
  <si>
    <t>소하천</t>
    <phoneticPr fontId="1" type="noConversion"/>
  </si>
  <si>
    <t>억/km</t>
    <phoneticPr fontId="1" type="noConversion"/>
  </si>
  <si>
    <t>만원/㎡</t>
    <phoneticPr fontId="1" type="noConversion"/>
  </si>
  <si>
    <t>6.</t>
  </si>
  <si>
    <t>8.</t>
  </si>
  <si>
    <t>억/km당</t>
    <phoneticPr fontId="1" type="noConversion"/>
  </si>
  <si>
    <t>교량</t>
    <phoneticPr fontId="1" type="noConversion"/>
  </si>
  <si>
    <r>
      <t>개략사업비 산출기준(</t>
    </r>
    <r>
      <rPr>
        <b/>
        <sz val="14"/>
        <color indexed="10"/>
        <rFont val="맑은 고딕"/>
        <family val="3"/>
        <charset val="129"/>
      </rPr>
      <t>참고만 하세요</t>
    </r>
    <r>
      <rPr>
        <b/>
        <sz val="14"/>
        <rFont val="맑은 고딕"/>
        <family val="3"/>
        <charset val="129"/>
      </rPr>
      <t>)</t>
    </r>
    <phoneticPr fontId="1" type="noConversion"/>
  </si>
  <si>
    <t>박스(암거)</t>
    <phoneticPr fontId="1" type="noConversion"/>
  </si>
  <si>
    <t>점토층</t>
    <phoneticPr fontId="70" type="noConversion"/>
  </si>
  <si>
    <t>모래층</t>
    <phoneticPr fontId="70" type="noConversion"/>
  </si>
  <si>
    <t>자갈층</t>
    <phoneticPr fontId="70" type="noConversion"/>
  </si>
  <si>
    <t>호박돌층</t>
    <phoneticPr fontId="70" type="noConversion"/>
  </si>
  <si>
    <t>풍화암</t>
    <phoneticPr fontId="1" type="noConversion"/>
  </si>
  <si>
    <t>연암</t>
    <phoneticPr fontId="70" type="noConversion"/>
  </si>
  <si>
    <t>보통암</t>
    <phoneticPr fontId="70" type="noConversion"/>
  </si>
  <si>
    <t>경암</t>
    <phoneticPr fontId="1" type="noConversion"/>
  </si>
  <si>
    <t>극경암</t>
    <phoneticPr fontId="1" type="noConversion"/>
  </si>
  <si>
    <t>물가정보 부록 p.83 제8장 지반조사</t>
    <phoneticPr fontId="1" type="noConversion"/>
  </si>
  <si>
    <t>밀도</t>
    <phoneticPr fontId="70" type="noConversion"/>
  </si>
  <si>
    <t>직접전단(급속)</t>
    <phoneticPr fontId="70" type="noConversion"/>
  </si>
  <si>
    <t>수량</t>
    <phoneticPr fontId="1" type="noConversion"/>
  </si>
  <si>
    <t>기계기구설치</t>
    <phoneticPr fontId="1" type="noConversion"/>
  </si>
  <si>
    <t>인·회</t>
    <phoneticPr fontId="70" type="noConversion"/>
  </si>
  <si>
    <t>보링공(지질조사)</t>
    <phoneticPr fontId="70" type="noConversion"/>
  </si>
  <si>
    <t>형고에 따라 가산</t>
    <phoneticPr fontId="1" type="noConversion"/>
  </si>
  <si>
    <t>3*3이상 박스는 가산, 하중조건에 따라 가감</t>
    <phoneticPr fontId="1" type="noConversion"/>
  </si>
  <si>
    <t>용지측량</t>
    <phoneticPr fontId="1" type="noConversion"/>
  </si>
  <si>
    <t>구분</t>
    <phoneticPr fontId="1" type="noConversion"/>
  </si>
  <si>
    <t>지구별기준</t>
    <phoneticPr fontId="1" type="noConversion"/>
  </si>
  <si>
    <t>평지</t>
    <phoneticPr fontId="1" type="noConversion"/>
  </si>
  <si>
    <t>목록선택</t>
    <phoneticPr fontId="1" type="noConversion"/>
  </si>
  <si>
    <t>토지등기부지적도또는소유권조사</t>
    <phoneticPr fontId="1" type="noConversion"/>
  </si>
  <si>
    <t>실시,미실시</t>
    <phoneticPr fontId="1" type="noConversion"/>
  </si>
  <si>
    <t>공공용지사정입회및민간인경계입회</t>
    <phoneticPr fontId="1" type="noConversion"/>
  </si>
  <si>
    <t>경계도근측량</t>
    <phoneticPr fontId="1" type="noConversion"/>
  </si>
  <si>
    <t>작업량(면적)</t>
    <phoneticPr fontId="1" type="noConversion"/>
  </si>
  <si>
    <t>직접입력</t>
    <phoneticPr fontId="1" type="noConversion"/>
  </si>
  <si>
    <t>필지수</t>
    <phoneticPr fontId="1" type="noConversion"/>
  </si>
  <si>
    <t>필지수 조정</t>
    <phoneticPr fontId="1" type="noConversion"/>
  </si>
  <si>
    <t>총수량</t>
    <phoneticPr fontId="1" type="noConversion"/>
  </si>
  <si>
    <t>고급기술자</t>
    <phoneticPr fontId="2" type="noConversion"/>
  </si>
  <si>
    <t>중급기술자</t>
    <phoneticPr fontId="2" type="noConversion"/>
  </si>
  <si>
    <t>초급기술자</t>
    <phoneticPr fontId="2" type="noConversion"/>
  </si>
  <si>
    <t>초급기능사(측량)</t>
    <phoneticPr fontId="2" type="noConversion"/>
  </si>
  <si>
    <t>1. 지역별 소요 인원</t>
    <phoneticPr fontId="1" type="noConversion"/>
  </si>
  <si>
    <t>구분</t>
    <phoneticPr fontId="2" type="noConversion"/>
  </si>
  <si>
    <t>시가지</t>
    <phoneticPr fontId="1" type="noConversion"/>
  </si>
  <si>
    <t>고급기술자</t>
    <phoneticPr fontId="1" type="noConversion"/>
  </si>
  <si>
    <t>중급기술자</t>
    <phoneticPr fontId="1" type="noConversion"/>
  </si>
  <si>
    <t>촌락지</t>
    <phoneticPr fontId="1" type="noConversion"/>
  </si>
  <si>
    <t>초급기술자</t>
    <phoneticPr fontId="1" type="noConversion"/>
  </si>
  <si>
    <t>구릉지</t>
    <phoneticPr fontId="1" type="noConversion"/>
  </si>
  <si>
    <t>초급기능사(측량)</t>
    <phoneticPr fontId="1" type="noConversion"/>
  </si>
  <si>
    <t>2. 지역별 필지기준</t>
    <phoneticPr fontId="1" type="noConversion"/>
  </si>
  <si>
    <t>필지기준</t>
    <phoneticPr fontId="1" type="noConversion"/>
  </si>
  <si>
    <t>1/500</t>
    <phoneticPr fontId="1" type="noConversion"/>
  </si>
  <si>
    <t>인부(측부)</t>
    <phoneticPr fontId="1" type="noConversion"/>
  </si>
  <si>
    <t>내업</t>
    <phoneticPr fontId="1" type="noConversion"/>
  </si>
  <si>
    <t>외업</t>
    <phoneticPr fontId="1" type="noConversion"/>
  </si>
  <si>
    <t>S</t>
    <phoneticPr fontId="1" type="noConversion"/>
  </si>
  <si>
    <t>기준거리 :</t>
    <phoneticPr fontId="1" type="noConversion"/>
  </si>
  <si>
    <t>제외 폭원</t>
    <phoneticPr fontId="1" type="noConversion"/>
  </si>
  <si>
    <t>제내 폭원</t>
    <phoneticPr fontId="1" type="noConversion"/>
  </si>
  <si>
    <t>종단거리</t>
    <phoneticPr fontId="1" type="noConversion"/>
  </si>
  <si>
    <t>횡단측량
(제외폭환산)</t>
    <phoneticPr fontId="1" type="noConversion"/>
  </si>
  <si>
    <t>종단측량</t>
    <phoneticPr fontId="1" type="noConversion"/>
  </si>
  <si>
    <t>횡단측량</t>
    <phoneticPr fontId="1" type="noConversion"/>
  </si>
  <si>
    <t>비고</t>
    <phoneticPr fontId="1" type="noConversion"/>
  </si>
  <si>
    <t>폭원구분</t>
    <phoneticPr fontId="1" type="noConversion"/>
  </si>
  <si>
    <t>제내제외폭원</t>
    <phoneticPr fontId="1" type="noConversion"/>
  </si>
  <si>
    <t>제내</t>
    <phoneticPr fontId="1" type="noConversion"/>
  </si>
  <si>
    <t>제외</t>
    <phoneticPr fontId="1" type="noConversion"/>
  </si>
  <si>
    <t>횡단간격</t>
    <phoneticPr fontId="1" type="noConversion"/>
  </si>
  <si>
    <t>작업구분</t>
    <phoneticPr fontId="1" type="noConversion"/>
  </si>
  <si>
    <t>작업일수</t>
    <phoneticPr fontId="1" type="noConversion"/>
  </si>
  <si>
    <t>작업량(거리) :</t>
    <phoneticPr fontId="1" type="noConversion"/>
  </si>
  <si>
    <t>ㆍ수목이 우거진 야산지대 및 교통이 불편한 산지로된 지형</t>
    <phoneticPr fontId="1" type="noConversion"/>
  </si>
  <si>
    <t>P =</t>
    <phoneticPr fontId="1" type="noConversion"/>
  </si>
  <si>
    <t>ㆍ총 수량 ＝ 인원수 × 표준작업량 × K × S × P x T</t>
    <phoneticPr fontId="1" type="noConversion"/>
  </si>
  <si>
    <t>기준점수 :</t>
    <phoneticPr fontId="1" type="noConversion"/>
  </si>
  <si>
    <t>점</t>
    <phoneticPr fontId="1" type="noConversion"/>
  </si>
  <si>
    <t>산정점수</t>
    <phoneticPr fontId="1" type="noConversion"/>
  </si>
  <si>
    <t>작업량점수</t>
    <phoneticPr fontId="1" type="noConversion"/>
  </si>
  <si>
    <t>ㆍ작업량계수(P) = 0.8 + ( 2.8 / 작업량(점수))</t>
    <phoneticPr fontId="1" type="noConversion"/>
  </si>
  <si>
    <t>거리(m)</t>
    <phoneticPr fontId="1" type="noConversion"/>
  </si>
  <si>
    <t>ㆍ총 수량 ＝ 인원수 × 표준작업량 × K × P × S</t>
    <phoneticPr fontId="1" type="noConversion"/>
  </si>
  <si>
    <t>용지측량</t>
    <phoneticPr fontId="1" type="noConversion"/>
  </si>
  <si>
    <t>수도노선측량</t>
    <phoneticPr fontId="1" type="noConversion"/>
  </si>
  <si>
    <t>시가지 노선측량</t>
    <phoneticPr fontId="1" type="noConversion"/>
  </si>
  <si>
    <t>노선측량(철도, 도로 신설)</t>
    <phoneticPr fontId="1" type="noConversion"/>
  </si>
  <si>
    <t>하천측량</t>
    <phoneticPr fontId="1" type="noConversion"/>
  </si>
  <si>
    <t>중심선
간격20m, 수준측표
1km마다, 간격20m
폭원30m, 축척1/1000
등고선 2m</t>
    <phoneticPr fontId="1" type="noConversion"/>
  </si>
  <si>
    <t>평탄한 지대, 유수폭은 제외의 넓이의 1/3</t>
    <phoneticPr fontId="1" type="noConversion"/>
  </si>
  <si>
    <t>◇ 표준품셈</t>
    <phoneticPr fontId="1" type="noConversion"/>
  </si>
  <si>
    <t>◇ 결과출력 Table</t>
    <phoneticPr fontId="1" type="noConversion"/>
  </si>
  <si>
    <t>◇ 자료입력 Table</t>
    <phoneticPr fontId="1" type="noConversion"/>
  </si>
  <si>
    <t>21-9 하천측량</t>
    <phoneticPr fontId="2" type="noConversion"/>
  </si>
  <si>
    <t>21-10 노선측량(철도, 도로 신설)</t>
    <phoneticPr fontId="2" type="noConversion"/>
  </si>
  <si>
    <t>횡단측량</t>
    <phoneticPr fontId="1" type="noConversion"/>
  </si>
  <si>
    <t>기준및표준량</t>
    <phoneticPr fontId="1" type="noConversion"/>
  </si>
  <si>
    <t>작업량(입력)</t>
    <phoneticPr fontId="1" type="noConversion"/>
  </si>
  <si>
    <t>보통시가지</t>
    <phoneticPr fontId="1" type="noConversion"/>
  </si>
  <si>
    <t>1km</t>
    <phoneticPr fontId="1" type="noConversion"/>
  </si>
  <si>
    <t>10km</t>
    <phoneticPr fontId="1" type="noConversion"/>
  </si>
  <si>
    <t>범위 20~800m</t>
    <phoneticPr fontId="1" type="noConversion"/>
  </si>
  <si>
    <t>범위 15~100m</t>
    <phoneticPr fontId="1" type="noConversion"/>
  </si>
  <si>
    <t>기준 및 표준량</t>
    <phoneticPr fontId="1" type="noConversion"/>
  </si>
  <si>
    <t>기준 및 표준량</t>
    <phoneticPr fontId="1" type="noConversion"/>
  </si>
  <si>
    <t>작업량(입력)</t>
    <phoneticPr fontId="1" type="noConversion"/>
  </si>
  <si>
    <t>보통지구</t>
    <phoneticPr fontId="1" type="noConversion"/>
  </si>
  <si>
    <t>비고</t>
    <phoneticPr fontId="1" type="noConversion"/>
  </si>
  <si>
    <t>보통시가지</t>
    <phoneticPr fontId="1" type="noConversion"/>
  </si>
  <si>
    <t>21-16 수도노선측량</t>
    <phoneticPr fontId="2" type="noConversion"/>
  </si>
  <si>
    <t>축척 1/300~1/600, 면적25,000㎡(연장500m, 폭50m), 필지수 시가지(240필), 평지(200필), 촌락지(160필), 구릉지(120필)</t>
    <phoneticPr fontId="1" type="noConversion"/>
  </si>
  <si>
    <t>3. 용지입력기준</t>
    <phoneticPr fontId="1" type="noConversion"/>
  </si>
  <si>
    <t>평지</t>
    <phoneticPr fontId="1" type="noConversion"/>
  </si>
  <si>
    <t>21-15 용지측량</t>
    <phoneticPr fontId="2" type="noConversion"/>
  </si>
  <si>
    <t>경계도근측량</t>
    <phoneticPr fontId="1" type="noConversion"/>
  </si>
  <si>
    <t>토지등기부지적도 또는 소유권조사</t>
    <phoneticPr fontId="1" type="noConversion"/>
  </si>
  <si>
    <t>공공용지사정입회 및민간인경계입회</t>
    <phoneticPr fontId="1" type="noConversion"/>
  </si>
  <si>
    <t>21-11 시가지 노선측량</t>
    <phoneticPr fontId="2" type="noConversion"/>
  </si>
  <si>
    <t>◇ 자료입력 Table</t>
    <phoneticPr fontId="1" type="noConversion"/>
  </si>
  <si>
    <t>지형구분</t>
    <phoneticPr fontId="1" type="noConversion"/>
  </si>
  <si>
    <t>평지</t>
    <phoneticPr fontId="1" type="noConversion"/>
  </si>
  <si>
    <t>◇ 결과출력 Table</t>
    <phoneticPr fontId="1" type="noConversion"/>
  </si>
  <si>
    <t>구분</t>
    <phoneticPr fontId="1" type="noConversion"/>
  </si>
  <si>
    <t>지형면적</t>
    <phoneticPr fontId="1" type="noConversion"/>
  </si>
  <si>
    <t>축척</t>
    <phoneticPr fontId="1" type="noConversion"/>
  </si>
  <si>
    <t>작업종류</t>
    <phoneticPr fontId="1" type="noConversion"/>
  </si>
  <si>
    <t>신규</t>
    <phoneticPr fontId="1" type="noConversion"/>
  </si>
  <si>
    <t>지형구분</t>
    <phoneticPr fontId="1" type="noConversion"/>
  </si>
  <si>
    <t>평지</t>
    <phoneticPr fontId="1" type="noConversion"/>
  </si>
  <si>
    <t>기준점
2급</t>
    <phoneticPr fontId="1" type="noConversion"/>
  </si>
  <si>
    <t>구하는 점</t>
    <phoneticPr fontId="1" type="noConversion"/>
  </si>
  <si>
    <t>주어진 점</t>
    <phoneticPr fontId="1" type="noConversion"/>
  </si>
  <si>
    <t>기준점
3급</t>
    <phoneticPr fontId="1" type="noConversion"/>
  </si>
  <si>
    <t>기준점
4급</t>
    <phoneticPr fontId="1" type="noConversion"/>
  </si>
  <si>
    <t>점간거리</t>
    <phoneticPr fontId="1" type="noConversion"/>
  </si>
  <si>
    <t>작업량</t>
    <phoneticPr fontId="1" type="noConversion"/>
  </si>
  <si>
    <t>구분</t>
    <phoneticPr fontId="1" type="noConversion"/>
  </si>
  <si>
    <t>지형측량</t>
    <phoneticPr fontId="1" type="noConversion"/>
  </si>
  <si>
    <t>2급
기준점측량</t>
    <phoneticPr fontId="1" type="noConversion"/>
  </si>
  <si>
    <t>3급
기준점측량</t>
    <phoneticPr fontId="1" type="noConversion"/>
  </si>
  <si>
    <t>4급
기준점측량</t>
    <phoneticPr fontId="1" type="noConversion"/>
  </si>
  <si>
    <t>2급
수준측량</t>
    <phoneticPr fontId="1" type="noConversion"/>
  </si>
  <si>
    <t>총수량합계</t>
    <phoneticPr fontId="1" type="noConversion"/>
  </si>
  <si>
    <t>특급기술자</t>
    <phoneticPr fontId="1" type="noConversion"/>
  </si>
  <si>
    <t>고급기술자</t>
    <phoneticPr fontId="1" type="noConversion"/>
  </si>
  <si>
    <t>중급기술자</t>
    <phoneticPr fontId="1" type="noConversion"/>
  </si>
  <si>
    <t>초급기술자</t>
    <phoneticPr fontId="1" type="noConversion"/>
  </si>
  <si>
    <t>초급기능사(측량)</t>
    <phoneticPr fontId="1" type="noConversion"/>
  </si>
  <si>
    <t>인부(측부)</t>
    <phoneticPr fontId="1" type="noConversion"/>
  </si>
  <si>
    <t>21-3-2 2급 기준점 측량</t>
    <phoneticPr fontId="1" type="noConversion"/>
  </si>
  <si>
    <t>21-3-3 3급 기준점 측량</t>
    <phoneticPr fontId="1" type="noConversion"/>
  </si>
  <si>
    <t>21-3-4 4급 기준점 측량</t>
    <phoneticPr fontId="1" type="noConversion"/>
  </si>
  <si>
    <t>21-7 2급 수준측량</t>
    <phoneticPr fontId="1" type="noConversion"/>
  </si>
  <si>
    <t>기준점 측량</t>
    <phoneticPr fontId="1" type="noConversion"/>
  </si>
  <si>
    <t>목록선택</t>
    <phoneticPr fontId="1" type="noConversion"/>
  </si>
  <si>
    <t>◦ 표준작업량</t>
    <phoneticPr fontId="1" type="noConversion"/>
  </si>
  <si>
    <t>만㎡,</t>
    <phoneticPr fontId="1" type="noConversion"/>
  </si>
  <si>
    <t>축척 기준</t>
    <phoneticPr fontId="1" type="noConversion"/>
  </si>
  <si>
    <t>외업</t>
    <phoneticPr fontId="1" type="noConversion"/>
  </si>
  <si>
    <t>합계</t>
    <phoneticPr fontId="1" type="noConversion"/>
  </si>
  <si>
    <t>표준작업량</t>
    <phoneticPr fontId="1" type="noConversion"/>
  </si>
  <si>
    <t>K</t>
    <phoneticPr fontId="1" type="noConversion"/>
  </si>
  <si>
    <t>P</t>
    <phoneticPr fontId="1" type="noConversion"/>
  </si>
  <si>
    <t>T</t>
    <phoneticPr fontId="1" type="noConversion"/>
  </si>
  <si>
    <t>총수량</t>
    <phoneticPr fontId="1" type="noConversion"/>
  </si>
  <si>
    <t>km</t>
    <phoneticPr fontId="1" type="noConversion"/>
  </si>
  <si>
    <t>표준작업량 =</t>
    <phoneticPr fontId="1" type="noConversion"/>
  </si>
  <si>
    <t>작업량(거리)</t>
    <phoneticPr fontId="1" type="noConversion"/>
  </si>
  <si>
    <t>=</t>
    <phoneticPr fontId="1" type="noConversion"/>
  </si>
  <si>
    <t>기준거리</t>
    <phoneticPr fontId="1" type="noConversion"/>
  </si>
  <si>
    <t>계수</t>
    <phoneticPr fontId="1" type="noConversion"/>
  </si>
  <si>
    <t>비고</t>
    <phoneticPr fontId="1" type="noConversion"/>
  </si>
  <si>
    <t>밀집시가지</t>
    <phoneticPr fontId="1" type="noConversion"/>
  </si>
  <si>
    <t>ㆍ건물 및 도로가 시가지 면적의 90% 이상 지형</t>
    <phoneticPr fontId="1" type="noConversion"/>
  </si>
  <si>
    <t>시가지</t>
    <phoneticPr fontId="1" type="noConversion"/>
  </si>
  <si>
    <t>ㆍ건물 및 도로가 시가지 면적의 70% 이상 지형</t>
    <phoneticPr fontId="1" type="noConversion"/>
  </si>
  <si>
    <t>ㆍ평탄한 평야지형</t>
    <phoneticPr fontId="1" type="noConversion"/>
  </si>
  <si>
    <t>구릉지</t>
    <phoneticPr fontId="1" type="noConversion"/>
  </si>
  <si>
    <t>ㆍ시가지 주변 및 촌락의 소도시를 포함한 구릉상태의 농지지형</t>
    <phoneticPr fontId="1" type="noConversion"/>
  </si>
  <si>
    <t>산악지</t>
    <phoneticPr fontId="1" type="noConversion"/>
  </si>
  <si>
    <t>◦ 작업량에 따른 계수(P)</t>
    <phoneticPr fontId="1" type="noConversion"/>
  </si>
  <si>
    <t>축척</t>
    <phoneticPr fontId="1" type="noConversion"/>
  </si>
  <si>
    <t>계 수</t>
    <phoneticPr fontId="1" type="noConversion"/>
  </si>
  <si>
    <t>ㆍ작업량계수(P) = 0.8 + ( 2 /측량면적 만㎡)</t>
    <phoneticPr fontId="1" type="noConversion"/>
  </si>
  <si>
    <t>+ (</t>
    <phoneticPr fontId="1" type="noConversion"/>
  </si>
  <si>
    <t xml:space="preserve"> ) =</t>
    <phoneticPr fontId="1" type="noConversion"/>
  </si>
  <si>
    <t>산지</t>
    <phoneticPr fontId="1" type="noConversion"/>
  </si>
  <si>
    <t>ㆍ시가지 주변 및 촌락의 소도시를 포함한 구릉지형</t>
    <phoneticPr fontId="1" type="noConversion"/>
  </si>
  <si>
    <t>ㆍ작업량계수(P) = 0.8 + ( 3 / 작업량(거리))</t>
    <phoneticPr fontId="1" type="noConversion"/>
  </si>
  <si>
    <t xml:space="preserve">+ ( </t>
    <phoneticPr fontId="1" type="noConversion"/>
  </si>
  <si>
    <t>작업종류</t>
    <phoneticPr fontId="1" type="noConversion"/>
  </si>
  <si>
    <t>신규</t>
    <phoneticPr fontId="1" type="noConversion"/>
  </si>
  <si>
    <t>ㆍ총 수량 ＝ 인원수 × 표준작업량 × K × P</t>
    <phoneticPr fontId="1" type="noConversion"/>
  </si>
  <si>
    <t>수정</t>
    <phoneticPr fontId="1" type="noConversion"/>
  </si>
  <si>
    <t>구하는점</t>
    <phoneticPr fontId="1" type="noConversion"/>
  </si>
  <si>
    <t xml:space="preserve">주어진점 </t>
    <phoneticPr fontId="1" type="noConversion"/>
  </si>
  <si>
    <t>작업량점수 :</t>
    <phoneticPr fontId="1" type="noConversion"/>
  </si>
  <si>
    <t>ㆍ표고차 200m~400m</t>
    <phoneticPr fontId="1" type="noConversion"/>
  </si>
  <si>
    <t>ㆍ표고차 400m이상</t>
    <phoneticPr fontId="1" type="noConversion"/>
  </si>
  <si>
    <t>ㆍ작업량계수(P) = 0.8 + ( 6 / 작업량(점수))</t>
    <phoneticPr fontId="1" type="noConversion"/>
  </si>
  <si>
    <t>◦ 점간 거리별 증감계수(S)</t>
    <phoneticPr fontId="1" type="noConversion"/>
  </si>
  <si>
    <t>ㆍ작업량계수(P) = 0.8 + ( 30 / 작업량(점수))</t>
    <phoneticPr fontId="1" type="noConversion"/>
  </si>
  <si>
    <t>증감계수</t>
    <phoneticPr fontId="1" type="noConversion"/>
  </si>
  <si>
    <t>1. 조사개요</t>
    <phoneticPr fontId="2" type="noConversion"/>
  </si>
  <si>
    <t>3. 출장비(현지조사, 단위:원)</t>
    <phoneticPr fontId="2" type="noConversion"/>
  </si>
  <si>
    <t>작업량(면적)</t>
    <phoneticPr fontId="1" type="noConversion"/>
  </si>
  <si>
    <t>천원</t>
    <phoneticPr fontId="2" type="noConversion"/>
  </si>
  <si>
    <t>합  계</t>
    <phoneticPr fontId="2" type="noConversion"/>
  </si>
  <si>
    <t>제1호</t>
    <phoneticPr fontId="2" type="noConversion"/>
  </si>
  <si>
    <t>철도운임</t>
    <phoneticPr fontId="2" type="noConversion"/>
  </si>
  <si>
    <t>선박운임</t>
    <phoneticPr fontId="2" type="noConversion"/>
  </si>
  <si>
    <t>항공운임</t>
    <phoneticPr fontId="2" type="noConversion"/>
  </si>
  <si>
    <t>자동차 운임</t>
    <phoneticPr fontId="2" type="noConversion"/>
  </si>
  <si>
    <t>실비(특실)</t>
    <phoneticPr fontId="1" type="noConversion"/>
  </si>
  <si>
    <t>실비(일반실)</t>
    <phoneticPr fontId="2" type="noConversion"/>
  </si>
  <si>
    <t>실비(1등급)</t>
    <phoneticPr fontId="1" type="noConversion"/>
  </si>
  <si>
    <t>실비(2등급)</t>
    <phoneticPr fontId="2" type="noConversion"/>
  </si>
  <si>
    <t>2. 여비단가(공무원여비규정 국내 여비 지급표 적용)</t>
    <phoneticPr fontId="2" type="noConversion"/>
  </si>
  <si>
    <t>(대통령령 제22661호, 2011년 7월 1일 시행)(단위 : 원)</t>
    <phoneticPr fontId="1" type="noConversion"/>
  </si>
  <si>
    <t>각종 운임은 물가정보 부록 25. 각종운임 참고</t>
    <phoneticPr fontId="1" type="noConversion"/>
  </si>
  <si>
    <t>◇ 자료입력 Table</t>
    <phoneticPr fontId="1" type="noConversion"/>
  </si>
  <si>
    <t>숙박비(1박당)
상한액:40,000원</t>
    <phoneticPr fontId="2" type="noConversion"/>
  </si>
  <si>
    <t>예정공정표 막대그래프 조정하세요.</t>
    <phoneticPr fontId="1" type="noConversion"/>
  </si>
  <si>
    <t>설계구분 :</t>
    <phoneticPr fontId="1" type="noConversion"/>
  </si>
  <si>
    <t>용  역 명 :</t>
    <phoneticPr fontId="1" type="noConversion"/>
  </si>
  <si>
    <t>위      치 :</t>
    <phoneticPr fontId="1" type="noConversion"/>
  </si>
  <si>
    <t>용역내용 :</t>
    <phoneticPr fontId="1" type="noConversion"/>
  </si>
  <si>
    <t>공사종류 :</t>
    <phoneticPr fontId="1" type="noConversion"/>
  </si>
  <si>
    <t>공사금액 :</t>
    <phoneticPr fontId="1" type="noConversion"/>
  </si>
  <si>
    <t>대가조정 :</t>
    <phoneticPr fontId="1" type="noConversion"/>
  </si>
  <si>
    <t>기본설계적용 :</t>
    <phoneticPr fontId="1" type="noConversion"/>
  </si>
  <si>
    <t>예정공정표 :</t>
    <phoneticPr fontId="1" type="noConversion"/>
  </si>
  <si>
    <t>출장여비반영:</t>
    <phoneticPr fontId="1" type="noConversion"/>
  </si>
  <si>
    <t>측량품적용 :</t>
    <phoneticPr fontId="1" type="noConversion"/>
  </si>
  <si>
    <t>단위</t>
    <phoneticPr fontId="1" type="noConversion"/>
  </si>
  <si>
    <t xml:space="preserve">      요율
공사비</t>
    <phoneticPr fontId="2" type="noConversion"/>
  </si>
  <si>
    <t>업무별요율</t>
    <phoneticPr fontId="2" type="noConversion"/>
  </si>
  <si>
    <t>직선보간법</t>
    <phoneticPr fontId="2" type="noConversion"/>
  </si>
  <si>
    <t>기본설계</t>
    <phoneticPr fontId="2" type="noConversion"/>
  </si>
  <si>
    <t>실시설계</t>
    <phoneticPr fontId="2" type="noConversion"/>
  </si>
  <si>
    <t>공사감리</t>
    <phoneticPr fontId="2" type="noConversion"/>
  </si>
  <si>
    <t>계</t>
    <phoneticPr fontId="2" type="noConversion"/>
  </si>
  <si>
    <t>(</t>
    <phoneticPr fontId="2" type="noConversion"/>
  </si>
  <si>
    <t>x</t>
    <phoneticPr fontId="2" type="noConversion"/>
  </si>
  <si>
    <t>-</t>
    <phoneticPr fontId="2" type="noConversion"/>
  </si>
  <si>
    <r>
      <t>x</t>
    </r>
    <r>
      <rPr>
        <vertAlign val="subscript"/>
        <sz val="9"/>
        <rFont val="맑은 고딕"/>
        <family val="3"/>
        <charset val="129"/>
      </rPr>
      <t>2</t>
    </r>
    <phoneticPr fontId="2" type="noConversion"/>
  </si>
  <si>
    <t>)</t>
    <phoneticPr fontId="2" type="noConversion"/>
  </si>
  <si>
    <r>
      <t>y</t>
    </r>
    <r>
      <rPr>
        <vertAlign val="subscript"/>
        <sz val="9"/>
        <rFont val="맑은 고딕"/>
        <family val="3"/>
        <charset val="129"/>
      </rPr>
      <t>1</t>
    </r>
    <phoneticPr fontId="2" type="noConversion"/>
  </si>
  <si>
    <r>
      <t>y</t>
    </r>
    <r>
      <rPr>
        <vertAlign val="subscript"/>
        <sz val="9"/>
        <rFont val="맑은 고딕"/>
        <family val="3"/>
        <charset val="129"/>
      </rPr>
      <t>2</t>
    </r>
    <phoneticPr fontId="2" type="noConversion"/>
  </si>
  <si>
    <t>Y</t>
    <phoneticPr fontId="2" type="noConversion"/>
  </si>
  <si>
    <t>=</t>
    <phoneticPr fontId="2" type="noConversion"/>
  </si>
  <si>
    <r>
      <t>x</t>
    </r>
    <r>
      <rPr>
        <vertAlign val="subscript"/>
        <sz val="9"/>
        <rFont val="맑은 고딕"/>
        <family val="3"/>
        <charset val="129"/>
      </rPr>
      <t>1</t>
    </r>
    <phoneticPr fontId="2" type="noConversion"/>
  </si>
  <si>
    <t>당해공사비요율</t>
    <phoneticPr fontId="2" type="noConversion"/>
  </si>
  <si>
    <t>당해금액</t>
    <phoneticPr fontId="2" type="noConversion"/>
  </si>
  <si>
    <t>천원</t>
    <phoneticPr fontId="1" type="noConversion"/>
  </si>
  <si>
    <t>큰금액</t>
    <phoneticPr fontId="2" type="noConversion"/>
  </si>
  <si>
    <t>작은금액</t>
    <phoneticPr fontId="2" type="noConversion"/>
  </si>
  <si>
    <r>
      <t>y</t>
    </r>
    <r>
      <rPr>
        <vertAlign val="subscript"/>
        <sz val="9"/>
        <rFont val="맑은 고딕"/>
        <family val="3"/>
        <charset val="129"/>
      </rPr>
      <t>1</t>
    </r>
    <phoneticPr fontId="2" type="noConversion"/>
  </si>
  <si>
    <t>=</t>
    <phoneticPr fontId="2" type="noConversion"/>
  </si>
  <si>
    <t>작은금액요율</t>
    <phoneticPr fontId="2" type="noConversion"/>
  </si>
  <si>
    <t xml:space="preserve">※ 태백권 상수도관망 최적관리시스템 구축사업 기본계획 참조
</t>
    <phoneticPr fontId="1" type="noConversion"/>
  </si>
  <si>
    <r>
      <t>y</t>
    </r>
    <r>
      <rPr>
        <vertAlign val="subscript"/>
        <sz val="9"/>
        <rFont val="맑은 고딕"/>
        <family val="3"/>
        <charset val="129"/>
      </rPr>
      <t>2</t>
    </r>
    <phoneticPr fontId="2" type="noConversion"/>
  </si>
  <si>
    <t>큰금액요율</t>
    <phoneticPr fontId="2" type="noConversion"/>
  </si>
  <si>
    <t>&lt;송·배수관 신설 개략공사비&gt;</t>
    <phoneticPr fontId="1" type="noConversion"/>
  </si>
  <si>
    <t>(단위:원/m)</t>
    <phoneticPr fontId="1" type="noConversion"/>
  </si>
  <si>
    <t>(</t>
    <phoneticPr fontId="2" type="noConversion"/>
  </si>
  <si>
    <t>-</t>
    <phoneticPr fontId="2" type="noConversion"/>
  </si>
  <si>
    <t>)</t>
    <phoneticPr fontId="2" type="noConversion"/>
  </si>
  <si>
    <t>관경(㎜)</t>
    <phoneticPr fontId="1" type="noConversion"/>
  </si>
  <si>
    <t>Y</t>
    <phoneticPr fontId="2" type="noConversion"/>
  </si>
  <si>
    <t>Y</t>
    <phoneticPr fontId="2" type="noConversion"/>
  </si>
  <si>
    <t>=</t>
    <phoneticPr fontId="2" type="noConversion"/>
  </si>
  <si>
    <t>실시설계비</t>
    <phoneticPr fontId="2" type="noConversion"/>
  </si>
  <si>
    <t>천원</t>
    <phoneticPr fontId="1" type="noConversion"/>
  </si>
  <si>
    <t>×</t>
    <phoneticPr fontId="2" type="noConversion"/>
  </si>
  <si>
    <t>/</t>
    <phoneticPr fontId="2" type="noConversion"/>
  </si>
  <si>
    <t>원단위 환산</t>
    <phoneticPr fontId="1" type="noConversion"/>
  </si>
  <si>
    <t>원</t>
    <phoneticPr fontId="1" type="noConversion"/>
  </si>
  <si>
    <t>※ 1. 관자재 및 부설공 소요물량 산정후 단위연장당 공사비 산출</t>
    <phoneticPr fontId="1" type="noConversion"/>
  </si>
  <si>
    <t xml:space="preserve">2. 대체공사비는 신설공사비의 130%을 계상한다.
</t>
    <phoneticPr fontId="1" type="noConversion"/>
  </si>
  <si>
    <t>3. 개량공사비는 신설공사비(도로구간)의 80%를 계상한다.</t>
    <phoneticPr fontId="1" type="noConversion"/>
  </si>
  <si>
    <t xml:space="preserve"> &lt;급수전 개략공사비&gt;
</t>
    <phoneticPr fontId="1" type="noConversion"/>
  </si>
  <si>
    <t xml:space="preserve">(단위 : 원/개소당)
</t>
    <phoneticPr fontId="1" type="noConversion"/>
  </si>
  <si>
    <t>관경(mm)</t>
    <phoneticPr fontId="1" type="noConversion"/>
  </si>
  <si>
    <t>계량기보호통교체</t>
    <phoneticPr fontId="1" type="noConversion"/>
  </si>
  <si>
    <t>※ 계량기 자재 단가에 부설공사비를 포함하여 산출</t>
    <phoneticPr fontId="1" type="noConversion"/>
  </si>
  <si>
    <t>&lt;급수관 신설 개략공사비&gt;</t>
    <phoneticPr fontId="1" type="noConversion"/>
  </si>
  <si>
    <t>(단위:원/m)</t>
    <phoneticPr fontId="1" type="noConversion"/>
  </si>
  <si>
    <t>관경(㎜)</t>
    <phoneticPr fontId="1" type="noConversion"/>
  </si>
  <si>
    <t>1. 관자재 및 부설공 소요물량 산정후 단위연장당 공사비를 산출하고 임시공급관로(5회 사용) 감가상각비를 반영</t>
    <phoneticPr fontId="1" type="noConversion"/>
  </si>
  <si>
    <t>2. 대체공사비는 신설공사비의 120%을 계상한다.</t>
    <phoneticPr fontId="1" type="noConversion"/>
  </si>
  <si>
    <t xml:space="preserve">&lt;유지관리시스템 구축비&gt;
</t>
    <phoneticPr fontId="1" type="noConversion"/>
  </si>
  <si>
    <t>(단위 : 천원)</t>
    <phoneticPr fontId="1" type="noConversion"/>
  </si>
  <si>
    <t xml:space="preserve"> ※ 태백권 상수도관망 최적관리시스템 구축사업 기본계획 참조</t>
    <phoneticPr fontId="1" type="noConversion"/>
  </si>
  <si>
    <t xml:space="preserve"> 지형현황측량</t>
    <phoneticPr fontId="1" type="noConversion"/>
  </si>
  <si>
    <t>지형현황측량</t>
    <phoneticPr fontId="70" type="noConversion"/>
  </si>
  <si>
    <t>지형현황측량</t>
    <phoneticPr fontId="1" type="noConversion"/>
  </si>
  <si>
    <t>구릉지</t>
  </si>
  <si>
    <t>산지</t>
  </si>
  <si>
    <t>수준측량 2급</t>
    <phoneticPr fontId="1" type="noConversion"/>
  </si>
  <si>
    <t>평지</t>
  </si>
  <si>
    <t>토지등기부 지적도 또는 소유권조사</t>
    <phoneticPr fontId="1" type="noConversion"/>
  </si>
  <si>
    <t>공공용지사정입회 및 민간인경계입회</t>
    <phoneticPr fontId="1" type="noConversion"/>
  </si>
  <si>
    <t>보링기계운반 (4.5Ton, L=50km 구역화물) 회 당</t>
    <phoneticPr fontId="70" type="noConversion"/>
  </si>
  <si>
    <t>수정가능탭 :</t>
    <phoneticPr fontId="1" type="noConversion"/>
  </si>
  <si>
    <t>수정지양탭 :</t>
    <phoneticPr fontId="1" type="noConversion"/>
  </si>
  <si>
    <t>지반조사 Input Table</t>
    <phoneticPr fontId="1" type="noConversion"/>
  </si>
  <si>
    <t>수수료(원)</t>
  </si>
  <si>
    <t>처리기간</t>
  </si>
  <si>
    <t>시료량</t>
  </si>
  <si>
    <t>실내CBR(다짐포함)</t>
  </si>
  <si>
    <t>NX</t>
  </si>
  <si>
    <t>토질심도를 직접입력하세요. 지층분포가 없다고 생각하시면 셀의 내용을 지워주세요.</t>
  </si>
  <si>
    <t>토질조사비</t>
    <phoneticPr fontId="70" type="noConversion"/>
  </si>
  <si>
    <t>BX</t>
    <phoneticPr fontId="1" type="noConversion"/>
  </si>
  <si>
    <t>공</t>
    <phoneticPr fontId="1" type="noConversion"/>
  </si>
  <si>
    <t>NX</t>
    <phoneticPr fontId="1" type="noConversion"/>
  </si>
  <si>
    <t>25,000㎡</t>
    <phoneticPr fontId="1" type="noConversion"/>
  </si>
  <si>
    <t>기준점</t>
  </si>
  <si>
    <t>수준점</t>
  </si>
  <si>
    <t>사진기준점</t>
  </si>
  <si>
    <t>지형현황도</t>
  </si>
  <si>
    <t>항공사진</t>
  </si>
  <si>
    <t>수치지도</t>
  </si>
  <si>
    <t>지하시설물도</t>
  </si>
  <si>
    <t>수치표고자료</t>
  </si>
  <si>
    <t>1:1,200</t>
    <phoneticPr fontId="2" type="noConversion"/>
  </si>
  <si>
    <t>기준점</t>
    <phoneticPr fontId="2" type="noConversion"/>
  </si>
  <si>
    <t>답사선점</t>
    <phoneticPr fontId="2" type="noConversion"/>
  </si>
  <si>
    <t>1:250</t>
    <phoneticPr fontId="2" type="noConversion"/>
  </si>
  <si>
    <t>1:300</t>
    <phoneticPr fontId="2" type="noConversion"/>
  </si>
  <si>
    <t>1:500</t>
    <phoneticPr fontId="2" type="noConversion"/>
  </si>
  <si>
    <t>1:600</t>
    <phoneticPr fontId="2" type="noConversion"/>
  </si>
  <si>
    <t>1:1,000</t>
    <phoneticPr fontId="2" type="noConversion"/>
  </si>
  <si>
    <t>단위</t>
    <phoneticPr fontId="1" type="noConversion"/>
  </si>
  <si>
    <t>일반도화</t>
    <phoneticPr fontId="1" type="noConversion"/>
  </si>
  <si>
    <t>구   분</t>
  </si>
  <si>
    <t>비   율</t>
  </si>
  <si>
    <t>성과의 50%</t>
  </si>
  <si>
    <t>성과의 20%</t>
  </si>
  <si>
    <t> 영상지도</t>
  </si>
  <si>
    <t> 공간영상도화</t>
  </si>
  <si>
    <t>초급기능사(측량)</t>
  </si>
  <si>
    <t>관측</t>
    <phoneticPr fontId="2" type="noConversion"/>
  </si>
  <si>
    <t>계산</t>
    <phoneticPr fontId="2" type="noConversion"/>
  </si>
  <si>
    <t>55.5×44.5</t>
  </si>
  <si>
    <t>축   척</t>
  </si>
  <si>
    <t>규 격 (㎝)</t>
  </si>
  <si>
    <t>단   위</t>
  </si>
  <si>
    <t>일반지도</t>
  </si>
  <si>
    <t>55.5 × 44.5</t>
  </si>
  <si>
    <t>1 도엽</t>
  </si>
  <si>
    <t>1:500</t>
    <phoneticPr fontId="1" type="noConversion"/>
  </si>
  <si>
    <t>1:1,000</t>
    <phoneticPr fontId="1" type="noConversion"/>
  </si>
  <si>
    <t>1:1,200</t>
    <phoneticPr fontId="1" type="noConversion"/>
  </si>
  <si>
    <t>1:2,500</t>
    <phoneticPr fontId="1" type="noConversion"/>
  </si>
  <si>
    <t>1:5,000</t>
    <phoneticPr fontId="1" type="noConversion"/>
  </si>
  <si>
    <t>1:25,000</t>
    <phoneticPr fontId="1" type="noConversion"/>
  </si>
  <si>
    <t>축척</t>
  </si>
  <si>
    <t>단위(도상거리)</t>
  </si>
  <si>
    <t>100㎝당</t>
  </si>
  <si>
    <t>고급기술자</t>
  </si>
  <si>
    <t>중급기술자</t>
  </si>
  <si>
    <t>초급기술자</t>
  </si>
  <si>
    <t>중급기능사(측량)</t>
  </si>
  <si>
    <t>자료수집,작업준비</t>
  </si>
  <si>
    <t>조 사</t>
  </si>
  <si>
    <t>탐 사</t>
  </si>
  <si>
    <t>합 계</t>
  </si>
  <si>
    <t>도면축척</t>
  </si>
  <si>
    <t>단 위</t>
  </si>
  <si>
    <t>위성영상</t>
  </si>
  <si>
    <t>자료취득 방법</t>
  </si>
  <si>
    <t>항공레이저</t>
  </si>
  <si>
    <t>수치사진측량장비</t>
  </si>
  <si>
    <t>해석도화기</t>
  </si>
  <si>
    <t>규격(cm)</t>
  </si>
  <si>
    <t>기 준 점</t>
  </si>
  <si>
    <t>1점당</t>
  </si>
  <si>
    <t>1도엽</t>
  </si>
  <si>
    <t>측심선간격</t>
  </si>
  <si>
    <t>1/10,000</t>
  </si>
  <si>
    <t>100m</t>
  </si>
  <si>
    <t>1km당</t>
  </si>
  <si>
    <t>50m</t>
  </si>
  <si>
    <t>1/2,500</t>
  </si>
  <si>
    <t>1/1,000</t>
  </si>
  <si>
    <t>10m</t>
  </si>
  <si>
    <t>1:2,500이하</t>
    <phoneticPr fontId="2" type="noConversion"/>
  </si>
  <si>
    <t>도엽</t>
    <phoneticPr fontId="1" type="noConversion"/>
  </si>
  <si>
    <t>1:500</t>
    <phoneticPr fontId="1" type="noConversion"/>
  </si>
  <si>
    <t>1:1,000</t>
    <phoneticPr fontId="1" type="noConversion"/>
  </si>
  <si>
    <t>1:1,200</t>
    <phoneticPr fontId="1" type="noConversion"/>
  </si>
  <si>
    <t>1:2,500</t>
    <phoneticPr fontId="1" type="noConversion"/>
  </si>
  <si>
    <t>1:5,000</t>
    <phoneticPr fontId="1" type="noConversion"/>
  </si>
  <si>
    <t>1:25,000</t>
    <phoneticPr fontId="1" type="noConversion"/>
  </si>
  <si>
    <t>수심도축척</t>
    <phoneticPr fontId="1" type="noConversion"/>
  </si>
  <si>
    <t>구분</t>
    <phoneticPr fontId="2" type="noConversion"/>
  </si>
  <si>
    <t>단위</t>
    <phoneticPr fontId="2" type="noConversion"/>
  </si>
  <si>
    <t>1점당</t>
    <phoneticPr fontId="2" type="noConversion"/>
  </si>
  <si>
    <t>수준점</t>
    <phoneticPr fontId="2" type="noConversion"/>
  </si>
  <si>
    <t>1km당</t>
    <phoneticPr fontId="2" type="noConversion"/>
  </si>
  <si>
    <t>사진기준점</t>
    <phoneticPr fontId="2" type="noConversion"/>
  </si>
  <si>
    <t>1모델당</t>
    <phoneticPr fontId="2" type="noConversion"/>
  </si>
  <si>
    <t>검  측  인  원</t>
    <phoneticPr fontId="2" type="noConversion"/>
  </si>
  <si>
    <t>고급기술자</t>
    <phoneticPr fontId="2" type="noConversion"/>
  </si>
  <si>
    <t>중급기술자</t>
    <phoneticPr fontId="2" type="noConversion"/>
  </si>
  <si>
    <t>보통인부</t>
    <phoneticPr fontId="2" type="noConversion"/>
  </si>
  <si>
    <t>계획준비</t>
    <phoneticPr fontId="2" type="noConversion"/>
  </si>
  <si>
    <t>답사선점</t>
    <phoneticPr fontId="2" type="noConversion"/>
  </si>
  <si>
    <t>관측</t>
    <phoneticPr fontId="2" type="noConversion"/>
  </si>
  <si>
    <t>계산</t>
    <phoneticPr fontId="2" type="noConversion"/>
  </si>
  <si>
    <t>합계</t>
    <phoneticPr fontId="2" type="noConversion"/>
  </si>
  <si>
    <t>도면축척</t>
    <phoneticPr fontId="2" type="noConversion"/>
  </si>
  <si>
    <t>1도엽당면적</t>
    <phoneticPr fontId="2" type="noConversion"/>
  </si>
  <si>
    <t>1:200</t>
    <phoneticPr fontId="2" type="noConversion"/>
  </si>
  <si>
    <t>구분</t>
    <phoneticPr fontId="1" type="noConversion"/>
  </si>
  <si>
    <t>규격</t>
    <phoneticPr fontId="1" type="noConversion"/>
  </si>
  <si>
    <t>단위</t>
    <phoneticPr fontId="1" type="noConversion"/>
  </si>
  <si>
    <t>흑백밀착사진</t>
    <phoneticPr fontId="1" type="noConversion"/>
  </si>
  <si>
    <t>23㎝×23㎝</t>
    <phoneticPr fontId="1" type="noConversion"/>
  </si>
  <si>
    <t>칼라밀착사진</t>
    <phoneticPr fontId="1" type="noConversion"/>
  </si>
  <si>
    <t>1모델</t>
    <phoneticPr fontId="1" type="noConversion"/>
  </si>
  <si>
    <t>수치도화</t>
    <phoneticPr fontId="1" type="noConversion"/>
  </si>
  <si>
    <t>1:1,000</t>
    <phoneticPr fontId="1" type="noConversion"/>
  </si>
  <si>
    <t>1:5,000</t>
    <phoneticPr fontId="1" type="noConversion"/>
  </si>
  <si>
    <t>1:25,000</t>
    <phoneticPr fontId="1" type="noConversion"/>
  </si>
  <si>
    <t>1:500</t>
    <phoneticPr fontId="1" type="noConversion"/>
  </si>
  <si>
    <t>가. 실내검사</t>
    <phoneticPr fontId="1" type="noConversion"/>
  </si>
  <si>
    <t>나. 현지심사(1,000m당, 1일당)</t>
    <phoneticPr fontId="1" type="noConversion"/>
  </si>
  <si>
    <t>심사인원</t>
  </si>
  <si>
    <t xml:space="preserve">    2) 수준측량(1km당, 1일당)</t>
    <phoneticPr fontId="2" type="noConversion"/>
  </si>
  <si>
    <t>심사인원</t>
    <phoneticPr fontId="1" type="noConversion"/>
  </si>
  <si>
    <t xml:space="preserve">  나. 현지심사     1)기준점측량(1점당, 1일당)</t>
    <phoneticPr fontId="2" type="noConversion"/>
  </si>
  <si>
    <t>심사인원(인)</t>
    <phoneticPr fontId="1" type="noConversion"/>
  </si>
  <si>
    <t>초급기능사(측량)</t>
    <phoneticPr fontId="2" type="noConversion"/>
  </si>
  <si>
    <t>시가지측량</t>
    <phoneticPr fontId="1" type="noConversion"/>
  </si>
  <si>
    <t>지형현황측량</t>
    <phoneticPr fontId="1" type="noConversion"/>
  </si>
  <si>
    <t>점</t>
    <phoneticPr fontId="1" type="noConversion"/>
  </si>
  <si>
    <t>합계</t>
    <phoneticPr fontId="1" type="noConversion"/>
  </si>
  <si>
    <t>기준점</t>
    <phoneticPr fontId="1" type="noConversion"/>
  </si>
  <si>
    <t>사진기준점</t>
    <phoneticPr fontId="1" type="noConversion"/>
  </si>
  <si>
    <t>심사내용</t>
    <phoneticPr fontId="1" type="noConversion"/>
  </si>
  <si>
    <t>지현황황도</t>
    <phoneticPr fontId="1" type="noConversion"/>
  </si>
  <si>
    <t>항공사진</t>
    <phoneticPr fontId="1" type="noConversion"/>
  </si>
  <si>
    <t>공간영상도화</t>
    <phoneticPr fontId="1" type="noConversion"/>
  </si>
  <si>
    <t>수치지도</t>
    <phoneticPr fontId="1" type="noConversion"/>
  </si>
  <si>
    <t>정위치편집</t>
    <phoneticPr fontId="1" type="noConversion"/>
  </si>
  <si>
    <t>일반지도</t>
    <phoneticPr fontId="1" type="noConversion"/>
  </si>
  <si>
    <t>도면제작편집</t>
    <phoneticPr fontId="1" type="noConversion"/>
  </si>
  <si>
    <t>심사량</t>
    <phoneticPr fontId="1" type="noConversion"/>
  </si>
  <si>
    <t>단가</t>
    <phoneticPr fontId="1" type="noConversion"/>
  </si>
  <si>
    <t>금액</t>
    <phoneticPr fontId="1" type="noConversion"/>
  </si>
  <si>
    <t>현지심사</t>
    <phoneticPr fontId="1" type="noConversion"/>
  </si>
  <si>
    <t>공공기준점</t>
    <phoneticPr fontId="1" type="noConversion"/>
  </si>
  <si>
    <t>공공수준점</t>
    <phoneticPr fontId="1" type="noConversion"/>
  </si>
  <si>
    <t>영상지도</t>
    <phoneticPr fontId="1" type="noConversion"/>
  </si>
  <si>
    <t>위성영상</t>
    <phoneticPr fontId="1" type="noConversion"/>
  </si>
  <si>
    <t>수치표고 자료제작</t>
    <phoneticPr fontId="1" type="noConversion"/>
  </si>
  <si>
    <t>좌표계 변환</t>
    <phoneticPr fontId="1" type="noConversion"/>
  </si>
  <si>
    <t>도엽</t>
    <phoneticPr fontId="1" type="noConversion"/>
  </si>
  <si>
    <t>수심측량</t>
    <phoneticPr fontId="1" type="noConversion"/>
  </si>
  <si>
    <t>수심도 축척(1/10,000)</t>
    <phoneticPr fontId="1" type="noConversion"/>
  </si>
  <si>
    <t>수심도 축척(1/2,500)</t>
    <phoneticPr fontId="1" type="noConversion"/>
  </si>
  <si>
    <t>수심도 축척(1/1,000)</t>
    <phoneticPr fontId="1" type="noConversion"/>
  </si>
  <si>
    <t>㎞</t>
    <phoneticPr fontId="1" type="noConversion"/>
  </si>
  <si>
    <t>모델</t>
    <phoneticPr fontId="1" type="noConversion"/>
  </si>
  <si>
    <t>100㎝</t>
    <phoneticPr fontId="1" type="noConversion"/>
  </si>
  <si>
    <t>좌표계 변환</t>
    <phoneticPr fontId="1" type="noConversion"/>
  </si>
  <si>
    <t>성과의 50%</t>
    <phoneticPr fontId="1" type="noConversion"/>
  </si>
  <si>
    <t>수심측량</t>
    <phoneticPr fontId="1" type="noConversion"/>
  </si>
  <si>
    <t>일반도화</t>
  </si>
  <si>
    <t>분류1</t>
    <phoneticPr fontId="1" type="noConversion"/>
  </si>
  <si>
    <t>분류2</t>
    <phoneticPr fontId="1" type="noConversion"/>
  </si>
  <si>
    <t>1:1,000</t>
  </si>
  <si>
    <t>지하시설물도</t>
    <phoneticPr fontId="1" type="noConversion"/>
  </si>
  <si>
    <t>1:1,200</t>
  </si>
  <si>
    <t>10장당</t>
    <phoneticPr fontId="1" type="noConversion"/>
  </si>
  <si>
    <t>10장</t>
    <phoneticPr fontId="1" type="noConversion"/>
  </si>
  <si>
    <t>1:5,000 이상</t>
    <phoneticPr fontId="1" type="noConversion"/>
  </si>
  <si>
    <t>1 : 25,000 이하</t>
    <phoneticPr fontId="1" type="noConversion"/>
  </si>
  <si>
    <t>1:5,000미만 1:25,000초과</t>
  </si>
  <si>
    <t>1:5,000미만 1:25,000초과</t>
    <phoneticPr fontId="1" type="noConversion"/>
  </si>
  <si>
    <t>20, 25m</t>
  </si>
  <si>
    <t>20, 25m</t>
    <phoneticPr fontId="1" type="noConversion"/>
  </si>
  <si>
    <t xml:space="preserve">20, 25m </t>
  </si>
  <si>
    <t xml:space="preserve">20, 25m </t>
    <phoneticPr fontId="1" type="noConversion"/>
  </si>
  <si>
    <t>지형면적</t>
    <phoneticPr fontId="1" type="noConversion"/>
  </si>
  <si>
    <t>수준</t>
    <phoneticPr fontId="1" type="noConversion"/>
  </si>
  <si>
    <t>실내검사</t>
    <phoneticPr fontId="1" type="noConversion"/>
  </si>
  <si>
    <t>1. 성과심사 표본추출 비율</t>
    <phoneticPr fontId="1" type="noConversion"/>
  </si>
  <si>
    <r>
      <t>공공측량성과의 심사 수수료 산정기준</t>
    </r>
    <r>
      <rPr>
        <b/>
        <sz val="8"/>
        <rFont val="맑은 고딕"/>
        <family val="3"/>
        <charset val="129"/>
      </rPr>
      <t>(측량·수로조사 및 지적에 관한 법률 시행규칙 제115조제2항관련)</t>
    </r>
    <phoneticPr fontId="2" type="noConversion"/>
  </si>
  <si>
    <t>(심사인원 : 고급기술자)</t>
    <phoneticPr fontId="1" type="noConversion"/>
  </si>
  <si>
    <r>
      <t xml:space="preserve">2. 공공기준점 </t>
    </r>
    <r>
      <rPr>
        <sz val="8"/>
        <color indexed="8"/>
        <rFont val="맑은 고딕"/>
        <family val="3"/>
        <charset val="129"/>
      </rPr>
      <t xml:space="preserve">  가. 실내검사</t>
    </r>
    <phoneticPr fontId="2" type="noConversion"/>
  </si>
  <si>
    <r>
      <t>3. 지형현황도</t>
    </r>
    <r>
      <rPr>
        <sz val="8"/>
        <color indexed="8"/>
        <rFont val="맑은 고딕"/>
        <family val="3"/>
        <charset val="129"/>
      </rPr>
      <t>(1도엽 30㎝×40㎝ 기준)</t>
    </r>
    <phoneticPr fontId="2" type="noConversion"/>
  </si>
  <si>
    <r>
      <t>4. 항공사진</t>
    </r>
    <r>
      <rPr>
        <sz val="8"/>
        <color indexed="8"/>
        <rFont val="맑은 고딕"/>
        <family val="3"/>
        <charset val="129"/>
      </rPr>
      <t>(10장 미만은 절상)</t>
    </r>
    <phoneticPr fontId="1" type="noConversion"/>
  </si>
  <si>
    <r>
      <t>5. 공간영상도화</t>
    </r>
    <r>
      <rPr>
        <sz val="8"/>
        <color indexed="8"/>
        <rFont val="맑은 고딕"/>
        <family val="3"/>
        <charset val="129"/>
      </rPr>
      <t>(수정도화는 증감계수 0.4를 적용)</t>
    </r>
    <phoneticPr fontId="1" type="noConversion"/>
  </si>
  <si>
    <r>
      <t>7. 지하시설물도</t>
    </r>
    <r>
      <rPr>
        <sz val="8"/>
        <color indexed="8"/>
        <rFont val="맑은 고딕"/>
        <family val="3"/>
        <charset val="129"/>
      </rPr>
      <t>(공동구 및 종류별)</t>
    </r>
    <phoneticPr fontId="1" type="noConversion"/>
  </si>
  <si>
    <r>
      <t>8. 영상지도</t>
    </r>
    <r>
      <rPr>
        <sz val="8"/>
        <color indexed="8"/>
        <rFont val="맑은 고딕"/>
        <family val="3"/>
        <charset val="129"/>
      </rPr>
      <t>(1도엽 55.5㎝×44.5㎝ 기준)</t>
    </r>
    <phoneticPr fontId="1" type="noConversion"/>
  </si>
  <si>
    <t>9. 수치표고 자료제작</t>
    <phoneticPr fontId="1" type="noConversion"/>
  </si>
  <si>
    <t>10. 좌표계 변환</t>
    <phoneticPr fontId="1" type="noConversion"/>
  </si>
  <si>
    <t>11. 수심측량</t>
    <phoneticPr fontId="1" type="noConversion"/>
  </si>
  <si>
    <t>기술계</t>
    <phoneticPr fontId="1" type="noConversion"/>
  </si>
  <si>
    <t>측량기능계</t>
    <phoneticPr fontId="1" type="noConversion"/>
  </si>
  <si>
    <t>도화기능계</t>
    <phoneticPr fontId="1" type="noConversion"/>
  </si>
  <si>
    <t>심사인원수(고급도화기능사)</t>
    <phoneticPr fontId="1" type="noConversion"/>
  </si>
  <si>
    <t>55.5×44.5</t>
    <phoneticPr fontId="1" type="noConversion"/>
  </si>
  <si>
    <t>1도엽</t>
    <phoneticPr fontId="1" type="noConversion"/>
  </si>
  <si>
    <t xml:space="preserve">  ③ 수치지형도(Ver2.0)</t>
    <phoneticPr fontId="1" type="noConversion"/>
  </si>
  <si>
    <t xml:space="preserve">  ② 도면제작편집(부분 수정·편집은 증감계수 0.4 적용)</t>
    <phoneticPr fontId="1" type="noConversion"/>
  </si>
  <si>
    <t>분류3</t>
    <phoneticPr fontId="1" type="noConversion"/>
  </si>
  <si>
    <t>2급, 3급, 4급</t>
    <phoneticPr fontId="1" type="noConversion"/>
  </si>
  <si>
    <t>수준측량거리</t>
    <phoneticPr fontId="1" type="noConversion"/>
  </si>
  <si>
    <t>하천측량</t>
    <phoneticPr fontId="1" type="noConversion"/>
  </si>
  <si>
    <t>노선측량</t>
    <phoneticPr fontId="1" type="noConversion"/>
  </si>
  <si>
    <t>시가지측량</t>
    <phoneticPr fontId="1" type="noConversion"/>
  </si>
  <si>
    <t>수도노선측량</t>
    <phoneticPr fontId="1" type="noConversion"/>
  </si>
  <si>
    <t>지형측량</t>
    <phoneticPr fontId="1" type="noConversion"/>
  </si>
  <si>
    <t>용지측량</t>
    <phoneticPr fontId="1" type="noConversion"/>
  </si>
  <si>
    <t>[시추조사를 위한 토질별 층고 Input Table]</t>
    <phoneticPr fontId="1" type="noConversion"/>
  </si>
  <si>
    <t>수정도화 NO</t>
  </si>
  <si>
    <t>분류4</t>
    <phoneticPr fontId="1" type="noConversion"/>
  </si>
  <si>
    <t>수치지형도Ver2.0)</t>
    <phoneticPr fontId="1" type="noConversion"/>
  </si>
  <si>
    <r>
      <rPr>
        <b/>
        <sz val="8"/>
        <color indexed="8"/>
        <rFont val="맑은 고딕"/>
        <family val="3"/>
        <charset val="129"/>
      </rPr>
      <t xml:space="preserve">6. 수치지도 </t>
    </r>
    <r>
      <rPr>
        <sz val="8"/>
        <color indexed="8"/>
        <rFont val="맑은 고딕"/>
        <family val="3"/>
        <charset val="129"/>
      </rPr>
      <t xml:space="preserve"> ① 정위치편집(55.5cm×44.5cm</t>
    </r>
    <phoneticPr fontId="1" type="noConversion"/>
  </si>
  <si>
    <t>1:250</t>
    <phoneticPr fontId="1" type="noConversion"/>
  </si>
  <si>
    <t>1:500</t>
    <phoneticPr fontId="1" type="noConversion"/>
  </si>
  <si>
    <t>1:500</t>
    <phoneticPr fontId="1" type="noConversion"/>
  </si>
  <si>
    <t>1:1,000</t>
    <phoneticPr fontId="1" type="noConversion"/>
  </si>
  <si>
    <t>1:2,500</t>
    <phoneticPr fontId="1" type="noConversion"/>
  </si>
  <si>
    <t>부분수정편집 NO</t>
  </si>
  <si>
    <t>수치지도</t>
    <phoneticPr fontId="1" type="noConversion"/>
  </si>
  <si>
    <t>지하시설물도</t>
    <phoneticPr fontId="1" type="noConversion"/>
  </si>
  <si>
    <t>영상지도</t>
    <phoneticPr fontId="1" type="noConversion"/>
  </si>
  <si>
    <t>좌표계 변환</t>
    <phoneticPr fontId="1" type="noConversion"/>
  </si>
  <si>
    <t>수심측량</t>
    <phoneticPr fontId="1" type="noConversion"/>
  </si>
  <si>
    <t>도화기</t>
    <phoneticPr fontId="1" type="noConversion"/>
  </si>
  <si>
    <t>GPS측량기</t>
    <phoneticPr fontId="1" type="noConversion"/>
  </si>
  <si>
    <t>광파측거의</t>
    <phoneticPr fontId="1" type="noConversion"/>
  </si>
  <si>
    <t>데오드라이트</t>
    <phoneticPr fontId="1" type="noConversion"/>
  </si>
  <si>
    <t>정밀레벨</t>
    <phoneticPr fontId="1" type="noConversion"/>
  </si>
  <si>
    <t>금속관로탐지기</t>
    <phoneticPr fontId="1" type="noConversion"/>
  </si>
  <si>
    <r>
      <t>49.5×10</t>
    </r>
    <r>
      <rPr>
        <vertAlign val="superscript"/>
        <sz val="8"/>
        <color indexed="8"/>
        <rFont val="맑은 고딕"/>
        <family val="3"/>
        <charset val="129"/>
      </rPr>
      <t>-5</t>
    </r>
    <r>
      <rPr>
        <sz val="8"/>
        <color indexed="8"/>
        <rFont val="맑은 고딕"/>
        <family val="3"/>
        <charset val="129"/>
      </rPr>
      <t xml:space="preserve">  =</t>
    </r>
    <phoneticPr fontId="1" type="noConversion"/>
  </si>
  <si>
    <r>
      <t>118.0×10</t>
    </r>
    <r>
      <rPr>
        <vertAlign val="superscript"/>
        <sz val="8"/>
        <color indexed="8"/>
        <rFont val="맑은 고딕"/>
        <family val="3"/>
        <charset val="129"/>
      </rPr>
      <t>-5</t>
    </r>
    <r>
      <rPr>
        <sz val="8"/>
        <color indexed="8"/>
        <rFont val="맑은 고딕"/>
        <family val="3"/>
        <charset val="129"/>
      </rPr>
      <t xml:space="preserve">  =</t>
    </r>
    <phoneticPr fontId="1" type="noConversion"/>
  </si>
  <si>
    <r>
      <t>106.6×10</t>
    </r>
    <r>
      <rPr>
        <vertAlign val="superscript"/>
        <sz val="8"/>
        <color indexed="8"/>
        <rFont val="맑은 고딕"/>
        <family val="3"/>
        <charset val="129"/>
      </rPr>
      <t>-5</t>
    </r>
    <r>
      <rPr>
        <sz val="8"/>
        <color indexed="8"/>
        <rFont val="맑은 고딕"/>
        <family val="3"/>
        <charset val="129"/>
      </rPr>
      <t xml:space="preserve">  =</t>
    </r>
    <phoneticPr fontId="1" type="noConversion"/>
  </si>
  <si>
    <r>
      <t>102.0×10</t>
    </r>
    <r>
      <rPr>
        <vertAlign val="superscript"/>
        <sz val="8"/>
        <color indexed="8"/>
        <rFont val="맑은 고딕"/>
        <family val="3"/>
        <charset val="129"/>
      </rPr>
      <t>-5</t>
    </r>
    <r>
      <rPr>
        <sz val="8"/>
        <color indexed="8"/>
        <rFont val="맑은 고딕"/>
        <family val="3"/>
        <charset val="129"/>
      </rPr>
      <t xml:space="preserve">  =</t>
    </r>
    <phoneticPr fontId="1" type="noConversion"/>
  </si>
  <si>
    <t>품명</t>
    <phoneticPr fontId="1" type="noConversion"/>
  </si>
  <si>
    <t>규격</t>
    <phoneticPr fontId="1" type="noConversion"/>
  </si>
  <si>
    <t>-</t>
    <phoneticPr fontId="1" type="noConversion"/>
  </si>
  <si>
    <t>1, 2주파수</t>
    <phoneticPr fontId="1" type="noConversion"/>
  </si>
  <si>
    <t>1~60km</t>
    <phoneticPr fontId="1" type="noConversion"/>
  </si>
  <si>
    <t>0.2~10초독</t>
    <phoneticPr fontId="1" type="noConversion"/>
  </si>
  <si>
    <t>1, 2등용</t>
    <phoneticPr fontId="1" type="noConversion"/>
  </si>
  <si>
    <t>상각비</t>
    <phoneticPr fontId="1" type="noConversion"/>
  </si>
  <si>
    <t>측량구분</t>
    <phoneticPr fontId="1" type="noConversion"/>
  </si>
  <si>
    <t>사업량</t>
    <phoneticPr fontId="1" type="noConversion"/>
  </si>
  <si>
    <t>규격</t>
    <phoneticPr fontId="1" type="noConversion"/>
  </si>
  <si>
    <t>총수량</t>
    <phoneticPr fontId="1" type="noConversion"/>
  </si>
  <si>
    <t>현지심사</t>
    <phoneticPr fontId="1" type="noConversion"/>
  </si>
  <si>
    <t>측량구분</t>
    <phoneticPr fontId="1" type="noConversion"/>
  </si>
  <si>
    <t>장비가격(물가정보)</t>
    <phoneticPr fontId="1" type="noConversion"/>
  </si>
  <si>
    <t>상각비 산정(일당)</t>
    <phoneticPr fontId="1" type="noConversion"/>
  </si>
  <si>
    <t>투입
인원</t>
    <phoneticPr fontId="1" type="noConversion"/>
  </si>
  <si>
    <t>투입총수</t>
    <phoneticPr fontId="1" type="noConversion"/>
  </si>
  <si>
    <t>측량대가 산출 Sheet에서 자동으로 입력되는 Table</t>
    <phoneticPr fontId="1" type="noConversion"/>
  </si>
  <si>
    <t>과업내용에 따라 사용자가 입력해야하는 Table</t>
    <phoneticPr fontId="1" type="noConversion"/>
  </si>
  <si>
    <t>현지심사실시여부</t>
    <phoneticPr fontId="1" type="noConversion"/>
  </si>
  <si>
    <t>1. 조사개요</t>
    <phoneticPr fontId="2" type="noConversion"/>
  </si>
  <si>
    <t>2. 여비단가(공무원여비규정 국내 여비 지급표 적용)</t>
    <phoneticPr fontId="2" type="noConversion"/>
  </si>
  <si>
    <t>철도운임</t>
    <phoneticPr fontId="2" type="noConversion"/>
  </si>
  <si>
    <t>제1호</t>
    <phoneticPr fontId="2" type="noConversion"/>
  </si>
  <si>
    <t>실비</t>
    <phoneticPr fontId="2" type="noConversion"/>
  </si>
  <si>
    <t>제2호</t>
    <phoneticPr fontId="2" type="noConversion"/>
  </si>
  <si>
    <t>각종 운임은 물가정보 부록 25. 각종운임 참고</t>
    <phoneticPr fontId="1" type="noConversion"/>
  </si>
  <si>
    <t>3. 출장비(현지조사, 단위:원)</t>
    <phoneticPr fontId="2" type="noConversion"/>
  </si>
  <si>
    <t>구  분</t>
    <phoneticPr fontId="2" type="noConversion"/>
  </si>
  <si>
    <t>규격</t>
    <phoneticPr fontId="2" type="noConversion"/>
  </si>
  <si>
    <t>수량</t>
    <phoneticPr fontId="2" type="noConversion"/>
  </si>
  <si>
    <t>단위</t>
    <phoneticPr fontId="2" type="noConversion"/>
  </si>
  <si>
    <t>단가</t>
    <phoneticPr fontId="2" type="noConversion"/>
  </si>
  <si>
    <t>금액</t>
    <phoneticPr fontId="2" type="noConversion"/>
  </si>
  <si>
    <t>비고</t>
    <phoneticPr fontId="2" type="noConversion"/>
  </si>
  <si>
    <t>인·일</t>
    <phoneticPr fontId="2" type="noConversion"/>
  </si>
  <si>
    <t>야</t>
    <phoneticPr fontId="2" type="noConversion"/>
  </si>
  <si>
    <t>인</t>
    <phoneticPr fontId="2" type="noConversion"/>
  </si>
  <si>
    <t>공무원 여비규정(제2호) 적용</t>
    <phoneticPr fontId="2" type="noConversion"/>
  </si>
  <si>
    <t>실비(일반실)</t>
    <phoneticPr fontId="2" type="noConversion"/>
  </si>
  <si>
    <t>구분</t>
    <phoneticPr fontId="2" type="noConversion"/>
  </si>
  <si>
    <t>숙박비</t>
    <phoneticPr fontId="2" type="noConversion"/>
  </si>
  <si>
    <t>실비(1등급)</t>
    <phoneticPr fontId="2" type="noConversion"/>
  </si>
  <si>
    <t>실비(특실)</t>
    <phoneticPr fontId="2" type="noConversion"/>
  </si>
  <si>
    <t>4인 1실</t>
    <phoneticPr fontId="2" type="noConversion"/>
  </si>
  <si>
    <t>출장장소</t>
    <phoneticPr fontId="2" type="noConversion"/>
  </si>
  <si>
    <t>출장인원</t>
    <phoneticPr fontId="2" type="noConversion"/>
  </si>
  <si>
    <t>출장비용</t>
    <phoneticPr fontId="2" type="noConversion"/>
  </si>
  <si>
    <t>출장기간</t>
    <phoneticPr fontId="2" type="noConversion"/>
  </si>
  <si>
    <t>(대통령령 제22661호, 2011년 7월 1일 시행)(단위 : 원)</t>
    <phoneticPr fontId="2" type="noConversion"/>
  </si>
  <si>
    <t>측량장비 상각비 산정기준</t>
    <phoneticPr fontId="2" type="noConversion"/>
  </si>
  <si>
    <t>왕복거리 육로120km미만은 1/3</t>
    <phoneticPr fontId="1" type="noConversion"/>
  </si>
  <si>
    <t>관내 발주시에는 운임, 숙박료, 식비는 삭제</t>
    <phoneticPr fontId="1" type="noConversion"/>
  </si>
  <si>
    <t>실비</t>
    <phoneticPr fontId="1" type="noConversion"/>
  </si>
  <si>
    <t>부득이 한 경우에만 적용</t>
    <phoneticPr fontId="1" type="noConversion"/>
  </si>
  <si>
    <t>인원×출장일</t>
    <phoneticPr fontId="2" type="noConversion"/>
  </si>
  <si>
    <t>투입총수로 환산함, 인원×출장일으로 할경우 재검토 요망</t>
    <phoneticPr fontId="2" type="noConversion"/>
  </si>
  <si>
    <t>인원×출장일으로 할경우 반영</t>
    <phoneticPr fontId="2" type="noConversion"/>
  </si>
  <si>
    <t>인허가 등</t>
    <phoneticPr fontId="1" type="noConversion"/>
  </si>
  <si>
    <t>공공측량성과심사</t>
    <phoneticPr fontId="1" type="noConversion"/>
  </si>
  <si>
    <r>
      <t xml:space="preserve">공공측량 성과심사비 </t>
    </r>
    <r>
      <rPr>
        <b/>
        <sz val="10"/>
        <rFont val="맑은 고딕"/>
        <family val="3"/>
        <charset val="129"/>
      </rPr>
      <t xml:space="preserve">(성과심사는 </t>
    </r>
    <r>
      <rPr>
        <b/>
        <sz val="10"/>
        <color indexed="30"/>
        <rFont val="맑은 고딕"/>
        <family val="3"/>
        <charset val="129"/>
      </rPr>
      <t>실내심사를 원칙</t>
    </r>
    <r>
      <rPr>
        <b/>
        <sz val="10"/>
        <rFont val="맑은 고딕"/>
        <family val="3"/>
        <charset val="129"/>
      </rPr>
      <t>으로 함.)</t>
    </r>
    <phoneticPr fontId="1" type="noConversion"/>
  </si>
  <si>
    <t>엔지니어링사업대가의 기준</t>
    <phoneticPr fontId="2" type="noConversion"/>
  </si>
  <si>
    <t>꼭 알아두세요</t>
    <phoneticPr fontId="1" type="noConversion"/>
  </si>
  <si>
    <t>구분</t>
  </si>
  <si>
    <t>실소요인력</t>
    <phoneticPr fontId="53" type="noConversion"/>
  </si>
  <si>
    <t>비고</t>
    <phoneticPr fontId="53" type="noConversion"/>
  </si>
  <si>
    <t>:</t>
    <phoneticPr fontId="2" type="noConversion"/>
  </si>
  <si>
    <t>배</t>
    <phoneticPr fontId="2" type="noConversion"/>
  </si>
  <si>
    <t>-</t>
    <phoneticPr fontId="2" type="noConversion"/>
  </si>
  <si>
    <t>신설</t>
    <phoneticPr fontId="2" type="noConversion"/>
  </si>
  <si>
    <t>/</t>
    <phoneticPr fontId="2" type="noConversion"/>
  </si>
  <si>
    <t>=</t>
    <phoneticPr fontId="2" type="noConversion"/>
  </si>
  <si>
    <t>확·포장</t>
    <phoneticPr fontId="2" type="noConversion"/>
  </si>
  <si>
    <t>구분</t>
    <phoneticPr fontId="2" type="noConversion"/>
  </si>
  <si>
    <t>X :</t>
    <phoneticPr fontId="2" type="noConversion"/>
  </si>
  <si>
    <t>당해사업규모</t>
    <phoneticPr fontId="2" type="noConversion"/>
  </si>
  <si>
    <t>작은 규모</t>
    <phoneticPr fontId="2" type="noConversion"/>
  </si>
  <si>
    <t>큰 규모</t>
    <phoneticPr fontId="2" type="noConversion"/>
  </si>
  <si>
    <t>Y :</t>
    <phoneticPr fontId="2" type="noConversion"/>
  </si>
  <si>
    <t>당해사업할증률</t>
    <phoneticPr fontId="2" type="noConversion"/>
  </si>
  <si>
    <t>작은 할증률</t>
    <phoneticPr fontId="2" type="noConversion"/>
  </si>
  <si>
    <t>큰 할증률</t>
    <phoneticPr fontId="2" type="noConversion"/>
  </si>
  <si>
    <t>규모</t>
    <phoneticPr fontId="2" type="noConversion"/>
  </si>
  <si>
    <t>○ 보정계수(α)</t>
    <phoneticPr fontId="2" type="noConversion"/>
  </si>
  <si>
    <t>α =[</t>
    <phoneticPr fontId="2" type="noConversion"/>
  </si>
  <si>
    <t>계획면적(거리)</t>
    <phoneticPr fontId="2" type="noConversion"/>
  </si>
  <si>
    <t>]^0.6 = [</t>
    <phoneticPr fontId="2" type="noConversion"/>
  </si>
  <si>
    <t>]^0.6  =</t>
    <phoneticPr fontId="2" type="noConversion"/>
  </si>
  <si>
    <t>기준면적(거리)</t>
    <phoneticPr fontId="2" type="noConversion"/>
  </si>
  <si>
    <t>구분</t>
    <phoneticPr fontId="1" type="noConversion"/>
  </si>
  <si>
    <t>시추거리</t>
    <phoneticPr fontId="1" type="noConversion"/>
  </si>
  <si>
    <t>거리</t>
    <phoneticPr fontId="1" type="noConversion"/>
  </si>
  <si>
    <t>비고</t>
    <phoneticPr fontId="1" type="noConversion"/>
  </si>
  <si>
    <t>풍화암 1m까지, N치 50이상은 측정불가</t>
    <phoneticPr fontId="1" type="noConversion"/>
  </si>
  <si>
    <t>표준관입시험 회수 산출</t>
    <phoneticPr fontId="1" type="noConversion"/>
  </si>
  <si>
    <t>75cm~100cm에 1회</t>
    <phoneticPr fontId="1" type="noConversion"/>
  </si>
  <si>
    <t>1m에 1회</t>
    <phoneticPr fontId="1" type="noConversion"/>
  </si>
  <si>
    <t>조사위치</t>
  </si>
  <si>
    <t>조사항목</t>
  </si>
  <si>
    <t>조사빈도</t>
  </si>
  <si>
    <t>조사심도</t>
  </si>
  <si>
    <t>일반구간</t>
  </si>
  <si>
    <t>핸드오거</t>
  </si>
  <si>
    <t>300m</t>
  </si>
  <si>
    <t>1～3m</t>
  </si>
  <si>
    <t>전답토 통과 구간</t>
  </si>
  <si>
    <t>연약지반</t>
  </si>
  <si>
    <t>시추조사</t>
  </si>
  <si>
    <t>지지층(풍화암)확인</t>
  </si>
  <si>
    <t>SPT(1.5m 간격)</t>
  </si>
  <si>
    <t>자연시료</t>
  </si>
  <si>
    <t>공당 2개소</t>
  </si>
  <si>
    <t>2～3m</t>
  </si>
  <si>
    <t>100～250m</t>
  </si>
  <si>
    <t>3～5m</t>
  </si>
  <si>
    <t>베인시험</t>
  </si>
  <si>
    <t>최대 5m</t>
  </si>
  <si>
    <t>콘관입시험</t>
  </si>
  <si>
    <t>100～250m 당 1회</t>
  </si>
  <si>
    <t>연약지반 표층</t>
  </si>
  <si>
    <t>깎기부</t>
  </si>
  <si>
    <t>지표지질조사</t>
  </si>
  <si>
    <t>개소당 2공</t>
  </si>
  <si>
    <t>계획고하 1m</t>
  </si>
  <si>
    <t>시험굴조사</t>
  </si>
  <si>
    <t>200m</t>
  </si>
  <si>
    <t>1～2m</t>
  </si>
  <si>
    <t>탄성파탐사</t>
  </si>
  <si>
    <t>대깎기부</t>
  </si>
  <si>
    <t>전기비저항탐사(필요시)</t>
  </si>
  <si>
    <t>화상정보시험</t>
  </si>
  <si>
    <t>정밀조사시</t>
  </si>
  <si>
    <t>Bips(필요시)</t>
  </si>
  <si>
    <t>교량부</t>
  </si>
  <si>
    <t>교대 및 교각마다 1개소</t>
  </si>
  <si>
    <t>SPT(1.0m 간격)</t>
  </si>
  <si>
    <t>터널부</t>
  </si>
  <si>
    <t>계획고하 2m</t>
  </si>
  <si>
    <t>터널시.종점부</t>
  </si>
  <si>
    <t>전기비저항탐사</t>
  </si>
  <si>
    <t>전연장</t>
  </si>
  <si>
    <t>석 산</t>
  </si>
  <si>
    <t>2개소 이상</t>
  </si>
  <si>
    <t>필요깊이</t>
  </si>
  <si>
    <t>토취장</t>
  </si>
  <si>
    <t>경암 1m</t>
  </si>
  <si>
    <t>5개소 이상</t>
  </si>
  <si>
    <t>조 사 내 용</t>
  </si>
  <si>
    <t>실 내 시 험 항 목</t>
  </si>
  <si>
    <t>절 토 부</t>
  </si>
  <si>
    <t>터 널 부</t>
  </si>
  <si>
    <t>암석시험</t>
  </si>
  <si>
    <t>교 량 부</t>
  </si>
  <si>
    <t>Hand Auger-Boring</t>
  </si>
  <si>
    <t>골재원 조사</t>
  </si>
  <si>
    <t>비중시험, 흡수율시험, 체가름시험, 입도시험, 안정성시험, #200체통과량시험</t>
  </si>
  <si>
    <t>50만㎡</t>
    <phoneticPr fontId="1" type="noConversion"/>
  </si>
  <si>
    <t>고급기술자</t>
    <phoneticPr fontId="1" type="noConversion"/>
  </si>
  <si>
    <t>초급기술자</t>
    <phoneticPr fontId="1" type="noConversion"/>
  </si>
  <si>
    <t>기술사</t>
    <phoneticPr fontId="1" type="noConversion"/>
  </si>
  <si>
    <t>특급기술자</t>
    <phoneticPr fontId="1" type="noConversion"/>
  </si>
  <si>
    <t>국토개발계획표준품셈</t>
    <phoneticPr fontId="1" type="noConversion"/>
  </si>
  <si>
    <t>제8장 국토개발계획 관련 부대업무</t>
    <phoneticPr fontId="1" type="noConversion"/>
  </si>
  <si>
    <t xml:space="preserve">  제1절 농지전용에 관한 업무</t>
    <phoneticPr fontId="1" type="noConversion"/>
  </si>
  <si>
    <t xml:space="preserve">    1-5 표준단위 업무분류와 원단위</t>
    <phoneticPr fontId="1" type="noConversion"/>
  </si>
  <si>
    <t>SPT(1.5m 간격),수압 및 공내재하시험</t>
    <phoneticPr fontId="1" type="noConversion"/>
  </si>
  <si>
    <t>시험굴조사(Test pit)</t>
    <phoneticPr fontId="1" type="noConversion"/>
  </si>
  <si>
    <t>개소당 2공,500m당 1공</t>
    <phoneticPr fontId="1" type="noConversion"/>
  </si>
  <si>
    <t>구분</t>
    <phoneticPr fontId="1" type="noConversion"/>
  </si>
  <si>
    <t>층고심도</t>
    <phoneticPr fontId="1" type="noConversion"/>
  </si>
  <si>
    <t>지역별 지층분포에 대하여 참고할 홈페이지입니다. 참고하세요. ------------------&gt;</t>
    <phoneticPr fontId="1" type="noConversion"/>
  </si>
  <si>
    <t>http://geoinfo.kigam.re.kr/</t>
    <phoneticPr fontId="1" type="noConversion"/>
  </si>
  <si>
    <t>점토층 :</t>
    <phoneticPr fontId="1" type="noConversion"/>
  </si>
  <si>
    <t>토질심도를 직접입력하세요. 지층분포가 없다고 생각하시면 셀의 내용을 지워주세요.</t>
    <phoneticPr fontId="1" type="noConversion"/>
  </si>
  <si>
    <t>모래층 :</t>
    <phoneticPr fontId="1" type="noConversion"/>
  </si>
  <si>
    <t>자갈층 :</t>
    <phoneticPr fontId="1" type="noConversion"/>
  </si>
  <si>
    <t>호박돌층 :</t>
    <phoneticPr fontId="1" type="noConversion"/>
  </si>
  <si>
    <t>풍화암 :</t>
    <phoneticPr fontId="1" type="noConversion"/>
  </si>
  <si>
    <t>연   암 :</t>
    <phoneticPr fontId="1" type="noConversion"/>
  </si>
  <si>
    <t>보통암 :</t>
    <phoneticPr fontId="1" type="noConversion"/>
  </si>
  <si>
    <t>경   암 :</t>
    <phoneticPr fontId="1" type="noConversion"/>
  </si>
  <si>
    <t>극경암 :</t>
    <phoneticPr fontId="1" type="noConversion"/>
  </si>
  <si>
    <t>BX  또는 NX :</t>
    <phoneticPr fontId="1" type="noConversion"/>
  </si>
  <si>
    <t>목록에서 선택하세요.(일반적으로 불교량 시료 채취가 가능한 NX를 사용합니다.)</t>
    <phoneticPr fontId="1" type="noConversion"/>
  </si>
  <si>
    <t>시추공수 :</t>
    <phoneticPr fontId="1" type="noConversion"/>
  </si>
  <si>
    <t>교량설계시 교대 및 교각의 예상수량 마다 1공을 반영하세요.</t>
    <phoneticPr fontId="1" type="noConversion"/>
  </si>
  <si>
    <t>토질시험공 :</t>
    <phoneticPr fontId="1" type="noConversion"/>
  </si>
  <si>
    <t>교량설계의 경우 표준관입시험에 의한 N치를 기준으로 각종 지반강도 정수로 설계하고 있음.</t>
    <phoneticPr fontId="1" type="noConversion"/>
  </si>
  <si>
    <t>시추장비 운반 :</t>
    <phoneticPr fontId="1" type="noConversion"/>
  </si>
  <si>
    <t>현장내 운반 포함, 원거리의 공구가 있을 경우 회수를 입력하세요.</t>
    <phoneticPr fontId="1" type="noConversion"/>
  </si>
  <si>
    <t>[토질별 토질시험 검사항목 Input Table]</t>
    <phoneticPr fontId="1" type="noConversion"/>
  </si>
  <si>
    <t>(교량설계는 표준관입시험에 의한 N치로 지반강도정수를 추정하여 구조물설계에 적용하고 있는 실정입니다.)</t>
    <phoneticPr fontId="1" type="noConversion"/>
  </si>
  <si>
    <t>(특별한 사유가 없는한 별토의 토질시험적용은 지양하세요)</t>
    <phoneticPr fontId="1" type="noConversion"/>
  </si>
  <si>
    <t>(측고심도를 입력하시면 자동으로 입력되오니 필요없는 부분은 Del키로 삭제하세요)</t>
    <phoneticPr fontId="1" type="noConversion"/>
  </si>
  <si>
    <t>품목</t>
    <phoneticPr fontId="1" type="noConversion"/>
  </si>
  <si>
    <t>시험항목</t>
    <phoneticPr fontId="1" type="noConversion"/>
  </si>
  <si>
    <t>수수료</t>
    <phoneticPr fontId="1" type="noConversion"/>
  </si>
  <si>
    <t>점토층</t>
    <phoneticPr fontId="1" type="noConversion"/>
  </si>
  <si>
    <t>모래층</t>
    <phoneticPr fontId="1" type="noConversion"/>
  </si>
  <si>
    <t>자갈층</t>
    <phoneticPr fontId="1" type="noConversion"/>
  </si>
  <si>
    <t>호박돌</t>
    <phoneticPr fontId="1" type="noConversion"/>
  </si>
  <si>
    <t>풍화암</t>
    <phoneticPr fontId="1" type="noConversion"/>
  </si>
  <si>
    <t>연암</t>
    <phoneticPr fontId="1" type="noConversion"/>
  </si>
  <si>
    <t>보통암</t>
    <phoneticPr fontId="1" type="noConversion"/>
  </si>
  <si>
    <t>경암</t>
    <phoneticPr fontId="1" type="noConversion"/>
  </si>
  <si>
    <t>극경암</t>
    <phoneticPr fontId="1" type="noConversion"/>
  </si>
  <si>
    <t>계</t>
    <phoneticPr fontId="1" type="noConversion"/>
  </si>
  <si>
    <t>흙의 물리시험</t>
    <phoneticPr fontId="1" type="noConversion"/>
  </si>
  <si>
    <t>함수비</t>
    <phoneticPr fontId="70" type="noConversion"/>
  </si>
  <si>
    <t>밀도</t>
    <phoneticPr fontId="70" type="noConversion"/>
  </si>
  <si>
    <t>입도</t>
    <phoneticPr fontId="70" type="noConversion"/>
  </si>
  <si>
    <t>액성한계</t>
    <phoneticPr fontId="70" type="noConversion"/>
  </si>
  <si>
    <t>소성한계</t>
    <phoneticPr fontId="70" type="noConversion"/>
  </si>
  <si>
    <t>0.08mm체 통과량</t>
    <phoneticPr fontId="70" type="noConversion"/>
  </si>
  <si>
    <t>흙의 역학시험</t>
    <phoneticPr fontId="1" type="noConversion"/>
  </si>
  <si>
    <t>직접전단(급속)</t>
    <phoneticPr fontId="70" type="noConversion"/>
  </si>
  <si>
    <t>다짐시험</t>
    <phoneticPr fontId="70" type="noConversion"/>
  </si>
  <si>
    <t>쌓기부</t>
    <phoneticPr fontId="1" type="noConversion"/>
  </si>
  <si>
    <t xml:space="preserve">암노두분포시및 시공중 </t>
    <phoneticPr fontId="1" type="noConversion"/>
  </si>
  <si>
    <t>구조물부</t>
    <phoneticPr fontId="1" type="noConversion"/>
  </si>
  <si>
    <t>풍화암 7m, 연암 2m, 경암 1m 중 택일</t>
    <phoneticPr fontId="1" type="noConversion"/>
  </si>
  <si>
    <t>암노두분포시 및 시공중</t>
    <phoneticPr fontId="1" type="noConversion"/>
  </si>
  <si>
    <t>재료원</t>
    <phoneticPr fontId="1" type="noConversion"/>
  </si>
  <si>
    <r>
      <t>함수비시험, 비중시험, 체분석시험, 입도분석시험, 액</t>
    </r>
    <r>
      <rPr>
        <sz val="10"/>
        <color indexed="8"/>
        <rFont val="맑은 고딕"/>
        <family val="3"/>
        <charset val="129"/>
      </rPr>
      <t>･</t>
    </r>
    <r>
      <rPr>
        <sz val="10"/>
        <color indexed="8"/>
        <rFont val="맑은 고딕"/>
        <family val="3"/>
        <charset val="129"/>
      </rPr>
      <t>소성한계시험, 암석시험(대절토부)</t>
    </r>
    <phoneticPr fontId="1" type="noConversion"/>
  </si>
  <si>
    <r>
      <t>함수비시험, 비중시험, 체분석시험, 입도분석시험, 액</t>
    </r>
    <r>
      <rPr>
        <sz val="10"/>
        <color indexed="8"/>
        <rFont val="맑은 고딕"/>
        <family val="3"/>
        <charset val="129"/>
      </rPr>
      <t>･</t>
    </r>
    <r>
      <rPr>
        <sz val="10"/>
        <color indexed="8"/>
        <rFont val="맑은 고딕"/>
        <family val="3"/>
        <charset val="129"/>
      </rPr>
      <t>소성한계시험, 일축압축시험, 직접전단시험, 압밀시험, 삼축압축시험</t>
    </r>
    <phoneticPr fontId="1" type="noConversion"/>
  </si>
  <si>
    <r>
      <t>함수비시험, 비중시험, 체분석시험, 입도분석시험, 액</t>
    </r>
    <r>
      <rPr>
        <sz val="10"/>
        <color indexed="8"/>
        <rFont val="맑은 고딕"/>
        <family val="3"/>
        <charset val="129"/>
      </rPr>
      <t>･</t>
    </r>
    <r>
      <rPr>
        <sz val="10"/>
        <color indexed="8"/>
        <rFont val="맑은 고딕"/>
        <family val="3"/>
        <charset val="129"/>
      </rPr>
      <t>소성한계시험</t>
    </r>
    <phoneticPr fontId="1" type="noConversion"/>
  </si>
  <si>
    <r>
      <t>함수비시험, 비중시험, 체분석시험, 입도분석시험, 액</t>
    </r>
    <r>
      <rPr>
        <sz val="10"/>
        <color indexed="8"/>
        <rFont val="맑은 고딕"/>
        <family val="3"/>
        <charset val="129"/>
      </rPr>
      <t>･</t>
    </r>
    <r>
      <rPr>
        <sz val="10"/>
        <color indexed="8"/>
        <rFont val="맑은 고딕"/>
        <family val="3"/>
        <charset val="129"/>
      </rPr>
      <t>소성한계시험, 다짐시험, 실내C.B.R시험</t>
    </r>
    <phoneticPr fontId="1" type="noConversion"/>
  </si>
  <si>
    <r>
      <t xml:space="preserve">지반조사빈도 </t>
    </r>
    <r>
      <rPr>
        <b/>
        <sz val="10"/>
        <color indexed="12"/>
        <rFont val="맑은 고딕"/>
        <family val="3"/>
        <charset val="129"/>
      </rPr>
      <t xml:space="preserve">  국도의 설계업무 매뉴얼(2007년)</t>
    </r>
    <phoneticPr fontId="1" type="noConversion"/>
  </si>
  <si>
    <r>
      <t>조사사항별 실내시험 항목</t>
    </r>
    <r>
      <rPr>
        <b/>
        <sz val="10"/>
        <color indexed="12"/>
        <rFont val="맑은 고딕"/>
        <family val="3"/>
        <charset val="129"/>
      </rPr>
      <t xml:space="preserve">   국도의 설계업무 매뉴얼(2007년)</t>
    </r>
    <phoneticPr fontId="1" type="noConversion"/>
  </si>
  <si>
    <t>특급기술자</t>
    <phoneticPr fontId="1" type="noConversion"/>
  </si>
  <si>
    <t>고급기술자</t>
    <phoneticPr fontId="1" type="noConversion"/>
  </si>
  <si>
    <t>중급기술자</t>
    <phoneticPr fontId="1" type="noConversion"/>
  </si>
  <si>
    <t>초급기술자</t>
    <phoneticPr fontId="1" type="noConversion"/>
  </si>
  <si>
    <t>나. 길이가 기준이 되는 사업(도로․철도․하천정비 등)</t>
    <phoneticPr fontId="53" type="noConversion"/>
  </si>
  <si>
    <t>특급기술자</t>
    <phoneticPr fontId="1" type="noConversion"/>
  </si>
  <si>
    <t>고급기술자</t>
    <phoneticPr fontId="1" type="noConversion"/>
  </si>
  <si>
    <t>중급기술자</t>
    <phoneticPr fontId="1" type="noConversion"/>
  </si>
  <si>
    <t>초급기술자</t>
    <phoneticPr fontId="1" type="noConversion"/>
  </si>
  <si>
    <t>소요인력
할증표</t>
    <phoneticPr fontId="1" type="noConversion"/>
  </si>
  <si>
    <t>작은규모</t>
    <phoneticPr fontId="1" type="noConversion"/>
  </si>
  <si>
    <t>큰규모</t>
    <phoneticPr fontId="1" type="noConversion"/>
  </si>
  <si>
    <t>규모</t>
    <phoneticPr fontId="1" type="noConversion"/>
  </si>
  <si>
    <t>배 미만</t>
    <phoneticPr fontId="1" type="noConversion"/>
  </si>
  <si>
    <t>배 이하</t>
    <phoneticPr fontId="1" type="noConversion"/>
  </si>
  <si>
    <t>배 초과</t>
    <phoneticPr fontId="1" type="noConversion"/>
  </si>
  <si>
    <t>가. 면적이 기준이 되는 사업</t>
    <phoneticPr fontId="1" type="noConversion"/>
  </si>
  <si>
    <t>소요인력</t>
    <phoneticPr fontId="53" type="noConversion"/>
  </si>
  <si>
    <t>※ 환경영향분석 검토시 소요인력은 중요도에 따라 20~100% 범위에서 적용한다.</t>
    <phoneticPr fontId="1" type="noConversion"/>
  </si>
  <si>
    <t>- 일반항목 :</t>
    <phoneticPr fontId="2" type="noConversion"/>
  </si>
  <si>
    <t>- 중점항목 :</t>
    <phoneticPr fontId="2" type="noConversion"/>
  </si>
  <si>
    <t>중점항목 및
일반항목</t>
    <phoneticPr fontId="53" type="noConversion"/>
  </si>
  <si>
    <t>비고</t>
    <phoneticPr fontId="1" type="noConversion"/>
  </si>
  <si>
    <t>1. 행정계획의 개요</t>
    <phoneticPr fontId="2" type="noConversion"/>
  </si>
  <si>
    <t xml:space="preserve">  1) 계획의 적정성 및 입지의 타당성</t>
    <phoneticPr fontId="2" type="noConversion"/>
  </si>
  <si>
    <t>2. 대상지역의 현황</t>
    <phoneticPr fontId="2" type="noConversion"/>
  </si>
  <si>
    <t>3. 검토항목의 설정</t>
    <phoneticPr fontId="2" type="noConversion"/>
  </si>
  <si>
    <t>4. 대안의 설정</t>
    <phoneticPr fontId="2" type="noConversion"/>
  </si>
  <si>
    <t>5. 대안별 환경영향검토 및 저감방안 수립</t>
    <phoneticPr fontId="2" type="noConversion"/>
  </si>
  <si>
    <t>6. 협의회 의견수렴</t>
    <phoneticPr fontId="2" type="noConversion"/>
  </si>
  <si>
    <t>7. 주민의견 수렴</t>
    <phoneticPr fontId="2" type="noConversion"/>
  </si>
  <si>
    <t>8. 종합평가 및 결론</t>
    <phoneticPr fontId="2" type="noConversion"/>
  </si>
  <si>
    <t>9. 부록</t>
    <phoneticPr fontId="2" type="noConversion"/>
  </si>
  <si>
    <t xml:space="preserve">  가. 대기환경분야</t>
    <phoneticPr fontId="2" type="noConversion"/>
  </si>
  <si>
    <t xml:space="preserve">  2) 환경영향분석 검토</t>
    <phoneticPr fontId="2" type="noConversion"/>
  </si>
  <si>
    <t xml:space="preserve">    ① 대기환경에 미치는 영향</t>
    <phoneticPr fontId="2" type="noConversion"/>
  </si>
  <si>
    <t xml:space="preserve">    ② 수환경에 미치는 영향</t>
    <phoneticPr fontId="2" type="noConversion"/>
  </si>
  <si>
    <t xml:space="preserve">    ③ 토지환경에 미치는 영향</t>
    <phoneticPr fontId="2" type="noConversion"/>
  </si>
  <si>
    <t xml:space="preserve">    ④ 자연생태환경에 미치는 영향</t>
    <phoneticPr fontId="2" type="noConversion"/>
  </si>
  <si>
    <t xml:space="preserve">    ⑤ 생활환경에 미치는 영향</t>
    <phoneticPr fontId="2" type="noConversion"/>
  </si>
  <si>
    <t xml:space="preserve">    ⑥ 사회, 경제환경에 미치는 영향</t>
    <phoneticPr fontId="2" type="noConversion"/>
  </si>
  <si>
    <t xml:space="preserve">  3) 저감방안 수립</t>
    <phoneticPr fontId="2" type="noConversion"/>
  </si>
  <si>
    <t>협의회개최 소요인력 미포함</t>
    <phoneticPr fontId="1" type="noConversion"/>
  </si>
  <si>
    <t>의견수렴 설명회 및 공청회개최 소요인력 미포함</t>
    <phoneticPr fontId="1" type="noConversion"/>
  </si>
  <si>
    <t>중요도
20~100%</t>
    <phoneticPr fontId="1" type="noConversion"/>
  </si>
  <si>
    <t>중점항목</t>
    <phoneticPr fontId="2" type="noConversion"/>
  </si>
  <si>
    <t>일반항목</t>
    <phoneticPr fontId="2" type="noConversion"/>
  </si>
  <si>
    <t xml:space="preserve">    1) 토지이용</t>
    <phoneticPr fontId="2" type="noConversion"/>
  </si>
  <si>
    <t xml:space="preserve">      가) 육상</t>
    <phoneticPr fontId="2" type="noConversion"/>
  </si>
  <si>
    <t xml:space="preserve">      나) 육수</t>
    <phoneticPr fontId="2" type="noConversion"/>
  </si>
  <si>
    <t xml:space="preserve">      다) 해양</t>
    <phoneticPr fontId="2" type="noConversion"/>
  </si>
  <si>
    <t>1. 사업의 개요</t>
    <phoneticPr fontId="2" type="noConversion"/>
  </si>
  <si>
    <t>5. 종합평가 및 결론</t>
    <phoneticPr fontId="2" type="noConversion"/>
  </si>
  <si>
    <t>6. 부록 작성</t>
    <phoneticPr fontId="2" type="noConversion"/>
  </si>
  <si>
    <t>2. 대상지역의 현황</t>
    <phoneticPr fontId="2" type="noConversion"/>
  </si>
  <si>
    <t>3. 환경영향요소 및 검토항목 설정</t>
    <phoneticPr fontId="2" type="noConversion"/>
  </si>
  <si>
    <t>4. 항목별 예측·평가 및 저감방안</t>
    <phoneticPr fontId="2" type="noConversion"/>
  </si>
  <si>
    <t xml:space="preserve">    1) 기상</t>
    <phoneticPr fontId="2" type="noConversion"/>
  </si>
  <si>
    <t xml:space="preserve">    2) 대기질</t>
    <phoneticPr fontId="2" type="noConversion"/>
  </si>
  <si>
    <t xml:space="preserve">    3) 악취</t>
    <phoneticPr fontId="2" type="noConversion"/>
  </si>
  <si>
    <t xml:space="preserve">  나. 수환경분야</t>
    <phoneticPr fontId="2" type="noConversion"/>
  </si>
  <si>
    <t xml:space="preserve">    1) 수질(지표·지하)</t>
    <phoneticPr fontId="2" type="noConversion"/>
  </si>
  <si>
    <t xml:space="preserve">    2) 수리·수문</t>
    <phoneticPr fontId="2" type="noConversion"/>
  </si>
  <si>
    <t xml:space="preserve">    3) 해양환경</t>
    <phoneticPr fontId="2" type="noConversion"/>
  </si>
  <si>
    <t xml:space="preserve">  다. 토지환경분야</t>
    <phoneticPr fontId="2" type="noConversion"/>
  </si>
  <si>
    <t xml:space="preserve">    2) 토양</t>
    <phoneticPr fontId="2" type="noConversion"/>
  </si>
  <si>
    <t xml:space="preserve">    3) 지형·지질</t>
    <phoneticPr fontId="2" type="noConversion"/>
  </si>
  <si>
    <t xml:space="preserve">  라. 자연생태환경분야</t>
    <phoneticPr fontId="2" type="noConversion"/>
  </si>
  <si>
    <t xml:space="preserve">    1) 동·식물상</t>
    <phoneticPr fontId="2" type="noConversion"/>
  </si>
  <si>
    <t xml:space="preserve">    2) 자연환경자산</t>
    <phoneticPr fontId="2" type="noConversion"/>
  </si>
  <si>
    <t xml:space="preserve">  마. 생활환경분야</t>
    <phoneticPr fontId="2" type="noConversion"/>
  </si>
  <si>
    <t xml:space="preserve">    1) 친환경적 자원순환</t>
    <phoneticPr fontId="2" type="noConversion"/>
  </si>
  <si>
    <t xml:space="preserve">    2) 소음</t>
    <phoneticPr fontId="2" type="noConversion"/>
  </si>
  <si>
    <t xml:space="preserve">    3) 진동</t>
    <phoneticPr fontId="2" type="noConversion"/>
  </si>
  <si>
    <t xml:space="preserve">    4) 위락·경관</t>
    <phoneticPr fontId="2" type="noConversion"/>
  </si>
  <si>
    <t xml:space="preserve">    5) 위생·공중보건</t>
    <phoneticPr fontId="2" type="noConversion"/>
  </si>
  <si>
    <t xml:space="preserve">    6) 전파장해</t>
    <phoneticPr fontId="2" type="noConversion"/>
  </si>
  <si>
    <t xml:space="preserve">    7) 일조장해</t>
    <phoneticPr fontId="2" type="noConversion"/>
  </si>
  <si>
    <t xml:space="preserve">  바. 사회·경제환경분야</t>
    <phoneticPr fontId="2" type="noConversion"/>
  </si>
  <si>
    <t xml:space="preserve">    1) 인구</t>
    <phoneticPr fontId="2" type="noConversion"/>
  </si>
  <si>
    <t xml:space="preserve">    2) 주거</t>
    <phoneticPr fontId="2" type="noConversion"/>
  </si>
  <si>
    <t xml:space="preserve">    3) 산업</t>
    <phoneticPr fontId="2" type="noConversion"/>
  </si>
  <si>
    <t>계</t>
    <phoneticPr fontId="2" type="noConversion"/>
  </si>
  <si>
    <t>○ 소요인력산정</t>
    <phoneticPr fontId="1" type="noConversion"/>
  </si>
  <si>
    <t>일반항목</t>
  </si>
  <si>
    <t>해당없음</t>
  </si>
  <si>
    <t>일반항목 : 20% ∼ 60%</t>
    <phoneticPr fontId="1" type="noConversion"/>
  </si>
  <si>
    <t>㎞</t>
  </si>
  <si>
    <r>
      <t>Y = Y</t>
    </r>
    <r>
      <rPr>
        <vertAlign val="subscript"/>
        <sz val="9"/>
        <rFont val="맑은 고딕"/>
        <family val="3"/>
        <charset val="129"/>
      </rPr>
      <t>1</t>
    </r>
    <r>
      <rPr>
        <sz val="9"/>
        <rFont val="맑은 고딕"/>
        <family val="3"/>
        <charset val="129"/>
      </rPr>
      <t xml:space="preserve"> ＋</t>
    </r>
    <phoneticPr fontId="2" type="noConversion"/>
  </si>
  <si>
    <r>
      <t>X</t>
    </r>
    <r>
      <rPr>
        <vertAlign val="subscript"/>
        <sz val="9"/>
        <rFont val="맑은 고딕"/>
        <family val="3"/>
        <charset val="129"/>
      </rPr>
      <t>2</t>
    </r>
    <r>
      <rPr>
        <sz val="9"/>
        <rFont val="맑은 고딕"/>
        <family val="3"/>
        <charset val="129"/>
      </rPr>
      <t xml:space="preserve"> - X</t>
    </r>
    <r>
      <rPr>
        <vertAlign val="subscript"/>
        <sz val="9"/>
        <rFont val="맑은 고딕"/>
        <family val="3"/>
        <charset val="129"/>
      </rPr>
      <t>1</t>
    </r>
    <phoneticPr fontId="2" type="noConversion"/>
  </si>
  <si>
    <r>
      <t>X</t>
    </r>
    <r>
      <rPr>
        <vertAlign val="subscript"/>
        <sz val="9"/>
        <rFont val="맑은 고딕"/>
        <family val="3"/>
        <charset val="129"/>
      </rPr>
      <t>1</t>
    </r>
    <r>
      <rPr>
        <sz val="9"/>
        <rFont val="맑은 고딕"/>
        <family val="3"/>
        <charset val="129"/>
      </rPr>
      <t xml:space="preserve"> :</t>
    </r>
    <phoneticPr fontId="2" type="noConversion"/>
  </si>
  <si>
    <r>
      <t>Y</t>
    </r>
    <r>
      <rPr>
        <vertAlign val="subscript"/>
        <sz val="9"/>
        <rFont val="맑은 고딕"/>
        <family val="3"/>
        <charset val="129"/>
      </rPr>
      <t>1</t>
    </r>
    <r>
      <rPr>
        <sz val="9"/>
        <rFont val="맑은 고딕"/>
        <family val="3"/>
        <charset val="129"/>
      </rPr>
      <t xml:space="preserve"> :</t>
    </r>
    <phoneticPr fontId="2" type="noConversion"/>
  </si>
  <si>
    <r>
      <t>X</t>
    </r>
    <r>
      <rPr>
        <vertAlign val="subscript"/>
        <sz val="9"/>
        <color indexed="8"/>
        <rFont val="맑은 고딕"/>
        <family val="3"/>
        <charset val="129"/>
      </rPr>
      <t>2</t>
    </r>
    <r>
      <rPr>
        <sz val="9"/>
        <color indexed="8"/>
        <rFont val="맑은 고딕"/>
        <family val="3"/>
        <charset val="129"/>
      </rPr>
      <t xml:space="preserve"> :</t>
    </r>
    <phoneticPr fontId="2" type="noConversion"/>
  </si>
  <si>
    <r>
      <t>Y</t>
    </r>
    <r>
      <rPr>
        <vertAlign val="subscript"/>
        <sz val="9"/>
        <color indexed="8"/>
        <rFont val="맑은 고딕"/>
        <family val="3"/>
        <charset val="129"/>
      </rPr>
      <t>2</t>
    </r>
    <r>
      <rPr>
        <sz val="9"/>
        <color indexed="8"/>
        <rFont val="맑은 고딕"/>
        <family val="3"/>
        <charset val="129"/>
      </rPr>
      <t xml:space="preserve"> :</t>
    </r>
    <phoneticPr fontId="2" type="noConversion"/>
  </si>
  <si>
    <t>길이기준</t>
  </si>
  <si>
    <t>비고</t>
    <phoneticPr fontId="1" type="noConversion"/>
  </si>
  <si>
    <t>※ 직선보간법</t>
    <phoneticPr fontId="1" type="noConversion"/>
  </si>
  <si>
    <t>실소요인력 할증표</t>
    <phoneticPr fontId="2" type="noConversion"/>
  </si>
  <si>
    <t>사전환경성검토</t>
    <phoneticPr fontId="1" type="noConversion"/>
  </si>
  <si>
    <t>행정계획</t>
    <phoneticPr fontId="1" type="noConversion"/>
  </si>
  <si>
    <t>식</t>
    <phoneticPr fontId="1" type="noConversion"/>
  </si>
  <si>
    <t>개발계획</t>
    <phoneticPr fontId="1" type="noConversion"/>
  </si>
  <si>
    <r>
      <t>아황산가스(SO</t>
    </r>
    <r>
      <rPr>
        <vertAlign val="subscript"/>
        <sz val="9"/>
        <rFont val="맑은 고딕"/>
        <family val="3"/>
        <charset val="129"/>
      </rPr>
      <t>2</t>
    </r>
    <r>
      <rPr>
        <sz val="9"/>
        <rFont val="맑은 고딕"/>
        <family val="3"/>
        <charset val="129"/>
      </rPr>
      <t>)</t>
    </r>
    <phoneticPr fontId="2" type="noConversion"/>
  </si>
  <si>
    <t>일산화탄소(CO)</t>
    <phoneticPr fontId="2" type="noConversion"/>
  </si>
  <si>
    <r>
      <t>이산화질소(NO</t>
    </r>
    <r>
      <rPr>
        <vertAlign val="subscript"/>
        <sz val="9"/>
        <rFont val="맑은 고딕"/>
        <family val="3"/>
        <charset val="129"/>
      </rPr>
      <t>2</t>
    </r>
    <r>
      <rPr>
        <sz val="9"/>
        <rFont val="맑은 고딕"/>
        <family val="3"/>
        <charset val="129"/>
      </rPr>
      <t>)</t>
    </r>
    <phoneticPr fontId="2" type="noConversion"/>
  </si>
  <si>
    <t>미세먼지(PM-10)</t>
    <phoneticPr fontId="2" type="noConversion"/>
  </si>
  <si>
    <r>
      <t>오존(O</t>
    </r>
    <r>
      <rPr>
        <vertAlign val="subscript"/>
        <sz val="9"/>
        <rFont val="맑은 고딕"/>
        <family val="3"/>
        <charset val="129"/>
      </rPr>
      <t>3</t>
    </r>
    <r>
      <rPr>
        <sz val="9"/>
        <rFont val="맑은 고딕"/>
        <family val="3"/>
        <charset val="129"/>
      </rPr>
      <t>)</t>
    </r>
    <phoneticPr fontId="2" type="noConversion"/>
  </si>
  <si>
    <t>납(Pb)</t>
    <phoneticPr fontId="2" type="noConversion"/>
  </si>
  <si>
    <t>수온</t>
    <phoneticPr fontId="2" type="noConversion"/>
  </si>
  <si>
    <t>수소이온농도(pH)</t>
    <phoneticPr fontId="2" type="noConversion"/>
  </si>
  <si>
    <t>생물학적산소요구량(BOD)</t>
    <phoneticPr fontId="2" type="noConversion"/>
  </si>
  <si>
    <t>부유물질(SS)</t>
    <phoneticPr fontId="2" type="noConversion"/>
  </si>
  <si>
    <t>용존산소(DO)</t>
    <phoneticPr fontId="2" type="noConversion"/>
  </si>
  <si>
    <t>총질소(T-N)</t>
    <phoneticPr fontId="2" type="noConversion"/>
  </si>
  <si>
    <t>총인(T-P)</t>
    <phoneticPr fontId="2" type="noConversion"/>
  </si>
  <si>
    <t>대장균군수</t>
    <phoneticPr fontId="2" type="noConversion"/>
  </si>
  <si>
    <r>
      <t>6가크롬(Cr</t>
    </r>
    <r>
      <rPr>
        <vertAlign val="superscript"/>
        <sz val="9"/>
        <rFont val="맑은 고딕"/>
        <family val="3"/>
        <charset val="129"/>
      </rPr>
      <t>6+</t>
    </r>
    <r>
      <rPr>
        <sz val="9"/>
        <rFont val="맑은 고딕"/>
        <family val="3"/>
        <charset val="129"/>
      </rPr>
      <t>)</t>
    </r>
    <phoneticPr fontId="2" type="noConversion"/>
  </si>
  <si>
    <t>수은(Hg)</t>
    <phoneticPr fontId="2" type="noConversion"/>
  </si>
  <si>
    <t>카드뮴(Cd)</t>
    <phoneticPr fontId="2" type="noConversion"/>
  </si>
  <si>
    <r>
      <t>과망간산칼륨소비량(KMnO</t>
    </r>
    <r>
      <rPr>
        <vertAlign val="subscript"/>
        <sz val="9"/>
        <rFont val="맑은 고딕"/>
        <family val="3"/>
        <charset val="129"/>
      </rPr>
      <t>4</t>
    </r>
    <r>
      <rPr>
        <sz val="9"/>
        <rFont val="맑은 고딕"/>
        <family val="3"/>
        <charset val="129"/>
      </rPr>
      <t>)</t>
    </r>
    <phoneticPr fontId="2" type="noConversion"/>
  </si>
  <si>
    <r>
      <t>질산성질소(NO</t>
    </r>
    <r>
      <rPr>
        <vertAlign val="subscript"/>
        <sz val="9"/>
        <rFont val="맑은 고딕"/>
        <family val="3"/>
        <charset val="129"/>
      </rPr>
      <t>3</t>
    </r>
    <r>
      <rPr>
        <sz val="9"/>
        <rFont val="맑은 고딕"/>
        <family val="3"/>
        <charset val="129"/>
      </rPr>
      <t>-N)</t>
    </r>
    <phoneticPr fontId="2" type="noConversion"/>
  </si>
  <si>
    <r>
      <t>염소이온(Cl</t>
    </r>
    <r>
      <rPr>
        <vertAlign val="superscript"/>
        <sz val="9"/>
        <rFont val="맑은 고딕"/>
        <family val="3"/>
        <charset val="129"/>
      </rPr>
      <t>-</t>
    </r>
    <r>
      <rPr>
        <sz val="9"/>
        <rFont val="맑은 고딕"/>
        <family val="3"/>
        <charset val="129"/>
      </rPr>
      <t>)</t>
    </r>
    <phoneticPr fontId="2" type="noConversion"/>
  </si>
  <si>
    <t>탁도</t>
    <phoneticPr fontId="2" type="noConversion"/>
  </si>
  <si>
    <t>증발잔류물</t>
    <phoneticPr fontId="2" type="noConversion"/>
  </si>
  <si>
    <t>경도</t>
    <phoneticPr fontId="2" type="noConversion"/>
  </si>
  <si>
    <r>
      <t>황산이온(SO</t>
    </r>
    <r>
      <rPr>
        <vertAlign val="subscript"/>
        <sz val="9"/>
        <rFont val="맑은 고딕"/>
        <family val="3"/>
        <charset val="129"/>
      </rPr>
      <t>4</t>
    </r>
    <r>
      <rPr>
        <vertAlign val="superscript"/>
        <sz val="9"/>
        <rFont val="맑은 고딕"/>
        <family val="3"/>
        <charset val="129"/>
      </rPr>
      <t>2-</t>
    </r>
    <r>
      <rPr>
        <sz val="9"/>
        <rFont val="맑은 고딕"/>
        <family val="3"/>
        <charset val="129"/>
      </rPr>
      <t>)</t>
    </r>
    <phoneticPr fontId="2" type="noConversion"/>
  </si>
  <si>
    <t>일반세균</t>
    <phoneticPr fontId="2" type="noConversion"/>
  </si>
  <si>
    <t>색도</t>
    <phoneticPr fontId="2" type="noConversion"/>
  </si>
  <si>
    <r>
      <t>암모니아성질소(NH</t>
    </r>
    <r>
      <rPr>
        <vertAlign val="subscript"/>
        <sz val="9"/>
        <rFont val="맑은 고딕"/>
        <family val="3"/>
        <charset val="129"/>
      </rPr>
      <t>3</t>
    </r>
    <r>
      <rPr>
        <sz val="9"/>
        <rFont val="맑은 고딕"/>
        <family val="3"/>
        <charset val="129"/>
      </rPr>
      <t>-N)</t>
    </r>
    <phoneticPr fontId="2" type="noConversion"/>
  </si>
  <si>
    <t>총대장균군</t>
    <phoneticPr fontId="2" type="noConversion"/>
  </si>
  <si>
    <t>소음</t>
    <phoneticPr fontId="2" type="noConversion"/>
  </si>
  <si>
    <t>진동</t>
    <phoneticPr fontId="2" type="noConversion"/>
  </si>
  <si>
    <t>회</t>
    <phoneticPr fontId="2" type="noConversion"/>
  </si>
  <si>
    <t>사전환경성검토 직접경비</t>
    <phoneticPr fontId="2" type="noConversion"/>
  </si>
  <si>
    <t>대기</t>
  </si>
  <si>
    <t>회</t>
    <phoneticPr fontId="1" type="noConversion"/>
  </si>
  <si>
    <t>지표수질</t>
  </si>
  <si>
    <t>지하수질</t>
  </si>
  <si>
    <t>소음</t>
  </si>
  <si>
    <t>진동</t>
  </si>
  <si>
    <t>3지점×2회</t>
    <phoneticPr fontId="1" type="noConversion"/>
  </si>
  <si>
    <t>3지점×2분기×4회</t>
    <phoneticPr fontId="1" type="noConversion"/>
  </si>
  <si>
    <t>3지점×2분기×2회</t>
    <phoneticPr fontId="1" type="noConversion"/>
  </si>
  <si>
    <t>개소</t>
    <phoneticPr fontId="1" type="noConversion"/>
  </si>
  <si>
    <t>중급기술자</t>
    <phoneticPr fontId="70" type="noConversion"/>
  </si>
  <si>
    <t>총괄</t>
    <phoneticPr fontId="70" type="noConversion"/>
  </si>
  <si>
    <t>인</t>
    <phoneticPr fontId="70" type="noConversion"/>
  </si>
  <si>
    <t>시추기능공</t>
    <phoneticPr fontId="70" type="noConversion"/>
  </si>
  <si>
    <t>인</t>
    <phoneticPr fontId="70" type="noConversion"/>
  </si>
  <si>
    <t>보링공</t>
    <phoneticPr fontId="70" type="noConversion"/>
  </si>
  <si>
    <t>조력공</t>
    <phoneticPr fontId="70" type="noConversion"/>
  </si>
  <si>
    <t>일용보통인부</t>
    <phoneticPr fontId="70" type="noConversion"/>
  </si>
  <si>
    <t>Auger날</t>
    <phoneticPr fontId="70" type="noConversion"/>
  </si>
  <si>
    <t>Post hole형</t>
    <phoneticPr fontId="1" type="noConversion"/>
  </si>
  <si>
    <t>개</t>
    <phoneticPr fontId="1" type="noConversion"/>
  </si>
  <si>
    <t>잡품</t>
    <phoneticPr fontId="70" type="noConversion"/>
  </si>
  <si>
    <t>재료의</t>
    <phoneticPr fontId="70" type="noConversion"/>
  </si>
  <si>
    <t>Auger Set</t>
    <phoneticPr fontId="70" type="noConversion"/>
  </si>
  <si>
    <t>Post hole</t>
    <phoneticPr fontId="1" type="noConversion"/>
  </si>
  <si>
    <t>일</t>
    <phoneticPr fontId="70" type="noConversion"/>
  </si>
  <si>
    <t>Auger날 가격=93,500원/EA</t>
    <phoneticPr fontId="1" type="noConversion"/>
  </si>
  <si>
    <t>Hand Auger가격=60만원</t>
    <phoneticPr fontId="1" type="noConversion"/>
  </si>
  <si>
    <t>토질시험비 (실내시험) 식 당</t>
    <phoneticPr fontId="70" type="noConversion"/>
  </si>
  <si>
    <t>함수량</t>
    <phoneticPr fontId="70" type="noConversion"/>
  </si>
  <si>
    <t>EA</t>
    <phoneticPr fontId="70" type="noConversion"/>
  </si>
  <si>
    <t>밀도</t>
    <phoneticPr fontId="70" type="noConversion"/>
  </si>
  <si>
    <t>입도</t>
    <phoneticPr fontId="70" type="noConversion"/>
  </si>
  <si>
    <t>액성한계</t>
    <phoneticPr fontId="70" type="noConversion"/>
  </si>
  <si>
    <t>소성한계</t>
    <phoneticPr fontId="70" type="noConversion"/>
  </si>
  <si>
    <t>체가름</t>
    <phoneticPr fontId="70" type="noConversion"/>
  </si>
  <si>
    <t>시료조작비</t>
    <phoneticPr fontId="70" type="noConversion"/>
  </si>
  <si>
    <t>경비의</t>
    <phoneticPr fontId="70" type="noConversion"/>
  </si>
  <si>
    <t>%</t>
    <phoneticPr fontId="70" type="noConversion"/>
  </si>
  <si>
    <t>농지전용협의</t>
    <phoneticPr fontId="70" type="noConversion"/>
  </si>
  <si>
    <t>당</t>
    <phoneticPr fontId="1" type="noConversion"/>
  </si>
  <si>
    <t>식</t>
    <phoneticPr fontId="1" type="noConversion"/>
  </si>
  <si>
    <t>사전환경성검토</t>
    <phoneticPr fontId="1" type="noConversion"/>
  </si>
  <si>
    <t>Hand Auger Boring 토질시험</t>
    <phoneticPr fontId="1" type="noConversion"/>
  </si>
  <si>
    <t xml:space="preserve">사전환경성검토   </t>
    <phoneticPr fontId="53" type="noConversion"/>
  </si>
  <si>
    <t>○ 할증표 적용요율</t>
    <phoneticPr fontId="53" type="noConversion"/>
  </si>
  <si>
    <t>○ 실소요인력 할증표</t>
    <phoneticPr fontId="2" type="noConversion"/>
  </si>
  <si>
    <t>○ 소요인력 할증표</t>
    <phoneticPr fontId="53" type="noConversion"/>
  </si>
  <si>
    <t xml:space="preserve">  1. 행정계획의 경우</t>
    <phoneticPr fontId="1" type="noConversion"/>
  </si>
  <si>
    <t xml:space="preserve">  2. 개발사업의 경우</t>
    <phoneticPr fontId="1" type="noConversion"/>
  </si>
  <si>
    <t>비고</t>
    <phoneticPr fontId="2" type="noConversion"/>
  </si>
  <si>
    <t>분야</t>
    <phoneticPr fontId="2" type="noConversion"/>
  </si>
  <si>
    <t>측정항목</t>
    <phoneticPr fontId="2" type="noConversion"/>
  </si>
  <si>
    <t>수량</t>
    <phoneticPr fontId="2" type="noConversion"/>
  </si>
  <si>
    <t>단위</t>
    <phoneticPr fontId="2" type="noConversion"/>
  </si>
  <si>
    <t>금액</t>
    <phoneticPr fontId="2" type="noConversion"/>
  </si>
  <si>
    <t>대기</t>
    <phoneticPr fontId="2" type="noConversion"/>
  </si>
  <si>
    <t>지표수질</t>
    <phoneticPr fontId="2" type="noConversion"/>
  </si>
  <si>
    <t>지하수질</t>
    <phoneticPr fontId="2" type="noConversion"/>
  </si>
  <si>
    <t>소음·진동</t>
    <phoneticPr fontId="2" type="noConversion"/>
  </si>
  <si>
    <t>측정분석비</t>
    <phoneticPr fontId="2" type="noConversion"/>
  </si>
  <si>
    <t>]^0.5  =</t>
    <phoneticPr fontId="2" type="noConversion"/>
  </si>
  <si>
    <t>적용</t>
    <phoneticPr fontId="2" type="noConversion"/>
  </si>
  <si>
    <t>제외</t>
    <phoneticPr fontId="2" type="noConversion"/>
  </si>
  <si>
    <t>]^0.5 = [</t>
    <phoneticPr fontId="2" type="noConversion"/>
  </si>
  <si>
    <t>계획면적</t>
    <phoneticPr fontId="2" type="noConversion"/>
  </si>
  <si>
    <t>기준면적</t>
    <phoneticPr fontId="2" type="noConversion"/>
  </si>
  <si>
    <r>
      <t>※ 환경영향평가법 시행령 제3조제2항 및 제23조제1항 관련</t>
    </r>
    <r>
      <rPr>
        <b/>
        <sz val="9"/>
        <color indexed="12"/>
        <rFont val="맑은 고딕"/>
        <family val="3"/>
        <charset val="129"/>
      </rPr>
      <t xml:space="preserve"> [별표_1] 황경영향평가를 실시하여야 하는 대상사업의 범위</t>
    </r>
    <r>
      <rPr>
        <sz val="9"/>
        <rFont val="맑은 고딕"/>
        <family val="3"/>
        <charset val="129"/>
      </rPr>
      <t xml:space="preserve">  (신설도로 4㎞, 2차선이상 확장 10㎞m, 하천 10㎞)</t>
    </r>
    <phoneticPr fontId="2" type="noConversion"/>
  </si>
  <si>
    <r>
      <t>(X - X</t>
    </r>
    <r>
      <rPr>
        <vertAlign val="subscript"/>
        <sz val="9"/>
        <rFont val="맑은 고딕"/>
        <family val="3"/>
        <charset val="129"/>
      </rPr>
      <t>1</t>
    </r>
    <r>
      <rPr>
        <sz val="9"/>
        <rFont val="맑은 고딕"/>
        <family val="3"/>
        <charset val="129"/>
      </rPr>
      <t>) × (Y</t>
    </r>
    <r>
      <rPr>
        <vertAlign val="subscript"/>
        <sz val="9"/>
        <rFont val="맑은 고딕"/>
        <family val="3"/>
        <charset val="129"/>
      </rPr>
      <t>2</t>
    </r>
    <r>
      <rPr>
        <sz val="9"/>
        <rFont val="맑은 고딕"/>
        <family val="3"/>
        <charset val="129"/>
      </rPr>
      <t xml:space="preserve"> - Y</t>
    </r>
    <r>
      <rPr>
        <vertAlign val="subscript"/>
        <sz val="9"/>
        <rFont val="맑은 고딕"/>
        <family val="3"/>
        <charset val="129"/>
      </rPr>
      <t>1</t>
    </r>
    <r>
      <rPr>
        <sz val="9"/>
        <rFont val="맑은 고딕"/>
        <family val="3"/>
        <charset val="129"/>
      </rPr>
      <t>)</t>
    </r>
    <phoneticPr fontId="2" type="noConversion"/>
  </si>
  <si>
    <t>0.08㎜체 통과량</t>
    <phoneticPr fontId="1" type="noConversion"/>
  </si>
  <si>
    <t>투수계수(변수위)</t>
    <phoneticPr fontId="1" type="noConversion"/>
  </si>
  <si>
    <t>투수계수(정수위)</t>
    <phoneticPr fontId="1" type="noConversion"/>
  </si>
  <si>
    <t>삼축압축(비압밀비배수)</t>
    <phoneticPr fontId="1" type="noConversion"/>
  </si>
  <si>
    <t>삼축압축(압밀비배수)</t>
    <phoneticPr fontId="1" type="noConversion"/>
  </si>
  <si>
    <t>삼축압축(압밀배수)</t>
    <phoneticPr fontId="1" type="noConversion"/>
  </si>
  <si>
    <t>전단시험(급속)</t>
    <phoneticPr fontId="1" type="noConversion"/>
  </si>
  <si>
    <t>전단시험(완속)</t>
    <phoneticPr fontId="1" type="noConversion"/>
  </si>
  <si>
    <t>전단시험(압밀급속)</t>
    <phoneticPr fontId="1" type="noConversion"/>
  </si>
  <si>
    <t>실내CBR(다짐포함)</t>
    <phoneticPr fontId="1" type="noConversion"/>
  </si>
  <si>
    <t>현장밀도(들밀도)</t>
    <phoneticPr fontId="1" type="noConversion"/>
  </si>
  <si>
    <t>구조물 기초 평판재하</t>
    <phoneticPr fontId="1" type="noConversion"/>
  </si>
  <si>
    <t>20kg</t>
    <phoneticPr fontId="1" type="noConversion"/>
  </si>
  <si>
    <t>품목</t>
    <phoneticPr fontId="1" type="noConversion"/>
  </si>
  <si>
    <t>시험항목</t>
    <phoneticPr fontId="1" type="noConversion"/>
  </si>
  <si>
    <t>수수료(원)</t>
    <phoneticPr fontId="1" type="noConversion"/>
  </si>
  <si>
    <t>비고</t>
    <phoneticPr fontId="1" type="noConversion"/>
  </si>
  <si>
    <t>흙의 물리시험</t>
    <phoneticPr fontId="1" type="noConversion"/>
  </si>
  <si>
    <t>50㎏</t>
    <phoneticPr fontId="1" type="noConversion"/>
  </si>
  <si>
    <t>밀도</t>
    <phoneticPr fontId="1" type="noConversion"/>
  </si>
  <si>
    <t>소성한계</t>
    <phoneticPr fontId="1" type="noConversion"/>
  </si>
  <si>
    <t>액성한계</t>
    <phoneticPr fontId="1" type="noConversion"/>
  </si>
  <si>
    <t>수축한계</t>
    <phoneticPr fontId="1" type="noConversion"/>
  </si>
  <si>
    <t>입도</t>
    <phoneticPr fontId="1" type="noConversion"/>
  </si>
  <si>
    <t>함수비</t>
    <phoneticPr fontId="1" type="noConversion"/>
  </si>
  <si>
    <t>흙의 역학시험</t>
    <phoneticPr fontId="1" type="noConversion"/>
  </si>
  <si>
    <t>일축압축</t>
    <phoneticPr fontId="1" type="noConversion"/>
  </si>
  <si>
    <t>20일</t>
    <phoneticPr fontId="1" type="noConversion"/>
  </si>
  <si>
    <t>D:20cm</t>
    <phoneticPr fontId="1" type="noConversion"/>
  </si>
  <si>
    <t>L:20cm</t>
    <phoneticPr fontId="1" type="noConversion"/>
  </si>
  <si>
    <t>시료3ea</t>
    <phoneticPr fontId="1" type="noConversion"/>
  </si>
  <si>
    <t>시료2ea</t>
    <phoneticPr fontId="1" type="noConversion"/>
  </si>
  <si>
    <t>압밀시험</t>
    <phoneticPr fontId="1" type="noConversion"/>
  </si>
  <si>
    <t>다짐</t>
    <phoneticPr fontId="1" type="noConversion"/>
  </si>
  <si>
    <t>50kg</t>
    <phoneticPr fontId="1" type="noConversion"/>
  </si>
  <si>
    <t>시험후7일</t>
    <phoneticPr fontId="1" type="noConversion"/>
  </si>
  <si>
    <t>성토성흙</t>
    <phoneticPr fontId="1" type="noConversion"/>
  </si>
  <si>
    <t>실내 CBR</t>
    <phoneticPr fontId="1" type="noConversion"/>
  </si>
  <si>
    <t>지내력시험</t>
    <phoneticPr fontId="1" type="noConversion"/>
  </si>
  <si>
    <t>현장 CBR</t>
    <phoneticPr fontId="1" type="noConversion"/>
  </si>
  <si>
    <t>시험후7일</t>
    <phoneticPr fontId="1" type="noConversion"/>
  </si>
  <si>
    <t>도로 평판재하</t>
    <phoneticPr fontId="1" type="noConversion"/>
  </si>
  <si>
    <t>앵커인발시험</t>
    <phoneticPr fontId="1" type="noConversion"/>
  </si>
  <si>
    <t xml:space="preserve">  ① 관련법규 및 계획 검토</t>
    <phoneticPr fontId="1" type="noConversion"/>
  </si>
  <si>
    <t xml:space="preserve">  ② 주변지역과의 상관성검토</t>
    <phoneticPr fontId="1" type="noConversion"/>
  </si>
  <si>
    <t xml:space="preserve">  ① 도시계획시설(변경)결정조서</t>
    <phoneticPr fontId="2" type="noConversion"/>
  </si>
  <si>
    <t xml:space="preserve">  ② 도시계획시설(변경)결정사유서 및 개발(사업) 계획서</t>
    <phoneticPr fontId="2" type="noConversion"/>
  </si>
  <si>
    <t xml:space="preserve">  ③ 각종 영향 검토서</t>
    <phoneticPr fontId="2" type="noConversion"/>
  </si>
  <si>
    <t xml:space="preserve">  ④ 공고에 따른 의견내용 및 조치결과 작성</t>
    <phoneticPr fontId="2" type="noConversion"/>
  </si>
  <si>
    <t xml:space="preserve">  ⑤ 도시계획시설(변경)결정도 및 지형고시도면 작성</t>
    <phoneticPr fontId="2" type="noConversion"/>
  </si>
  <si>
    <t xml:space="preserve">  ⑥ 시설배치 및 토지이용 계획</t>
    <phoneticPr fontId="2" type="noConversion"/>
  </si>
  <si>
    <t xml:space="preserve">  ⑦ 지적도및 토지조서, 권리조서 작성</t>
    <phoneticPr fontId="2" type="noConversion"/>
  </si>
  <si>
    <t xml:space="preserve">  ⑧ 농지관련 서류작성</t>
    <phoneticPr fontId="2" type="noConversion"/>
  </si>
  <si>
    <t xml:space="preserve">  ⑨ 산지,초지관련서류작성</t>
    <phoneticPr fontId="2" type="noConversion"/>
  </si>
  <si>
    <t xml:space="preserve">  ① 관련법규 검토</t>
    <phoneticPr fontId="2" type="noConversion"/>
  </si>
  <si>
    <t xml:space="preserve">  ② 관련계획검토</t>
    <phoneticPr fontId="2" type="noConversion"/>
  </si>
  <si>
    <t xml:space="preserve">  ③ 주변지역과의 상관성 검토</t>
    <phoneticPr fontId="2" type="noConversion"/>
  </si>
  <si>
    <t xml:space="preserve">  ① 농지전용협의 요청서, 입안사유 및 심사의견서 작성</t>
    <phoneticPr fontId="2" type="noConversion"/>
  </si>
  <si>
    <t xml:space="preserve">  ② 농지편입현황조서 작성</t>
    <phoneticPr fontId="2" type="noConversion"/>
  </si>
  <si>
    <t xml:space="preserve">  ③ 피해방지계획서 작성</t>
    <phoneticPr fontId="2" type="noConversion"/>
  </si>
  <si>
    <t xml:space="preserve">  ④ 도시계획 관련도서 작성</t>
    <phoneticPr fontId="2" type="noConversion"/>
  </si>
  <si>
    <t xml:space="preserve">  ⑤ 농지 관련도서 작성</t>
    <phoneticPr fontId="2" type="noConversion"/>
  </si>
  <si>
    <t xml:space="preserve">  ⑥ 초지 관련도서 작성</t>
    <phoneticPr fontId="2" type="noConversion"/>
  </si>
  <si>
    <t>특  급
기술자</t>
    <phoneticPr fontId="53" type="noConversion"/>
  </si>
  <si>
    <t>○ 항목별 적용 : 항목별 적용 및 제외 항목 적용</t>
    <phoneticPr fontId="53" type="noConversion"/>
  </si>
  <si>
    <t xml:space="preserve">   - 적용항목 :</t>
    <phoneticPr fontId="2" type="noConversion"/>
  </si>
  <si>
    <t xml:space="preserve">   - 제외항목 :</t>
    <phoneticPr fontId="2" type="noConversion"/>
  </si>
  <si>
    <t>○ 보정계수(α)</t>
    <phoneticPr fontId="1" type="noConversion"/>
  </si>
  <si>
    <t xml:space="preserve">      α =[</t>
    <phoneticPr fontId="2" type="noConversion"/>
  </si>
  <si>
    <t>[국토개발표준품셈(2007.12) 근거</t>
    <phoneticPr fontId="1" type="noConversion"/>
  </si>
  <si>
    <t>기술사</t>
    <phoneticPr fontId="53" type="noConversion"/>
  </si>
  <si>
    <t>고  급
기술자</t>
    <phoneticPr fontId="53" type="noConversion"/>
  </si>
  <si>
    <t>중  급
기술자</t>
    <phoneticPr fontId="53" type="noConversion"/>
  </si>
  <si>
    <t>초  급
기술자</t>
    <phoneticPr fontId="53" type="noConversion"/>
  </si>
  <si>
    <t>보조원</t>
    <phoneticPr fontId="53" type="noConversion"/>
  </si>
  <si>
    <t>특급
기술자</t>
    <phoneticPr fontId="53" type="noConversion"/>
  </si>
  <si>
    <t>1. 계 획 검 토</t>
    <phoneticPr fontId="1" type="noConversion"/>
  </si>
  <si>
    <t>2. 도시계획시설(변경)결정도서작성</t>
    <phoneticPr fontId="1" type="noConversion"/>
  </si>
  <si>
    <t>계</t>
    <phoneticPr fontId="53" type="noConversion"/>
  </si>
  <si>
    <t>구분</t>
    <phoneticPr fontId="1" type="noConversion"/>
  </si>
  <si>
    <t>소요인력</t>
    <phoneticPr fontId="53" type="noConversion"/>
  </si>
  <si>
    <t>실소요인력</t>
    <phoneticPr fontId="53" type="noConversion"/>
  </si>
  <si>
    <t>비고</t>
    <phoneticPr fontId="53" type="noConversion"/>
  </si>
  <si>
    <t>1. 개발계획검토</t>
    <phoneticPr fontId="1" type="noConversion"/>
  </si>
  <si>
    <t>2. 농지전용 도서작성</t>
    <phoneticPr fontId="1" type="noConversion"/>
  </si>
  <si>
    <t>농지, 산지, 초지관련 서류작성</t>
    <phoneticPr fontId="70" type="noConversion"/>
  </si>
  <si>
    <r>
      <t>도시계획시설 (변경)결정</t>
    </r>
    <r>
      <rPr>
        <b/>
        <sz val="12"/>
        <color indexed="10"/>
        <rFont val="맑은 고딕"/>
        <family val="3"/>
        <charset val="129"/>
      </rPr>
      <t xml:space="preserve"> (1만㎡, 1㎞ 기준)</t>
    </r>
    <phoneticPr fontId="53" type="noConversion"/>
  </si>
  <si>
    <r>
      <t>농지전용에 관한 업무</t>
    </r>
    <r>
      <rPr>
        <b/>
        <sz val="12"/>
        <color indexed="10"/>
        <rFont val="맑은 고딕"/>
        <family val="3"/>
        <charset val="129"/>
      </rPr>
      <t xml:space="preserve"> (50만㎡ 기준)</t>
    </r>
    <phoneticPr fontId="53" type="noConversion"/>
  </si>
  <si>
    <t>만㎡ or ㎞단위 입력</t>
    <phoneticPr fontId="1" type="noConversion"/>
  </si>
  <si>
    <t>만㎡ 단위 입력</t>
    <phoneticPr fontId="1" type="noConversion"/>
  </si>
  <si>
    <t>제외</t>
    <phoneticPr fontId="2" type="noConversion"/>
  </si>
  <si>
    <t>사업대가 요율 적용을 위한 Table입니다.</t>
    <phoneticPr fontId="1" type="noConversion"/>
  </si>
  <si>
    <t>숫자로 입력하세요.(30일 단위로 입력하면 좋아요.)</t>
    <phoneticPr fontId="1" type="noConversion"/>
  </si>
  <si>
    <t>손해배상공제 보험료 산정을 위한 공사중류를 목록에서 선택하여 입력하세요.</t>
    <phoneticPr fontId="1" type="noConversion"/>
  </si>
  <si>
    <t>사업대가 탭에서 개략공사비 산출하여 입력, 개략사업비 산출근거는 참고만 하세요.</t>
    <phoneticPr fontId="1" type="noConversion"/>
  </si>
  <si>
    <t>개략사업비에 대한 대가조정, 실시설계비를 조절하기 위한 부분입니다.</t>
    <phoneticPr fontId="1" type="noConversion"/>
  </si>
  <si>
    <t>목록에서 선택</t>
    <phoneticPr fontId="1" type="noConversion"/>
  </si>
  <si>
    <t>여비를 반영할때는 여비탭에서 노락색 셀을 꼭 확인하여 입력하여 결정하세요.</t>
    <phoneticPr fontId="1" type="noConversion"/>
  </si>
  <si>
    <t>클릭(Click)하세요(해당 Sheet로 이동)</t>
    <phoneticPr fontId="1" type="noConversion"/>
  </si>
  <si>
    <t>번지까지 입력하는 버릇을 기르세요. e호조 입력 등 현황관리에 편리합니다.</t>
    <phoneticPr fontId="1" type="noConversion"/>
  </si>
  <si>
    <t>사업량은 되도록 자세히 입력하는 것이 좋습니다. 한줄로 표시하기 어려우면 결재 표지에서 임의 수정하세요.</t>
    <phoneticPr fontId="1" type="noConversion"/>
  </si>
  <si>
    <r>
      <t>1.</t>
    </r>
    <r>
      <rPr>
        <b/>
        <u/>
        <sz val="11"/>
        <color indexed="10"/>
        <rFont val="맑은 고딕"/>
        <family val="3"/>
        <charset val="129"/>
      </rPr>
      <t xml:space="preserve"> 각 탭의 노란색 셀 직접입력, 황토색 셀은 목록에서 선택하세요.</t>
    </r>
    <r>
      <rPr>
        <b/>
        <sz val="11"/>
        <color indexed="10"/>
        <rFont val="맑은 고딕"/>
        <family val="3"/>
        <charset val="129"/>
      </rPr>
      <t xml:space="preserve">
2. 품셈조정시 표준품셈 부분의 투입인원을 수정하는것이 좋습니다.  ,  셀에 입력되어 있는 </t>
    </r>
    <r>
      <rPr>
        <b/>
        <u/>
        <sz val="11"/>
        <color indexed="10"/>
        <rFont val="맑은 고딕"/>
        <family val="3"/>
        <charset val="129"/>
      </rPr>
      <t>메모는 꼭 읽어보시고 참고</t>
    </r>
    <r>
      <rPr>
        <b/>
        <sz val="11"/>
        <color indexed="10"/>
        <rFont val="맑은 고딕"/>
        <family val="3"/>
        <charset val="129"/>
      </rPr>
      <t>하세요.
3. 기초자료 입력 테이블과 각 탭의 노란색 셀 이외에는</t>
    </r>
    <r>
      <rPr>
        <b/>
        <u/>
        <sz val="11"/>
        <color indexed="10"/>
        <rFont val="맑은 고딕"/>
        <family val="3"/>
        <charset val="129"/>
      </rPr>
      <t xml:space="preserve"> 거의 모든 것이 자동으로 입력</t>
    </r>
    <r>
      <rPr>
        <b/>
        <sz val="11"/>
        <color indexed="10"/>
        <rFont val="맑은 고딕"/>
        <family val="3"/>
        <charset val="129"/>
      </rPr>
      <t>되도록 되어 있습니다.</t>
    </r>
    <phoneticPr fontId="1" type="noConversion"/>
  </si>
  <si>
    <t>표지의
예정공정표</t>
    <phoneticPr fontId="1" type="noConversion"/>
  </si>
  <si>
    <t>내역서</t>
    <phoneticPr fontId="1" type="noConversion"/>
  </si>
  <si>
    <t>사업대가</t>
    <phoneticPr fontId="1" type="noConversion"/>
  </si>
  <si>
    <t>일위대가</t>
    <phoneticPr fontId="1" type="noConversion"/>
  </si>
  <si>
    <t>각측량입력폼</t>
    <phoneticPr fontId="1" type="noConversion"/>
  </si>
  <si>
    <t>여비</t>
    <phoneticPr fontId="1" type="noConversion"/>
  </si>
  <si>
    <t>사전환경성검토</t>
    <phoneticPr fontId="1" type="noConversion"/>
  </si>
  <si>
    <t>각측량품셈폼</t>
    <phoneticPr fontId="1" type="noConversion"/>
  </si>
  <si>
    <t>노임단가</t>
    <phoneticPr fontId="1" type="noConversion"/>
  </si>
  <si>
    <t>손해배상공제</t>
    <phoneticPr fontId="1" type="noConversion"/>
  </si>
  <si>
    <t>환경측정분석비</t>
    <phoneticPr fontId="1" type="noConversion"/>
  </si>
  <si>
    <t>시험단가</t>
    <phoneticPr fontId="1" type="noConversion"/>
  </si>
  <si>
    <t>각종기준</t>
    <phoneticPr fontId="1" type="noConversion"/>
  </si>
  <si>
    <t>기초자료 Input Table</t>
    <phoneticPr fontId="1" type="noConversion"/>
  </si>
  <si>
    <t>고급숙련기술자</t>
    <phoneticPr fontId="1" type="noConversion"/>
  </si>
  <si>
    <t>초급숙련기술자</t>
    <phoneticPr fontId="1" type="noConversion"/>
  </si>
  <si>
    <t>기술사</t>
    <phoneticPr fontId="1" type="noConversion"/>
  </si>
  <si>
    <t>고급기능사(도화기)</t>
    <phoneticPr fontId="1" type="noConversion"/>
  </si>
  <si>
    <t>미실시</t>
  </si>
  <si>
    <t>1.</t>
    <phoneticPr fontId="99" type="noConversion"/>
  </si>
  <si>
    <t>건설공사 표준품셈</t>
    <phoneticPr fontId="99" type="noConversion"/>
  </si>
  <si>
    <t>측량대가의 기준(국토지리정보원 고시 제2009-938호, 2009년 12월 14일))</t>
    <phoneticPr fontId="99" type="noConversion"/>
  </si>
  <si>
    <t>공공발주사업에 대한 건축사의 업무범위와 대가기준(국토해양부 고시 제2011-750호, 2011년 12월 8일)</t>
    <phoneticPr fontId="99" type="noConversion"/>
  </si>
  <si>
    <t>건설공사 감리대가기준(국토해양부 고시 제2010-1098호, 2010년 12월 30일)</t>
    <phoneticPr fontId="99" type="noConversion"/>
  </si>
  <si>
    <t>학술연구용역 원가계산(기획재정부 계약예규 2200.04-160-9, 2011년 5월 13일)</t>
    <phoneticPr fontId="99" type="noConversion"/>
  </si>
  <si>
    <t>공무원 여비규정(대통령령 제23501호, 2012년 1월 6일 시행)</t>
    <phoneticPr fontId="99" type="noConversion"/>
  </si>
  <si>
    <t>공공측량성과심사 법률 및 고시문 요약</t>
    <phoneticPr fontId="99" type="noConversion"/>
  </si>
  <si>
    <t>9.</t>
  </si>
  <si>
    <t>[별표_1]_환경영향평가를_실시하여야_하는_대상사업의_범위,_평가서_제출시기_및_협의요청시기</t>
    <phoneticPr fontId="99" type="noConversion"/>
  </si>
  <si>
    <t>10.</t>
  </si>
  <si>
    <t>노임단가 기준</t>
    <phoneticPr fontId="99" type="noConversion"/>
  </si>
  <si>
    <t>①</t>
    <phoneticPr fontId="99" type="noConversion"/>
  </si>
  <si>
    <t>②</t>
    <phoneticPr fontId="99" type="noConversion"/>
  </si>
  <si>
    <t>③</t>
    <phoneticPr fontId="99" type="noConversion"/>
  </si>
  <si>
    <t>④</t>
    <phoneticPr fontId="99" type="noConversion"/>
  </si>
  <si>
    <t>⑤</t>
    <phoneticPr fontId="99" type="noConversion"/>
  </si>
  <si>
    <t>⑥</t>
    <phoneticPr fontId="99" type="noConversion"/>
  </si>
  <si>
    <t>⑦</t>
    <phoneticPr fontId="99" type="noConversion"/>
  </si>
  <si>
    <t>무대예술전문인 노임단가((사)무대예술전문인협회, 매년 1월1일 고시)</t>
    <phoneticPr fontId="99" type="noConversion"/>
  </si>
  <si>
    <t>보통지구</t>
  </si>
  <si>
    <t>3.</t>
    <phoneticPr fontId="1" type="noConversion"/>
  </si>
  <si>
    <t>4.</t>
    <phoneticPr fontId="1" type="noConversion"/>
  </si>
  <si>
    <t>5.</t>
    <phoneticPr fontId="1" type="noConversion"/>
  </si>
  <si>
    <t>6.</t>
    <phoneticPr fontId="1" type="noConversion"/>
  </si>
  <si>
    <t>7.</t>
    <phoneticPr fontId="1" type="noConversion"/>
  </si>
  <si>
    <t>과     장</t>
    <phoneticPr fontId="2" type="noConversion"/>
  </si>
  <si>
    <t>심   사</t>
    <phoneticPr fontId="2" type="noConversion"/>
  </si>
  <si>
    <t>인허가(건 당)</t>
    <phoneticPr fontId="2" type="noConversion"/>
  </si>
  <si>
    <t>중급숙련기술자</t>
    <phoneticPr fontId="1" type="noConversion"/>
  </si>
  <si>
    <t>초급숙련기술자</t>
    <phoneticPr fontId="1" type="noConversion"/>
  </si>
  <si>
    <t>중급숙련기술자</t>
    <phoneticPr fontId="70" type="noConversion"/>
  </si>
  <si>
    <t>초급숙련기술자</t>
    <phoneticPr fontId="70" type="noConversion"/>
  </si>
  <si>
    <t>3. 성과품작성</t>
    <phoneticPr fontId="1" type="noConversion"/>
  </si>
  <si>
    <t xml:space="preserve">  ① 보고서작성 및 편집</t>
    <phoneticPr fontId="1" type="noConversion"/>
  </si>
  <si>
    <t xml:space="preserve">  ② 관련도서작성</t>
    <phoneticPr fontId="1" type="noConversion"/>
  </si>
  <si>
    <t>4. 기술협의</t>
    <phoneticPr fontId="1" type="noConversion"/>
  </si>
  <si>
    <t xml:space="preserve">  ① 공청회/주민설명회</t>
    <phoneticPr fontId="2" type="noConversion"/>
  </si>
  <si>
    <t xml:space="preserve">  ② 주민간담회/시민계획단</t>
    <phoneticPr fontId="2" type="noConversion"/>
  </si>
  <si>
    <t xml:space="preserve">  ③ 위원회심의 지원</t>
    <phoneticPr fontId="2" type="noConversion"/>
  </si>
  <si>
    <t xml:space="preserve">  ④ 관계기관 협의</t>
    <phoneticPr fontId="2" type="noConversion"/>
  </si>
  <si>
    <t>[국토계획표준품셈(2015.7) 근거</t>
    <phoneticPr fontId="1" type="noConversion"/>
  </si>
  <si>
    <t>=</t>
    <phoneticPr fontId="2" type="noConversion"/>
  </si>
  <si>
    <t>억원</t>
    <phoneticPr fontId="2" type="noConversion"/>
  </si>
  <si>
    <t>한국소프트웨어산업협회(2018.8.31)</t>
    <phoneticPr fontId="99" type="noConversion"/>
  </si>
  <si>
    <t>2019년 상반기 노임(대한건설협회)</t>
    <phoneticPr fontId="2" type="noConversion"/>
  </si>
  <si>
    <t>건설사업관리기술자</t>
    <phoneticPr fontId="1" type="noConversion"/>
  </si>
  <si>
    <t>특급</t>
    <phoneticPr fontId="1" type="noConversion"/>
  </si>
  <si>
    <t>고급</t>
    <phoneticPr fontId="1" type="noConversion"/>
  </si>
  <si>
    <t>중급</t>
    <phoneticPr fontId="1" type="noConversion"/>
  </si>
  <si>
    <t>초급</t>
    <phoneticPr fontId="1" type="noConversion"/>
  </si>
  <si>
    <t>한국문화재보존과학업협회</t>
    <phoneticPr fontId="99" type="noConversion"/>
  </si>
  <si>
    <t>엔지니어링기술자노임단가(한국엔지니어링협회)(매년 1월1일 고시)</t>
    <phoneticPr fontId="99" type="noConversion"/>
  </si>
  <si>
    <t>측량기술자 노임단가(공간정보산업협회, 매년 1월1일 고시)</t>
    <phoneticPr fontId="99" type="noConversion"/>
  </si>
  <si>
    <t>시중노임단가(대한건설협회, 상반기 1월1일, 하반기 9월1일 고시)</t>
    <phoneticPr fontId="99" type="noConversion"/>
  </si>
  <si>
    <t>건설사업관리기술자 노임단가(한국건설기술관리협회, 매년 1월1일 고시)</t>
    <phoneticPr fontId="99" type="noConversion"/>
  </si>
  <si>
    <t>소프트웨어기술자의 등급별 노임단가(한국소프트웨어산업협회, 매년 1월1일 고시)</t>
    <phoneticPr fontId="99" type="noConversion"/>
  </si>
  <si>
    <t>문화재수리 노임단가(한국문화재보존과학업협회, 매년 1월1일 고시)</t>
    <phoneticPr fontId="99" type="noConversion"/>
  </si>
  <si>
    <t>0.075㎜체 통과량</t>
    <phoneticPr fontId="1" type="noConversion"/>
  </si>
  <si>
    <t>7일</t>
    <phoneticPr fontId="1" type="noConversion"/>
  </si>
  <si>
    <t>함수비</t>
    <phoneticPr fontId="1" type="noConversion"/>
  </si>
  <si>
    <t>50kg</t>
    <phoneticPr fontId="1" type="noConversion"/>
  </si>
  <si>
    <t>40kg</t>
    <phoneticPr fontId="1" type="noConversion"/>
  </si>
  <si>
    <t>1kg</t>
    <phoneticPr fontId="1" type="noConversion"/>
  </si>
  <si>
    <t>2.5kg</t>
    <phoneticPr fontId="1" type="noConversion"/>
  </si>
  <si>
    <t>20kg</t>
    <phoneticPr fontId="1" type="noConversion"/>
  </si>
  <si>
    <t>2kg</t>
    <phoneticPr fontId="1" type="noConversion"/>
  </si>
  <si>
    <t>한국건설산업품질연구원 시험단가(2019년)</t>
    <phoneticPr fontId="1" type="noConversion"/>
  </si>
  <si>
    <t>한국건설산업품질연구원 시험단가(2019년)</t>
    <phoneticPr fontId="1" type="noConversion"/>
  </si>
  <si>
    <t>노선측량</t>
    <phoneticPr fontId="1" type="noConversion"/>
  </si>
  <si>
    <t>(2)</t>
    <phoneticPr fontId="1" type="noConversion"/>
  </si>
  <si>
    <t>Hand Auger Boring(평지, 도로변, D100)</t>
    <phoneticPr fontId="70" type="noConversion"/>
  </si>
  <si>
    <t>지질조사(Hand Auger Boring)</t>
    <phoneticPr fontId="1" type="noConversion"/>
  </si>
  <si>
    <t>공</t>
    <phoneticPr fontId="1" type="noConversion"/>
  </si>
  <si>
    <t>(3)</t>
    <phoneticPr fontId="1" type="noConversion"/>
  </si>
  <si>
    <t>토질시험비 (실내시험)</t>
    <phoneticPr fontId="1" type="noConversion"/>
  </si>
  <si>
    <t>식</t>
    <phoneticPr fontId="1" type="noConversion"/>
  </si>
  <si>
    <t>한국건설산업품질연구원 시험단가(2018년)</t>
    <phoneticPr fontId="1" type="noConversion"/>
  </si>
  <si>
    <t>팀   장</t>
    <phoneticPr fontId="2" type="noConversion"/>
  </si>
  <si>
    <t>설  계</t>
    <phoneticPr fontId="2" type="noConversion"/>
  </si>
  <si>
    <t>m ×</t>
    <phoneticPr fontId="2" type="noConversion"/>
  </si>
  <si>
    <t>만원/m</t>
    <phoneticPr fontId="2" type="noConversion"/>
  </si>
  <si>
    <t>만원/m</t>
    <phoneticPr fontId="2" type="noConversion"/>
  </si>
  <si>
    <t>한국엔지니어링협회(2021.1.1)</t>
    <phoneticPr fontId="2" type="noConversion"/>
  </si>
  <si>
    <t>공간정보산업협회(2021.1.1)</t>
    <phoneticPr fontId="2" type="noConversion"/>
  </si>
  <si>
    <t>한국건설기술관리협회(2021.1.1)</t>
    <phoneticPr fontId="99" type="noConversion"/>
  </si>
  <si>
    <t>기본설계</t>
  </si>
  <si>
    <t>하노2리 농어촌도로 210호선 기본설계용역</t>
    <phoneticPr fontId="1" type="noConversion"/>
  </si>
  <si>
    <t>원남면 하노2리  일원</t>
    <phoneticPr fontId="1" type="noConversion"/>
  </si>
  <si>
    <t>농어촌도로 정비 L=0.85km</t>
    <phoneticPr fontId="1" type="noConversion"/>
  </si>
  <si>
    <t>※낙찰율 적용</t>
    <phoneticPr fontId="1" type="noConversion"/>
  </si>
  <si>
    <t>보통시가지</t>
  </si>
  <si>
    <t>엔지니어링사업대가의 기준(산업통상자원부 고시 제2021-137호, 2021년 7월 29일)</t>
    <phoneticPr fontId="9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</si>
</sst>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3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24" formatCode="\$#,##0_);[Red]\(\$#,##0\)"/>
    <numFmt numFmtId="176" formatCode="General&quot;만㎡&quot;"/>
    <numFmt numFmtId="177" formatCode="General&quot;㎞&quot;"/>
    <numFmt numFmtId="178" formatCode="#,##0.0"/>
    <numFmt numFmtId="179" formatCode="General&quot;m&quot;"/>
    <numFmt numFmtId="180" formatCode="General&quot;㎞양안왕복&quot;"/>
    <numFmt numFmtId="181" formatCode="&quot;폭원&quot;General&quot;m&quot;"/>
    <numFmt numFmtId="182" formatCode="&quot;횡단간격&quot;General&quot;m&quot;"/>
    <numFmt numFmtId="183" formatCode="General&quot;일&quot;"/>
    <numFmt numFmtId="184" formatCode="&quot;제외 &quot;General&quot;m&quot;"/>
    <numFmt numFmtId="185" formatCode="&quot;제내 &quot;General&quot;m&quot;"/>
    <numFmt numFmtId="186" formatCode="0.0"/>
    <numFmt numFmtId="187" formatCode="#,##0.00_);[Red]\(#,##0.00\)"/>
    <numFmt numFmtId="188" formatCode="0.00_);[Red]\(0.00\)"/>
    <numFmt numFmtId="189" formatCode="#,##0_ "/>
    <numFmt numFmtId="190" formatCode="&quot;₩&quot;#,##0.00;[Red]&quot;₩&quot;\-#,##0.00"/>
    <numFmt numFmtId="191" formatCode="#,##0.0##"/>
    <numFmt numFmtId="192" formatCode="_-* #,##0.00_-;\-* #,##0.00_-;_-* &quot;-&quot;_-;_-@_-"/>
    <numFmt numFmtId="193" formatCode="_ &quot;kr&quot;\ * #,##0.00_ ;_ &quot;kr&quot;\ * \-#,##0.00_ ;_ &quot;kr&quot;\ * &quot;-&quot;??_ ;_ @_ "/>
    <numFmt numFmtId="194" formatCode="0.00_ "/>
    <numFmt numFmtId="195" formatCode="&quot;₩&quot;#,##0;[Red]&quot;₩&quot;\-#,##0"/>
    <numFmt numFmtId="196" formatCode="#,##0.0000;\(#,##0.0000\);\ &quot;-&quot;\ "/>
    <numFmt numFmtId="197" formatCode="&quot;$&quot;#,##0.00_);[Red]\(&quot;$&quot;#,##0.00\)"/>
    <numFmt numFmtId="198" formatCode="0.00000"/>
    <numFmt numFmtId="199" formatCode="&quot;$&quot;#,##0_);[Red]\(&quot;$&quot;#,##0\)"/>
    <numFmt numFmtId="200" formatCode="yy&quot;년&quot;\ mm&quot;월&quot;\ dd&quot;일&quot;\ \ &quot;현재&quot;"/>
    <numFmt numFmtId="201" formatCode="&quot;₩&quot;\!\$#,##0&quot;₩&quot;\!\ ;&quot;₩&quot;\!\(&quot;₩&quot;\!\$#,##0&quot;₩&quot;\!\)"/>
    <numFmt numFmtId="202" formatCode="#,##0.0000\ ;\(#,##0.0000\)"/>
    <numFmt numFmtId="203" formatCode="_-* #,##0.0_-;\-* #,##0.0_-;_-* &quot;-&quot;??_-;_-@_-"/>
    <numFmt numFmtId="204" formatCode="#,##0.0;[Red]\(#,##0.0\)"/>
    <numFmt numFmtId="205" formatCode="&quot;$&quot;#,##0.00;;"/>
    <numFmt numFmtId="206" formatCode="#,##0.0;\(#,##0.0\);\ &quot;-&quot;\ "/>
    <numFmt numFmtId="207" formatCode="0\ &quot;EA&quot;"/>
    <numFmt numFmtId="208" formatCode="_-[$€-2]* #,##0.00_-;\-[$€-2]* #,##0.00_-;_-[$€-2]* &quot;-&quot;??_-"/>
    <numFmt numFmtId="209" formatCode="_ * #,##0_ ;_ * &quot;₩&quot;&quot;₩&quot;&quot;₩&quot;&quot;₩&quot;&quot;₩&quot;\-#,##0_ ;_ * &quot;-&quot;_ ;_ @_ "/>
    <numFmt numFmtId="210" formatCode="&quot;A$&quot;\ #,##0.0;&quot;$&quot;\-#,##0.0"/>
    <numFmt numFmtId="211" formatCode="&quot;$&quot;#,##0.00"/>
    <numFmt numFmtId="212" formatCode="&quot;₩&quot;#,##0;&quot;₩&quot;\-#,##0"/>
    <numFmt numFmtId="213" formatCode="#."/>
    <numFmt numFmtId="214" formatCode="_*\ ??_-"/>
    <numFmt numFmtId="215" formatCode="0\ &quot;t&quot;"/>
    <numFmt numFmtId="216" formatCode="#,##0;[Red]\(#,##0\)"/>
    <numFmt numFmtId="217" formatCode="&quot;₩&quot;#,##0;&quot;₩&quot;&quot;₩&quot;&quot;₩&quot;&quot;₩&quot;\-#,##0"/>
    <numFmt numFmtId="218" formatCode="0.0_);[Red]\(0.0\)"/>
    <numFmt numFmtId="219" formatCode="0.000"/>
    <numFmt numFmtId="220" formatCode="_-* #,##0.000_-;\-* #,##0.000_-;_-* &quot;-&quot;_-;_-@_-"/>
    <numFmt numFmtId="221" formatCode="_-* #,##0.0_-;\-* #,##0.0_-;_-* &quot;-&quot;_-;_-@_-"/>
    <numFmt numFmtId="222" formatCode="#,##0.00_ "/>
    <numFmt numFmtId="223" formatCode="#,##0;[Red]&quot;-&quot;#,##0"/>
    <numFmt numFmtId="224" formatCode="&quot;  &quot;@"/>
    <numFmt numFmtId="225" formatCode="0.00\ &quot;)&quot;"/>
    <numFmt numFmtId="226" formatCode="0.00\ &quot;)]&quot;"/>
    <numFmt numFmtId="227" formatCode="#.00"/>
    <numFmt numFmtId="228" formatCode="&quot;₩&quot;#,##0;[Red]&quot;₩&quot;&quot;₩&quot;&quot;₩&quot;&quot;₩&quot;\-#,##0"/>
    <numFmt numFmtId="229" formatCode="0.000\ &quot;²&quot;"/>
    <numFmt numFmtId="230" formatCode="&quot;(&quot;\ 0.00"/>
    <numFmt numFmtId="231" formatCode="&quot;[(&quot;\ 0.00"/>
    <numFmt numFmtId="232" formatCode="mm&quot;.&quot;dd\ &quot;현재&quot;"/>
    <numFmt numFmtId="233" formatCode="_ * #,##0_ ;_ * &quot;₩&quot;&quot;₩&quot;&quot;₩&quot;&quot;₩&quot;\-#,##0_ ;_ * &quot;-&quot;_ ;_ @_ "/>
    <numFmt numFmtId="234" formatCode="#,###\ \ "/>
    <numFmt numFmtId="235" formatCode="_-* #,##0.00_-;&quot;₩&quot;&quot;₩&quot;\-* #,##0.00_-;_-* &quot;-&quot;??_-;_-@_-"/>
    <numFmt numFmtId="236" formatCode="&quot;₩&quot;#,##0.00;&quot;₩&quot;&quot;₩&quot;&quot;₩&quot;&quot;₩&quot;\-#,##0.00"/>
    <numFmt numFmtId="237" formatCode="#,##0_);[Red]\(#,##0\)"/>
    <numFmt numFmtId="238" formatCode="yyyy&quot;년&quot;\ mm&quot;월&quot;\ \ \ \ &quot;일&quot;"/>
    <numFmt numFmtId="239" formatCode="yyyy&quot;년&quot;\ m&quot;월&quot;;@"/>
    <numFmt numFmtId="240" formatCode="0.00&quot;km&quot;"/>
    <numFmt numFmtId="241" formatCode="[DBNum4][$-412]General"/>
    <numFmt numFmtId="242" formatCode="&quot;₩&quot;#,##0_);\(&quot;₩&quot;#,##0\)"/>
    <numFmt numFmtId="243" formatCode="[DBNum4]&quot;금 &quot;[$-412]General&quot;원&quot;"/>
    <numFmt numFmtId="244" formatCode="#,##0&quot;원&quot;"/>
    <numFmt numFmtId="245" formatCode="General;\-General\,&quot;&quot;;@"/>
    <numFmt numFmtId="246" formatCode="0.000%"/>
    <numFmt numFmtId="247" formatCode="General&quot;%&quot;"/>
    <numFmt numFmtId="248" formatCode="#,##0&quot;원 × (&quot;"/>
    <numFmt numFmtId="249" formatCode="#,##0.000"/>
    <numFmt numFmtId="250" formatCode="#,##0_);\(#,##0\)"/>
    <numFmt numFmtId="251" formatCode="#,##0&quot;㎡&quot;"/>
    <numFmt numFmtId="252" formatCode="0.0%"/>
    <numFmt numFmtId="253" formatCode="General&quot;배&quot;"/>
    <numFmt numFmtId="254" formatCode="#,##0&quot;억&quot;"/>
    <numFmt numFmtId="255" formatCode="#,##0.0&quot;억&quot;"/>
    <numFmt numFmtId="256" formatCode="#,##0&quot;천원&quot;"/>
    <numFmt numFmtId="257" formatCode="General&quot;점&quot;"/>
    <numFmt numFmtId="258" formatCode="General&quot;공&quot;"/>
    <numFmt numFmtId="259" formatCode="General&quot;회&quot;"/>
    <numFmt numFmtId="260" formatCode="#,##0.00&quot;인&quot;"/>
    <numFmt numFmtId="261" formatCode="General&quot;도엽&quot;"/>
    <numFmt numFmtId="262" formatCode="#,##0&quot;m&quot;"/>
    <numFmt numFmtId="263" formatCode="General&quot; /100㎝당&quot;"/>
    <numFmt numFmtId="264" formatCode="&quot;1:&quot;#,##0"/>
    <numFmt numFmtId="265" formatCode="General&quot; /1000m당&quot;"/>
    <numFmt numFmtId="266" formatCode="General&quot;인&quot;"/>
    <numFmt numFmtId="267" formatCode="_ * #,##0_ ;_ * \-#,##0_ ;_ * &quot;-&quot;_ ;_ @_ "/>
    <numFmt numFmtId="268" formatCode="@&quot;배까지&quot;"/>
    <numFmt numFmtId="269" formatCode="@&quot;배 초과&quot;"/>
    <numFmt numFmtId="270" formatCode="\ \ @"/>
    <numFmt numFmtId="271" formatCode="0.000_ "/>
    <numFmt numFmtId="272" formatCode="#,##0.0_ "/>
    <numFmt numFmtId="273" formatCode="0.0_ "/>
    <numFmt numFmtId="274" formatCode="General&quot;㎞기준&quot;"/>
  </numFmts>
  <fonts count="175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sz val="9"/>
      <name val="맑은 고딕"/>
      <family val="3"/>
      <charset val="129"/>
    </font>
    <font>
      <sz val="11"/>
      <name val="돋움"/>
      <family val="3"/>
      <charset val="129"/>
    </font>
    <font>
      <sz val="8"/>
      <name val="굴림체"/>
      <family val="3"/>
      <charset val="129"/>
    </font>
    <font>
      <sz val="11"/>
      <name val="굴림체"/>
      <family val="3"/>
      <charset val="129"/>
    </font>
    <font>
      <sz val="12"/>
      <name val="바탕체"/>
      <family val="1"/>
      <charset val="129"/>
    </font>
    <font>
      <sz val="10"/>
      <name val="Times New Roman"/>
      <family val="1"/>
    </font>
    <font>
      <sz val="10"/>
      <name val="Arial"/>
      <family val="2"/>
    </font>
    <font>
      <sz val="10"/>
      <name val="바탕체"/>
      <family val="1"/>
      <charset val="129"/>
    </font>
    <font>
      <b/>
      <sz val="10"/>
      <name val="Arial"/>
      <family val="2"/>
    </font>
    <font>
      <sz val="10"/>
      <name val="MS Sans Serif"/>
      <family val="2"/>
    </font>
    <font>
      <sz val="10"/>
      <name val="Helv"/>
      <family val="2"/>
    </font>
    <font>
      <sz val="10"/>
      <name val="¸íÁ¶"/>
      <family val="3"/>
      <charset val="129"/>
    </font>
    <font>
      <sz val="12"/>
      <name val="¸íÁ¶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b/>
      <sz val="8"/>
      <name val="Arial"/>
      <family val="2"/>
    </font>
    <font>
      <sz val="12"/>
      <name val="System"/>
      <family val="2"/>
      <charset val="129"/>
    </font>
    <font>
      <b/>
      <sz val="10"/>
      <name val="Helv"/>
      <family val="2"/>
    </font>
    <font>
      <sz val="10"/>
      <color indexed="9"/>
      <name val="Arial"/>
      <family val="2"/>
    </font>
    <font>
      <sz val="1"/>
      <color indexed="8"/>
      <name val="Courier"/>
      <family val="3"/>
    </font>
    <font>
      <sz val="10"/>
      <color indexed="24"/>
      <name val="Arial"/>
      <family val="2"/>
    </font>
    <font>
      <sz val="9"/>
      <name val="Arial"/>
      <family val="2"/>
    </font>
    <font>
      <b/>
      <sz val="11"/>
      <color indexed="16"/>
      <name val="Arial"/>
      <family val="2"/>
    </font>
    <font>
      <b/>
      <sz val="10"/>
      <color indexed="17"/>
      <name val="Arial"/>
      <family val="2"/>
    </font>
    <font>
      <b/>
      <sz val="9"/>
      <name val="Arial"/>
      <family val="2"/>
    </font>
    <font>
      <sz val="10"/>
      <name val="MS Serif"/>
      <family val="1"/>
    </font>
    <font>
      <b/>
      <i/>
      <sz val="14"/>
      <name val="Times New Roman"/>
      <family val="1"/>
    </font>
    <font>
      <sz val="8"/>
      <name val="Arial"/>
      <family val="2"/>
    </font>
    <font>
      <sz val="12"/>
      <name val="Arial"/>
      <family val="2"/>
    </font>
    <font>
      <sz val="10"/>
      <color indexed="16"/>
      <name val="MS Serif"/>
      <family val="1"/>
    </font>
    <font>
      <b/>
      <sz val="12"/>
      <name val="Helv"/>
      <family val="2"/>
    </font>
    <font>
      <b/>
      <sz val="12"/>
      <name val="Arial"/>
      <family val="2"/>
    </font>
    <font>
      <b/>
      <sz val="9"/>
      <color indexed="9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i/>
      <sz val="12"/>
      <color indexed="16"/>
      <name val="Times New Roman"/>
      <family val="1"/>
    </font>
    <font>
      <b/>
      <sz val="18"/>
      <name val="Arial"/>
      <family val="2"/>
    </font>
    <font>
      <u/>
      <sz val="10"/>
      <color indexed="12"/>
      <name val="MS Sans Serif"/>
      <family val="2"/>
    </font>
    <font>
      <b/>
      <sz val="11"/>
      <name val="Helv"/>
      <family val="2"/>
    </font>
    <font>
      <sz val="1"/>
      <color indexed="16"/>
      <name val="Courier"/>
      <family val="3"/>
    </font>
    <font>
      <b/>
      <i/>
      <sz val="12"/>
      <name val="Times New Roman"/>
      <family val="1"/>
    </font>
    <font>
      <b/>
      <sz val="16"/>
      <name val="Times New Roman"/>
      <family val="1"/>
    </font>
    <font>
      <sz val="8"/>
      <name val="Helv"/>
      <family val="2"/>
    </font>
    <font>
      <b/>
      <sz val="12"/>
      <color indexed="16"/>
      <name val="Arial"/>
      <family val="2"/>
    </font>
    <font>
      <sz val="9"/>
      <name val="돋움"/>
      <family val="3"/>
      <charset val="129"/>
    </font>
    <font>
      <b/>
      <i/>
      <sz val="18"/>
      <color indexed="16"/>
      <name val="Times New Roman"/>
      <family val="1"/>
    </font>
    <font>
      <b/>
      <sz val="8"/>
      <color indexed="8"/>
      <name val="Helv"/>
      <family val="2"/>
    </font>
    <font>
      <b/>
      <u/>
      <sz val="13"/>
      <name val="굴림체"/>
      <family val="3"/>
      <charset val="129"/>
    </font>
    <font>
      <sz val="12"/>
      <name val="굴림체"/>
      <family val="3"/>
      <charset val="129"/>
    </font>
    <font>
      <b/>
      <sz val="8"/>
      <color indexed="32"/>
      <name val="Arial"/>
      <family val="2"/>
    </font>
    <font>
      <sz val="8"/>
      <name val="바탕체"/>
      <family val="1"/>
      <charset val="129"/>
    </font>
    <font>
      <b/>
      <sz val="1"/>
      <color indexed="8"/>
      <name val="Courier"/>
      <family val="3"/>
    </font>
    <font>
      <sz val="12"/>
      <name val="명조"/>
      <family val="1"/>
      <charset val="129"/>
    </font>
    <font>
      <sz val="11"/>
      <name val="돋움체"/>
      <family val="3"/>
      <charset val="129"/>
    </font>
    <font>
      <b/>
      <sz val="14"/>
      <color indexed="12"/>
      <name val="바탕체"/>
      <family val="1"/>
      <charset val="129"/>
    </font>
    <font>
      <u/>
      <sz val="12"/>
      <color indexed="36"/>
      <name val="바탕체"/>
      <family val="1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b/>
      <sz val="12"/>
      <name val="돋움체"/>
      <family val="3"/>
      <charset val="129"/>
    </font>
    <font>
      <sz val="9"/>
      <name val="돋움체"/>
      <family val="3"/>
      <charset val="129"/>
    </font>
    <font>
      <b/>
      <sz val="12"/>
      <color indexed="16"/>
      <name val="굴림체"/>
      <family val="3"/>
      <charset val="129"/>
    </font>
    <font>
      <sz val="10"/>
      <name val="명조"/>
      <family val="1"/>
      <charset val="129"/>
    </font>
    <font>
      <b/>
      <sz val="12"/>
      <color indexed="12"/>
      <name val="돋움체"/>
      <family val="3"/>
      <charset val="129"/>
    </font>
    <font>
      <sz val="10"/>
      <color indexed="12"/>
      <name val="굴림체"/>
      <family val="3"/>
      <charset val="129"/>
    </font>
    <font>
      <sz val="10"/>
      <name val="돋움체"/>
      <family val="3"/>
      <charset val="129"/>
    </font>
    <font>
      <sz val="1"/>
      <color indexed="0"/>
      <name val="Courier"/>
      <family val="3"/>
    </font>
    <font>
      <b/>
      <sz val="14"/>
      <name val="맑은 고딕"/>
      <family val="3"/>
      <charset val="129"/>
    </font>
    <font>
      <sz val="8"/>
      <color indexed="8"/>
      <name val="Gulim"/>
      <family val="3"/>
    </font>
    <font>
      <sz val="9"/>
      <color indexed="8"/>
      <name val="맑은 고딕"/>
      <family val="3"/>
      <charset val="129"/>
    </font>
    <font>
      <b/>
      <sz val="10"/>
      <name val="맑은 고딕"/>
      <family val="3"/>
      <charset val="129"/>
    </font>
    <font>
      <b/>
      <sz val="8"/>
      <name val="맑은 고딕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0"/>
      <color indexed="8"/>
      <name val="맑은 고딕"/>
      <family val="3"/>
      <charset val="129"/>
    </font>
    <font>
      <b/>
      <sz val="9"/>
      <color indexed="81"/>
      <name val="맑은 고딕"/>
      <family val="3"/>
      <charset val="129"/>
    </font>
    <font>
      <vertAlign val="subscript"/>
      <sz val="9"/>
      <name val="맑은 고딕"/>
      <family val="3"/>
      <charset val="129"/>
    </font>
    <font>
      <b/>
      <sz val="14"/>
      <color indexed="10"/>
      <name val="맑은 고딕"/>
      <family val="3"/>
      <charset val="129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12"/>
      <color indexed="10"/>
      <name val="맑은 고딕"/>
      <family val="3"/>
      <charset val="129"/>
    </font>
    <font>
      <b/>
      <sz val="14"/>
      <color indexed="81"/>
      <name val="맑은 고딕"/>
      <family val="3"/>
      <charset val="129"/>
    </font>
    <font>
      <b/>
      <sz val="12"/>
      <color indexed="81"/>
      <name val="맑은 고딕"/>
      <family val="3"/>
      <charset val="129"/>
    </font>
    <font>
      <sz val="12"/>
      <color indexed="81"/>
      <name val="맑은 고딕"/>
      <family val="3"/>
      <charset val="129"/>
    </font>
    <font>
      <sz val="8"/>
      <color indexed="8"/>
      <name val="맑은 고딕"/>
      <family val="3"/>
      <charset val="129"/>
    </font>
    <font>
      <b/>
      <sz val="8"/>
      <color indexed="8"/>
      <name val="맑은 고딕"/>
      <family val="3"/>
      <charset val="129"/>
    </font>
    <font>
      <b/>
      <sz val="11"/>
      <color indexed="10"/>
      <name val="맑은 고딕"/>
      <family val="3"/>
      <charset val="129"/>
    </font>
    <font>
      <b/>
      <sz val="10"/>
      <color indexed="30"/>
      <name val="맑은 고딕"/>
      <family val="3"/>
      <charset val="129"/>
    </font>
    <font>
      <vertAlign val="superscript"/>
      <sz val="8"/>
      <color indexed="8"/>
      <name val="맑은 고딕"/>
      <family val="3"/>
      <charset val="129"/>
    </font>
    <font>
      <b/>
      <sz val="8"/>
      <color indexed="81"/>
      <name val="맑은 고딕"/>
      <family val="3"/>
      <charset val="129"/>
    </font>
    <font>
      <sz val="8"/>
      <color indexed="81"/>
      <name val="맑은 고딕"/>
      <family val="3"/>
      <charset val="129"/>
    </font>
    <font>
      <b/>
      <sz val="10"/>
      <color indexed="81"/>
      <name val="맑은 고딕"/>
      <family val="3"/>
      <charset val="129"/>
    </font>
    <font>
      <b/>
      <u/>
      <sz val="11"/>
      <color indexed="10"/>
      <name val="맑은 고딕"/>
      <family val="3"/>
      <charset val="129"/>
    </font>
    <font>
      <vertAlign val="superscript"/>
      <sz val="9"/>
      <name val="맑은 고딕"/>
      <family val="3"/>
      <charset val="129"/>
    </font>
    <font>
      <b/>
      <sz val="10"/>
      <color indexed="12"/>
      <name val="맑은 고딕"/>
      <family val="3"/>
      <charset val="129"/>
    </font>
    <font>
      <vertAlign val="subscript"/>
      <sz val="9"/>
      <color indexed="8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</font>
    <font>
      <sz val="9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b/>
      <sz val="16"/>
      <name val="맑은 고딕"/>
      <family val="3"/>
      <charset val="129"/>
      <scheme val="minor"/>
    </font>
    <font>
      <sz val="12"/>
      <color indexed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u/>
      <sz val="14"/>
      <name val="맑은 고딕"/>
      <family val="3"/>
      <charset val="129"/>
      <scheme val="minor"/>
    </font>
    <font>
      <sz val="11"/>
      <color indexed="12"/>
      <name val="맑은 고딕"/>
      <family val="3"/>
      <charset val="129"/>
      <scheme val="minor"/>
    </font>
    <font>
      <b/>
      <sz val="20"/>
      <name val="맑은 고딕"/>
      <family val="3"/>
      <charset val="129"/>
      <scheme val="minor"/>
    </font>
    <font>
      <b/>
      <u/>
      <sz val="16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6"/>
      <name val="맑은 고딕"/>
      <family val="3"/>
      <charset val="129"/>
      <scheme val="minor"/>
    </font>
    <font>
      <b/>
      <sz val="16"/>
      <color indexed="10"/>
      <name val="맑은 고딕"/>
      <family val="3"/>
      <charset val="129"/>
      <scheme val="minor"/>
    </font>
    <font>
      <b/>
      <sz val="24"/>
      <name val="맑은 고딕"/>
      <family val="3"/>
      <charset val="129"/>
      <scheme val="minor"/>
    </font>
    <font>
      <b/>
      <sz val="36"/>
      <name val="맑은 고딕"/>
      <family val="3"/>
      <charset val="129"/>
      <scheme val="minor"/>
    </font>
    <font>
      <sz val="16"/>
      <color indexed="12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26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6"/>
      <color rgb="FFFF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2"/>
      <color theme="5" tint="-0.499984740745262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u/>
      <sz val="12"/>
      <color theme="5" tint="-0.499984740745262"/>
      <name val="맑은 고딕"/>
      <family val="3"/>
      <charset val="129"/>
    </font>
    <font>
      <b/>
      <sz val="12"/>
      <color indexed="12"/>
      <name val="맑은 고딕"/>
      <family val="3"/>
      <charset val="129"/>
      <scheme val="minor"/>
    </font>
    <font>
      <b/>
      <sz val="11"/>
      <color indexed="12"/>
      <name val="맑은 고딕"/>
      <family val="3"/>
      <charset val="129"/>
      <scheme val="minor"/>
    </font>
    <font>
      <sz val="8"/>
      <color indexed="8"/>
      <name val="맑은 고딕"/>
      <family val="3"/>
      <charset val="129"/>
      <scheme val="minor"/>
    </font>
    <font>
      <b/>
      <sz val="8"/>
      <color indexed="8"/>
      <name val="맑은 고딕"/>
      <family val="3"/>
      <charset val="129"/>
      <scheme val="minor"/>
    </font>
    <font>
      <sz val="8"/>
      <color rgb="FF000000"/>
      <name val="맑은 고딕"/>
      <family val="3"/>
      <charset val="129"/>
      <scheme val="minor"/>
    </font>
    <font>
      <b/>
      <sz val="8"/>
      <color indexed="12"/>
      <name val="맑은 고딕"/>
      <family val="3"/>
      <charset val="129"/>
      <scheme val="minor"/>
    </font>
    <font>
      <b/>
      <u/>
      <sz val="11"/>
      <color theme="5" tint="-0.499984740745262"/>
      <name val="맑은 고딕"/>
      <family val="3"/>
      <charset val="129"/>
    </font>
    <font>
      <b/>
      <sz val="11"/>
      <color rgb="FFFF000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4"/>
      <color indexed="8"/>
      <name val="맑은 고딕"/>
      <family val="3"/>
      <charset val="129"/>
      <scheme val="minor"/>
    </font>
    <font>
      <b/>
      <sz val="4"/>
      <color indexed="8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b/>
      <sz val="12"/>
      <color rgb="FFFFFF00"/>
      <name val="맑은 고딕"/>
      <family val="3"/>
      <charset val="129"/>
      <scheme val="minor"/>
    </font>
    <font>
      <sz val="10"/>
      <color rgb="FF282828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b/>
      <sz val="14"/>
      <color rgb="FFFF0000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12"/>
      <color rgb="FF0000FF"/>
      <name val="맑은 고딕"/>
      <family val="3"/>
      <charset val="129"/>
      <scheme val="minor"/>
    </font>
    <font>
      <b/>
      <sz val="20"/>
      <color rgb="FFFF0000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b/>
      <u/>
      <sz val="26"/>
      <name val="맑은 고딕"/>
      <family val="3"/>
      <charset val="129"/>
      <scheme val="minor"/>
    </font>
    <font>
      <sz val="22"/>
      <name val="맑은 고딕"/>
      <family val="3"/>
      <charset val="129"/>
      <scheme val="minor"/>
    </font>
    <font>
      <b/>
      <u/>
      <sz val="18"/>
      <name val="맑은 고딕"/>
      <family val="3"/>
      <charset val="129"/>
      <scheme val="minor"/>
    </font>
    <font>
      <b/>
      <u/>
      <sz val="8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12"/>
      <color rgb="FF0000FF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inor"/>
    </font>
    <font>
      <b/>
      <sz val="9"/>
      <color indexed="12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9"/>
      <name val="맑은 고딕"/>
      <family val="3"/>
      <charset val="129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</fills>
  <borders count="19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51"/>
      </left>
      <right/>
      <top style="thick">
        <color indexed="51"/>
      </top>
      <bottom style="thick">
        <color indexed="51"/>
      </bottom>
      <diagonal/>
    </border>
    <border>
      <left style="thick">
        <color indexed="9"/>
      </left>
      <right/>
      <top style="thick">
        <color indexed="9"/>
      </top>
      <bottom style="thick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9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9"/>
      </right>
      <top style="thin">
        <color indexed="9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3"/>
      </left>
      <right style="thin">
        <color indexed="9"/>
      </right>
      <top style="thin">
        <color indexed="23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10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12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medium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/>
      <right/>
      <top style="thin">
        <color theme="8" tint="-0.499984740745262"/>
      </top>
      <bottom/>
      <diagonal/>
    </border>
    <border>
      <left/>
      <right style="thick">
        <color theme="8"/>
      </right>
      <top style="thin">
        <color theme="8" tint="-0.499984740745262"/>
      </top>
      <bottom/>
      <diagonal/>
    </border>
    <border>
      <left/>
      <right style="thick">
        <color theme="8"/>
      </right>
      <top/>
      <bottom/>
      <diagonal/>
    </border>
    <border>
      <left/>
      <right/>
      <top/>
      <bottom style="thick">
        <color theme="8"/>
      </bottom>
      <diagonal/>
    </border>
    <border>
      <left/>
      <right style="thick">
        <color theme="8"/>
      </right>
      <top/>
      <bottom style="thick">
        <color theme="8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thick">
        <color theme="8" tint="-0.499984740745262"/>
      </bottom>
      <diagonal/>
    </border>
    <border>
      <left style="hair">
        <color rgb="FF0070C0"/>
      </left>
      <right style="hair">
        <color rgb="FF0070C0"/>
      </right>
      <top/>
      <bottom style="hair">
        <color rgb="FF0070C0"/>
      </bottom>
      <diagonal/>
    </border>
    <border>
      <left style="hair">
        <color rgb="FF0070C0"/>
      </left>
      <right style="hair">
        <color rgb="FF0070C0"/>
      </right>
      <top style="thin">
        <color rgb="FF002060"/>
      </top>
      <bottom style="thin">
        <color rgb="FF002060"/>
      </bottom>
      <diagonal/>
    </border>
    <border>
      <left style="hair">
        <color rgb="FF0070C0"/>
      </left>
      <right style="thick">
        <color theme="8" tint="-0.499984740745262"/>
      </right>
      <top style="thin">
        <color rgb="FF002060"/>
      </top>
      <bottom style="thin">
        <color rgb="FF002060"/>
      </bottom>
      <diagonal/>
    </border>
    <border>
      <left/>
      <right style="hair">
        <color rgb="FF0070C0"/>
      </right>
      <top style="thin">
        <color rgb="FF002060"/>
      </top>
      <bottom style="thin">
        <color rgb="FF002060"/>
      </bottom>
      <diagonal/>
    </border>
    <border>
      <left/>
      <right style="hair">
        <color rgb="FF0070C0"/>
      </right>
      <top/>
      <bottom style="hair">
        <color rgb="FF0070C0"/>
      </bottom>
      <diagonal/>
    </border>
    <border>
      <left/>
      <right style="hair">
        <color rgb="FF0070C0"/>
      </right>
      <top style="hair">
        <color rgb="FF0070C0"/>
      </top>
      <bottom style="hair">
        <color rgb="FF0070C0"/>
      </bottom>
      <diagonal/>
    </border>
    <border>
      <left/>
      <right style="hair">
        <color rgb="FF0070C0"/>
      </right>
      <top style="hair">
        <color rgb="FF0070C0"/>
      </top>
      <bottom style="thick">
        <color theme="8" tint="-0.499984740745262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hair">
        <color rgb="FF0070C0"/>
      </bottom>
      <diagonal/>
    </border>
    <border>
      <left style="thin">
        <color rgb="FF002060"/>
      </left>
      <right style="thin">
        <color rgb="FF002060"/>
      </right>
      <top style="hair">
        <color rgb="FF0070C0"/>
      </top>
      <bottom style="hair">
        <color rgb="FF0070C0"/>
      </bottom>
      <diagonal/>
    </border>
    <border>
      <left style="thin">
        <color rgb="FF002060"/>
      </left>
      <right style="thin">
        <color rgb="FF002060"/>
      </right>
      <top style="hair">
        <color rgb="FF0070C0"/>
      </top>
      <bottom style="thick">
        <color theme="8" tint="-0.499984740745262"/>
      </bottom>
      <diagonal/>
    </border>
    <border>
      <left style="hair">
        <color rgb="FF0070C0"/>
      </left>
      <right style="thick">
        <color theme="8" tint="-0.499984740745262"/>
      </right>
      <top/>
      <bottom style="hair">
        <color rgb="FF0070C0"/>
      </bottom>
      <diagonal/>
    </border>
    <border>
      <left style="hair">
        <color rgb="FF0070C0"/>
      </left>
      <right style="thick">
        <color theme="8" tint="-0.499984740745262"/>
      </right>
      <top style="hair">
        <color rgb="FF0070C0"/>
      </top>
      <bottom style="hair">
        <color rgb="FF0070C0"/>
      </bottom>
      <diagonal/>
    </border>
    <border>
      <left style="hair">
        <color rgb="FF0070C0"/>
      </left>
      <right style="thick">
        <color theme="8" tint="-0.499984740745262"/>
      </right>
      <top style="hair">
        <color rgb="FF0070C0"/>
      </top>
      <bottom style="thick">
        <color theme="8" tint="-0.499984740745262"/>
      </bottom>
      <diagonal/>
    </border>
    <border>
      <left/>
      <right/>
      <top style="thin">
        <color rgb="FF002060"/>
      </top>
      <bottom/>
      <diagonal/>
    </border>
    <border>
      <left/>
      <right style="thick">
        <color theme="8" tint="-0.499984740745262"/>
      </right>
      <top style="thin">
        <color rgb="FF002060"/>
      </top>
      <bottom/>
      <diagonal/>
    </border>
    <border>
      <left/>
      <right style="thick">
        <color theme="8" tint="-0.499984740745262"/>
      </right>
      <top/>
      <bottom/>
      <diagonal/>
    </border>
    <border>
      <left/>
      <right/>
      <top/>
      <bottom style="thick">
        <color theme="8" tint="-0.499984740745262"/>
      </bottom>
      <diagonal/>
    </border>
    <border>
      <left/>
      <right style="thick">
        <color theme="8" tint="-0.499984740745262"/>
      </right>
      <top/>
      <bottom style="thick">
        <color theme="8" tint="-0.499984740745262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thick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/>
      <diagonal/>
    </border>
    <border>
      <left style="thin">
        <color theme="8" tint="-0.499984740745262"/>
      </left>
      <right style="thin">
        <color theme="8" tint="-0.499984740745262"/>
      </right>
      <top/>
      <bottom/>
      <diagonal/>
    </border>
    <border>
      <left style="thin">
        <color theme="8" tint="-0.499984740745262"/>
      </left>
      <right style="thin">
        <color theme="8" tint="-0.499984740745262"/>
      </right>
      <top/>
      <bottom style="thick">
        <color theme="8"/>
      </bottom>
      <diagonal/>
    </border>
    <border>
      <left/>
      <right style="thick">
        <color theme="8" tint="-0.499984740745262"/>
      </right>
      <top style="thin">
        <color rgb="FF002060"/>
      </top>
      <bottom style="thin">
        <color rgb="FF002060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medium">
        <color theme="1" tint="0.34998626667073579"/>
      </right>
      <top style="thin">
        <color theme="1" tint="0.34998626667073579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319">
    <xf numFmtId="0" fontId="0" fillId="0" borderId="0">
      <alignment vertical="center"/>
    </xf>
    <xf numFmtId="24" fontId="12" fillId="0" borderId="0" applyFont="0" applyFill="0" applyBorder="0" applyAlignment="0" applyProtection="0"/>
    <xf numFmtId="193" fontId="7" fillId="0" borderId="0" applyNumberFormat="0" applyFont="0" applyFill="0" applyBorder="0" applyAlignment="0" applyProtection="0"/>
    <xf numFmtId="194" fontId="7" fillId="0" borderId="0" applyNumberFormat="0" applyFont="0" applyFill="0" applyBorder="0" applyAlignment="0" applyProtection="0"/>
    <xf numFmtId="193" fontId="7" fillId="0" borderId="0" applyNumberFormat="0" applyFont="0" applyFill="0" applyBorder="0" applyAlignment="0" applyProtection="0"/>
    <xf numFmtId="194" fontId="7" fillId="0" borderId="0" applyNumberFormat="0" applyFont="0" applyFill="0" applyBorder="0" applyAlignment="0" applyProtection="0"/>
    <xf numFmtId="0" fontId="7" fillId="0" borderId="0"/>
    <xf numFmtId="0" fontId="7" fillId="0" borderId="0"/>
    <xf numFmtId="0" fontId="9" fillId="0" borderId="0" applyFont="0" applyFill="0" applyBorder="0" applyAlignment="0" applyProtection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2" fontId="4" fillId="0" borderId="0">
      <protection locked="0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2" fontId="4" fillId="0" borderId="0">
      <protection locked="0"/>
    </xf>
    <xf numFmtId="192" fontId="4" fillId="0" borderId="0">
      <protection locked="0"/>
    </xf>
    <xf numFmtId="0" fontId="14" fillId="0" borderId="1"/>
    <xf numFmtId="0" fontId="7" fillId="0" borderId="2">
      <alignment horizontal="center"/>
    </xf>
    <xf numFmtId="192" fontId="4" fillId="0" borderId="0">
      <protection locked="0"/>
    </xf>
    <xf numFmtId="9" fontId="7" fillId="0" borderId="0">
      <protection locked="0"/>
    </xf>
    <xf numFmtId="190" fontId="15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6" fillId="0" borderId="0" applyFont="0" applyFill="0" applyBorder="0" applyAlignment="0" applyProtection="0"/>
    <xf numFmtId="195" fontId="15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6" fillId="0" borderId="0" applyFont="0" applyFill="0" applyBorder="0" applyAlignment="0" applyProtection="0"/>
    <xf numFmtId="192" fontId="4" fillId="0" borderId="0">
      <protection locked="0"/>
    </xf>
    <xf numFmtId="0" fontId="12" fillId="0" borderId="0"/>
    <xf numFmtId="38" fontId="15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6" fillId="0" borderId="0" applyFont="0" applyFill="0" applyBorder="0" applyAlignment="0" applyProtection="0"/>
    <xf numFmtId="40" fontId="15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6" fillId="0" borderId="0" applyFont="0" applyFill="0" applyBorder="0" applyAlignment="0" applyProtection="0"/>
    <xf numFmtId="192" fontId="4" fillId="0" borderId="0">
      <protection locked="0"/>
    </xf>
    <xf numFmtId="192" fontId="4" fillId="0" borderId="0">
      <protection locked="0"/>
    </xf>
    <xf numFmtId="0" fontId="9" fillId="2" borderId="0" applyBorder="0" applyAlignment="0" applyProtection="0"/>
    <xf numFmtId="49" fontId="18" fillId="3" borderId="0" applyBorder="0">
      <alignment horizontal="right"/>
    </xf>
    <xf numFmtId="0" fontId="17" fillId="0" borderId="0"/>
    <xf numFmtId="0" fontId="16" fillId="0" borderId="0"/>
    <xf numFmtId="0" fontId="17" fillId="0" borderId="0"/>
    <xf numFmtId="0" fontId="19" fillId="0" borderId="0"/>
    <xf numFmtId="0" fontId="15" fillId="0" borderId="0"/>
    <xf numFmtId="37" fontId="16" fillId="0" borderId="0"/>
    <xf numFmtId="37" fontId="17" fillId="0" borderId="0"/>
    <xf numFmtId="0" fontId="4" fillId="0" borderId="0" applyFill="0" applyBorder="0" applyAlignment="0"/>
    <xf numFmtId="0" fontId="20" fillId="0" borderId="0"/>
    <xf numFmtId="192" fontId="4" fillId="0" borderId="3">
      <protection locked="0"/>
    </xf>
    <xf numFmtId="0" fontId="18" fillId="4" borderId="4">
      <alignment horizontal="center"/>
    </xf>
    <xf numFmtId="0" fontId="21" fillId="5" borderId="5" applyNumberFormat="0" applyBorder="0" applyAlignment="0">
      <alignment horizontal="left" wrapText="1"/>
    </xf>
    <xf numFmtId="4" fontId="22" fillId="0" borderId="0">
      <protection locked="0"/>
    </xf>
    <xf numFmtId="38" fontId="12" fillId="0" borderId="0" applyFont="0" applyFill="0" applyBorder="0" applyAlignment="0" applyProtection="0"/>
    <xf numFmtId="196" fontId="4" fillId="0" borderId="0"/>
    <xf numFmtId="0" fontId="9" fillId="0" borderId="0" applyFont="0" applyFill="0" applyBorder="0" applyAlignment="0" applyProtection="0"/>
    <xf numFmtId="3" fontId="23" fillId="0" borderId="0" applyFont="0" applyFill="0" applyBorder="0" applyAlignment="0" applyProtection="0"/>
    <xf numFmtId="0" fontId="24" fillId="3" borderId="0"/>
    <xf numFmtId="0" fontId="25" fillId="3" borderId="0" applyNumberFormat="0" applyFill="0" applyBorder="0"/>
    <xf numFmtId="0" fontId="26" fillId="3" borderId="0" applyNumberFormat="0" applyFill="0" applyBorder="0"/>
    <xf numFmtId="0" fontId="27" fillId="3" borderId="0" applyNumberFormat="0" applyFill="0" applyBorder="0"/>
    <xf numFmtId="0" fontId="28" fillId="0" borderId="0" applyNumberFormat="0" applyAlignment="0">
      <alignment horizontal="left"/>
    </xf>
    <xf numFmtId="0" fontId="29" fillId="4" borderId="6" applyFont="0" applyBorder="0">
      <alignment horizontal="centerContinuous" vertical="center"/>
    </xf>
    <xf numFmtId="197" fontId="30" fillId="3" borderId="7" applyBorder="0"/>
    <xf numFmtId="0" fontId="7" fillId="0" borderId="0" applyFont="0" applyFill="0" applyBorder="0" applyAlignment="0" applyProtection="0"/>
    <xf numFmtId="198" fontId="4" fillId="0" borderId="0">
      <protection locked="0"/>
    </xf>
    <xf numFmtId="199" fontId="12" fillId="0" borderId="0" applyFont="0" applyFill="0" applyBorder="0" applyAlignment="0" applyProtection="0"/>
    <xf numFmtId="200" fontId="4" fillId="0" borderId="0" applyFont="0" applyFill="0" applyBorder="0" applyAlignment="0" applyProtection="0"/>
    <xf numFmtId="201" fontId="23" fillId="0" borderId="0" applyFont="0" applyFill="0" applyBorder="0" applyAlignment="0" applyProtection="0"/>
    <xf numFmtId="202" fontId="4" fillId="0" borderId="0"/>
    <xf numFmtId="0" fontId="9" fillId="0" borderId="0"/>
    <xf numFmtId="0" fontId="31" fillId="0" borderId="0" applyProtection="0"/>
    <xf numFmtId="203" fontId="4" fillId="0" borderId="0" applyFont="0" applyFill="0" applyBorder="0" applyAlignment="0" applyProtection="0"/>
    <xf numFmtId="204" fontId="4" fillId="0" borderId="0" applyFont="0" applyFill="0" applyBorder="0" applyAlignment="0" applyProtection="0"/>
    <xf numFmtId="0" fontId="9" fillId="6" borderId="8" applyBorder="0"/>
    <xf numFmtId="205" fontId="9" fillId="6" borderId="9" applyBorder="0">
      <alignment horizontal="center"/>
    </xf>
    <xf numFmtId="206" fontId="4" fillId="0" borderId="0"/>
    <xf numFmtId="207" fontId="24" fillId="0" borderId="0" applyFill="0" applyBorder="0">
      <alignment horizontal="centerContinuous"/>
    </xf>
    <xf numFmtId="192" fontId="4" fillId="0" borderId="0">
      <protection locked="0"/>
    </xf>
    <xf numFmtId="192" fontId="4" fillId="0" borderId="0">
      <protection locked="0"/>
    </xf>
    <xf numFmtId="0" fontId="32" fillId="0" borderId="0" applyNumberFormat="0" applyAlignment="0">
      <alignment horizontal="left"/>
    </xf>
    <xf numFmtId="208" fontId="4" fillId="0" borderId="0" applyFont="0" applyFill="0" applyBorder="0" applyAlignment="0" applyProtection="0"/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30" fillId="3" borderId="0"/>
    <xf numFmtId="2" fontId="31" fillId="0" borderId="0" applyProtection="0"/>
    <xf numFmtId="209" fontId="7" fillId="0" borderId="0"/>
    <xf numFmtId="38" fontId="30" fillId="3" borderId="0" applyNumberFormat="0" applyBorder="0" applyAlignment="0" applyProtection="0"/>
    <xf numFmtId="0" fontId="33" fillId="0" borderId="0">
      <alignment horizontal="left"/>
    </xf>
    <xf numFmtId="0" fontId="34" fillId="0" borderId="10" applyNumberFormat="0" applyAlignment="0" applyProtection="0">
      <alignment horizontal="left" vertical="center"/>
    </xf>
    <xf numFmtId="0" fontId="34" fillId="0" borderId="11">
      <alignment horizontal="left" vertical="center"/>
    </xf>
    <xf numFmtId="0" fontId="35" fillId="7" borderId="12" applyBorder="0" applyAlignment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3" borderId="0" applyNumberFormat="0" applyFill="0" applyBorder="0"/>
    <xf numFmtId="0" fontId="39" fillId="0" borderId="0" applyProtection="0"/>
    <xf numFmtId="0" fontId="34" fillId="0" borderId="0" applyProtection="0"/>
    <xf numFmtId="12" fontId="9" fillId="2" borderId="13" applyNumberFormat="0" applyBorder="0" applyAlignment="0" applyProtection="0">
      <alignment horizontal="center"/>
    </xf>
    <xf numFmtId="0" fontId="40" fillId="0" borderId="0" applyNumberFormat="0" applyFill="0" applyBorder="0" applyAlignment="0" applyProtection="0"/>
    <xf numFmtId="0" fontId="9" fillId="8" borderId="14" applyBorder="0">
      <protection locked="0"/>
    </xf>
    <xf numFmtId="10" fontId="30" fillId="6" borderId="4" applyNumberFormat="0" applyBorder="0" applyAlignment="0" applyProtection="0"/>
    <xf numFmtId="205" fontId="9" fillId="8" borderId="15" applyBorder="0">
      <alignment horizontal="center"/>
      <protection locked="0"/>
    </xf>
    <xf numFmtId="12" fontId="9" fillId="8" borderId="15" applyBorder="0">
      <alignment horizontal="center"/>
      <protection locked="0"/>
    </xf>
    <xf numFmtId="0" fontId="11" fillId="8" borderId="16">
      <alignment horizontal="center" vertical="center"/>
      <protection locked="0"/>
    </xf>
    <xf numFmtId="197" fontId="30" fillId="6" borderId="0" applyBorder="0">
      <protection locked="0"/>
    </xf>
    <xf numFmtId="15" fontId="30" fillId="6" borderId="0" applyBorder="0">
      <protection locked="0"/>
    </xf>
    <xf numFmtId="49" fontId="30" fillId="6" borderId="0" applyBorder="0">
      <protection locked="0"/>
    </xf>
    <xf numFmtId="49" fontId="30" fillId="6" borderId="17" applyNumberFormat="0" applyBorder="0"/>
    <xf numFmtId="0" fontId="24" fillId="6" borderId="15" applyBorder="0">
      <alignment horizontal="left"/>
    </xf>
    <xf numFmtId="0" fontId="24" fillId="8" borderId="0">
      <alignment horizontal="left"/>
    </xf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41" fillId="0" borderId="18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10" fontId="4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11" fontId="11" fillId="6" borderId="16">
      <alignment horizontal="center"/>
    </xf>
    <xf numFmtId="0" fontId="9" fillId="3" borderId="15" applyBorder="0">
      <alignment horizontal="center"/>
      <protection locked="0"/>
    </xf>
    <xf numFmtId="212" fontId="4" fillId="0" borderId="0">
      <protection locked="0"/>
    </xf>
    <xf numFmtId="10" fontId="9" fillId="0" borderId="0" applyFont="0" applyFill="0" applyBorder="0" applyAlignment="0" applyProtection="0"/>
    <xf numFmtId="213" fontId="42" fillId="0" borderId="0">
      <protection locked="0"/>
    </xf>
    <xf numFmtId="0" fontId="43" fillId="3" borderId="0"/>
    <xf numFmtId="0" fontId="9" fillId="0" borderId="0"/>
    <xf numFmtId="0" fontId="8" fillId="0" borderId="0"/>
    <xf numFmtId="0" fontId="44" fillId="3" borderId="0"/>
    <xf numFmtId="0" fontId="8" fillId="0" borderId="0"/>
    <xf numFmtId="211" fontId="9" fillId="0" borderId="0"/>
    <xf numFmtId="30" fontId="45" fillId="0" borderId="0" applyNumberFormat="0" applyFill="0" applyBorder="0" applyAlignment="0" applyProtection="0">
      <alignment horizontal="left"/>
    </xf>
    <xf numFmtId="49" fontId="46" fillId="3" borderId="0" applyBorder="0">
      <alignment horizontal="centerContinuous"/>
    </xf>
    <xf numFmtId="214" fontId="47" fillId="0" borderId="19" applyFont="0" applyFill="0" applyBorder="0" applyAlignment="0" applyProtection="0">
      <alignment horizontal="center" vertical="center"/>
    </xf>
    <xf numFmtId="0" fontId="9" fillId="0" borderId="0"/>
    <xf numFmtId="0" fontId="41" fillId="0" borderId="0"/>
    <xf numFmtId="0" fontId="48" fillId="3" borderId="0" applyProtection="0">
      <alignment horizontal="centerContinuous" vertical="center"/>
      <protection hidden="1"/>
    </xf>
    <xf numFmtId="40" fontId="49" fillId="0" borderId="0" applyBorder="0">
      <alignment horizontal="right"/>
    </xf>
    <xf numFmtId="0" fontId="9" fillId="3" borderId="15" applyBorder="0">
      <alignment horizontal="center"/>
    </xf>
    <xf numFmtId="0" fontId="9" fillId="3" borderId="15" applyBorder="0">
      <alignment horizontal="center"/>
    </xf>
    <xf numFmtId="0" fontId="50" fillId="0" borderId="0" applyFill="0" applyBorder="0" applyProtection="0">
      <alignment horizontal="centerContinuous" vertical="center"/>
    </xf>
    <xf numFmtId="0" fontId="51" fillId="2" borderId="0" applyFill="0" applyBorder="0" applyProtection="0">
      <alignment horizontal="center" vertical="center"/>
    </xf>
    <xf numFmtId="215" fontId="24" fillId="0" borderId="0" applyFill="0" applyBorder="0">
      <alignment horizontal="centerContinuous"/>
    </xf>
    <xf numFmtId="0" fontId="31" fillId="0" borderId="20" applyProtection="0"/>
    <xf numFmtId="197" fontId="18" fillId="3" borderId="0"/>
    <xf numFmtId="49" fontId="52" fillId="3" borderId="0" applyBorder="0">
      <alignment horizontal="right"/>
    </xf>
    <xf numFmtId="0" fontId="53" fillId="0" borderId="2">
      <alignment horizontal="left"/>
    </xf>
    <xf numFmtId="216" fontId="4" fillId="0" borderId="0" applyFont="0" applyFill="0" applyBorder="0" applyAlignment="0" applyProtection="0"/>
    <xf numFmtId="0" fontId="9" fillId="0" borderId="0" applyFont="0" applyFill="0" applyBorder="0" applyAlignment="0" applyProtection="0"/>
    <xf numFmtId="217" fontId="7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5" fillId="0" borderId="0"/>
    <xf numFmtId="0" fontId="56" fillId="0" borderId="21" applyBorder="0">
      <alignment horizontal="distributed"/>
      <protection locked="0"/>
    </xf>
    <xf numFmtId="0" fontId="22" fillId="0" borderId="0">
      <protection locked="0"/>
    </xf>
    <xf numFmtId="3" fontId="12" fillId="0" borderId="22">
      <alignment horizontal="center"/>
    </xf>
    <xf numFmtId="218" fontId="4" fillId="0" borderId="0" applyFill="0" applyBorder="0">
      <alignment horizontal="center" vertical="center"/>
    </xf>
    <xf numFmtId="189" fontId="4" fillId="0" borderId="23" applyFill="0" applyBorder="0">
      <alignment horizontal="center" vertical="center"/>
      <protection locked="0"/>
    </xf>
    <xf numFmtId="219" fontId="4" fillId="0" borderId="24" applyFill="0" applyBorder="0">
      <alignment horizontal="center"/>
      <protection locked="0"/>
    </xf>
    <xf numFmtId="220" fontId="4" fillId="0" borderId="24" applyFill="0" applyBorder="0">
      <alignment horizontal="center"/>
      <protection locked="0"/>
    </xf>
    <xf numFmtId="192" fontId="4" fillId="0" borderId="25">
      <alignment horizontal="center"/>
      <protection locked="0"/>
    </xf>
    <xf numFmtId="221" fontId="4" fillId="0" borderId="25">
      <alignment horizontal="center"/>
      <protection locked="0"/>
    </xf>
    <xf numFmtId="192" fontId="4" fillId="0" borderId="25">
      <alignment horizontal="center"/>
      <protection locked="0"/>
    </xf>
    <xf numFmtId="222" fontId="4" fillId="0" borderId="25">
      <alignment horizontal="center"/>
      <protection locked="0"/>
    </xf>
    <xf numFmtId="186" fontId="4" fillId="0" borderId="17" applyFill="0" applyBorder="0">
      <alignment horizontal="center" vertical="center"/>
      <protection locked="0"/>
    </xf>
    <xf numFmtId="0" fontId="22" fillId="0" borderId="0">
      <protection locked="0"/>
    </xf>
    <xf numFmtId="0" fontId="57" fillId="0" borderId="0" applyProtection="0"/>
    <xf numFmtId="0" fontId="58" fillId="0" borderId="0" applyNumberFormat="0" applyFill="0" applyBorder="0" applyAlignment="0" applyProtection="0">
      <alignment vertical="top"/>
      <protection locked="0"/>
    </xf>
    <xf numFmtId="40" fontId="59" fillId="0" borderId="0" applyFont="0" applyFill="0" applyBorder="0" applyAlignment="0" applyProtection="0"/>
    <xf numFmtId="38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192" fontId="4" fillId="0" borderId="0">
      <protection locked="0"/>
    </xf>
    <xf numFmtId="9" fontId="100" fillId="0" borderId="0" applyFont="0" applyFill="0" applyBorder="0" applyAlignment="0" applyProtection="0">
      <alignment vertical="center"/>
    </xf>
    <xf numFmtId="9" fontId="6" fillId="2" borderId="0" applyFill="0" applyBorder="0" applyProtection="0">
      <alignment horizontal="right"/>
    </xf>
    <xf numFmtId="10" fontId="6" fillId="0" borderId="0" applyFill="0" applyBorder="0" applyProtection="0">
      <alignment horizontal="right"/>
    </xf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0" fillId="0" borderId="0"/>
    <xf numFmtId="49" fontId="56" fillId="0" borderId="26" applyFill="0" applyBorder="0">
      <alignment horizontal="center" vertical="center"/>
      <protection locked="0"/>
    </xf>
    <xf numFmtId="0" fontId="61" fillId="0" borderId="0" applyProtection="0">
      <alignment vertical="center"/>
      <protection locked="0"/>
    </xf>
    <xf numFmtId="0" fontId="62" fillId="0" borderId="4" applyNumberFormat="0">
      <alignment horizontal="center" vertical="center"/>
    </xf>
    <xf numFmtId="223" fontId="63" fillId="0" borderId="0">
      <alignment vertical="center"/>
    </xf>
    <xf numFmtId="41" fontId="100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267" fontId="7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9" fillId="0" borderId="0"/>
    <xf numFmtId="0" fontId="64" fillId="0" borderId="1"/>
    <xf numFmtId="0" fontId="65" fillId="0" borderId="26" applyBorder="0">
      <alignment horizontal="distributed" vertical="center"/>
      <protection locked="0"/>
    </xf>
    <xf numFmtId="224" fontId="10" fillId="0" borderId="4" applyBorder="0">
      <alignment vertical="center"/>
    </xf>
    <xf numFmtId="225" fontId="47" fillId="0" borderId="0" applyFill="0" applyBorder="0">
      <alignment horizontal="centerContinuous"/>
    </xf>
    <xf numFmtId="226" fontId="47" fillId="0" borderId="0" applyFill="0" applyBorder="0">
      <alignment horizontal="centerContinuous"/>
    </xf>
    <xf numFmtId="227" fontId="4" fillId="0" borderId="0" applyFont="0" applyFill="0" applyBorder="0" applyAlignment="0" applyProtection="0"/>
    <xf numFmtId="0" fontId="66" fillId="0" borderId="0">
      <alignment vertical="center"/>
    </xf>
    <xf numFmtId="2" fontId="47" fillId="0" borderId="0" applyFill="0" applyBorder="0" applyProtection="0">
      <alignment horizontal="centerContinuous"/>
    </xf>
    <xf numFmtId="4" fontId="22" fillId="0" borderId="0">
      <protection locked="0"/>
    </xf>
    <xf numFmtId="228" fontId="7" fillId="0" borderId="0">
      <protection locked="0"/>
    </xf>
    <xf numFmtId="229" fontId="24" fillId="0" borderId="0" applyFill="0" applyBorder="0">
      <alignment horizontal="centerContinuous"/>
    </xf>
    <xf numFmtId="230" fontId="47" fillId="0" borderId="0" applyFill="0" applyBorder="0">
      <alignment horizontal="centerContinuous"/>
    </xf>
    <xf numFmtId="231" fontId="47" fillId="0" borderId="0" applyFill="0" applyBorder="0">
      <alignment horizontal="centerContinuous"/>
    </xf>
    <xf numFmtId="0" fontId="7" fillId="0" borderId="0"/>
    <xf numFmtId="192" fontId="4" fillId="0" borderId="0">
      <protection locked="0"/>
    </xf>
    <xf numFmtId="213" fontId="68" fillId="0" borderId="0">
      <protection locked="0"/>
    </xf>
    <xf numFmtId="192" fontId="4" fillId="0" borderId="0">
      <protection locked="0"/>
    </xf>
    <xf numFmtId="192" fontId="4" fillId="0" borderId="0">
      <protection locked="0"/>
    </xf>
    <xf numFmtId="232" fontId="47" fillId="0" borderId="0" applyFont="0" applyFill="0" applyBorder="0" applyAlignment="0" applyProtection="0"/>
    <xf numFmtId="233" fontId="9" fillId="0" borderId="4"/>
    <xf numFmtId="222" fontId="6" fillId="2" borderId="0" applyFill="0" applyBorder="0" applyProtection="0">
      <alignment horizontal="right"/>
    </xf>
    <xf numFmtId="234" fontId="47" fillId="0" borderId="0" applyFont="0" applyFill="0" applyBorder="0" applyAlignment="0" applyProtection="0"/>
    <xf numFmtId="192" fontId="4" fillId="0" borderId="0">
      <protection locked="0"/>
    </xf>
    <xf numFmtId="213" fontId="68" fillId="0" borderId="0">
      <protection locked="0"/>
    </xf>
    <xf numFmtId="192" fontId="4" fillId="0" borderId="0">
      <protection locked="0"/>
    </xf>
    <xf numFmtId="192" fontId="4" fillId="0" borderId="0">
      <protection locked="0"/>
    </xf>
    <xf numFmtId="42" fontId="4" fillId="0" borderId="0" applyFont="0" applyFill="0" applyBorder="0" applyAlignment="0" applyProtection="0"/>
    <xf numFmtId="0" fontId="7" fillId="0" borderId="0" applyFont="0" applyFill="0" applyBorder="0" applyAlignment="0" applyProtection="0"/>
    <xf numFmtId="235" fontId="7" fillId="0" borderId="0">
      <protection locked="0"/>
    </xf>
    <xf numFmtId="192" fontId="4" fillId="0" borderId="0">
      <protection locked="0"/>
    </xf>
    <xf numFmtId="213" fontId="68" fillId="0" borderId="0">
      <protection locked="0"/>
    </xf>
    <xf numFmtId="192" fontId="4" fillId="0" borderId="0">
      <protection locked="0"/>
    </xf>
    <xf numFmtId="0" fontId="9" fillId="0" borderId="0"/>
    <xf numFmtId="0" fontId="4" fillId="0" borderId="0"/>
    <xf numFmtId="0" fontId="7" fillId="0" borderId="0"/>
    <xf numFmtId="0" fontId="4" fillId="0" borderId="0"/>
    <xf numFmtId="0" fontId="4" fillId="0" borderId="0">
      <alignment vertical="center"/>
    </xf>
    <xf numFmtId="0" fontId="7" fillId="0" borderId="0"/>
    <xf numFmtId="0" fontId="7" fillId="0" borderId="0"/>
    <xf numFmtId="0" fontId="9" fillId="0" borderId="0"/>
    <xf numFmtId="0" fontId="4" fillId="0" borderId="0"/>
    <xf numFmtId="0" fontId="7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/>
    <xf numFmtId="49" fontId="67" fillId="0" borderId="0">
      <alignment horizontal="left"/>
    </xf>
    <xf numFmtId="0" fontId="102" fillId="0" borderId="0" applyNumberFormat="0" applyFill="0" applyBorder="0" applyAlignment="0" applyProtection="0">
      <alignment vertical="top"/>
      <protection locked="0"/>
    </xf>
    <xf numFmtId="0" fontId="22" fillId="0" borderId="3">
      <protection locked="0"/>
    </xf>
    <xf numFmtId="0" fontId="7" fillId="0" borderId="0">
      <protection locked="0"/>
    </xf>
    <xf numFmtId="236" fontId="7" fillId="0" borderId="0">
      <protection locked="0"/>
    </xf>
  </cellStyleXfs>
  <cellXfs count="1781">
    <xf numFmtId="0" fontId="0" fillId="0" borderId="0" xfId="0">
      <alignment vertical="center"/>
    </xf>
    <xf numFmtId="0" fontId="103" fillId="0" borderId="0" xfId="312" applyFont="1">
      <alignment vertical="center"/>
    </xf>
    <xf numFmtId="0" fontId="103" fillId="0" borderId="0" xfId="312" applyFont="1" applyAlignment="1">
      <alignment horizontal="center" vertical="center"/>
    </xf>
    <xf numFmtId="0" fontId="104" fillId="0" borderId="0" xfId="312" applyFont="1" applyBorder="1" applyAlignment="1">
      <alignment horizontal="center" vertical="center"/>
    </xf>
    <xf numFmtId="0" fontId="103" fillId="0" borderId="0" xfId="311" applyFont="1" applyBorder="1">
      <alignment vertical="center"/>
    </xf>
    <xf numFmtId="0" fontId="105" fillId="0" borderId="0" xfId="302" applyFont="1" applyFill="1" applyBorder="1" applyAlignment="1">
      <alignment vertical="center"/>
    </xf>
    <xf numFmtId="0" fontId="106" fillId="0" borderId="0" xfId="302" applyFont="1" applyFill="1" applyBorder="1" applyAlignment="1">
      <alignment vertical="center"/>
    </xf>
    <xf numFmtId="0" fontId="107" fillId="0" borderId="0" xfId="302" applyFont="1" applyFill="1" applyBorder="1" applyAlignment="1">
      <alignment horizontal="center" vertical="center"/>
    </xf>
    <xf numFmtId="240" fontId="106" fillId="0" borderId="0" xfId="302" applyNumberFormat="1" applyFont="1" applyFill="1" applyBorder="1" applyAlignment="1">
      <alignment horizontal="right" vertical="center"/>
    </xf>
    <xf numFmtId="0" fontId="108" fillId="0" borderId="0" xfId="302" applyFont="1" applyFill="1" applyBorder="1" applyAlignment="1">
      <alignment vertical="center"/>
    </xf>
    <xf numFmtId="0" fontId="109" fillId="0" borderId="0" xfId="302" applyFont="1" applyFill="1" applyBorder="1" applyAlignment="1">
      <alignment vertical="center"/>
    </xf>
    <xf numFmtId="0" fontId="110" fillId="0" borderId="0" xfId="302" applyFont="1" applyFill="1" applyBorder="1" applyAlignment="1">
      <alignment horizontal="center" vertical="center"/>
    </xf>
    <xf numFmtId="0" fontId="108" fillId="0" borderId="0" xfId="302" applyFont="1" applyFill="1" applyBorder="1"/>
    <xf numFmtId="0" fontId="108" fillId="0" borderId="27" xfId="302" applyFont="1" applyFill="1" applyBorder="1" applyAlignment="1">
      <alignment vertical="center"/>
    </xf>
    <xf numFmtId="0" fontId="108" fillId="0" borderId="0" xfId="302" applyFont="1" applyFill="1" applyBorder="1" applyAlignment="1">
      <alignment horizontal="center" vertical="center"/>
    </xf>
    <xf numFmtId="0" fontId="108" fillId="0" borderId="28" xfId="302" applyFont="1" applyFill="1" applyBorder="1" applyAlignment="1">
      <alignment horizontal="center" vertical="center"/>
    </xf>
    <xf numFmtId="0" fontId="111" fillId="0" borderId="27" xfId="302" applyFont="1" applyFill="1" applyBorder="1" applyAlignment="1">
      <alignment vertical="center"/>
    </xf>
    <xf numFmtId="0" fontId="111" fillId="0" borderId="0" xfId="302" applyFont="1" applyFill="1" applyBorder="1" applyAlignment="1">
      <alignment vertical="center"/>
    </xf>
    <xf numFmtId="0" fontId="111" fillId="0" borderId="28" xfId="302" applyFont="1" applyFill="1" applyBorder="1" applyAlignment="1">
      <alignment vertical="center"/>
    </xf>
    <xf numFmtId="0" fontId="112" fillId="0" borderId="0" xfId="302" applyFont="1" applyFill="1" applyBorder="1" applyAlignment="1">
      <alignment vertical="center"/>
    </xf>
    <xf numFmtId="0" fontId="113" fillId="0" borderId="0" xfId="302" applyFont="1" applyFill="1" applyBorder="1" applyAlignment="1">
      <alignment vertical="center"/>
    </xf>
    <xf numFmtId="0" fontId="108" fillId="0" borderId="28" xfId="302" applyFont="1" applyFill="1" applyBorder="1" applyAlignment="1">
      <alignment vertical="center"/>
    </xf>
    <xf numFmtId="240" fontId="106" fillId="0" borderId="0" xfId="302" applyNumberFormat="1" applyFont="1" applyFill="1" applyBorder="1" applyAlignment="1">
      <alignment horizontal="left" vertical="center"/>
    </xf>
    <xf numFmtId="0" fontId="110" fillId="0" borderId="28" xfId="302" applyFont="1" applyFill="1" applyBorder="1" applyAlignment="1">
      <alignment horizontal="center" vertical="center"/>
    </xf>
    <xf numFmtId="0" fontId="114" fillId="0" borderId="0" xfId="302" applyFont="1" applyFill="1" applyBorder="1" applyAlignment="1">
      <alignment vertical="center"/>
    </xf>
    <xf numFmtId="0" fontId="106" fillId="0" borderId="29" xfId="302" applyFont="1" applyFill="1" applyBorder="1" applyAlignment="1">
      <alignment vertical="center"/>
    </xf>
    <xf numFmtId="0" fontId="113" fillId="0" borderId="28" xfId="302" applyFont="1" applyFill="1" applyBorder="1" applyAlignment="1">
      <alignment vertical="center"/>
    </xf>
    <xf numFmtId="0" fontId="115" fillId="0" borderId="0" xfId="302" applyFont="1" applyFill="1" applyBorder="1" applyAlignment="1">
      <alignment vertical="center"/>
    </xf>
    <xf numFmtId="0" fontId="106" fillId="0" borderId="0" xfId="302" applyFont="1" applyFill="1" applyBorder="1" applyAlignment="1">
      <alignment horizontal="left" vertical="center"/>
    </xf>
    <xf numFmtId="0" fontId="106" fillId="0" borderId="0" xfId="302" applyNumberFormat="1" applyFont="1" applyFill="1" applyBorder="1" applyAlignment="1">
      <alignment horizontal="left" vertical="center"/>
    </xf>
    <xf numFmtId="242" fontId="106" fillId="0" borderId="0" xfId="295" quotePrefix="1" applyNumberFormat="1" applyFont="1" applyFill="1" applyBorder="1" applyAlignment="1">
      <alignment horizontal="left" vertical="center"/>
    </xf>
    <xf numFmtId="242" fontId="106" fillId="0" borderId="0" xfId="295" applyNumberFormat="1" applyFont="1" applyFill="1" applyBorder="1" applyAlignment="1">
      <alignment horizontal="left" vertical="center"/>
    </xf>
    <xf numFmtId="0" fontId="108" fillId="0" borderId="30" xfId="302" applyFont="1" applyFill="1" applyBorder="1" applyAlignment="1">
      <alignment vertical="center"/>
    </xf>
    <xf numFmtId="0" fontId="113" fillId="0" borderId="31" xfId="302" applyFont="1" applyFill="1" applyBorder="1" applyAlignment="1">
      <alignment vertical="center"/>
    </xf>
    <xf numFmtId="0" fontId="108" fillId="0" borderId="32" xfId="302" applyFont="1" applyFill="1" applyBorder="1" applyAlignment="1">
      <alignment vertical="center"/>
    </xf>
    <xf numFmtId="0" fontId="116" fillId="0" borderId="0" xfId="302" applyFont="1" applyFill="1" applyBorder="1" applyAlignment="1">
      <alignment horizontal="left" vertical="center"/>
    </xf>
    <xf numFmtId="0" fontId="108" fillId="0" borderId="33" xfId="302" applyFont="1" applyFill="1" applyBorder="1" applyAlignment="1">
      <alignment vertical="center"/>
    </xf>
    <xf numFmtId="0" fontId="108" fillId="0" borderId="3" xfId="302" applyFont="1" applyFill="1" applyBorder="1" applyAlignment="1">
      <alignment vertical="center"/>
    </xf>
    <xf numFmtId="0" fontId="108" fillId="0" borderId="34" xfId="302" applyFont="1" applyFill="1" applyBorder="1" applyAlignment="1">
      <alignment vertical="center"/>
    </xf>
    <xf numFmtId="0" fontId="106" fillId="0" borderId="0" xfId="302" applyFont="1" applyFill="1" applyBorder="1" applyAlignment="1">
      <alignment horizontal="center" vertical="center"/>
    </xf>
    <xf numFmtId="0" fontId="108" fillId="0" borderId="31" xfId="302" applyFont="1" applyFill="1" applyBorder="1" applyAlignment="1">
      <alignment vertical="center"/>
    </xf>
    <xf numFmtId="0" fontId="117" fillId="0" borderId="0" xfId="302" applyFont="1" applyFill="1" applyBorder="1" applyAlignment="1">
      <alignment horizontal="center" vertical="center"/>
    </xf>
    <xf numFmtId="0" fontId="113" fillId="0" borderId="3" xfId="302" applyFont="1" applyFill="1" applyBorder="1" applyAlignment="1">
      <alignment vertical="center"/>
    </xf>
    <xf numFmtId="0" fontId="116" fillId="0" borderId="0" xfId="302" applyFont="1" applyFill="1" applyBorder="1" applyAlignment="1">
      <alignment horizontal="center" vertical="center"/>
    </xf>
    <xf numFmtId="0" fontId="118" fillId="0" borderId="0" xfId="302" applyFont="1" applyFill="1" applyBorder="1" applyAlignment="1">
      <alignment horizontal="center" vertical="center"/>
    </xf>
    <xf numFmtId="42" fontId="115" fillId="0" borderId="26" xfId="295" applyFont="1" applyFill="1" applyBorder="1" applyAlignment="1">
      <alignment vertical="center"/>
    </xf>
    <xf numFmtId="0" fontId="106" fillId="0" borderId="0" xfId="302" quotePrefix="1" applyFont="1" applyFill="1" applyBorder="1" applyAlignment="1">
      <alignment horizontal="right" vertical="center"/>
    </xf>
    <xf numFmtId="0" fontId="114" fillId="0" borderId="35" xfId="302" applyFont="1" applyFill="1" applyBorder="1" applyAlignment="1">
      <alignment vertical="center"/>
    </xf>
    <xf numFmtId="0" fontId="114" fillId="0" borderId="36" xfId="302" applyFont="1" applyFill="1" applyBorder="1" applyAlignment="1">
      <alignment vertical="center"/>
    </xf>
    <xf numFmtId="0" fontId="114" fillId="0" borderId="12" xfId="302" applyFont="1" applyFill="1" applyBorder="1" applyAlignment="1">
      <alignment vertical="center"/>
    </xf>
    <xf numFmtId="0" fontId="114" fillId="0" borderId="37" xfId="302" applyFont="1" applyFill="1" applyBorder="1" applyAlignment="1">
      <alignment vertical="center"/>
    </xf>
    <xf numFmtId="0" fontId="114" fillId="0" borderId="27" xfId="302" applyFont="1" applyFill="1" applyBorder="1" applyAlignment="1">
      <alignment vertical="center"/>
    </xf>
    <xf numFmtId="0" fontId="114" fillId="0" borderId="28" xfId="302" applyFont="1" applyFill="1" applyBorder="1" applyAlignment="1">
      <alignment vertical="center"/>
    </xf>
    <xf numFmtId="0" fontId="113" fillId="0" borderId="0" xfId="308" applyFont="1" applyAlignment="1">
      <alignment vertical="center"/>
    </xf>
    <xf numFmtId="0" fontId="108" fillId="0" borderId="0" xfId="308" applyFont="1"/>
    <xf numFmtId="0" fontId="108" fillId="0" borderId="0" xfId="308" applyFont="1" applyAlignment="1">
      <alignment vertical="center"/>
    </xf>
    <xf numFmtId="0" fontId="104" fillId="0" borderId="0" xfId="307" applyFont="1" applyBorder="1" applyAlignment="1">
      <alignment horizontal="center" vertical="center"/>
    </xf>
    <xf numFmtId="0" fontId="103" fillId="0" borderId="0" xfId="307" applyFont="1" applyFill="1" applyAlignment="1">
      <alignment horizontal="center" vertical="center"/>
    </xf>
    <xf numFmtId="0" fontId="103" fillId="0" borderId="0" xfId="0" applyFont="1" applyFill="1" applyAlignment="1">
      <alignment vertical="center"/>
    </xf>
    <xf numFmtId="0" fontId="103" fillId="0" borderId="0" xfId="302" applyFont="1" applyFill="1" applyBorder="1" applyAlignment="1">
      <alignment vertical="center"/>
    </xf>
    <xf numFmtId="0" fontId="103" fillId="0" borderId="0" xfId="302" applyFont="1" applyFill="1" applyAlignment="1">
      <alignment vertical="center"/>
    </xf>
    <xf numFmtId="41" fontId="103" fillId="0" borderId="0" xfId="265" applyNumberFormat="1" applyFont="1" applyFill="1" applyAlignment="1">
      <alignment horizontal="center" vertical="center"/>
    </xf>
    <xf numFmtId="237" fontId="103" fillId="0" borderId="0" xfId="265" applyNumberFormat="1" applyFont="1" applyFill="1" applyAlignment="1">
      <alignment vertical="center"/>
    </xf>
    <xf numFmtId="245" fontId="104" fillId="0" borderId="38" xfId="302" applyNumberFormat="1" applyFont="1" applyFill="1" applyBorder="1" applyAlignment="1">
      <alignment vertical="center"/>
    </xf>
    <xf numFmtId="3" fontId="103" fillId="0" borderId="38" xfId="302" applyNumberFormat="1" applyFont="1" applyFill="1" applyBorder="1" applyAlignment="1">
      <alignment vertical="center"/>
    </xf>
    <xf numFmtId="245" fontId="103" fillId="0" borderId="38" xfId="302" applyNumberFormat="1" applyFont="1" applyFill="1" applyBorder="1" applyAlignment="1">
      <alignment horizontal="center" vertical="center"/>
    </xf>
    <xf numFmtId="0" fontId="119" fillId="0" borderId="4" xfId="301" applyFont="1" applyBorder="1" applyAlignment="1">
      <alignment vertical="center"/>
    </xf>
    <xf numFmtId="0" fontId="120" fillId="0" borderId="0" xfId="301" applyFont="1" applyAlignment="1">
      <alignment vertical="center"/>
    </xf>
    <xf numFmtId="3" fontId="103" fillId="0" borderId="4" xfId="301" applyNumberFormat="1" applyFont="1" applyBorder="1" applyAlignment="1">
      <alignment vertical="center"/>
    </xf>
    <xf numFmtId="0" fontId="119" fillId="0" borderId="17" xfId="301" applyFont="1" applyBorder="1" applyAlignment="1">
      <alignment vertical="center"/>
    </xf>
    <xf numFmtId="0" fontId="119" fillId="0" borderId="39" xfId="301" applyFont="1" applyBorder="1" applyAlignment="1">
      <alignment horizontal="right" vertical="center"/>
    </xf>
    <xf numFmtId="0" fontId="119" fillId="0" borderId="4" xfId="301" applyFont="1" applyBorder="1" applyAlignment="1">
      <alignment horizontal="center" vertical="center"/>
    </xf>
    <xf numFmtId="0" fontId="103" fillId="0" borderId="0" xfId="302" applyFont="1" applyAlignment="1">
      <alignment vertical="center"/>
    </xf>
    <xf numFmtId="0" fontId="104" fillId="0" borderId="0" xfId="302" applyFont="1" applyBorder="1" applyAlignment="1">
      <alignment horizontal="center" vertical="center"/>
    </xf>
    <xf numFmtId="0" fontId="104" fillId="0" borderId="0" xfId="302" applyFont="1" applyBorder="1" applyAlignment="1">
      <alignment vertical="center"/>
    </xf>
    <xf numFmtId="246" fontId="104" fillId="0" borderId="0" xfId="257" applyNumberFormat="1" applyFont="1" applyBorder="1" applyAlignment="1">
      <alignment vertical="center"/>
    </xf>
    <xf numFmtId="0" fontId="103" fillId="0" borderId="0" xfId="309" applyFont="1" applyFill="1" applyAlignment="1">
      <alignment vertical="center"/>
    </xf>
    <xf numFmtId="0" fontId="104" fillId="0" borderId="0" xfId="309" applyFont="1" applyBorder="1" applyAlignment="1">
      <alignment vertical="center"/>
    </xf>
    <xf numFmtId="0" fontId="104" fillId="0" borderId="0" xfId="307" applyFont="1" applyBorder="1" applyAlignment="1">
      <alignment horizontal="left" vertical="center"/>
    </xf>
    <xf numFmtId="0" fontId="103" fillId="0" borderId="0" xfId="309" applyFont="1" applyBorder="1" applyAlignment="1">
      <alignment vertical="center"/>
    </xf>
    <xf numFmtId="41" fontId="103" fillId="0" borderId="0" xfId="265" applyFont="1" applyFill="1" applyAlignment="1">
      <alignment horizontal="center" vertical="center"/>
    </xf>
    <xf numFmtId="0" fontId="103" fillId="0" borderId="0" xfId="312" applyFont="1" applyAlignment="1">
      <alignment vertical="center"/>
    </xf>
    <xf numFmtId="0" fontId="103" fillId="0" borderId="24" xfId="312" applyFont="1" applyBorder="1">
      <alignment vertical="center"/>
    </xf>
    <xf numFmtId="0" fontId="119" fillId="0" borderId="39" xfId="301" quotePrefix="1" applyFont="1" applyBorder="1" applyAlignment="1">
      <alignment horizontal="center" vertical="center"/>
    </xf>
    <xf numFmtId="237" fontId="103" fillId="0" borderId="38" xfId="265" applyNumberFormat="1" applyFont="1" applyFill="1" applyBorder="1" applyAlignment="1">
      <alignment vertical="center"/>
    </xf>
    <xf numFmtId="0" fontId="103" fillId="0" borderId="38" xfId="0" applyFont="1" applyBorder="1" applyAlignment="1">
      <alignment vertical="center"/>
    </xf>
    <xf numFmtId="250" fontId="103" fillId="0" borderId="38" xfId="0" applyNumberFormat="1" applyFont="1" applyBorder="1" applyAlignment="1">
      <alignment vertical="center"/>
    </xf>
    <xf numFmtId="0" fontId="103" fillId="0" borderId="38" xfId="0" applyFont="1" applyBorder="1" applyAlignment="1">
      <alignment horizontal="center" vertical="center"/>
    </xf>
    <xf numFmtId="3" fontId="103" fillId="0" borderId="38" xfId="265" applyNumberFormat="1" applyFont="1" applyFill="1" applyBorder="1" applyAlignment="1" applyProtection="1">
      <alignment horizontal="right" vertical="center"/>
    </xf>
    <xf numFmtId="3" fontId="104" fillId="0" borderId="38" xfId="302" applyNumberFormat="1" applyFont="1" applyFill="1" applyBorder="1" applyAlignment="1">
      <alignment vertical="center"/>
    </xf>
    <xf numFmtId="3" fontId="119" fillId="0" borderId="4" xfId="301" applyNumberFormat="1" applyFont="1" applyBorder="1" applyAlignment="1">
      <alignment vertical="center"/>
    </xf>
    <xf numFmtId="41" fontId="103" fillId="0" borderId="38" xfId="265" applyFont="1" applyFill="1" applyBorder="1" applyAlignment="1" applyProtection="1">
      <alignment vertical="center"/>
    </xf>
    <xf numFmtId="0" fontId="104" fillId="0" borderId="38" xfId="0" applyFont="1" applyBorder="1" applyAlignment="1">
      <alignment vertical="center"/>
    </xf>
    <xf numFmtId="250" fontId="104" fillId="0" borderId="38" xfId="0" applyNumberFormat="1" applyFont="1" applyBorder="1" applyAlignment="1">
      <alignment vertical="center"/>
    </xf>
    <xf numFmtId="237" fontId="104" fillId="0" borderId="38" xfId="265" applyNumberFormat="1" applyFont="1" applyFill="1" applyBorder="1" applyAlignment="1">
      <alignment vertical="center"/>
    </xf>
    <xf numFmtId="0" fontId="104" fillId="0" borderId="0" xfId="0" applyFont="1" applyFill="1" applyAlignment="1">
      <alignment vertical="center"/>
    </xf>
    <xf numFmtId="242" fontId="106" fillId="0" borderId="0" xfId="302" applyNumberFormat="1" applyFont="1" applyFill="1" applyBorder="1" applyAlignment="1">
      <alignment vertical="center"/>
    </xf>
    <xf numFmtId="0" fontId="104" fillId="0" borderId="0" xfId="302" applyFont="1" applyFill="1" applyAlignment="1">
      <alignment vertical="center"/>
    </xf>
    <xf numFmtId="0" fontId="103" fillId="0" borderId="0" xfId="309" applyFont="1" applyFill="1" applyBorder="1" applyAlignment="1">
      <alignment vertical="center"/>
    </xf>
    <xf numFmtId="3" fontId="121" fillId="0" borderId="38" xfId="0" applyNumberFormat="1" applyFont="1" applyFill="1" applyBorder="1" applyAlignment="1">
      <alignment horizontal="right" vertical="center"/>
    </xf>
    <xf numFmtId="3" fontId="121" fillId="0" borderId="22" xfId="0" applyNumberFormat="1" applyFont="1" applyFill="1" applyBorder="1" applyAlignment="1">
      <alignment horizontal="right" vertical="center"/>
    </xf>
    <xf numFmtId="0" fontId="121" fillId="0" borderId="40" xfId="0" applyFont="1" applyFill="1" applyBorder="1" applyAlignment="1">
      <alignment horizontal="center" vertical="center"/>
    </xf>
    <xf numFmtId="0" fontId="122" fillId="0" borderId="40" xfId="0" applyFont="1" applyFill="1" applyBorder="1" applyAlignment="1">
      <alignment vertical="center"/>
    </xf>
    <xf numFmtId="0" fontId="121" fillId="0" borderId="41" xfId="0" applyFont="1" applyFill="1" applyBorder="1" applyAlignment="1">
      <alignment horizontal="center" vertical="center"/>
    </xf>
    <xf numFmtId="0" fontId="121" fillId="0" borderId="38" xfId="0" applyFont="1" applyFill="1" applyBorder="1" applyAlignment="1">
      <alignment horizontal="right" vertical="center"/>
    </xf>
    <xf numFmtId="0" fontId="121" fillId="0" borderId="40" xfId="0" applyFont="1" applyFill="1" applyBorder="1" applyAlignment="1">
      <alignment horizontal="right" vertical="center"/>
    </xf>
    <xf numFmtId="3" fontId="121" fillId="0" borderId="40" xfId="0" applyNumberFormat="1" applyFont="1" applyFill="1" applyBorder="1" applyAlignment="1">
      <alignment horizontal="right" vertical="center"/>
    </xf>
    <xf numFmtId="3" fontId="121" fillId="0" borderId="41" xfId="0" applyNumberFormat="1" applyFont="1" applyFill="1" applyBorder="1" applyAlignment="1">
      <alignment horizontal="right" vertical="center"/>
    </xf>
    <xf numFmtId="0" fontId="123" fillId="0" borderId="38" xfId="0" applyFont="1" applyFill="1" applyBorder="1" applyAlignment="1">
      <alignment horizontal="center" vertical="center"/>
    </xf>
    <xf numFmtId="0" fontId="123" fillId="0" borderId="40" xfId="0" applyFont="1" applyFill="1" applyBorder="1" applyAlignment="1">
      <alignment horizontal="center" vertical="center"/>
    </xf>
    <xf numFmtId="0" fontId="103" fillId="0" borderId="0" xfId="312" applyFont="1" applyAlignment="1">
      <alignment horizontal="right" vertical="center"/>
    </xf>
    <xf numFmtId="0" fontId="103" fillId="0" borderId="0" xfId="309" applyFont="1" applyFill="1" applyAlignment="1">
      <alignment horizontal="right" vertical="center"/>
    </xf>
    <xf numFmtId="0" fontId="103" fillId="0" borderId="0" xfId="309" applyFont="1" applyFill="1" applyAlignment="1">
      <alignment horizontal="right" vertical="center" wrapText="1"/>
    </xf>
    <xf numFmtId="0" fontId="105" fillId="0" borderId="0" xfId="312" applyFont="1" applyAlignment="1">
      <alignment vertical="center"/>
    </xf>
    <xf numFmtId="0" fontId="124" fillId="0" borderId="39" xfId="301" quotePrefix="1" applyFont="1" applyBorder="1" applyAlignment="1">
      <alignment horizontal="left" vertical="center"/>
    </xf>
    <xf numFmtId="0" fontId="124" fillId="0" borderId="17" xfId="301" applyFont="1" applyBorder="1" applyAlignment="1">
      <alignment vertical="center"/>
    </xf>
    <xf numFmtId="0" fontId="124" fillId="0" borderId="4" xfId="301" applyFont="1" applyBorder="1" applyAlignment="1">
      <alignment vertical="center"/>
    </xf>
    <xf numFmtId="3" fontId="104" fillId="0" borderId="4" xfId="301" applyNumberFormat="1" applyFont="1" applyBorder="1" applyAlignment="1">
      <alignment vertical="center"/>
    </xf>
    <xf numFmtId="0" fontId="124" fillId="0" borderId="4" xfId="301" applyFont="1" applyBorder="1" applyAlignment="1">
      <alignment horizontal="center" vertical="center"/>
    </xf>
    <xf numFmtId="3" fontId="124" fillId="0" borderId="4" xfId="301" applyNumberFormat="1" applyFont="1" applyBorder="1" applyAlignment="1">
      <alignment vertical="center"/>
    </xf>
    <xf numFmtId="183" fontId="106" fillId="0" borderId="0" xfId="302" applyNumberFormat="1" applyFont="1" applyFill="1" applyBorder="1" applyAlignment="1">
      <alignment vertical="center"/>
    </xf>
    <xf numFmtId="0" fontId="103" fillId="0" borderId="0" xfId="312" applyFont="1" applyBorder="1">
      <alignment vertical="center"/>
    </xf>
    <xf numFmtId="0" fontId="0" fillId="0" borderId="0" xfId="0" applyFont="1" applyAlignment="1">
      <alignment vertical="center"/>
    </xf>
    <xf numFmtId="245" fontId="104" fillId="0" borderId="2" xfId="302" applyNumberFormat="1" applyFont="1" applyFill="1" applyBorder="1" applyAlignment="1">
      <alignment vertical="center"/>
    </xf>
    <xf numFmtId="245" fontId="104" fillId="0" borderId="42" xfId="302" applyNumberFormat="1" applyFont="1" applyFill="1" applyBorder="1" applyAlignment="1">
      <alignment vertical="center"/>
    </xf>
    <xf numFmtId="3" fontId="104" fillId="0" borderId="42" xfId="302" applyNumberFormat="1" applyFont="1" applyFill="1" applyBorder="1" applyAlignment="1">
      <alignment vertical="center"/>
    </xf>
    <xf numFmtId="3" fontId="103" fillId="0" borderId="42" xfId="302" applyNumberFormat="1" applyFont="1" applyFill="1" applyBorder="1" applyAlignment="1">
      <alignment vertical="center"/>
    </xf>
    <xf numFmtId="0" fontId="125" fillId="0" borderId="0" xfId="301" applyFont="1" applyAlignment="1">
      <alignment vertical="center"/>
    </xf>
    <xf numFmtId="0" fontId="126" fillId="0" borderId="0" xfId="302" applyFont="1" applyFill="1" applyBorder="1" applyAlignment="1">
      <alignment horizontal="center" vertical="center"/>
    </xf>
    <xf numFmtId="3" fontId="127" fillId="0" borderId="4" xfId="301" applyNumberFormat="1" applyFont="1" applyBorder="1" applyAlignment="1">
      <alignment vertical="center"/>
    </xf>
    <xf numFmtId="3" fontId="128" fillId="0" borderId="4" xfId="301" applyNumberFormat="1" applyFont="1" applyBorder="1" applyAlignment="1">
      <alignment vertical="center"/>
    </xf>
    <xf numFmtId="241" fontId="106" fillId="0" borderId="29" xfId="302" quotePrefix="1" applyNumberFormat="1" applyFont="1" applyFill="1" applyBorder="1" applyAlignment="1">
      <alignment horizontal="right" vertical="center"/>
    </xf>
    <xf numFmtId="0" fontId="103" fillId="0" borderId="154" xfId="312" applyFont="1" applyBorder="1">
      <alignment vertical="center"/>
    </xf>
    <xf numFmtId="0" fontId="103" fillId="0" borderId="155" xfId="312" applyFont="1" applyBorder="1">
      <alignment vertical="center"/>
    </xf>
    <xf numFmtId="0" fontId="103" fillId="0" borderId="155" xfId="312" applyFont="1" applyBorder="1" applyAlignment="1">
      <alignment horizontal="center" vertical="center"/>
    </xf>
    <xf numFmtId="0" fontId="103" fillId="0" borderId="156" xfId="312" applyFont="1" applyBorder="1">
      <alignment vertical="center"/>
    </xf>
    <xf numFmtId="0" fontId="103" fillId="0" borderId="157" xfId="311" applyFont="1" applyBorder="1">
      <alignment vertical="center"/>
    </xf>
    <xf numFmtId="0" fontId="103" fillId="0" borderId="157" xfId="312" applyFont="1" applyBorder="1">
      <alignment vertical="center"/>
    </xf>
    <xf numFmtId="0" fontId="103" fillId="0" borderId="157" xfId="311" applyFont="1" applyFill="1" applyBorder="1">
      <alignment vertical="center"/>
    </xf>
    <xf numFmtId="0" fontId="103" fillId="0" borderId="158" xfId="312" applyFont="1" applyBorder="1">
      <alignment vertical="center"/>
    </xf>
    <xf numFmtId="0" fontId="103" fillId="0" borderId="0" xfId="0" applyFont="1" applyAlignment="1">
      <alignment vertical="center"/>
    </xf>
    <xf numFmtId="0" fontId="122" fillId="0" borderId="0" xfId="0" applyFont="1">
      <alignment vertical="center"/>
    </xf>
    <xf numFmtId="0" fontId="103" fillId="0" borderId="0" xfId="0" applyFont="1" applyAlignment="1">
      <alignment horizontal="center" vertical="center"/>
    </xf>
    <xf numFmtId="0" fontId="103" fillId="0" borderId="0" xfId="312" applyFont="1" applyBorder="1" applyAlignment="1">
      <alignment horizontal="left" vertical="center"/>
    </xf>
    <xf numFmtId="0" fontId="129" fillId="0" borderId="0" xfId="0" applyFont="1" applyAlignment="1">
      <alignment vertical="center"/>
    </xf>
    <xf numFmtId="3" fontId="125" fillId="0" borderId="4" xfId="301" applyNumberFormat="1" applyFont="1" applyBorder="1" applyAlignment="1">
      <alignment vertical="center"/>
    </xf>
    <xf numFmtId="0" fontId="124" fillId="0" borderId="4" xfId="301" applyFont="1" applyFill="1" applyBorder="1" applyAlignment="1">
      <alignment vertical="center"/>
    </xf>
    <xf numFmtId="3" fontId="104" fillId="0" borderId="4" xfId="301" applyNumberFormat="1" applyFont="1" applyFill="1" applyBorder="1" applyAlignment="1">
      <alignment vertical="center"/>
    </xf>
    <xf numFmtId="0" fontId="124" fillId="0" borderId="4" xfId="301" applyFont="1" applyFill="1" applyBorder="1" applyAlignment="1">
      <alignment horizontal="center" vertical="center"/>
    </xf>
    <xf numFmtId="3" fontId="124" fillId="0" borderId="4" xfId="301" applyNumberFormat="1" applyFont="1" applyFill="1" applyBorder="1" applyAlignment="1">
      <alignment vertical="center"/>
    </xf>
    <xf numFmtId="3" fontId="125" fillId="0" borderId="4" xfId="301" applyNumberFormat="1" applyFont="1" applyFill="1" applyBorder="1" applyAlignment="1">
      <alignment vertical="center"/>
    </xf>
    <xf numFmtId="249" fontId="104" fillId="0" borderId="4" xfId="301" applyNumberFormat="1" applyFont="1" applyBorder="1" applyAlignment="1">
      <alignment vertical="center"/>
    </xf>
    <xf numFmtId="0" fontId="124" fillId="0" borderId="39" xfId="301" applyFont="1" applyBorder="1" applyAlignment="1">
      <alignment horizontal="right" vertical="center"/>
    </xf>
    <xf numFmtId="0" fontId="103" fillId="0" borderId="0" xfId="312" applyFont="1" applyFill="1" applyBorder="1">
      <alignment vertical="center"/>
    </xf>
    <xf numFmtId="0" fontId="103" fillId="0" borderId="0" xfId="311" applyFont="1" applyFill="1" applyBorder="1">
      <alignment vertical="center"/>
    </xf>
    <xf numFmtId="0" fontId="103" fillId="0" borderId="0" xfId="311" applyFont="1" applyFill="1" applyBorder="1" applyAlignment="1">
      <alignment vertical="center"/>
    </xf>
    <xf numFmtId="0" fontId="110" fillId="0" borderId="0" xfId="302" applyFont="1" applyFill="1" applyBorder="1" applyAlignment="1">
      <alignment horizontal="left" vertical="center"/>
    </xf>
    <xf numFmtId="191" fontId="104" fillId="0" borderId="4" xfId="301" applyNumberFormat="1" applyFont="1" applyBorder="1" applyAlignment="1">
      <alignment vertical="center"/>
    </xf>
    <xf numFmtId="0" fontId="124" fillId="0" borderId="0" xfId="301" quotePrefix="1" applyFont="1" applyBorder="1" applyAlignment="1">
      <alignment horizontal="left" vertical="center"/>
    </xf>
    <xf numFmtId="0" fontId="124" fillId="0" borderId="0" xfId="301" applyFont="1" applyBorder="1" applyAlignment="1">
      <alignment vertical="center"/>
    </xf>
    <xf numFmtId="0" fontId="124" fillId="0" borderId="0" xfId="301" applyFont="1" applyBorder="1" applyAlignment="1">
      <alignment horizontal="center" vertical="center"/>
    </xf>
    <xf numFmtId="3" fontId="104" fillId="0" borderId="0" xfId="301" applyNumberFormat="1" applyFont="1" applyBorder="1" applyAlignment="1">
      <alignment vertical="center"/>
    </xf>
    <xf numFmtId="3" fontId="124" fillId="0" borderId="0" xfId="301" applyNumberFormat="1" applyFont="1" applyBorder="1" applyAlignment="1">
      <alignment vertical="center"/>
    </xf>
    <xf numFmtId="3" fontId="127" fillId="0" borderId="0" xfId="301" applyNumberFormat="1" applyFont="1" applyBorder="1" applyAlignment="1">
      <alignment vertical="center"/>
    </xf>
    <xf numFmtId="0" fontId="108" fillId="0" borderId="29" xfId="308" applyFont="1" applyBorder="1" applyAlignment="1">
      <alignment vertical="center"/>
    </xf>
    <xf numFmtId="41" fontId="103" fillId="0" borderId="0" xfId="264" applyFont="1" applyAlignment="1">
      <alignment vertical="center"/>
    </xf>
    <xf numFmtId="247" fontId="103" fillId="0" borderId="43" xfId="302" applyNumberFormat="1" applyFont="1" applyBorder="1" applyAlignment="1">
      <alignment vertical="center"/>
    </xf>
    <xf numFmtId="0" fontId="103" fillId="0" borderId="43" xfId="302" applyFont="1" applyBorder="1" applyAlignment="1">
      <alignment horizontal="center" vertical="center"/>
    </xf>
    <xf numFmtId="3" fontId="103" fillId="0" borderId="43" xfId="302" applyNumberFormat="1" applyFont="1" applyBorder="1" applyAlignment="1">
      <alignment vertical="center"/>
    </xf>
    <xf numFmtId="0" fontId="103" fillId="0" borderId="43" xfId="302" applyFont="1" applyBorder="1" applyAlignment="1">
      <alignment vertical="center"/>
    </xf>
    <xf numFmtId="0" fontId="103" fillId="0" borderId="44" xfId="302" applyFont="1" applyBorder="1" applyAlignment="1">
      <alignment vertical="center"/>
    </xf>
    <xf numFmtId="247" fontId="103" fillId="0" borderId="45" xfId="302" applyNumberFormat="1" applyFont="1" applyBorder="1" applyAlignment="1">
      <alignment vertical="center"/>
    </xf>
    <xf numFmtId="247" fontId="103" fillId="0" borderId="45" xfId="302" applyNumberFormat="1" applyFont="1" applyBorder="1" applyAlignment="1">
      <alignment horizontal="center" vertical="center"/>
    </xf>
    <xf numFmtId="3" fontId="103" fillId="0" borderId="45" xfId="302" applyNumberFormat="1" applyFont="1" applyBorder="1" applyAlignment="1">
      <alignment vertical="center"/>
    </xf>
    <xf numFmtId="0" fontId="103" fillId="0" borderId="45" xfId="302" applyFont="1" applyBorder="1" applyAlignment="1">
      <alignment vertical="center"/>
    </xf>
    <xf numFmtId="0" fontId="103" fillId="0" borderId="46" xfId="302" applyFont="1" applyBorder="1" applyAlignment="1">
      <alignment vertical="center"/>
    </xf>
    <xf numFmtId="0" fontId="104" fillId="0" borderId="47" xfId="302" applyFont="1" applyBorder="1" applyAlignment="1">
      <alignment vertical="center"/>
    </xf>
    <xf numFmtId="246" fontId="104" fillId="0" borderId="47" xfId="257" applyNumberFormat="1" applyFont="1" applyBorder="1" applyAlignment="1">
      <alignment vertical="center"/>
    </xf>
    <xf numFmtId="0" fontId="103" fillId="0" borderId="48" xfId="302" applyFont="1" applyBorder="1" applyAlignment="1">
      <alignment vertical="center"/>
    </xf>
    <xf numFmtId="0" fontId="104" fillId="11" borderId="29" xfId="312" applyFont="1" applyFill="1" applyBorder="1" applyAlignment="1">
      <alignment vertical="center"/>
    </xf>
    <xf numFmtId="0" fontId="104" fillId="11" borderId="11" xfId="312" applyFont="1" applyFill="1" applyBorder="1" applyAlignment="1">
      <alignment vertical="center"/>
    </xf>
    <xf numFmtId="0" fontId="104" fillId="11" borderId="11" xfId="312" applyFont="1" applyFill="1" applyBorder="1">
      <alignment vertical="center"/>
    </xf>
    <xf numFmtId="0" fontId="104" fillId="0" borderId="29" xfId="312" applyFont="1" applyBorder="1" applyAlignment="1">
      <alignment vertical="center"/>
    </xf>
    <xf numFmtId="0" fontId="104" fillId="0" borderId="11" xfId="312" applyFont="1" applyBorder="1" applyAlignment="1">
      <alignment vertical="center"/>
    </xf>
    <xf numFmtId="0" fontId="104" fillId="0" borderId="11" xfId="312" applyFont="1" applyBorder="1">
      <alignment vertical="center"/>
    </xf>
    <xf numFmtId="0" fontId="103" fillId="11" borderId="29" xfId="312" quotePrefix="1" applyFont="1" applyFill="1" applyBorder="1">
      <alignment vertical="center"/>
    </xf>
    <xf numFmtId="0" fontId="103" fillId="11" borderId="11" xfId="312" quotePrefix="1" applyFont="1" applyFill="1" applyBorder="1">
      <alignment vertical="center"/>
    </xf>
    <xf numFmtId="3" fontId="103" fillId="0" borderId="38" xfId="264" applyNumberFormat="1" applyFont="1" applyFill="1" applyBorder="1" applyAlignment="1">
      <alignment horizontal="right" vertical="center"/>
    </xf>
    <xf numFmtId="3" fontId="103" fillId="0" borderId="49" xfId="302" applyNumberFormat="1" applyFont="1" applyFill="1" applyBorder="1" applyAlignment="1">
      <alignment horizontal="center" vertical="center" shrinkToFit="1"/>
    </xf>
    <xf numFmtId="3" fontId="103" fillId="0" borderId="40" xfId="302" applyNumberFormat="1" applyFont="1" applyFill="1" applyBorder="1" applyAlignment="1">
      <alignment horizontal="center" vertical="center" shrinkToFit="1"/>
    </xf>
    <xf numFmtId="0" fontId="104" fillId="0" borderId="40" xfId="0" applyFont="1" applyFill="1" applyBorder="1" applyAlignment="1">
      <alignment vertical="center" shrinkToFit="1"/>
    </xf>
    <xf numFmtId="0" fontId="103" fillId="0" borderId="40" xfId="0" applyFont="1" applyFill="1" applyBorder="1" applyAlignment="1">
      <alignment vertical="center" shrinkToFit="1"/>
    </xf>
    <xf numFmtId="0" fontId="103" fillId="0" borderId="40" xfId="302" applyFont="1" applyFill="1" applyBorder="1" applyAlignment="1">
      <alignment vertical="center" shrinkToFit="1"/>
    </xf>
    <xf numFmtId="0" fontId="128" fillId="0" borderId="0" xfId="0" applyFont="1" applyFill="1" applyAlignment="1">
      <alignment vertical="center"/>
    </xf>
    <xf numFmtId="0" fontId="128" fillId="0" borderId="0" xfId="302" applyFont="1" applyFill="1" applyAlignment="1">
      <alignment vertical="center"/>
    </xf>
    <xf numFmtId="0" fontId="127" fillId="0" borderId="0" xfId="0" applyFont="1" applyFill="1" applyAlignment="1">
      <alignment vertical="center"/>
    </xf>
    <xf numFmtId="3" fontId="103" fillId="0" borderId="40" xfId="302" applyNumberFormat="1" applyFont="1" applyFill="1" applyBorder="1" applyAlignment="1">
      <alignment vertical="center" shrinkToFit="1"/>
    </xf>
    <xf numFmtId="0" fontId="130" fillId="0" borderId="0" xfId="0" applyFont="1">
      <alignment vertical="center"/>
    </xf>
    <xf numFmtId="4" fontId="122" fillId="0" borderId="0" xfId="0" applyNumberFormat="1" applyFont="1" applyBorder="1" applyAlignment="1">
      <alignment horizontal="center" vertical="center"/>
    </xf>
    <xf numFmtId="4" fontId="122" fillId="0" borderId="0" xfId="0" applyNumberFormat="1" applyFont="1" applyBorder="1">
      <alignment vertical="center"/>
    </xf>
    <xf numFmtId="0" fontId="122" fillId="0" borderId="0" xfId="0" applyFont="1" applyBorder="1">
      <alignment vertical="center"/>
    </xf>
    <xf numFmtId="4" fontId="122" fillId="0" borderId="0" xfId="0" applyNumberFormat="1" applyFont="1" applyFill="1" applyBorder="1">
      <alignment vertical="center"/>
    </xf>
    <xf numFmtId="0" fontId="122" fillId="0" borderId="38" xfId="0" applyFont="1" applyBorder="1" applyAlignment="1">
      <alignment horizontal="center" vertical="center" shrinkToFit="1"/>
    </xf>
    <xf numFmtId="179" fontId="122" fillId="0" borderId="38" xfId="0" applyNumberFormat="1" applyFont="1" applyBorder="1" applyAlignment="1">
      <alignment horizontal="center" vertical="center" shrinkToFit="1"/>
    </xf>
    <xf numFmtId="0" fontId="122" fillId="0" borderId="38" xfId="0" applyFont="1" applyBorder="1" applyAlignment="1">
      <alignment horizontal="center" vertical="center"/>
    </xf>
    <xf numFmtId="178" fontId="122" fillId="0" borderId="38" xfId="0" applyNumberFormat="1" applyFont="1" applyBorder="1">
      <alignment vertical="center"/>
    </xf>
    <xf numFmtId="0" fontId="122" fillId="0" borderId="40" xfId="0" applyFont="1" applyBorder="1">
      <alignment vertical="center"/>
    </xf>
    <xf numFmtId="0" fontId="122" fillId="0" borderId="22" xfId="0" applyFont="1" applyBorder="1" applyAlignment="1">
      <alignment horizontal="center" vertical="center"/>
    </xf>
    <xf numFmtId="178" fontId="122" fillId="0" borderId="22" xfId="0" applyNumberFormat="1" applyFont="1" applyBorder="1">
      <alignment vertical="center"/>
    </xf>
    <xf numFmtId="0" fontId="122" fillId="0" borderId="41" xfId="0" applyFont="1" applyBorder="1">
      <alignment vertical="center"/>
    </xf>
    <xf numFmtId="0" fontId="122" fillId="0" borderId="0" xfId="0" applyFont="1" applyBorder="1" applyAlignment="1">
      <alignment horizontal="center" vertical="center" shrinkToFit="1"/>
    </xf>
    <xf numFmtId="4" fontId="122" fillId="0" borderId="38" xfId="0" applyNumberFormat="1" applyFont="1" applyFill="1" applyBorder="1" applyAlignment="1">
      <alignment vertical="center"/>
    </xf>
    <xf numFmtId="4" fontId="122" fillId="0" borderId="22" xfId="0" applyNumberFormat="1" applyFont="1" applyFill="1" applyBorder="1" applyAlignment="1">
      <alignment vertical="center"/>
    </xf>
    <xf numFmtId="4" fontId="122" fillId="0" borderId="0" xfId="0" applyNumberFormat="1" applyFont="1" applyFill="1" applyBorder="1" applyAlignment="1">
      <alignment vertical="center"/>
    </xf>
    <xf numFmtId="0" fontId="122" fillId="0" borderId="0" xfId="0" applyFont="1" applyBorder="1" applyAlignment="1">
      <alignment vertical="center"/>
    </xf>
    <xf numFmtId="0" fontId="122" fillId="0" borderId="38" xfId="0" applyFont="1" applyBorder="1" applyAlignment="1">
      <alignment vertical="center"/>
    </xf>
    <xf numFmtId="0" fontId="122" fillId="0" borderId="40" xfId="0" applyFont="1" applyBorder="1" applyAlignment="1">
      <alignment vertical="center"/>
    </xf>
    <xf numFmtId="186" fontId="122" fillId="0" borderId="38" xfId="0" applyNumberFormat="1" applyFont="1" applyBorder="1" applyAlignment="1">
      <alignment vertical="center"/>
    </xf>
    <xf numFmtId="186" fontId="122" fillId="0" borderId="40" xfId="0" applyNumberFormat="1" applyFont="1" applyBorder="1" applyAlignment="1">
      <alignment vertical="center"/>
    </xf>
    <xf numFmtId="186" fontId="122" fillId="0" borderId="22" xfId="0" applyNumberFormat="1" applyFont="1" applyBorder="1" applyAlignment="1">
      <alignment vertical="center"/>
    </xf>
    <xf numFmtId="186" fontId="122" fillId="0" borderId="41" xfId="0" applyNumberFormat="1" applyFont="1" applyBorder="1" applyAlignment="1">
      <alignment vertical="center"/>
    </xf>
    <xf numFmtId="4" fontId="122" fillId="0" borderId="0" xfId="0" applyNumberFormat="1" applyFont="1" applyBorder="1" applyAlignment="1">
      <alignment vertical="center"/>
    </xf>
    <xf numFmtId="0" fontId="131" fillId="0" borderId="0" xfId="0" applyFont="1">
      <alignment vertical="center"/>
    </xf>
    <xf numFmtId="0" fontId="132" fillId="0" borderId="0" xfId="0" applyFont="1">
      <alignment vertical="center"/>
    </xf>
    <xf numFmtId="0" fontId="132" fillId="0" borderId="0" xfId="0" applyFont="1" applyAlignment="1">
      <alignment vertical="center"/>
    </xf>
    <xf numFmtId="4" fontId="122" fillId="0" borderId="38" xfId="0" applyNumberFormat="1" applyFont="1" applyBorder="1">
      <alignment vertical="center"/>
    </xf>
    <xf numFmtId="4" fontId="122" fillId="12" borderId="40" xfId="0" applyNumberFormat="1" applyFont="1" applyFill="1" applyBorder="1">
      <alignment vertical="center"/>
    </xf>
    <xf numFmtId="4" fontId="122" fillId="0" borderId="22" xfId="0" applyNumberFormat="1" applyFont="1" applyBorder="1">
      <alignment vertical="center"/>
    </xf>
    <xf numFmtId="4" fontId="122" fillId="12" borderId="41" xfId="0" applyNumberFormat="1" applyFont="1" applyFill="1" applyBorder="1">
      <alignment vertical="center"/>
    </xf>
    <xf numFmtId="178" fontId="122" fillId="0" borderId="50" xfId="0" applyNumberFormat="1" applyFont="1" applyBorder="1">
      <alignment vertical="center"/>
    </xf>
    <xf numFmtId="178" fontId="122" fillId="0" borderId="51" xfId="0" applyNumberFormat="1" applyFont="1" applyBorder="1">
      <alignment vertical="center"/>
    </xf>
    <xf numFmtId="4" fontId="122" fillId="0" borderId="42" xfId="0" applyNumberFormat="1" applyFont="1" applyBorder="1">
      <alignment vertical="center"/>
    </xf>
    <xf numFmtId="178" fontId="122" fillId="0" borderId="52" xfId="0" applyNumberFormat="1" applyFont="1" applyBorder="1">
      <alignment vertical="center"/>
    </xf>
    <xf numFmtId="178" fontId="122" fillId="0" borderId="42" xfId="0" applyNumberFormat="1" applyFont="1" applyBorder="1">
      <alignment vertical="center"/>
    </xf>
    <xf numFmtId="0" fontId="122" fillId="0" borderId="49" xfId="0" applyFont="1" applyBorder="1">
      <alignment vertical="center"/>
    </xf>
    <xf numFmtId="0" fontId="122" fillId="0" borderId="53" xfId="0" applyFont="1" applyBorder="1">
      <alignment vertical="center"/>
    </xf>
    <xf numFmtId="0" fontId="122" fillId="0" borderId="54" xfId="0" applyFont="1" applyBorder="1">
      <alignment vertical="center"/>
    </xf>
    <xf numFmtId="183" fontId="122" fillId="0" borderId="22" xfId="0" applyNumberFormat="1" applyFont="1" applyBorder="1">
      <alignment vertical="center"/>
    </xf>
    <xf numFmtId="0" fontId="133" fillId="0" borderId="0" xfId="0" applyFont="1" applyAlignment="1">
      <alignment vertical="center"/>
    </xf>
    <xf numFmtId="0" fontId="134" fillId="0" borderId="0" xfId="0" applyFont="1">
      <alignment vertical="center"/>
    </xf>
    <xf numFmtId="0" fontId="133" fillId="0" borderId="0" xfId="0" applyFont="1">
      <alignment vertical="center"/>
    </xf>
    <xf numFmtId="4" fontId="122" fillId="12" borderId="40" xfId="0" applyNumberFormat="1" applyFont="1" applyFill="1" applyBorder="1" applyAlignment="1">
      <alignment vertical="center"/>
    </xf>
    <xf numFmtId="4" fontId="122" fillId="12" borderId="41" xfId="0" applyNumberFormat="1" applyFont="1" applyFill="1" applyBorder="1" applyAlignment="1">
      <alignment vertical="center"/>
    </xf>
    <xf numFmtId="4" fontId="122" fillId="0" borderId="42" xfId="0" applyNumberFormat="1" applyFont="1" applyFill="1" applyBorder="1" applyAlignment="1">
      <alignment vertical="center"/>
    </xf>
    <xf numFmtId="4" fontId="122" fillId="12" borderId="49" xfId="0" applyNumberFormat="1" applyFont="1" applyFill="1" applyBorder="1" applyAlignment="1">
      <alignment vertical="center"/>
    </xf>
    <xf numFmtId="186" fontId="122" fillId="0" borderId="42" xfId="0" applyNumberFormat="1" applyFont="1" applyBorder="1" applyAlignment="1">
      <alignment vertical="center"/>
    </xf>
    <xf numFmtId="186" fontId="122" fillId="0" borderId="49" xfId="0" applyNumberFormat="1" applyFont="1" applyBorder="1" applyAlignment="1">
      <alignment vertical="center"/>
    </xf>
    <xf numFmtId="0" fontId="122" fillId="0" borderId="22" xfId="0" applyFont="1" applyBorder="1" applyAlignment="1">
      <alignment vertical="center"/>
    </xf>
    <xf numFmtId="0" fontId="122" fillId="0" borderId="41" xfId="0" applyFont="1" applyBorder="1" applyAlignment="1">
      <alignment vertical="center"/>
    </xf>
    <xf numFmtId="0" fontId="122" fillId="0" borderId="51" xfId="0" applyFont="1" applyBorder="1" applyAlignment="1">
      <alignment horizontal="center" vertical="center"/>
    </xf>
    <xf numFmtId="186" fontId="122" fillId="0" borderId="52" xfId="0" applyNumberFormat="1" applyFont="1" applyBorder="1" applyAlignment="1">
      <alignment vertical="center"/>
    </xf>
    <xf numFmtId="186" fontId="122" fillId="0" borderId="50" xfId="0" applyNumberFormat="1" applyFont="1" applyBorder="1" applyAlignment="1">
      <alignment vertical="center"/>
    </xf>
    <xf numFmtId="186" fontId="122" fillId="0" borderId="51" xfId="0" applyNumberFormat="1" applyFont="1" applyBorder="1" applyAlignment="1">
      <alignment vertical="center"/>
    </xf>
    <xf numFmtId="0" fontId="135" fillId="0" borderId="0" xfId="0" applyFont="1" applyAlignment="1">
      <alignment vertical="center"/>
    </xf>
    <xf numFmtId="0" fontId="135" fillId="0" borderId="0" xfId="0" applyFont="1">
      <alignment vertical="center"/>
    </xf>
    <xf numFmtId="0" fontId="135" fillId="0" borderId="0" xfId="0" applyFont="1" applyFill="1" applyBorder="1">
      <alignment vertical="center"/>
    </xf>
    <xf numFmtId="4" fontId="134" fillId="0" borderId="0" xfId="0" applyNumberFormat="1" applyFont="1" applyFill="1" applyBorder="1" applyAlignment="1">
      <alignment vertical="center"/>
    </xf>
    <xf numFmtId="0" fontId="134" fillId="0" borderId="0" xfId="0" applyFont="1" applyBorder="1" applyAlignment="1">
      <alignment vertical="center"/>
    </xf>
    <xf numFmtId="0" fontId="134" fillId="0" borderId="0" xfId="0" applyFont="1" applyBorder="1">
      <alignment vertical="center"/>
    </xf>
    <xf numFmtId="0" fontId="122" fillId="12" borderId="40" xfId="0" applyFont="1" applyFill="1" applyBorder="1">
      <alignment vertical="center"/>
    </xf>
    <xf numFmtId="0" fontId="122" fillId="12" borderId="41" xfId="0" applyFont="1" applyFill="1" applyBorder="1">
      <alignment vertical="center"/>
    </xf>
    <xf numFmtId="0" fontId="122" fillId="12" borderId="49" xfId="0" applyFont="1" applyFill="1" applyBorder="1">
      <alignment vertical="center"/>
    </xf>
    <xf numFmtId="4" fontId="134" fillId="0" borderId="0" xfId="0" applyNumberFormat="1" applyFont="1" applyBorder="1" applyAlignment="1">
      <alignment vertical="center"/>
    </xf>
    <xf numFmtId="0" fontId="136" fillId="0" borderId="0" xfId="0" applyFont="1">
      <alignment vertical="center"/>
    </xf>
    <xf numFmtId="0" fontId="136" fillId="0" borderId="0" xfId="0" applyFont="1" applyFill="1" applyBorder="1">
      <alignment vertical="center"/>
    </xf>
    <xf numFmtId="4" fontId="136" fillId="0" borderId="38" xfId="0" applyNumberFormat="1" applyFont="1" applyFill="1" applyBorder="1">
      <alignment vertical="center"/>
    </xf>
    <xf numFmtId="4" fontId="136" fillId="0" borderId="38" xfId="0" quotePrefix="1" applyNumberFormat="1" applyFont="1" applyFill="1" applyBorder="1">
      <alignment vertical="center"/>
    </xf>
    <xf numFmtId="4" fontId="136" fillId="0" borderId="40" xfId="0" applyNumberFormat="1" applyFont="1" applyFill="1" applyBorder="1">
      <alignment vertical="center"/>
    </xf>
    <xf numFmtId="0" fontId="136" fillId="0" borderId="29" xfId="0" applyFont="1" applyFill="1" applyBorder="1" applyAlignment="1">
      <alignment horizontal="center" vertical="center"/>
    </xf>
    <xf numFmtId="0" fontId="136" fillId="0" borderId="0" xfId="0" applyFont="1" applyFill="1" applyBorder="1" applyAlignment="1">
      <alignment horizontal="center" vertical="center"/>
    </xf>
    <xf numFmtId="4" fontId="136" fillId="0" borderId="22" xfId="0" applyNumberFormat="1" applyFont="1" applyFill="1" applyBorder="1">
      <alignment vertical="center"/>
    </xf>
    <xf numFmtId="4" fontId="136" fillId="0" borderId="22" xfId="0" quotePrefix="1" applyNumberFormat="1" applyFont="1" applyFill="1" applyBorder="1">
      <alignment vertical="center"/>
    </xf>
    <xf numFmtId="4" fontId="136" fillId="0" borderId="41" xfId="0" applyNumberFormat="1" applyFont="1" applyFill="1" applyBorder="1">
      <alignment vertical="center"/>
    </xf>
    <xf numFmtId="0" fontId="136" fillId="0" borderId="0" xfId="0" applyFont="1" applyFill="1" applyBorder="1" applyAlignment="1">
      <alignment vertical="center"/>
    </xf>
    <xf numFmtId="0" fontId="136" fillId="0" borderId="0" xfId="0" applyNumberFormat="1" applyFont="1" applyFill="1" applyBorder="1" applyAlignment="1">
      <alignment horizontal="center" vertical="center"/>
    </xf>
    <xf numFmtId="0" fontId="136" fillId="0" borderId="0" xfId="0" applyFont="1" applyFill="1" applyBorder="1" applyAlignment="1">
      <alignment horizontal="left" vertical="center"/>
    </xf>
    <xf numFmtId="0" fontId="134" fillId="0" borderId="0" xfId="0" applyFont="1" applyFill="1" applyBorder="1">
      <alignment vertical="center"/>
    </xf>
    <xf numFmtId="0" fontId="137" fillId="0" borderId="0" xfId="308" applyFont="1" applyAlignment="1">
      <alignment vertical="center"/>
    </xf>
    <xf numFmtId="0" fontId="138" fillId="0" borderId="0" xfId="0" quotePrefix="1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4" fontId="136" fillId="0" borderId="42" xfId="0" applyNumberFormat="1" applyFont="1" applyFill="1" applyBorder="1">
      <alignment vertical="center"/>
    </xf>
    <xf numFmtId="4" fontId="136" fillId="0" borderId="42" xfId="0" quotePrefix="1" applyNumberFormat="1" applyFont="1" applyFill="1" applyBorder="1">
      <alignment vertical="center"/>
    </xf>
    <xf numFmtId="4" fontId="136" fillId="0" borderId="49" xfId="0" applyNumberFormat="1" applyFont="1" applyFill="1" applyBorder="1">
      <alignment vertical="center"/>
    </xf>
    <xf numFmtId="0" fontId="136" fillId="0" borderId="55" xfId="0" applyFont="1" applyFill="1" applyBorder="1" applyAlignment="1">
      <alignment horizontal="center" vertical="center"/>
    </xf>
    <xf numFmtId="0" fontId="136" fillId="0" borderId="56" xfId="0" applyFont="1" applyFill="1" applyBorder="1" applyAlignment="1">
      <alignment horizontal="center" vertical="center" shrinkToFit="1"/>
    </xf>
    <xf numFmtId="0" fontId="136" fillId="0" borderId="57" xfId="0" applyFont="1" applyFill="1" applyBorder="1" applyAlignment="1">
      <alignment horizontal="center" vertical="center"/>
    </xf>
    <xf numFmtId="4" fontId="136" fillId="0" borderId="52" xfId="0" applyNumberFormat="1" applyFont="1" applyFill="1" applyBorder="1">
      <alignment vertical="center"/>
    </xf>
    <xf numFmtId="4" fontId="136" fillId="0" borderId="50" xfId="0" applyNumberFormat="1" applyFont="1" applyFill="1" applyBorder="1">
      <alignment vertical="center"/>
    </xf>
    <xf numFmtId="4" fontId="136" fillId="0" borderId="51" xfId="0" applyNumberFormat="1" applyFont="1" applyFill="1" applyBorder="1">
      <alignment vertical="center"/>
    </xf>
    <xf numFmtId="0" fontId="136" fillId="0" borderId="17" xfId="0" applyFont="1" applyFill="1" applyBorder="1" applyAlignment="1">
      <alignment horizontal="center" vertical="center"/>
    </xf>
    <xf numFmtId="4" fontId="136" fillId="0" borderId="58" xfId="0" applyNumberFormat="1" applyFont="1" applyFill="1" applyBorder="1">
      <alignment vertical="center"/>
    </xf>
    <xf numFmtId="4" fontId="136" fillId="0" borderId="46" xfId="0" applyNumberFormat="1" applyFont="1" applyFill="1" applyBorder="1">
      <alignment vertical="center"/>
    </xf>
    <xf numFmtId="4" fontId="136" fillId="0" borderId="48" xfId="0" applyNumberFormat="1" applyFont="1" applyFill="1" applyBorder="1">
      <alignment vertical="center"/>
    </xf>
    <xf numFmtId="0" fontId="110" fillId="13" borderId="159" xfId="302" applyFont="1" applyFill="1" applyBorder="1" applyAlignment="1">
      <alignment horizontal="center" vertical="center"/>
    </xf>
    <xf numFmtId="0" fontId="108" fillId="0" borderId="0" xfId="308" applyFont="1" applyAlignment="1">
      <alignment horizontal="right" vertical="center"/>
    </xf>
    <xf numFmtId="0" fontId="103" fillId="0" borderId="0" xfId="312" applyFont="1" applyFill="1" applyBorder="1" applyAlignment="1">
      <alignment horizontal="center" vertical="center"/>
    </xf>
    <xf numFmtId="0" fontId="103" fillId="0" borderId="0" xfId="312" applyFont="1" applyBorder="1" applyAlignment="1">
      <alignment horizontal="center" vertical="center"/>
    </xf>
    <xf numFmtId="0" fontId="121" fillId="0" borderId="59" xfId="0" applyFont="1" applyFill="1" applyBorder="1" applyAlignment="1">
      <alignment horizontal="center" vertical="center"/>
    </xf>
    <xf numFmtId="0" fontId="121" fillId="0" borderId="22" xfId="0" applyFont="1" applyFill="1" applyBorder="1" applyAlignment="1">
      <alignment horizontal="center" vertical="center"/>
    </xf>
    <xf numFmtId="0" fontId="121" fillId="0" borderId="2" xfId="0" applyFont="1" applyFill="1" applyBorder="1" applyAlignment="1">
      <alignment horizontal="center" vertical="center"/>
    </xf>
    <xf numFmtId="0" fontId="121" fillId="0" borderId="38" xfId="0" applyFont="1" applyFill="1" applyBorder="1" applyAlignment="1">
      <alignment horizontal="center" vertical="center"/>
    </xf>
    <xf numFmtId="0" fontId="123" fillId="0" borderId="60" xfId="0" applyFont="1" applyFill="1" applyBorder="1" applyAlignment="1">
      <alignment horizontal="center" vertical="center"/>
    </xf>
    <xf numFmtId="0" fontId="123" fillId="0" borderId="53" xfId="0" applyFont="1" applyFill="1" applyBorder="1" applyAlignment="1">
      <alignment horizontal="center" vertical="center"/>
    </xf>
    <xf numFmtId="0" fontId="123" fillId="0" borderId="54" xfId="0" applyFont="1" applyFill="1" applyBorder="1" applyAlignment="1">
      <alignment horizontal="center" vertical="center"/>
    </xf>
    <xf numFmtId="0" fontId="103" fillId="0" borderId="0" xfId="312" applyFont="1" applyBorder="1" applyAlignment="1">
      <alignment vertical="center"/>
    </xf>
    <xf numFmtId="0" fontId="139" fillId="13" borderId="159" xfId="302" applyFont="1" applyFill="1" applyBorder="1" applyAlignment="1">
      <alignment vertical="center"/>
    </xf>
    <xf numFmtId="0" fontId="107" fillId="13" borderId="159" xfId="302" applyFont="1" applyFill="1" applyBorder="1" applyAlignment="1">
      <alignment horizontal="center" vertical="center"/>
    </xf>
    <xf numFmtId="0" fontId="107" fillId="13" borderId="160" xfId="302" applyFont="1" applyFill="1" applyBorder="1" applyAlignment="1">
      <alignment horizontal="center" vertical="center"/>
    </xf>
    <xf numFmtId="0" fontId="139" fillId="13" borderId="0" xfId="302" applyFont="1" applyFill="1" applyBorder="1" applyAlignment="1">
      <alignment vertical="center"/>
    </xf>
    <xf numFmtId="0" fontId="139" fillId="13" borderId="0" xfId="302" applyFont="1" applyFill="1" applyBorder="1" applyAlignment="1">
      <alignment horizontal="center" vertical="center"/>
    </xf>
    <xf numFmtId="0" fontId="107" fillId="13" borderId="0" xfId="302" applyFont="1" applyFill="1" applyBorder="1" applyAlignment="1">
      <alignment horizontal="center" vertical="center"/>
    </xf>
    <xf numFmtId="0" fontId="107" fillId="13" borderId="161" xfId="302" applyFont="1" applyFill="1" applyBorder="1" applyAlignment="1">
      <alignment horizontal="center" vertical="center"/>
    </xf>
    <xf numFmtId="183" fontId="139" fillId="13" borderId="0" xfId="302" applyNumberFormat="1" applyFont="1" applyFill="1" applyBorder="1" applyAlignment="1">
      <alignment horizontal="left" vertical="center"/>
    </xf>
    <xf numFmtId="0" fontId="107" fillId="13" borderId="0" xfId="302" applyFont="1" applyFill="1" applyBorder="1" applyAlignment="1">
      <alignment vertical="center"/>
    </xf>
    <xf numFmtId="252" fontId="139" fillId="13" borderId="0" xfId="254" applyNumberFormat="1" applyFont="1" applyFill="1" applyBorder="1" applyAlignment="1">
      <alignment horizontal="left" vertical="center"/>
    </xf>
    <xf numFmtId="0" fontId="140" fillId="13" borderId="0" xfId="312" applyFont="1" applyFill="1" applyBorder="1">
      <alignment vertical="center"/>
    </xf>
    <xf numFmtId="0" fontId="140" fillId="13" borderId="161" xfId="312" applyFont="1" applyFill="1" applyBorder="1">
      <alignment vertical="center"/>
    </xf>
    <xf numFmtId="253" fontId="139" fillId="13" borderId="0" xfId="302" applyNumberFormat="1" applyFont="1" applyFill="1" applyBorder="1" applyAlignment="1">
      <alignment horizontal="left" vertical="center"/>
    </xf>
    <xf numFmtId="0" fontId="140" fillId="13" borderId="0" xfId="311" applyFont="1" applyFill="1" applyBorder="1">
      <alignment vertical="center"/>
    </xf>
    <xf numFmtId="0" fontId="139" fillId="13" borderId="0" xfId="302" applyFont="1" applyFill="1" applyBorder="1" applyAlignment="1">
      <alignment horizontal="left" vertical="center"/>
    </xf>
    <xf numFmtId="0" fontId="139" fillId="13" borderId="0" xfId="311" applyFont="1" applyFill="1" applyBorder="1">
      <alignment vertical="center"/>
    </xf>
    <xf numFmtId="0" fontId="141" fillId="13" borderId="162" xfId="315" applyFont="1" applyFill="1" applyBorder="1" applyAlignment="1" applyProtection="1">
      <alignment horizontal="center" vertical="center"/>
    </xf>
    <xf numFmtId="0" fontId="140" fillId="13" borderId="162" xfId="312" applyFont="1" applyFill="1" applyBorder="1">
      <alignment vertical="center"/>
    </xf>
    <xf numFmtId="0" fontId="140" fillId="13" borderId="163" xfId="312" applyFont="1" applyFill="1" applyBorder="1">
      <alignment vertical="center"/>
    </xf>
    <xf numFmtId="0" fontId="101" fillId="14" borderId="29" xfId="308" applyFont="1" applyFill="1" applyBorder="1" applyAlignment="1">
      <alignment vertical="center"/>
    </xf>
    <xf numFmtId="0" fontId="104" fillId="14" borderId="45" xfId="307" applyFont="1" applyFill="1" applyBorder="1" applyAlignment="1">
      <alignment vertical="center"/>
    </xf>
    <xf numFmtId="0" fontId="104" fillId="14" borderId="45" xfId="312" applyFont="1" applyFill="1" applyBorder="1">
      <alignment vertical="center"/>
    </xf>
    <xf numFmtId="41" fontId="104" fillId="14" borderId="45" xfId="307" applyNumberFormat="1" applyFont="1" applyFill="1" applyBorder="1" applyAlignment="1">
      <alignment horizontal="center" vertical="center"/>
    </xf>
    <xf numFmtId="41" fontId="104" fillId="14" borderId="45" xfId="265" applyFont="1" applyFill="1" applyBorder="1" applyAlignment="1">
      <alignment vertical="center"/>
    </xf>
    <xf numFmtId="4" fontId="122" fillId="0" borderId="52" xfId="0" applyNumberFormat="1" applyFont="1" applyBorder="1" applyAlignment="1">
      <alignment vertical="center"/>
    </xf>
    <xf numFmtId="4" fontId="122" fillId="0" borderId="42" xfId="0" applyNumberFormat="1" applyFont="1" applyBorder="1" applyAlignment="1">
      <alignment vertical="center"/>
    </xf>
    <xf numFmtId="4" fontId="122" fillId="0" borderId="38" xfId="0" applyNumberFormat="1" applyFont="1" applyBorder="1" applyAlignment="1">
      <alignment vertical="center"/>
    </xf>
    <xf numFmtId="4" fontId="122" fillId="0" borderId="22" xfId="0" applyNumberFormat="1" applyFont="1" applyBorder="1" applyAlignment="1">
      <alignment vertical="center"/>
    </xf>
    <xf numFmtId="0" fontId="136" fillId="0" borderId="55" xfId="0" applyFont="1" applyFill="1" applyBorder="1" applyAlignment="1">
      <alignment horizontal="center" vertical="center"/>
    </xf>
    <xf numFmtId="0" fontId="136" fillId="0" borderId="57" xfId="0" applyFont="1" applyFill="1" applyBorder="1" applyAlignment="1">
      <alignment horizontal="center" vertical="center"/>
    </xf>
    <xf numFmtId="0" fontId="104" fillId="14" borderId="45" xfId="312" applyFont="1" applyFill="1" applyBorder="1" applyAlignment="1">
      <alignment horizontal="center" vertical="center"/>
    </xf>
    <xf numFmtId="4" fontId="122" fillId="0" borderId="53" xfId="0" applyNumberFormat="1" applyFont="1" applyBorder="1">
      <alignment vertical="center"/>
    </xf>
    <xf numFmtId="4" fontId="122" fillId="12" borderId="54" xfId="0" applyNumberFormat="1" applyFont="1" applyFill="1" applyBorder="1">
      <alignment vertical="center"/>
    </xf>
    <xf numFmtId="4" fontId="122" fillId="0" borderId="61" xfId="0" applyNumberFormat="1" applyFont="1" applyBorder="1">
      <alignment vertical="center"/>
    </xf>
    <xf numFmtId="4" fontId="122" fillId="0" borderId="62" xfId="0" applyNumberFormat="1" applyFont="1" applyBorder="1" applyAlignment="1">
      <alignment vertical="center"/>
    </xf>
    <xf numFmtId="4" fontId="122" fillId="0" borderId="53" xfId="0" applyNumberFormat="1" applyFont="1" applyBorder="1" applyAlignment="1">
      <alignment vertical="center"/>
    </xf>
    <xf numFmtId="4" fontId="122" fillId="0" borderId="53" xfId="0" applyNumberFormat="1" applyFont="1" applyFill="1" applyBorder="1" applyAlignment="1">
      <alignment vertical="center"/>
    </xf>
    <xf numFmtId="4" fontId="122" fillId="12" borderId="54" xfId="0" applyNumberFormat="1" applyFont="1" applyFill="1" applyBorder="1" applyAlignment="1">
      <alignment vertical="center"/>
    </xf>
    <xf numFmtId="4" fontId="122" fillId="0" borderId="63" xfId="0" applyNumberFormat="1" applyFont="1" applyBorder="1" applyAlignment="1">
      <alignment vertical="center"/>
    </xf>
    <xf numFmtId="4" fontId="122" fillId="0" borderId="61" xfId="0" applyNumberFormat="1" applyFont="1" applyFill="1" applyBorder="1" applyAlignment="1">
      <alignment vertical="center"/>
    </xf>
    <xf numFmtId="176" fontId="136" fillId="0" borderId="0" xfId="0" applyNumberFormat="1" applyFont="1" applyFill="1" applyBorder="1" applyAlignment="1">
      <alignment horizontal="center" vertical="center" shrinkToFit="1"/>
    </xf>
    <xf numFmtId="4" fontId="136" fillId="0" borderId="62" xfId="0" applyNumberFormat="1" applyFont="1" applyFill="1" applyBorder="1">
      <alignment vertical="center"/>
    </xf>
    <xf numFmtId="4" fontId="136" fillId="0" borderId="53" xfId="0" applyNumberFormat="1" applyFont="1" applyFill="1" applyBorder="1">
      <alignment vertical="center"/>
    </xf>
    <xf numFmtId="4" fontId="136" fillId="0" borderId="53" xfId="0" quotePrefix="1" applyNumberFormat="1" applyFont="1" applyFill="1" applyBorder="1">
      <alignment vertical="center"/>
    </xf>
    <xf numFmtId="4" fontId="136" fillId="0" borderId="54" xfId="0" applyNumberFormat="1" applyFont="1" applyFill="1" applyBorder="1">
      <alignment vertical="center"/>
    </xf>
    <xf numFmtId="4" fontId="136" fillId="0" borderId="61" xfId="0" applyNumberFormat="1" applyFont="1" applyFill="1" applyBorder="1">
      <alignment vertical="center"/>
    </xf>
    <xf numFmtId="0" fontId="103" fillId="0" borderId="38" xfId="0" applyNumberFormat="1" applyFont="1" applyBorder="1" applyAlignment="1">
      <alignment vertical="center"/>
    </xf>
    <xf numFmtId="0" fontId="104" fillId="0" borderId="42" xfId="302" applyNumberFormat="1" applyFont="1" applyFill="1" applyBorder="1" applyAlignment="1">
      <alignment vertical="center"/>
    </xf>
    <xf numFmtId="0" fontId="103" fillId="0" borderId="38" xfId="302" applyNumberFormat="1" applyFont="1" applyFill="1" applyBorder="1" applyAlignment="1">
      <alignment horizontal="right" vertical="center"/>
    </xf>
    <xf numFmtId="0" fontId="103" fillId="0" borderId="38" xfId="302" applyNumberFormat="1" applyFont="1" applyFill="1" applyBorder="1" applyAlignment="1">
      <alignment vertical="center"/>
    </xf>
    <xf numFmtId="0" fontId="104" fillId="0" borderId="38" xfId="302" applyNumberFormat="1" applyFont="1" applyFill="1" applyBorder="1" applyAlignment="1">
      <alignment vertical="center"/>
    </xf>
    <xf numFmtId="0" fontId="104" fillId="0" borderId="38" xfId="0" applyNumberFormat="1" applyFont="1" applyBorder="1" applyAlignment="1">
      <alignment vertical="center"/>
    </xf>
    <xf numFmtId="179" fontId="139" fillId="13" borderId="0" xfId="302" applyNumberFormat="1" applyFont="1" applyFill="1" applyBorder="1" applyAlignment="1">
      <alignment vertical="center"/>
    </xf>
    <xf numFmtId="0" fontId="140" fillId="0" borderId="0" xfId="302" applyFont="1" applyFill="1" applyAlignment="1">
      <alignment vertical="center"/>
    </xf>
    <xf numFmtId="0" fontId="107" fillId="15" borderId="164" xfId="302" applyFont="1" applyFill="1" applyBorder="1" applyAlignment="1">
      <alignment vertical="center"/>
    </xf>
    <xf numFmtId="0" fontId="140" fillId="16" borderId="165" xfId="302" applyFont="1" applyFill="1" applyBorder="1" applyAlignment="1">
      <alignment horizontal="center" vertical="center" shrinkToFit="1"/>
    </xf>
    <xf numFmtId="0" fontId="140" fillId="17" borderId="165" xfId="302" applyFont="1" applyFill="1" applyBorder="1" applyAlignment="1">
      <alignment horizontal="center" vertical="center" shrinkToFit="1"/>
    </xf>
    <xf numFmtId="0" fontId="140" fillId="16" borderId="166" xfId="302" applyFont="1" applyFill="1" applyBorder="1" applyAlignment="1">
      <alignment horizontal="center" vertical="center" shrinkToFit="1"/>
    </xf>
    <xf numFmtId="0" fontId="140" fillId="17" borderId="166" xfId="302" applyFont="1" applyFill="1" applyBorder="1" applyAlignment="1">
      <alignment horizontal="center" vertical="center" shrinkToFit="1"/>
    </xf>
    <xf numFmtId="0" fontId="140" fillId="16" borderId="167" xfId="302" applyFont="1" applyFill="1" applyBorder="1" applyAlignment="1">
      <alignment horizontal="center" vertical="center" shrinkToFit="1"/>
    </xf>
    <xf numFmtId="0" fontId="140" fillId="15" borderId="168" xfId="302" applyFont="1" applyFill="1" applyBorder="1" applyAlignment="1">
      <alignment horizontal="center" vertical="center" shrinkToFit="1"/>
    </xf>
    <xf numFmtId="0" fontId="140" fillId="15" borderId="169" xfId="302" applyFont="1" applyFill="1" applyBorder="1" applyAlignment="1">
      <alignment horizontal="center" vertical="center" shrinkToFit="1"/>
    </xf>
    <xf numFmtId="0" fontId="140" fillId="15" borderId="170" xfId="302" applyFont="1" applyFill="1" applyBorder="1" applyAlignment="1">
      <alignment horizontal="center" vertical="center" shrinkToFit="1"/>
    </xf>
    <xf numFmtId="245" fontId="140" fillId="0" borderId="171" xfId="302" applyNumberFormat="1" applyFont="1" applyFill="1" applyBorder="1" applyAlignment="1">
      <alignment horizontal="center" vertical="center" shrinkToFit="1"/>
    </xf>
    <xf numFmtId="245" fontId="140" fillId="0" borderId="172" xfId="302" applyNumberFormat="1" applyFont="1" applyFill="1" applyBorder="1" applyAlignment="1">
      <alignment horizontal="center" vertical="center" shrinkToFit="1"/>
    </xf>
    <xf numFmtId="0" fontId="140" fillId="0" borderId="173" xfId="0" applyFont="1" applyFill="1" applyBorder="1" applyAlignment="1">
      <alignment vertical="center" wrapText="1"/>
    </xf>
    <xf numFmtId="0" fontId="140" fillId="15" borderId="174" xfId="302" applyFont="1" applyFill="1" applyBorder="1" applyAlignment="1">
      <alignment horizontal="center" vertical="center" shrinkToFit="1"/>
    </xf>
    <xf numFmtId="245" fontId="140" fillId="15" borderId="175" xfId="302" applyNumberFormat="1" applyFont="1" applyFill="1" applyBorder="1" applyAlignment="1">
      <alignment horizontal="center" vertical="center" shrinkToFit="1"/>
    </xf>
    <xf numFmtId="245" fontId="140" fillId="15" borderId="176" xfId="302" applyNumberFormat="1" applyFont="1" applyFill="1" applyBorder="1" applyAlignment="1">
      <alignment horizontal="center" vertical="center" shrinkToFit="1"/>
    </xf>
    <xf numFmtId="245" fontId="140" fillId="15" borderId="177" xfId="302" applyNumberFormat="1" applyFont="1" applyFill="1" applyBorder="1" applyAlignment="1">
      <alignment horizontal="center" vertical="center" shrinkToFit="1"/>
    </xf>
    <xf numFmtId="0" fontId="140" fillId="0" borderId="178" xfId="302" applyFont="1" applyFill="1" applyBorder="1" applyAlignment="1">
      <alignment horizontal="center" vertical="center" shrinkToFit="1"/>
    </xf>
    <xf numFmtId="0" fontId="140" fillId="0" borderId="179" xfId="302" applyFont="1" applyFill="1" applyBorder="1" applyAlignment="1">
      <alignment horizontal="center" vertical="center" shrinkToFit="1"/>
    </xf>
    <xf numFmtId="0" fontId="140" fillId="0" borderId="180" xfId="302" applyFont="1" applyFill="1" applyBorder="1" applyAlignment="1">
      <alignment horizontal="center" vertical="center" shrinkToFit="1"/>
    </xf>
    <xf numFmtId="258" fontId="139" fillId="13" borderId="0" xfId="302" applyNumberFormat="1" applyFont="1" applyFill="1" applyBorder="1" applyAlignment="1">
      <alignment vertical="center"/>
    </xf>
    <xf numFmtId="179" fontId="139" fillId="13" borderId="0" xfId="302" applyNumberFormat="1" applyFont="1" applyFill="1" applyBorder="1" applyAlignment="1">
      <alignment horizontal="right" vertical="center"/>
    </xf>
    <xf numFmtId="179" fontId="139" fillId="13" borderId="181" xfId="302" applyNumberFormat="1" applyFont="1" applyFill="1" applyBorder="1" applyAlignment="1">
      <alignment vertical="center"/>
    </xf>
    <xf numFmtId="0" fontId="107" fillId="13" borderId="181" xfId="302" applyFont="1" applyFill="1" applyBorder="1" applyAlignment="1">
      <alignment vertical="center"/>
    </xf>
    <xf numFmtId="0" fontId="107" fillId="13" borderId="182" xfId="302" applyFont="1" applyFill="1" applyBorder="1" applyAlignment="1">
      <alignment vertical="center"/>
    </xf>
    <xf numFmtId="0" fontId="107" fillId="13" borderId="183" xfId="302" applyFont="1" applyFill="1" applyBorder="1" applyAlignment="1">
      <alignment vertical="center"/>
    </xf>
    <xf numFmtId="259" fontId="139" fillId="13" borderId="184" xfId="302" applyNumberFormat="1" applyFont="1" applyFill="1" applyBorder="1" applyAlignment="1">
      <alignment vertical="center"/>
    </xf>
    <xf numFmtId="0" fontId="107" fillId="13" borderId="184" xfId="302" applyFont="1" applyFill="1" applyBorder="1" applyAlignment="1">
      <alignment vertical="center"/>
    </xf>
    <xf numFmtId="0" fontId="107" fillId="13" borderId="185" xfId="302" applyFont="1" applyFill="1" applyBorder="1" applyAlignment="1">
      <alignment vertical="center"/>
    </xf>
    <xf numFmtId="0" fontId="142" fillId="15" borderId="186" xfId="302" applyFont="1" applyFill="1" applyBorder="1" applyAlignment="1">
      <alignment horizontal="right" vertical="center"/>
    </xf>
    <xf numFmtId="0" fontId="142" fillId="15" borderId="187" xfId="302" applyFont="1" applyFill="1" applyBorder="1" applyAlignment="1">
      <alignment horizontal="right" vertical="center"/>
    </xf>
    <xf numFmtId="0" fontId="142" fillId="15" borderId="188" xfId="302" applyFont="1" applyFill="1" applyBorder="1" applyAlignment="1">
      <alignment horizontal="right" vertical="center"/>
    </xf>
    <xf numFmtId="0" fontId="142" fillId="15" borderId="174" xfId="302" applyFont="1" applyFill="1" applyBorder="1" applyAlignment="1">
      <alignment horizontal="center" vertical="center"/>
    </xf>
    <xf numFmtId="245" fontId="104" fillId="0" borderId="42" xfId="302" applyNumberFormat="1" applyFont="1" applyFill="1" applyBorder="1" applyAlignment="1">
      <alignment horizontal="center" vertical="center"/>
    </xf>
    <xf numFmtId="0" fontId="142" fillId="15" borderId="189" xfId="302" applyFont="1" applyFill="1" applyBorder="1" applyAlignment="1">
      <alignment horizontal="right" vertical="center"/>
    </xf>
    <xf numFmtId="0" fontId="142" fillId="15" borderId="190" xfId="302" applyFont="1" applyFill="1" applyBorder="1" applyAlignment="1">
      <alignment horizontal="right" vertical="center"/>
    </xf>
    <xf numFmtId="0" fontId="142" fillId="15" borderId="191" xfId="302" applyFont="1" applyFill="1" applyBorder="1" applyAlignment="1">
      <alignment horizontal="right" vertical="center"/>
    </xf>
    <xf numFmtId="0" fontId="143" fillId="15" borderId="190" xfId="302" applyFont="1" applyFill="1" applyBorder="1" applyAlignment="1">
      <alignment horizontal="right" vertical="center"/>
    </xf>
    <xf numFmtId="0" fontId="143" fillId="15" borderId="191" xfId="302" applyFont="1" applyFill="1" applyBorder="1" applyAlignment="1">
      <alignment horizontal="right" vertical="center"/>
    </xf>
    <xf numFmtId="3" fontId="140" fillId="14" borderId="167" xfId="264" applyNumberFormat="1" applyFont="1" applyFill="1" applyBorder="1" applyAlignment="1">
      <alignment vertical="center" shrinkToFit="1"/>
    </xf>
    <xf numFmtId="3" fontId="140" fillId="14" borderId="165" xfId="264" applyNumberFormat="1" applyFont="1" applyFill="1" applyBorder="1" applyAlignment="1">
      <alignment vertical="center" shrinkToFit="1"/>
    </xf>
    <xf numFmtId="3" fontId="140" fillId="14" borderId="166" xfId="264" applyNumberFormat="1" applyFont="1" applyFill="1" applyBorder="1" applyAlignment="1">
      <alignment vertical="center" shrinkToFit="1"/>
    </xf>
    <xf numFmtId="0" fontId="144" fillId="0" borderId="0" xfId="0" applyFont="1" applyFill="1" applyAlignment="1">
      <alignment vertical="center"/>
    </xf>
    <xf numFmtId="0" fontId="144" fillId="0" borderId="0" xfId="0" applyFont="1" applyFill="1" applyAlignment="1">
      <alignment horizontal="center" vertical="center"/>
    </xf>
    <xf numFmtId="0" fontId="145" fillId="0" borderId="0" xfId="0" applyFont="1" applyFill="1" applyAlignment="1">
      <alignment horizontal="left" vertical="center"/>
    </xf>
    <xf numFmtId="260" fontId="144" fillId="0" borderId="0" xfId="0" applyNumberFormat="1" applyFont="1" applyFill="1" applyBorder="1" applyAlignment="1">
      <alignment horizontal="center" vertical="center"/>
    </xf>
    <xf numFmtId="0" fontId="145" fillId="0" borderId="0" xfId="0" applyFont="1" applyFill="1" applyAlignment="1">
      <alignment vertical="center"/>
    </xf>
    <xf numFmtId="0" fontId="144" fillId="0" borderId="0" xfId="0" applyFont="1" applyFill="1" applyAlignment="1">
      <alignment horizontal="right" vertical="center"/>
    </xf>
    <xf numFmtId="0" fontId="144" fillId="0" borderId="0" xfId="0" applyFont="1" applyFill="1" applyBorder="1" applyAlignment="1">
      <alignment horizontal="center" vertical="center"/>
    </xf>
    <xf numFmtId="0" fontId="146" fillId="0" borderId="0" xfId="0" quotePrefix="1" applyNumberFormat="1" applyFont="1" applyBorder="1" applyAlignment="1">
      <alignment horizontal="center" vertical="center" wrapText="1"/>
    </xf>
    <xf numFmtId="0" fontId="146" fillId="0" borderId="0" xfId="0" applyFont="1" applyBorder="1" applyAlignment="1">
      <alignment horizontal="center" vertical="center" wrapText="1"/>
    </xf>
    <xf numFmtId="0" fontId="147" fillId="0" borderId="0" xfId="0" applyFont="1" applyFill="1" applyAlignment="1">
      <alignment horizontal="left" vertical="center"/>
    </xf>
    <xf numFmtId="0" fontId="145" fillId="0" borderId="64" xfId="0" applyFont="1" applyFill="1" applyBorder="1" applyAlignment="1">
      <alignment vertical="center"/>
    </xf>
    <xf numFmtId="0" fontId="148" fillId="13" borderId="162" xfId="315" applyFont="1" applyFill="1" applyBorder="1" applyAlignment="1" applyProtection="1">
      <alignment horizontal="center" vertical="center"/>
    </xf>
    <xf numFmtId="0" fontId="149" fillId="0" borderId="0" xfId="0" applyFont="1">
      <alignment vertical="center"/>
    </xf>
    <xf numFmtId="0" fontId="150" fillId="0" borderId="0" xfId="302" applyFont="1" applyFill="1" applyAlignment="1">
      <alignment vertical="center"/>
    </xf>
    <xf numFmtId="0" fontId="106" fillId="0" borderId="0" xfId="302" applyFont="1" applyFill="1" applyAlignment="1">
      <alignment vertical="center"/>
    </xf>
    <xf numFmtId="0" fontId="144" fillId="14" borderId="38" xfId="0" applyNumberFormat="1" applyFont="1" applyFill="1" applyBorder="1" applyAlignment="1">
      <alignment vertical="center"/>
    </xf>
    <xf numFmtId="41" fontId="144" fillId="0" borderId="38" xfId="0" applyNumberFormat="1" applyFont="1" applyFill="1" applyBorder="1" applyAlignment="1">
      <alignment vertical="center"/>
    </xf>
    <xf numFmtId="41" fontId="144" fillId="0" borderId="42" xfId="0" applyNumberFormat="1" applyFont="1" applyFill="1" applyBorder="1" applyAlignment="1">
      <alignment vertical="center"/>
    </xf>
    <xf numFmtId="41" fontId="144" fillId="0" borderId="65" xfId="0" applyNumberFormat="1" applyFont="1" applyFill="1" applyBorder="1" applyAlignment="1">
      <alignment vertical="center"/>
    </xf>
    <xf numFmtId="0" fontId="145" fillId="0" borderId="55" xfId="0" applyFont="1" applyFill="1" applyBorder="1" applyAlignment="1">
      <alignment vertical="center"/>
    </xf>
    <xf numFmtId="41" fontId="145" fillId="0" borderId="55" xfId="0" applyNumberFormat="1" applyFont="1" applyFill="1" applyBorder="1" applyAlignment="1">
      <alignment vertical="center"/>
    </xf>
    <xf numFmtId="0" fontId="144" fillId="0" borderId="38" xfId="0" applyNumberFormat="1" applyFont="1" applyFill="1" applyBorder="1" applyAlignment="1">
      <alignment vertical="center"/>
    </xf>
    <xf numFmtId="0" fontId="144" fillId="0" borderId="65" xfId="0" applyNumberFormat="1" applyFont="1" applyFill="1" applyBorder="1" applyAlignment="1">
      <alignment vertical="center"/>
    </xf>
    <xf numFmtId="0" fontId="144" fillId="0" borderId="2" xfId="0" applyFont="1" applyFill="1" applyBorder="1" applyAlignment="1">
      <alignment horizontal="center" vertical="center"/>
    </xf>
    <xf numFmtId="0" fontId="144" fillId="0" borderId="59" xfId="0" applyFont="1" applyFill="1" applyBorder="1" applyAlignment="1">
      <alignment horizontal="center" vertical="center"/>
    </xf>
    <xf numFmtId="0" fontId="144" fillId="0" borderId="66" xfId="0" applyFont="1" applyFill="1" applyBorder="1" applyAlignment="1">
      <alignment horizontal="center" vertical="center"/>
    </xf>
    <xf numFmtId="0" fontId="144" fillId="0" borderId="60" xfId="0" applyFont="1" applyFill="1" applyBorder="1" applyAlignment="1">
      <alignment horizontal="center" vertical="center"/>
    </xf>
    <xf numFmtId="0" fontId="144" fillId="0" borderId="67" xfId="0" applyFont="1" applyFill="1" applyBorder="1" applyAlignment="1">
      <alignment horizontal="center" vertical="center"/>
    </xf>
    <xf numFmtId="0" fontId="144" fillId="0" borderId="2" xfId="0" applyFont="1" applyFill="1" applyBorder="1" applyAlignment="1">
      <alignment horizontal="center" vertical="center"/>
    </xf>
    <xf numFmtId="0" fontId="144" fillId="0" borderId="0" xfId="0" applyFont="1" applyFill="1" applyAlignment="1">
      <alignment vertical="center" wrapText="1"/>
    </xf>
    <xf numFmtId="0" fontId="144" fillId="0" borderId="2" xfId="0" applyFont="1" applyFill="1" applyBorder="1" applyAlignment="1">
      <alignment horizontal="center" vertical="center" shrinkToFit="1"/>
    </xf>
    <xf numFmtId="0" fontId="144" fillId="0" borderId="22" xfId="0" applyNumberFormat="1" applyFont="1" applyFill="1" applyBorder="1" applyAlignment="1">
      <alignment vertical="center"/>
    </xf>
    <xf numFmtId="0" fontId="145" fillId="0" borderId="68" xfId="0" applyFont="1" applyFill="1" applyBorder="1" applyAlignment="1">
      <alignment horizontal="center" vertical="center"/>
    </xf>
    <xf numFmtId="41" fontId="145" fillId="0" borderId="61" xfId="0" applyNumberFormat="1" applyFont="1" applyFill="1" applyBorder="1" applyAlignment="1">
      <alignment vertical="center"/>
    </xf>
    <xf numFmtId="0" fontId="144" fillId="0" borderId="61" xfId="0" applyNumberFormat="1" applyFont="1" applyFill="1" applyBorder="1" applyAlignment="1">
      <alignment vertical="center"/>
    </xf>
    <xf numFmtId="0" fontId="144" fillId="0" borderId="53" xfId="0" applyNumberFormat="1" applyFont="1" applyFill="1" applyBorder="1" applyAlignment="1">
      <alignment vertical="center"/>
    </xf>
    <xf numFmtId="0" fontId="151" fillId="0" borderId="0" xfId="0" applyFont="1" applyFill="1" applyAlignment="1">
      <alignment vertical="center"/>
    </xf>
    <xf numFmtId="0" fontId="151" fillId="0" borderId="0" xfId="0" quotePrefix="1" applyNumberFormat="1" applyFont="1" applyFill="1" applyBorder="1" applyAlignment="1">
      <alignment horizontal="center" vertical="center"/>
    </xf>
    <xf numFmtId="251" fontId="151" fillId="0" borderId="0" xfId="0" applyNumberFormat="1" applyFont="1" applyFill="1" applyBorder="1" applyAlignment="1">
      <alignment horizontal="center" vertical="center"/>
    </xf>
    <xf numFmtId="260" fontId="151" fillId="0" borderId="0" xfId="0" applyNumberFormat="1" applyFont="1" applyFill="1" applyBorder="1" applyAlignment="1">
      <alignment horizontal="center" vertical="center"/>
    </xf>
    <xf numFmtId="0" fontId="151" fillId="0" borderId="0" xfId="0" applyFont="1" applyFill="1" applyBorder="1" applyAlignment="1">
      <alignment horizontal="center" vertical="center"/>
    </xf>
    <xf numFmtId="0" fontId="152" fillId="0" borderId="0" xfId="0" applyFont="1" applyFill="1" applyAlignment="1">
      <alignment vertical="center"/>
    </xf>
    <xf numFmtId="0" fontId="153" fillId="13" borderId="0" xfId="302" applyFont="1" applyFill="1" applyBorder="1" applyAlignment="1">
      <alignment horizontal="center" vertical="center" wrapText="1"/>
    </xf>
    <xf numFmtId="0" fontId="153" fillId="13" borderId="0" xfId="302" applyFont="1" applyFill="1" applyBorder="1" applyAlignment="1">
      <alignment horizontal="center" vertical="center"/>
    </xf>
    <xf numFmtId="0" fontId="153" fillId="13" borderId="162" xfId="302" applyFont="1" applyFill="1" applyBorder="1" applyAlignment="1">
      <alignment horizontal="center" vertical="center"/>
    </xf>
    <xf numFmtId="0" fontId="154" fillId="0" borderId="0" xfId="0" applyFont="1" applyFill="1" applyAlignment="1">
      <alignment vertical="center"/>
    </xf>
    <xf numFmtId="0" fontId="153" fillId="0" borderId="0" xfId="0" applyFont="1" applyFill="1" applyAlignment="1">
      <alignment vertical="center"/>
    </xf>
    <xf numFmtId="0" fontId="144" fillId="0" borderId="42" xfId="0" applyNumberFormat="1" applyFont="1" applyFill="1" applyBorder="1" applyAlignment="1">
      <alignment vertical="center"/>
    </xf>
    <xf numFmtId="0" fontId="127" fillId="0" borderId="0" xfId="308" applyFont="1" applyAlignment="1">
      <alignment vertical="center"/>
    </xf>
    <xf numFmtId="0" fontId="128" fillId="0" borderId="0" xfId="308" applyFont="1" applyAlignment="1">
      <alignment vertical="center"/>
    </xf>
    <xf numFmtId="0" fontId="128" fillId="0" borderId="0" xfId="308" applyFont="1" applyAlignment="1">
      <alignment horizontal="right" vertical="center"/>
    </xf>
    <xf numFmtId="41" fontId="128" fillId="0" borderId="4" xfId="264" applyFont="1" applyBorder="1" applyAlignment="1">
      <alignment horizontal="center" vertical="center"/>
    </xf>
    <xf numFmtId="41" fontId="108" fillId="0" borderId="4" xfId="264" applyFont="1" applyBorder="1" applyAlignment="1">
      <alignment horizontal="center" vertical="center"/>
    </xf>
    <xf numFmtId="41" fontId="108" fillId="0" borderId="38" xfId="264" applyFont="1" applyBorder="1" applyAlignment="1">
      <alignment horizontal="center" vertical="center"/>
    </xf>
    <xf numFmtId="41" fontId="108" fillId="0" borderId="38" xfId="264" applyFont="1" applyBorder="1" applyAlignment="1">
      <alignment vertical="center"/>
    </xf>
    <xf numFmtId="41" fontId="108" fillId="0" borderId="22" xfId="264" applyFont="1" applyBorder="1" applyAlignment="1">
      <alignment horizontal="center" vertical="center"/>
    </xf>
    <xf numFmtId="41" fontId="108" fillId="0" borderId="42" xfId="264" applyFont="1" applyBorder="1" applyAlignment="1">
      <alignment horizontal="center" vertical="center"/>
    </xf>
    <xf numFmtId="41" fontId="101" fillId="14" borderId="42" xfId="264" applyFont="1" applyFill="1" applyBorder="1" applyAlignment="1">
      <alignment vertical="center"/>
    </xf>
    <xf numFmtId="41" fontId="108" fillId="0" borderId="42" xfId="264" applyFont="1" applyBorder="1" applyAlignment="1">
      <alignment vertical="center"/>
    </xf>
    <xf numFmtId="41" fontId="108" fillId="0" borderId="55" xfId="264" applyFont="1" applyBorder="1" applyAlignment="1">
      <alignment horizontal="center" vertical="center"/>
    </xf>
    <xf numFmtId="41" fontId="108" fillId="0" borderId="57" xfId="264" applyFont="1" applyBorder="1" applyAlignment="1">
      <alignment horizontal="center" vertical="center"/>
    </xf>
    <xf numFmtId="41" fontId="108" fillId="0" borderId="52" xfId="264" applyFont="1" applyBorder="1" applyAlignment="1">
      <alignment horizontal="center" vertical="center"/>
    </xf>
    <xf numFmtId="41" fontId="108" fillId="0" borderId="50" xfId="264" applyFont="1" applyBorder="1" applyAlignment="1">
      <alignment horizontal="center" vertical="center"/>
    </xf>
    <xf numFmtId="41" fontId="108" fillId="0" borderId="51" xfId="264" applyFont="1" applyBorder="1" applyAlignment="1">
      <alignment horizontal="center" vertical="center"/>
    </xf>
    <xf numFmtId="41" fontId="108" fillId="0" borderId="69" xfId="264" applyFont="1" applyBorder="1" applyAlignment="1">
      <alignment horizontal="center" vertical="center"/>
    </xf>
    <xf numFmtId="0" fontId="108" fillId="0" borderId="70" xfId="308" applyFont="1" applyBorder="1" applyAlignment="1">
      <alignment horizontal="center" vertical="center"/>
    </xf>
    <xf numFmtId="41" fontId="108" fillId="0" borderId="70" xfId="264" applyFont="1" applyBorder="1" applyAlignment="1">
      <alignment horizontal="center" vertical="center"/>
    </xf>
    <xf numFmtId="41" fontId="108" fillId="0" borderId="71" xfId="264" applyFont="1" applyBorder="1" applyAlignment="1">
      <alignment horizontal="center" vertical="center"/>
    </xf>
    <xf numFmtId="41" fontId="108" fillId="0" borderId="41" xfId="264" applyFont="1" applyBorder="1" applyAlignment="1">
      <alignment horizontal="center" vertical="center"/>
    </xf>
    <xf numFmtId="41" fontId="108" fillId="0" borderId="49" xfId="264" applyFont="1" applyBorder="1" applyAlignment="1">
      <alignment horizontal="center" vertical="center"/>
    </xf>
    <xf numFmtId="41" fontId="108" fillId="0" borderId="55" xfId="264" applyFont="1" applyBorder="1" applyAlignment="1">
      <alignment horizontal="center" vertical="center" wrapText="1"/>
    </xf>
    <xf numFmtId="41" fontId="108" fillId="0" borderId="56" xfId="264" applyFont="1" applyBorder="1" applyAlignment="1">
      <alignment horizontal="center" vertical="center"/>
    </xf>
    <xf numFmtId="41" fontId="108" fillId="0" borderId="38" xfId="264" applyFont="1" applyFill="1" applyBorder="1" applyAlignment="1">
      <alignment vertical="center"/>
    </xf>
    <xf numFmtId="0" fontId="128" fillId="0" borderId="60" xfId="308" applyFont="1" applyBorder="1" applyAlignment="1">
      <alignment vertical="center"/>
    </xf>
    <xf numFmtId="0" fontId="128" fillId="0" borderId="2" xfId="308" applyFont="1" applyBorder="1" applyAlignment="1">
      <alignment vertical="center"/>
    </xf>
    <xf numFmtId="0" fontId="144" fillId="0" borderId="40" xfId="0" applyFont="1" applyFill="1" applyBorder="1" applyAlignment="1">
      <alignment vertical="center"/>
    </xf>
    <xf numFmtId="0" fontId="128" fillId="0" borderId="59" xfId="308" applyFont="1" applyBorder="1" applyAlignment="1">
      <alignment vertical="center"/>
    </xf>
    <xf numFmtId="0" fontId="144" fillId="0" borderId="54" xfId="0" applyFont="1" applyFill="1" applyBorder="1" applyAlignment="1">
      <alignment vertical="center"/>
    </xf>
    <xf numFmtId="0" fontId="144" fillId="0" borderId="41" xfId="0" applyFont="1" applyFill="1" applyBorder="1" applyAlignment="1">
      <alignment vertical="center"/>
    </xf>
    <xf numFmtId="41" fontId="128" fillId="0" borderId="69" xfId="264" applyFont="1" applyBorder="1" applyAlignment="1">
      <alignment vertical="center"/>
    </xf>
    <xf numFmtId="41" fontId="128" fillId="0" borderId="71" xfId="264" applyFont="1" applyBorder="1" applyAlignment="1">
      <alignment vertical="center"/>
    </xf>
    <xf numFmtId="41" fontId="128" fillId="0" borderId="38" xfId="264" applyFont="1" applyBorder="1" applyAlignment="1">
      <alignment horizontal="center" vertical="center"/>
    </xf>
    <xf numFmtId="41" fontId="128" fillId="0" borderId="40" xfId="264" applyFont="1" applyBorder="1" applyAlignment="1">
      <alignment horizontal="center" vertical="center"/>
    </xf>
    <xf numFmtId="41" fontId="128" fillId="0" borderId="42" xfId="264" applyFont="1" applyBorder="1" applyAlignment="1">
      <alignment horizontal="center" vertical="center"/>
    </xf>
    <xf numFmtId="41" fontId="128" fillId="0" borderId="49" xfId="264" applyFont="1" applyBorder="1" applyAlignment="1">
      <alignment horizontal="center" vertical="center"/>
    </xf>
    <xf numFmtId="41" fontId="128" fillId="0" borderId="55" xfId="264" applyFont="1" applyBorder="1" applyAlignment="1">
      <alignment horizontal="center" vertical="center"/>
    </xf>
    <xf numFmtId="41" fontId="128" fillId="0" borderId="56" xfId="264" applyFont="1" applyBorder="1" applyAlignment="1">
      <alignment horizontal="center" vertical="center"/>
    </xf>
    <xf numFmtId="41" fontId="128" fillId="0" borderId="65" xfId="264" applyFont="1" applyBorder="1" applyAlignment="1">
      <alignment horizontal="center" vertical="center"/>
    </xf>
    <xf numFmtId="41" fontId="128" fillId="0" borderId="72" xfId="264" applyFont="1" applyBorder="1" applyAlignment="1">
      <alignment horizontal="center" vertical="center"/>
    </xf>
    <xf numFmtId="0" fontId="119" fillId="0" borderId="4" xfId="301" applyFont="1" applyBorder="1" applyAlignment="1">
      <alignment vertical="center"/>
    </xf>
    <xf numFmtId="0" fontId="119" fillId="0" borderId="4" xfId="301" applyFont="1" applyBorder="1" applyAlignment="1">
      <alignment horizontal="center" vertical="center"/>
    </xf>
    <xf numFmtId="3" fontId="103" fillId="0" borderId="4" xfId="301" applyNumberFormat="1" applyFont="1" applyBorder="1" applyAlignment="1">
      <alignment vertical="center"/>
    </xf>
    <xf numFmtId="3" fontId="119" fillId="0" borderId="4" xfId="301" applyNumberFormat="1" applyFont="1" applyBorder="1" applyAlignment="1">
      <alignment vertical="center"/>
    </xf>
    <xf numFmtId="3" fontId="128" fillId="0" borderId="4" xfId="301" applyNumberFormat="1" applyFont="1" applyBorder="1" applyAlignment="1">
      <alignment vertical="center"/>
    </xf>
    <xf numFmtId="41" fontId="108" fillId="0" borderId="55" xfId="264" applyFont="1" applyBorder="1" applyAlignment="1">
      <alignment horizontal="center" vertical="center"/>
    </xf>
    <xf numFmtId="0" fontId="155" fillId="18" borderId="189" xfId="302" applyFont="1" applyFill="1" applyBorder="1" applyAlignment="1">
      <alignment horizontal="right" vertical="center"/>
    </xf>
    <xf numFmtId="0" fontId="128" fillId="2" borderId="73" xfId="302" applyFont="1" applyFill="1" applyBorder="1" applyAlignment="1">
      <alignment horizontal="center" vertical="center" wrapText="1"/>
    </xf>
    <xf numFmtId="0" fontId="128" fillId="2" borderId="74" xfId="302" applyFont="1" applyFill="1" applyBorder="1" applyAlignment="1">
      <alignment horizontal="center" vertical="center" wrapText="1"/>
    </xf>
    <xf numFmtId="0" fontId="128" fillId="2" borderId="75" xfId="302" applyFont="1" applyFill="1" applyBorder="1" applyAlignment="1">
      <alignment horizontal="center" vertical="center" wrapText="1"/>
    </xf>
    <xf numFmtId="0" fontId="128" fillId="2" borderId="76" xfId="302" applyFont="1" applyFill="1" applyBorder="1" applyAlignment="1">
      <alignment horizontal="center" vertical="center" wrapText="1"/>
    </xf>
    <xf numFmtId="0" fontId="128" fillId="2" borderId="77" xfId="302" applyFont="1" applyFill="1" applyBorder="1" applyAlignment="1">
      <alignment horizontal="center" vertical="center" wrapText="1"/>
    </xf>
    <xf numFmtId="0" fontId="128" fillId="2" borderId="78" xfId="302" applyFont="1" applyFill="1" applyBorder="1" applyAlignment="1">
      <alignment horizontal="center" vertical="center" wrapText="1"/>
    </xf>
    <xf numFmtId="0" fontId="128" fillId="11" borderId="79" xfId="302" applyFont="1" applyFill="1" applyBorder="1" applyAlignment="1">
      <alignment horizontal="center" vertical="center" wrapText="1"/>
    </xf>
    <xf numFmtId="0" fontId="128" fillId="11" borderId="80" xfId="302" applyFont="1" applyFill="1" applyBorder="1" applyAlignment="1">
      <alignment horizontal="center" vertical="center" wrapText="1"/>
    </xf>
    <xf numFmtId="0" fontId="128" fillId="2" borderId="81" xfId="302" applyFont="1" applyFill="1" applyBorder="1" applyAlignment="1">
      <alignment horizontal="center" vertical="center" wrapText="1"/>
    </xf>
    <xf numFmtId="0" fontId="128" fillId="2" borderId="82" xfId="302" applyFont="1" applyFill="1" applyBorder="1" applyAlignment="1">
      <alignment horizontal="center" vertical="center" wrapText="1"/>
    </xf>
    <xf numFmtId="0" fontId="128" fillId="2" borderId="83" xfId="302" applyFont="1" applyFill="1" applyBorder="1" applyAlignment="1">
      <alignment horizontal="center" vertical="center" wrapText="1"/>
    </xf>
    <xf numFmtId="0" fontId="128" fillId="2" borderId="84" xfId="302" applyFont="1" applyFill="1" applyBorder="1" applyAlignment="1">
      <alignment vertical="center" wrapText="1"/>
    </xf>
    <xf numFmtId="0" fontId="128" fillId="2" borderId="85" xfId="302" applyFont="1" applyFill="1" applyBorder="1" applyAlignment="1">
      <alignment vertical="center" wrapText="1"/>
    </xf>
    <xf numFmtId="0" fontId="128" fillId="2" borderId="86" xfId="302" applyFont="1" applyFill="1" applyBorder="1" applyAlignment="1">
      <alignment vertical="center" wrapText="1"/>
    </xf>
    <xf numFmtId="247" fontId="103" fillId="2" borderId="61" xfId="302" applyNumberFormat="1" applyFont="1" applyFill="1" applyBorder="1" applyAlignment="1">
      <alignment horizontal="center" vertical="center" wrapText="1"/>
    </xf>
    <xf numFmtId="0" fontId="103" fillId="2" borderId="87" xfId="302" applyFont="1" applyFill="1" applyBorder="1" applyAlignment="1">
      <alignment horizontal="center" vertical="center" wrapText="1"/>
    </xf>
    <xf numFmtId="0" fontId="103" fillId="11" borderId="22" xfId="302" applyFont="1" applyFill="1" applyBorder="1" applyAlignment="1">
      <alignment horizontal="center" vertical="center"/>
    </xf>
    <xf numFmtId="0" fontId="103" fillId="11" borderId="51" xfId="302" applyFont="1" applyFill="1" applyBorder="1" applyAlignment="1">
      <alignment horizontal="center" vertical="center"/>
    </xf>
    <xf numFmtId="247" fontId="103" fillId="2" borderId="63" xfId="302" applyNumberFormat="1" applyFont="1" applyFill="1" applyBorder="1" applyAlignment="1">
      <alignment horizontal="center" vertical="center" wrapText="1"/>
    </xf>
    <xf numFmtId="0" fontId="103" fillId="0" borderId="36" xfId="302" applyFont="1" applyFill="1" applyBorder="1" applyAlignment="1">
      <alignment vertical="center"/>
    </xf>
    <xf numFmtId="0" fontId="103" fillId="11" borderId="60" xfId="302" applyFont="1" applyFill="1" applyBorder="1" applyAlignment="1">
      <alignment horizontal="right" vertical="center"/>
    </xf>
    <xf numFmtId="0" fontId="103" fillId="11" borderId="2" xfId="302" applyFont="1" applyFill="1" applyBorder="1" applyAlignment="1">
      <alignment horizontal="right" vertical="center"/>
    </xf>
    <xf numFmtId="0" fontId="104" fillId="11" borderId="59" xfId="302" applyFont="1" applyFill="1" applyBorder="1" applyAlignment="1">
      <alignment horizontal="center" vertical="center"/>
    </xf>
    <xf numFmtId="41" fontId="108" fillId="0" borderId="88" xfId="264" applyFont="1" applyBorder="1" applyAlignment="1">
      <alignment horizontal="center" vertical="center"/>
    </xf>
    <xf numFmtId="41" fontId="108" fillId="0" borderId="89" xfId="264" applyFont="1" applyBorder="1" applyAlignment="1">
      <alignment horizontal="center" vertical="center"/>
    </xf>
    <xf numFmtId="41" fontId="108" fillId="0" borderId="65" xfId="264" applyFont="1" applyBorder="1" applyAlignment="1">
      <alignment horizontal="center" vertical="center"/>
    </xf>
    <xf numFmtId="41" fontId="108" fillId="0" borderId="65" xfId="264" applyFont="1" applyBorder="1" applyAlignment="1">
      <alignment vertical="center"/>
    </xf>
    <xf numFmtId="41" fontId="108" fillId="0" borderId="55" xfId="264" applyFont="1" applyBorder="1" applyAlignment="1">
      <alignment vertical="center"/>
    </xf>
    <xf numFmtId="244" fontId="104" fillId="14" borderId="38" xfId="265" applyNumberFormat="1" applyFont="1" applyFill="1" applyBorder="1" applyAlignment="1">
      <alignment vertical="center"/>
    </xf>
    <xf numFmtId="0" fontId="103" fillId="0" borderId="40" xfId="0" applyFont="1" applyBorder="1" applyAlignment="1">
      <alignment vertical="center"/>
    </xf>
    <xf numFmtId="244" fontId="104" fillId="14" borderId="38" xfId="0" applyNumberFormat="1" applyFont="1" applyFill="1" applyBorder="1" applyAlignment="1">
      <alignment vertical="center"/>
    </xf>
    <xf numFmtId="0" fontId="103" fillId="0" borderId="41" xfId="0" applyFont="1" applyBorder="1" applyAlignment="1">
      <alignment vertical="center"/>
    </xf>
    <xf numFmtId="0" fontId="103" fillId="0" borderId="50" xfId="0" applyFont="1" applyFill="1" applyBorder="1" applyAlignment="1">
      <alignment vertical="center"/>
    </xf>
    <xf numFmtId="0" fontId="103" fillId="0" borderId="50" xfId="0" applyFont="1" applyBorder="1" applyAlignment="1">
      <alignment vertical="center"/>
    </xf>
    <xf numFmtId="0" fontId="103" fillId="0" borderId="50" xfId="0" applyFont="1" applyBorder="1" applyAlignment="1">
      <alignment vertical="center" wrapText="1"/>
    </xf>
    <xf numFmtId="0" fontId="103" fillId="0" borderId="51" xfId="0" applyFont="1" applyFill="1" applyBorder="1" applyAlignment="1">
      <alignment vertical="center"/>
    </xf>
    <xf numFmtId="0" fontId="103" fillId="11" borderId="4" xfId="0" applyFont="1" applyFill="1" applyBorder="1" applyAlignment="1">
      <alignment horizontal="center" vertical="center"/>
    </xf>
    <xf numFmtId="0" fontId="103" fillId="11" borderId="57" xfId="0" applyFont="1" applyFill="1" applyBorder="1" applyAlignment="1">
      <alignment horizontal="centerContinuous" vertical="center"/>
    </xf>
    <xf numFmtId="0" fontId="103" fillId="11" borderId="55" xfId="0" applyFont="1" applyFill="1" applyBorder="1" applyAlignment="1">
      <alignment horizontal="center" vertical="center"/>
    </xf>
    <xf numFmtId="0" fontId="103" fillId="11" borderId="56" xfId="0" applyFont="1" applyFill="1" applyBorder="1" applyAlignment="1">
      <alignment horizontal="center" vertical="center"/>
    </xf>
    <xf numFmtId="0" fontId="144" fillId="11" borderId="59" xfId="0" applyFont="1" applyFill="1" applyBorder="1" applyAlignment="1">
      <alignment horizontal="center" vertical="center"/>
    </xf>
    <xf numFmtId="0" fontId="144" fillId="11" borderId="22" xfId="0" applyFont="1" applyFill="1" applyBorder="1" applyAlignment="1">
      <alignment vertical="center"/>
    </xf>
    <xf numFmtId="0" fontId="144" fillId="11" borderId="67" xfId="0" applyFont="1" applyFill="1" applyBorder="1" applyAlignment="1">
      <alignment horizontal="center" vertical="center"/>
    </xf>
    <xf numFmtId="0" fontId="144" fillId="11" borderId="65" xfId="0" applyFont="1" applyFill="1" applyBorder="1" applyAlignment="1">
      <alignment vertical="center"/>
    </xf>
    <xf numFmtId="0" fontId="122" fillId="11" borderId="51" xfId="0" applyFont="1" applyFill="1" applyBorder="1" applyAlignment="1">
      <alignment vertical="center" shrinkToFit="1"/>
    </xf>
    <xf numFmtId="0" fontId="122" fillId="11" borderId="22" xfId="0" applyFont="1" applyFill="1" applyBorder="1" applyAlignment="1">
      <alignment vertical="center" shrinkToFit="1"/>
    </xf>
    <xf numFmtId="0" fontId="122" fillId="11" borderId="51" xfId="0" applyFont="1" applyFill="1" applyBorder="1" applyAlignment="1">
      <alignment horizontal="center" vertical="center" shrinkToFit="1"/>
    </xf>
    <xf numFmtId="0" fontId="122" fillId="11" borderId="22" xfId="0" applyFont="1" applyFill="1" applyBorder="1" applyAlignment="1">
      <alignment horizontal="center" vertical="center" shrinkToFit="1"/>
    </xf>
    <xf numFmtId="237" fontId="103" fillId="11" borderId="53" xfId="265" applyNumberFormat="1" applyFont="1" applyFill="1" applyBorder="1" applyAlignment="1">
      <alignment horizontal="centerContinuous" vertical="center"/>
    </xf>
    <xf numFmtId="237" fontId="103" fillId="11" borderId="22" xfId="265" applyNumberFormat="1" applyFont="1" applyFill="1" applyBorder="1" applyAlignment="1">
      <alignment horizontal="center" vertical="center"/>
    </xf>
    <xf numFmtId="0" fontId="125" fillId="11" borderId="4" xfId="301" applyFont="1" applyFill="1" applyBorder="1" applyAlignment="1">
      <alignment horizontal="center" vertical="center"/>
    </xf>
    <xf numFmtId="0" fontId="103" fillId="0" borderId="0" xfId="313" applyFont="1" applyFill="1" applyBorder="1" applyAlignment="1">
      <alignment vertical="center"/>
    </xf>
    <xf numFmtId="0" fontId="103" fillId="0" borderId="90" xfId="313" applyFont="1" applyFill="1" applyBorder="1" applyAlignment="1">
      <alignment vertical="center"/>
    </xf>
    <xf numFmtId="0" fontId="103" fillId="0" borderId="45" xfId="313" applyFont="1" applyFill="1" applyBorder="1" applyAlignment="1">
      <alignment vertical="center"/>
    </xf>
    <xf numFmtId="178" fontId="103" fillId="0" borderId="0" xfId="313" applyNumberFormat="1" applyFont="1" applyFill="1" applyBorder="1" applyAlignment="1">
      <alignment vertical="center"/>
    </xf>
    <xf numFmtId="0" fontId="119" fillId="0" borderId="0" xfId="306" applyNumberFormat="1" applyFont="1" applyFill="1" applyBorder="1" applyAlignment="1">
      <alignment horizontal="left" vertical="center"/>
    </xf>
    <xf numFmtId="0" fontId="103" fillId="0" borderId="0" xfId="313" applyNumberFormat="1" applyFont="1" applyFill="1" applyBorder="1" applyAlignment="1">
      <alignment vertical="center"/>
    </xf>
    <xf numFmtId="0" fontId="103" fillId="0" borderId="0" xfId="266" applyNumberFormat="1" applyFont="1" applyFill="1" applyBorder="1" applyAlignment="1">
      <alignment horizontal="center" vertical="center"/>
    </xf>
    <xf numFmtId="0" fontId="103" fillId="0" borderId="0" xfId="266" applyNumberFormat="1" applyFont="1" applyFill="1" applyBorder="1" applyAlignment="1">
      <alignment horizontal="left" vertical="center"/>
    </xf>
    <xf numFmtId="0" fontId="103" fillId="0" borderId="0" xfId="306" applyNumberFormat="1" applyFont="1" applyFill="1" applyBorder="1" applyAlignment="1">
      <alignment horizontal="center" vertical="center"/>
    </xf>
    <xf numFmtId="0" fontId="103" fillId="0" borderId="0" xfId="306" applyNumberFormat="1" applyFont="1" applyFill="1" applyBorder="1" applyAlignment="1">
      <alignment vertical="center"/>
    </xf>
    <xf numFmtId="0" fontId="103" fillId="0" borderId="0" xfId="267" applyNumberFormat="1" applyFont="1" applyFill="1" applyBorder="1" applyAlignment="1">
      <alignment vertical="center"/>
    </xf>
    <xf numFmtId="0" fontId="104" fillId="0" borderId="0" xfId="306" applyFont="1" applyFill="1" applyBorder="1" applyAlignment="1">
      <alignment vertical="center"/>
    </xf>
    <xf numFmtId="0" fontId="103" fillId="0" borderId="0" xfId="313" applyFont="1" applyFill="1" applyBorder="1" applyAlignment="1">
      <alignment horizontal="center" vertical="center"/>
    </xf>
    <xf numFmtId="0" fontId="103" fillId="0" borderId="0" xfId="310" applyFont="1" applyFill="1" applyBorder="1" applyAlignment="1">
      <alignment horizontal="left" vertical="center"/>
    </xf>
    <xf numFmtId="4" fontId="103" fillId="0" borderId="0" xfId="266" applyNumberFormat="1" applyFont="1" applyFill="1" applyBorder="1" applyAlignment="1">
      <alignment horizontal="center" vertical="center"/>
    </xf>
    <xf numFmtId="178" fontId="103" fillId="0" borderId="0" xfId="306" applyNumberFormat="1" applyFont="1" applyFill="1" applyBorder="1" applyAlignment="1">
      <alignment horizontal="center" vertical="center"/>
    </xf>
    <xf numFmtId="4" fontId="103" fillId="0" borderId="0" xfId="266" applyNumberFormat="1" applyFont="1" applyFill="1" applyBorder="1" applyAlignment="1">
      <alignment horizontal="right" vertical="center"/>
    </xf>
    <xf numFmtId="268" fontId="119" fillId="0" borderId="0" xfId="306" applyNumberFormat="1" applyFont="1" applyFill="1" applyBorder="1" applyAlignment="1">
      <alignment horizontal="center" vertical="center" wrapText="1"/>
    </xf>
    <xf numFmtId="194" fontId="119" fillId="0" borderId="0" xfId="306" applyNumberFormat="1" applyFont="1" applyFill="1" applyBorder="1" applyAlignment="1">
      <alignment horizontal="center" vertical="center" wrapText="1"/>
    </xf>
    <xf numFmtId="269" fontId="119" fillId="0" borderId="0" xfId="306" applyNumberFormat="1" applyFont="1" applyFill="1" applyBorder="1" applyAlignment="1">
      <alignment horizontal="center" vertical="center" wrapText="1"/>
    </xf>
    <xf numFmtId="0" fontId="103" fillId="0" borderId="0" xfId="310" applyFont="1" applyFill="1" applyBorder="1" applyAlignment="1">
      <alignment horizontal="left" vertical="center" wrapText="1"/>
    </xf>
    <xf numFmtId="0" fontId="103" fillId="0" borderId="0" xfId="310" quotePrefix="1" applyFont="1" applyFill="1" applyBorder="1" applyAlignment="1">
      <alignment horizontal="left" vertical="center" wrapText="1"/>
    </xf>
    <xf numFmtId="178" fontId="103" fillId="0" borderId="0" xfId="306" applyNumberFormat="1" applyFont="1" applyFill="1" applyBorder="1" applyAlignment="1">
      <alignment horizontal="left" vertical="center"/>
    </xf>
    <xf numFmtId="0" fontId="103" fillId="0" borderId="0" xfId="310" applyFont="1" applyFill="1" applyBorder="1" applyAlignment="1">
      <alignment horizontal="center" vertical="center"/>
    </xf>
    <xf numFmtId="9" fontId="119" fillId="0" borderId="0" xfId="258" applyFont="1" applyFill="1" applyBorder="1" applyAlignment="1">
      <alignment horizontal="center" vertical="center"/>
    </xf>
    <xf numFmtId="0" fontId="103" fillId="0" borderId="0" xfId="310" applyFont="1" applyFill="1" applyBorder="1" applyAlignment="1">
      <alignment horizontal="left" vertical="center" wrapText="1" indent="1"/>
    </xf>
    <xf numFmtId="41" fontId="103" fillId="0" borderId="0" xfId="267" applyFont="1" applyFill="1" applyBorder="1" applyAlignment="1">
      <alignment vertical="center"/>
    </xf>
    <xf numFmtId="9" fontId="103" fillId="0" borderId="0" xfId="258" applyFont="1" applyFill="1" applyBorder="1" applyAlignment="1">
      <alignment horizontal="center" vertical="center"/>
    </xf>
    <xf numFmtId="178" fontId="119" fillId="0" borderId="0" xfId="306" applyNumberFormat="1" applyFont="1" applyFill="1" applyBorder="1" applyAlignment="1">
      <alignment horizontal="center" vertical="center"/>
    </xf>
    <xf numFmtId="3" fontId="103" fillId="0" borderId="0" xfId="306" applyNumberFormat="1" applyFont="1" applyFill="1" applyBorder="1" applyAlignment="1">
      <alignment vertical="center"/>
    </xf>
    <xf numFmtId="0" fontId="103" fillId="0" borderId="0" xfId="313" applyFont="1" applyFill="1" applyBorder="1" applyAlignment="1">
      <alignment horizontal="distributed" vertical="center"/>
    </xf>
    <xf numFmtId="0" fontId="119" fillId="0" borderId="0" xfId="306" quotePrefix="1" applyNumberFormat="1" applyFont="1" applyFill="1" applyBorder="1" applyAlignment="1">
      <alignment horizontal="center" vertical="center" wrapText="1"/>
    </xf>
    <xf numFmtId="3" fontId="103" fillId="0" borderId="0" xfId="266" applyNumberFormat="1" applyFont="1" applyFill="1" applyBorder="1" applyAlignment="1">
      <alignment vertical="center"/>
    </xf>
    <xf numFmtId="3" fontId="103" fillId="0" borderId="0" xfId="313" applyNumberFormat="1" applyFont="1" applyFill="1" applyBorder="1" applyAlignment="1">
      <alignment horizontal="left" vertical="center"/>
    </xf>
    <xf numFmtId="194" fontId="119" fillId="0" borderId="0" xfId="306" applyNumberFormat="1" applyFont="1" applyFill="1" applyBorder="1" applyAlignment="1">
      <alignment horizontal="left" vertical="center" wrapText="1"/>
    </xf>
    <xf numFmtId="178" fontId="119" fillId="0" borderId="0" xfId="306" applyNumberFormat="1" applyFont="1" applyFill="1" applyBorder="1" applyAlignment="1">
      <alignment horizontal="right" vertical="center"/>
    </xf>
    <xf numFmtId="4" fontId="103" fillId="0" borderId="0" xfId="313" applyNumberFormat="1" applyFont="1" applyFill="1" applyBorder="1" applyAlignment="1">
      <alignment horizontal="center" vertical="center"/>
    </xf>
    <xf numFmtId="3" fontId="103" fillId="0" borderId="0" xfId="313" applyNumberFormat="1" applyFont="1" applyFill="1" applyBorder="1" applyAlignment="1">
      <alignment horizontal="distributed" vertical="center"/>
    </xf>
    <xf numFmtId="3" fontId="103" fillId="0" borderId="0" xfId="313" applyNumberFormat="1" applyFont="1" applyFill="1" applyBorder="1" applyAlignment="1">
      <alignment horizontal="center" vertical="center"/>
    </xf>
    <xf numFmtId="4" fontId="103" fillId="0" borderId="0" xfId="313" applyNumberFormat="1" applyFont="1" applyFill="1" applyBorder="1" applyAlignment="1">
      <alignment horizontal="left" vertical="center"/>
    </xf>
    <xf numFmtId="0" fontId="104" fillId="0" borderId="0" xfId="313" applyFont="1" applyFill="1" applyBorder="1" applyAlignment="1">
      <alignment vertical="center"/>
    </xf>
    <xf numFmtId="0" fontId="103" fillId="0" borderId="0" xfId="313" applyFont="1" applyFill="1" applyBorder="1" applyAlignment="1">
      <alignment horizontal="right" vertical="center"/>
    </xf>
    <xf numFmtId="0" fontId="103" fillId="0" borderId="0" xfId="313" applyNumberFormat="1" applyFont="1" applyFill="1" applyBorder="1" applyAlignment="1">
      <alignment horizontal="center" vertical="center"/>
    </xf>
    <xf numFmtId="0" fontId="119" fillId="0" borderId="0" xfId="306" applyFont="1" applyFill="1" applyBorder="1" applyAlignment="1">
      <alignment horizontal="center" vertical="center" wrapText="1"/>
    </xf>
    <xf numFmtId="0" fontId="103" fillId="0" borderId="0" xfId="313" applyNumberFormat="1" applyFont="1" applyFill="1" applyBorder="1" applyAlignment="1">
      <alignment horizontal="right" vertical="center"/>
    </xf>
    <xf numFmtId="0" fontId="119" fillId="0" borderId="0" xfId="306" applyNumberFormat="1" applyFont="1" applyFill="1" applyBorder="1" applyAlignment="1">
      <alignment horizontal="center" vertical="center"/>
    </xf>
    <xf numFmtId="0" fontId="103" fillId="0" borderId="0" xfId="313" applyNumberFormat="1" applyFont="1" applyFill="1" applyBorder="1" applyAlignment="1">
      <alignment horizontal="left" vertical="center"/>
    </xf>
    <xf numFmtId="0" fontId="119" fillId="0" borderId="0" xfId="306" applyNumberFormat="1" applyFont="1" applyFill="1" applyBorder="1" applyAlignment="1">
      <alignment vertical="center"/>
    </xf>
    <xf numFmtId="270" fontId="119" fillId="0" borderId="0" xfId="306" applyNumberFormat="1" applyFont="1" applyFill="1" applyBorder="1" applyAlignment="1">
      <alignment horizontal="left" vertical="center"/>
    </xf>
    <xf numFmtId="0" fontId="119" fillId="0" borderId="0" xfId="306" applyNumberFormat="1" applyFont="1" applyFill="1" applyBorder="1" applyAlignment="1">
      <alignment horizontal="right" vertical="center"/>
    </xf>
    <xf numFmtId="0" fontId="107" fillId="15" borderId="164" xfId="302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03" fillId="0" borderId="0" xfId="313" applyFont="1" applyFill="1" applyBorder="1" applyAlignment="1">
      <alignment horizontal="center" vertical="center"/>
    </xf>
    <xf numFmtId="178" fontId="103" fillId="0" borderId="0" xfId="266" applyNumberFormat="1" applyFont="1" applyFill="1" applyBorder="1" applyAlignment="1">
      <alignment vertical="center"/>
    </xf>
    <xf numFmtId="194" fontId="103" fillId="0" borderId="0" xfId="313" applyNumberFormat="1" applyFont="1" applyFill="1" applyBorder="1" applyAlignment="1">
      <alignment vertical="center"/>
    </xf>
    <xf numFmtId="0" fontId="103" fillId="0" borderId="2" xfId="265" applyNumberFormat="1" applyFont="1" applyFill="1" applyBorder="1" applyAlignment="1" applyProtection="1">
      <alignment vertical="center"/>
    </xf>
    <xf numFmtId="0" fontId="104" fillId="0" borderId="2" xfId="302" applyNumberFormat="1" applyFont="1" applyFill="1" applyBorder="1" applyAlignment="1">
      <alignment vertical="center"/>
    </xf>
    <xf numFmtId="0" fontId="104" fillId="0" borderId="66" xfId="302" applyNumberFormat="1" applyFont="1" applyFill="1" applyBorder="1" applyAlignment="1">
      <alignment vertical="center"/>
    </xf>
    <xf numFmtId="0" fontId="103" fillId="0" borderId="2" xfId="302" applyNumberFormat="1" applyFont="1" applyFill="1" applyBorder="1" applyAlignment="1">
      <alignment vertical="center"/>
    </xf>
    <xf numFmtId="0" fontId="104" fillId="0" borderId="2" xfId="0" applyNumberFormat="1" applyFont="1" applyBorder="1" applyAlignment="1">
      <alignment vertical="center"/>
    </xf>
    <xf numFmtId="0" fontId="103" fillId="0" borderId="2" xfId="0" applyNumberFormat="1" applyFont="1" applyBorder="1" applyAlignment="1">
      <alignment vertical="center"/>
    </xf>
    <xf numFmtId="0" fontId="103" fillId="0" borderId="0" xfId="313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56" fillId="0" borderId="49" xfId="0" applyFont="1" applyFill="1" applyBorder="1" applyAlignment="1">
      <alignment horizontal="center" vertical="center" wrapText="1"/>
    </xf>
    <xf numFmtId="0" fontId="156" fillId="0" borderId="40" xfId="0" applyFont="1" applyFill="1" applyBorder="1" applyAlignment="1">
      <alignment horizontal="center" vertical="center" wrapText="1"/>
    </xf>
    <xf numFmtId="0" fontId="129" fillId="0" borderId="49" xfId="0" applyFont="1" applyBorder="1" applyAlignment="1">
      <alignment horizontal="center" vertical="center" wrapText="1"/>
    </xf>
    <xf numFmtId="0" fontId="129" fillId="0" borderId="40" xfId="0" applyFont="1" applyBorder="1" applyAlignment="1">
      <alignment horizontal="center" vertical="center" wrapText="1"/>
    </xf>
    <xf numFmtId="0" fontId="134" fillId="0" borderId="0" xfId="0" applyFont="1" applyAlignment="1">
      <alignment vertical="center"/>
    </xf>
    <xf numFmtId="0" fontId="157" fillId="0" borderId="0" xfId="0" applyFont="1" applyBorder="1" applyAlignment="1">
      <alignment horizontal="center" vertical="center" wrapText="1"/>
    </xf>
    <xf numFmtId="0" fontId="158" fillId="0" borderId="0" xfId="0" applyFont="1">
      <alignment vertical="center"/>
    </xf>
    <xf numFmtId="0" fontId="103" fillId="0" borderId="0" xfId="313" applyFont="1" applyFill="1" applyBorder="1" applyAlignment="1">
      <alignment vertical="center"/>
    </xf>
    <xf numFmtId="0" fontId="103" fillId="0" borderId="0" xfId="310" applyFont="1" applyFill="1" applyBorder="1" applyAlignment="1">
      <alignment vertical="center"/>
    </xf>
    <xf numFmtId="0" fontId="103" fillId="0" borderId="0" xfId="310" applyNumberFormat="1" applyFont="1" applyFill="1" applyBorder="1" applyAlignment="1">
      <alignment vertical="center"/>
    </xf>
    <xf numFmtId="0" fontId="104" fillId="0" borderId="90" xfId="310" applyNumberFormat="1" applyFont="1" applyFill="1" applyBorder="1" applyAlignment="1">
      <alignment vertical="center"/>
    </xf>
    <xf numFmtId="0" fontId="104" fillId="0" borderId="45" xfId="310" applyNumberFormat="1" applyFont="1" applyFill="1" applyBorder="1" applyAlignment="1">
      <alignment vertical="center"/>
    </xf>
    <xf numFmtId="0" fontId="104" fillId="0" borderId="92" xfId="310" applyNumberFormat="1" applyFont="1" applyFill="1" applyBorder="1" applyAlignment="1">
      <alignment vertical="center"/>
    </xf>
    <xf numFmtId="0" fontId="104" fillId="0" borderId="1" xfId="310" applyNumberFormat="1" applyFont="1" applyFill="1" applyBorder="1" applyAlignment="1">
      <alignment vertical="center"/>
    </xf>
    <xf numFmtId="0" fontId="103" fillId="0" borderId="90" xfId="310" applyNumberFormat="1" applyFont="1" applyFill="1" applyBorder="1" applyAlignment="1">
      <alignment vertical="center"/>
    </xf>
    <xf numFmtId="0" fontId="103" fillId="0" borderId="45" xfId="310" applyNumberFormat="1" applyFont="1" applyFill="1" applyBorder="1" applyAlignment="1">
      <alignment vertical="center"/>
    </xf>
    <xf numFmtId="0" fontId="103" fillId="16" borderId="0" xfId="313" applyFont="1" applyFill="1" applyBorder="1" applyAlignment="1">
      <alignment vertical="center"/>
    </xf>
    <xf numFmtId="273" fontId="119" fillId="0" borderId="93" xfId="306" applyNumberFormat="1" applyFont="1" applyFill="1" applyBorder="1" applyAlignment="1">
      <alignment vertical="center" wrapText="1"/>
    </xf>
    <xf numFmtId="273" fontId="119" fillId="0" borderId="90" xfId="306" applyNumberFormat="1" applyFont="1" applyFill="1" applyBorder="1" applyAlignment="1">
      <alignment vertical="center" wrapText="1"/>
    </xf>
    <xf numFmtId="273" fontId="119" fillId="0" borderId="94" xfId="306" applyNumberFormat="1" applyFont="1" applyFill="1" applyBorder="1" applyAlignment="1">
      <alignment vertical="center" wrapText="1"/>
    </xf>
    <xf numFmtId="273" fontId="119" fillId="0" borderId="95" xfId="306" applyNumberFormat="1" applyFont="1" applyFill="1" applyBorder="1" applyAlignment="1">
      <alignment vertical="center" wrapText="1"/>
    </xf>
    <xf numFmtId="273" fontId="119" fillId="0" borderId="92" xfId="306" applyNumberFormat="1" applyFont="1" applyFill="1" applyBorder="1" applyAlignment="1">
      <alignment vertical="center" wrapText="1"/>
    </xf>
    <xf numFmtId="0" fontId="104" fillId="0" borderId="2" xfId="0" applyFont="1" applyBorder="1" applyAlignment="1">
      <alignment vertical="center"/>
    </xf>
    <xf numFmtId="0" fontId="103" fillId="14" borderId="38" xfId="0" applyFont="1" applyFill="1" applyBorder="1" applyAlignment="1">
      <alignment vertical="center"/>
    </xf>
    <xf numFmtId="0" fontId="103" fillId="14" borderId="38" xfId="0" applyNumberFormat="1" applyFont="1" applyFill="1" applyBorder="1" applyAlignment="1">
      <alignment vertical="center"/>
    </xf>
    <xf numFmtId="245" fontId="104" fillId="0" borderId="66" xfId="302" applyNumberFormat="1" applyFont="1" applyFill="1" applyBorder="1" applyAlignment="1">
      <alignment vertical="center"/>
    </xf>
    <xf numFmtId="245" fontId="103" fillId="0" borderId="2" xfId="302" applyNumberFormat="1" applyFont="1" applyFill="1" applyBorder="1" applyAlignment="1">
      <alignment vertical="center"/>
    </xf>
    <xf numFmtId="3" fontId="103" fillId="14" borderId="38" xfId="302" applyNumberFormat="1" applyFont="1" applyFill="1" applyBorder="1" applyAlignment="1">
      <alignment vertical="center"/>
    </xf>
    <xf numFmtId="245" fontId="104" fillId="0" borderId="38" xfId="302" applyNumberFormat="1" applyFont="1" applyFill="1" applyBorder="1" applyAlignment="1">
      <alignment horizontal="center" vertical="center"/>
    </xf>
    <xf numFmtId="0" fontId="104" fillId="0" borderId="2" xfId="265" applyNumberFormat="1" applyFont="1" applyFill="1" applyBorder="1" applyAlignment="1" applyProtection="1">
      <alignment vertical="center"/>
    </xf>
    <xf numFmtId="0" fontId="104" fillId="0" borderId="38" xfId="0" applyFont="1" applyBorder="1" applyAlignment="1">
      <alignment horizontal="center" vertical="center"/>
    </xf>
    <xf numFmtId="3" fontId="104" fillId="0" borderId="38" xfId="265" applyNumberFormat="1" applyFont="1" applyFill="1" applyBorder="1" applyAlignment="1" applyProtection="1">
      <alignment horizontal="right" vertical="center"/>
    </xf>
    <xf numFmtId="3" fontId="104" fillId="0" borderId="40" xfId="302" applyNumberFormat="1" applyFont="1" applyFill="1" applyBorder="1" applyAlignment="1">
      <alignment horizontal="center" vertical="center" shrinkToFit="1"/>
    </xf>
    <xf numFmtId="0" fontId="137" fillId="0" borderId="0" xfId="306" applyFont="1" applyFill="1" applyBorder="1" applyAlignment="1">
      <alignment vertical="center"/>
    </xf>
    <xf numFmtId="0" fontId="137" fillId="0" borderId="0" xfId="313" applyFont="1" applyFill="1" applyBorder="1" applyAlignment="1">
      <alignment vertical="center"/>
    </xf>
    <xf numFmtId="0" fontId="104" fillId="0" borderId="0" xfId="306" applyFont="1" applyFill="1" applyBorder="1" applyAlignment="1">
      <alignment horizontal="center" vertical="top"/>
    </xf>
    <xf numFmtId="0" fontId="153" fillId="0" borderId="0" xfId="313" applyFont="1" applyFill="1" applyBorder="1" applyAlignment="1">
      <alignment vertical="center"/>
    </xf>
    <xf numFmtId="0" fontId="122" fillId="0" borderId="0" xfId="0" applyFont="1" applyAlignment="1">
      <alignment horizontal="center" vertical="center"/>
    </xf>
    <xf numFmtId="0" fontId="106" fillId="0" borderId="29" xfId="306" applyFont="1" applyFill="1" applyBorder="1" applyAlignment="1">
      <alignment vertical="top"/>
    </xf>
    <xf numFmtId="178" fontId="103" fillId="0" borderId="90" xfId="310" applyNumberFormat="1" applyFont="1" applyFill="1" applyBorder="1" applyAlignment="1">
      <alignment vertical="center"/>
    </xf>
    <xf numFmtId="178" fontId="103" fillId="0" borderId="96" xfId="310" applyNumberFormat="1" applyFont="1" applyFill="1" applyBorder="1" applyAlignment="1">
      <alignment vertical="center"/>
    </xf>
    <xf numFmtId="178" fontId="103" fillId="0" borderId="95" xfId="310" applyNumberFormat="1" applyFont="1" applyFill="1" applyBorder="1" applyAlignment="1">
      <alignment vertical="center"/>
    </xf>
    <xf numFmtId="178" fontId="103" fillId="0" borderId="97" xfId="310" applyNumberFormat="1" applyFont="1" applyFill="1" applyBorder="1" applyAlignment="1">
      <alignment vertical="center"/>
    </xf>
    <xf numFmtId="0" fontId="103" fillId="0" borderId="0" xfId="310" quotePrefix="1" applyFont="1" applyFill="1" applyBorder="1" applyAlignment="1">
      <alignment horizontal="left" vertical="center"/>
    </xf>
    <xf numFmtId="0" fontId="104" fillId="0" borderId="92" xfId="313" applyFont="1" applyFill="1" applyBorder="1" applyAlignment="1">
      <alignment vertical="center"/>
    </xf>
    <xf numFmtId="0" fontId="104" fillId="0" borderId="90" xfId="313" applyFont="1" applyFill="1" applyBorder="1" applyAlignment="1">
      <alignment vertical="center"/>
    </xf>
    <xf numFmtId="0" fontId="104" fillId="0" borderId="45" xfId="313" applyFont="1" applyFill="1" applyBorder="1" applyAlignment="1">
      <alignment vertical="center"/>
    </xf>
    <xf numFmtId="178" fontId="104" fillId="0" borderId="90" xfId="310" applyNumberFormat="1" applyFont="1" applyFill="1" applyBorder="1" applyAlignment="1">
      <alignment vertical="center"/>
    </xf>
    <xf numFmtId="178" fontId="104" fillId="0" borderId="96" xfId="310" applyNumberFormat="1" applyFont="1" applyFill="1" applyBorder="1" applyAlignment="1">
      <alignment vertical="center"/>
    </xf>
    <xf numFmtId="178" fontId="104" fillId="0" borderId="39" xfId="310" applyNumberFormat="1" applyFont="1" applyFill="1" applyBorder="1" applyAlignment="1">
      <alignment vertical="center"/>
    </xf>
    <xf numFmtId="178" fontId="104" fillId="0" borderId="98" xfId="310" applyNumberFormat="1" applyFont="1" applyFill="1" applyBorder="1" applyAlignment="1">
      <alignment vertical="center"/>
    </xf>
    <xf numFmtId="178" fontId="104" fillId="0" borderId="0" xfId="313" applyNumberFormat="1" applyFont="1" applyFill="1" applyBorder="1" applyAlignment="1">
      <alignment vertical="center"/>
    </xf>
    <xf numFmtId="0" fontId="104" fillId="0" borderId="1" xfId="313" applyFont="1" applyFill="1" applyBorder="1" applyAlignment="1">
      <alignment vertical="center"/>
    </xf>
    <xf numFmtId="178" fontId="104" fillId="0" borderId="92" xfId="310" applyNumberFormat="1" applyFont="1" applyFill="1" applyBorder="1" applyAlignment="1">
      <alignment vertical="center"/>
    </xf>
    <xf numFmtId="178" fontId="104" fillId="0" borderId="99" xfId="310" applyNumberFormat="1" applyFont="1" applyFill="1" applyBorder="1" applyAlignment="1">
      <alignment vertical="center"/>
    </xf>
    <xf numFmtId="0" fontId="104" fillId="0" borderId="69" xfId="310" applyFont="1" applyFill="1" applyBorder="1" applyAlignment="1">
      <alignment horizontal="center" vertical="center"/>
    </xf>
    <xf numFmtId="0" fontId="103" fillId="0" borderId="70" xfId="310" applyFont="1" applyFill="1" applyBorder="1" applyAlignment="1">
      <alignment horizontal="center" vertical="center"/>
    </xf>
    <xf numFmtId="0" fontId="104" fillId="0" borderId="70" xfId="310" applyFont="1" applyFill="1" applyBorder="1" applyAlignment="1">
      <alignment horizontal="center" vertical="center"/>
    </xf>
    <xf numFmtId="0" fontId="103" fillId="0" borderId="71" xfId="310" applyFont="1" applyFill="1" applyBorder="1" applyAlignment="1">
      <alignment horizontal="center" vertical="center"/>
    </xf>
    <xf numFmtId="0" fontId="104" fillId="0" borderId="4" xfId="310" applyFont="1" applyFill="1" applyBorder="1" applyAlignment="1">
      <alignment horizontal="center" vertical="center"/>
    </xf>
    <xf numFmtId="0" fontId="124" fillId="19" borderId="95" xfId="310" applyFont="1" applyFill="1" applyBorder="1" applyAlignment="1">
      <alignment horizontal="center" vertical="center" wrapText="1"/>
    </xf>
    <xf numFmtId="0" fontId="124" fillId="19" borderId="97" xfId="310" applyFont="1" applyFill="1" applyBorder="1" applyAlignment="1">
      <alignment horizontal="center" vertical="center" wrapText="1"/>
    </xf>
    <xf numFmtId="0" fontId="125" fillId="0" borderId="29" xfId="306" applyFont="1" applyFill="1" applyBorder="1" applyAlignment="1">
      <alignment horizontal="right"/>
    </xf>
    <xf numFmtId="3" fontId="103" fillId="0" borderId="42" xfId="265" applyNumberFormat="1" applyFont="1" applyFill="1" applyBorder="1" applyAlignment="1" applyProtection="1">
      <alignment horizontal="right" vertical="center"/>
    </xf>
    <xf numFmtId="0" fontId="159" fillId="0" borderId="0" xfId="313" applyFont="1" applyFill="1" applyBorder="1" applyAlignment="1">
      <alignment vertical="center"/>
    </xf>
    <xf numFmtId="0" fontId="103" fillId="0" borderId="53" xfId="0" applyFont="1" applyFill="1" applyBorder="1" applyAlignment="1">
      <alignment horizontal="center" vertical="center" wrapText="1"/>
    </xf>
    <xf numFmtId="0" fontId="103" fillId="0" borderId="54" xfId="0" applyFont="1" applyFill="1" applyBorder="1" applyAlignment="1">
      <alignment horizontal="center" vertical="center" wrapText="1"/>
    </xf>
    <xf numFmtId="0" fontId="103" fillId="0" borderId="38" xfId="0" applyFont="1" applyFill="1" applyBorder="1" applyAlignment="1">
      <alignment horizontal="center" vertical="center" wrapText="1"/>
    </xf>
    <xf numFmtId="0" fontId="103" fillId="0" borderId="40" xfId="0" applyFont="1" applyFill="1" applyBorder="1" applyAlignment="1">
      <alignment horizontal="center" vertical="center" wrapText="1"/>
    </xf>
    <xf numFmtId="0" fontId="103" fillId="0" borderId="22" xfId="0" applyFont="1" applyFill="1" applyBorder="1" applyAlignment="1">
      <alignment horizontal="center" vertical="center" wrapText="1"/>
    </xf>
    <xf numFmtId="0" fontId="103" fillId="0" borderId="41" xfId="0" applyFont="1" applyFill="1" applyBorder="1" applyAlignment="1">
      <alignment horizontal="center" vertical="center" wrapText="1"/>
    </xf>
    <xf numFmtId="3" fontId="103" fillId="14" borderId="50" xfId="0" applyNumberFormat="1" applyFont="1" applyFill="1" applyBorder="1" applyAlignment="1">
      <alignment horizontal="center" vertical="center" wrapText="1"/>
    </xf>
    <xf numFmtId="3" fontId="103" fillId="14" borderId="51" xfId="0" applyNumberFormat="1" applyFont="1" applyFill="1" applyBorder="1" applyAlignment="1">
      <alignment horizontal="center" vertical="center" wrapText="1"/>
    </xf>
    <xf numFmtId="0" fontId="103" fillId="0" borderId="100" xfId="0" applyFont="1" applyFill="1" applyBorder="1" applyAlignment="1">
      <alignment horizontal="center" vertical="center" wrapText="1"/>
    </xf>
    <xf numFmtId="0" fontId="103" fillId="0" borderId="101" xfId="0" applyFont="1" applyFill="1" applyBorder="1" applyAlignment="1">
      <alignment horizontal="center" vertical="center" wrapText="1"/>
    </xf>
    <xf numFmtId="0" fontId="103" fillId="0" borderId="102" xfId="0" applyFont="1" applyFill="1" applyBorder="1" applyAlignment="1">
      <alignment horizontal="center" vertical="center" wrapText="1"/>
    </xf>
    <xf numFmtId="3" fontId="103" fillId="14" borderId="62" xfId="0" applyNumberFormat="1" applyFont="1" applyFill="1" applyBorder="1" applyAlignment="1">
      <alignment horizontal="center" vertical="center" wrapText="1"/>
    </xf>
    <xf numFmtId="0" fontId="103" fillId="0" borderId="12" xfId="0" applyFont="1" applyFill="1" applyBorder="1" applyAlignment="1">
      <alignment horizontal="center" vertical="center" wrapText="1"/>
    </xf>
    <xf numFmtId="0" fontId="119" fillId="0" borderId="17" xfId="301" applyFont="1" applyBorder="1" applyAlignment="1">
      <alignment vertical="center"/>
    </xf>
    <xf numFmtId="0" fontId="160" fillId="13" borderId="159" xfId="302" applyFont="1" applyFill="1" applyBorder="1" applyAlignment="1">
      <alignment vertical="center"/>
    </xf>
    <xf numFmtId="0" fontId="160" fillId="13" borderId="0" xfId="302" applyFont="1" applyFill="1" applyBorder="1" applyAlignment="1">
      <alignment vertical="center"/>
    </xf>
    <xf numFmtId="0" fontId="160" fillId="13" borderId="162" xfId="312" applyFont="1" applyFill="1" applyBorder="1">
      <alignment vertical="center"/>
    </xf>
    <xf numFmtId="0" fontId="143" fillId="13" borderId="0" xfId="302" applyFont="1" applyFill="1" applyBorder="1" applyAlignment="1">
      <alignment horizontal="center" vertical="center" shrinkToFit="1"/>
    </xf>
    <xf numFmtId="0" fontId="143" fillId="13" borderId="0" xfId="302" applyFont="1" applyFill="1" applyBorder="1" applyAlignment="1">
      <alignment horizontal="center" vertical="center"/>
    </xf>
    <xf numFmtId="0" fontId="143" fillId="13" borderId="161" xfId="302" applyFont="1" applyFill="1" applyBorder="1" applyAlignment="1">
      <alignment horizontal="center" vertical="center"/>
    </xf>
    <xf numFmtId="0" fontId="143" fillId="13" borderId="162" xfId="302" applyFont="1" applyFill="1" applyBorder="1" applyAlignment="1">
      <alignment horizontal="center" vertical="center"/>
    </xf>
    <xf numFmtId="0" fontId="143" fillId="13" borderId="163" xfId="302" applyFont="1" applyFill="1" applyBorder="1" applyAlignment="1">
      <alignment horizontal="center" vertical="center"/>
    </xf>
    <xf numFmtId="9" fontId="124" fillId="0" borderId="4" xfId="301" applyNumberFormat="1" applyFont="1" applyBorder="1" applyAlignment="1">
      <alignment horizontal="center" vertical="center"/>
    </xf>
    <xf numFmtId="244" fontId="104" fillId="14" borderId="53" xfId="265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04" fillId="0" borderId="91" xfId="312" applyFont="1" applyBorder="1" applyAlignment="1">
      <alignment horizontal="left" vertical="center"/>
    </xf>
    <xf numFmtId="178" fontId="103" fillId="0" borderId="2" xfId="310" applyNumberFormat="1" applyFont="1" applyFill="1" applyBorder="1" applyAlignment="1">
      <alignment vertical="center"/>
    </xf>
    <xf numFmtId="178" fontId="103" fillId="0" borderId="38" xfId="310" applyNumberFormat="1" applyFont="1" applyFill="1" applyBorder="1" applyAlignment="1">
      <alignment vertical="center"/>
    </xf>
    <xf numFmtId="178" fontId="104" fillId="0" borderId="2" xfId="310" applyNumberFormat="1" applyFont="1" applyFill="1" applyBorder="1" applyAlignment="1">
      <alignment vertical="center"/>
    </xf>
    <xf numFmtId="178" fontId="104" fillId="0" borderId="38" xfId="310" applyNumberFormat="1" applyFont="1" applyFill="1" applyBorder="1" applyAlignment="1">
      <alignment vertical="center"/>
    </xf>
    <xf numFmtId="0" fontId="103" fillId="0" borderId="90" xfId="310" applyNumberFormat="1" applyFont="1" applyFill="1" applyBorder="1" applyAlignment="1">
      <alignment vertical="center"/>
    </xf>
    <xf numFmtId="0" fontId="103" fillId="0" borderId="45" xfId="310" applyNumberFormat="1" applyFont="1" applyFill="1" applyBorder="1" applyAlignment="1">
      <alignment vertical="center"/>
    </xf>
    <xf numFmtId="0" fontId="104" fillId="0" borderId="45" xfId="310" applyNumberFormat="1" applyFont="1" applyFill="1" applyBorder="1" applyAlignment="1">
      <alignment vertical="center"/>
    </xf>
    <xf numFmtId="0" fontId="103" fillId="0" borderId="0" xfId="313" applyFont="1" applyFill="1" applyBorder="1" applyAlignment="1">
      <alignment horizontal="center" vertical="center"/>
    </xf>
    <xf numFmtId="0" fontId="103" fillId="0" borderId="0" xfId="313" applyNumberFormat="1" applyFont="1" applyFill="1" applyBorder="1" applyAlignment="1">
      <alignment horizontal="center" vertical="center"/>
    </xf>
    <xf numFmtId="194" fontId="104" fillId="0" borderId="0" xfId="313" applyNumberFormat="1" applyFont="1" applyFill="1" applyBorder="1" applyAlignment="1">
      <alignment horizontal="left" vertical="center"/>
    </xf>
    <xf numFmtId="0" fontId="103" fillId="0" borderId="62" xfId="0" applyFont="1" applyFill="1" applyBorder="1" applyAlignment="1">
      <alignment vertical="center"/>
    </xf>
    <xf numFmtId="0" fontId="103" fillId="0" borderId="54" xfId="0" applyFont="1" applyBorder="1" applyAlignment="1">
      <alignment vertical="center"/>
    </xf>
    <xf numFmtId="178" fontId="104" fillId="0" borderId="64" xfId="310" applyNumberFormat="1" applyFont="1" applyFill="1" applyBorder="1" applyAlignment="1">
      <alignment vertical="center"/>
    </xf>
    <xf numFmtId="178" fontId="104" fillId="0" borderId="55" xfId="310" applyNumberFormat="1" applyFont="1" applyFill="1" applyBorder="1" applyAlignment="1">
      <alignment vertical="center"/>
    </xf>
    <xf numFmtId="4" fontId="104" fillId="0" borderId="92" xfId="310" applyNumberFormat="1" applyFont="1" applyFill="1" applyBorder="1" applyAlignment="1">
      <alignment vertical="center"/>
    </xf>
    <xf numFmtId="4" fontId="104" fillId="0" borderId="99" xfId="310" applyNumberFormat="1" applyFont="1" applyFill="1" applyBorder="1" applyAlignment="1">
      <alignment vertical="center"/>
    </xf>
    <xf numFmtId="4" fontId="103" fillId="0" borderId="2" xfId="310" applyNumberFormat="1" applyFont="1" applyFill="1" applyBorder="1" applyAlignment="1">
      <alignment vertical="center"/>
    </xf>
    <xf numFmtId="4" fontId="103" fillId="0" borderId="38" xfId="310" applyNumberFormat="1" applyFont="1" applyFill="1" applyBorder="1" applyAlignment="1">
      <alignment vertical="center"/>
    </xf>
    <xf numFmtId="4" fontId="103" fillId="0" borderId="45" xfId="310" applyNumberFormat="1" applyFont="1" applyFill="1" applyBorder="1" applyAlignment="1">
      <alignment vertical="center"/>
    </xf>
    <xf numFmtId="4" fontId="104" fillId="0" borderId="2" xfId="310" applyNumberFormat="1" applyFont="1" applyFill="1" applyBorder="1" applyAlignment="1">
      <alignment vertical="center"/>
    </xf>
    <xf numFmtId="4" fontId="104" fillId="0" borderId="38" xfId="310" applyNumberFormat="1" applyFont="1" applyFill="1" applyBorder="1" applyAlignment="1">
      <alignment vertical="center"/>
    </xf>
    <xf numFmtId="4" fontId="104" fillId="0" borderId="45" xfId="310" applyNumberFormat="1" applyFont="1" applyFill="1" applyBorder="1" applyAlignment="1">
      <alignment vertical="center"/>
    </xf>
    <xf numFmtId="4" fontId="103" fillId="0" borderId="40" xfId="310" applyNumberFormat="1" applyFont="1" applyFill="1" applyBorder="1" applyAlignment="1">
      <alignment vertical="center"/>
    </xf>
    <xf numFmtId="4" fontId="104" fillId="0" borderId="40" xfId="310" applyNumberFormat="1" applyFont="1" applyFill="1" applyBorder="1" applyAlignment="1">
      <alignment vertical="center"/>
    </xf>
    <xf numFmtId="4" fontId="104" fillId="0" borderId="55" xfId="310" applyNumberFormat="1" applyFont="1" applyFill="1" applyBorder="1" applyAlignment="1">
      <alignment vertical="center"/>
    </xf>
    <xf numFmtId="4" fontId="104" fillId="0" borderId="56" xfId="310" applyNumberFormat="1" applyFont="1" applyFill="1" applyBorder="1" applyAlignment="1">
      <alignment vertical="center"/>
    </xf>
    <xf numFmtId="274" fontId="119" fillId="0" borderId="4" xfId="301" applyNumberFormat="1" applyFont="1" applyBorder="1" applyAlignment="1">
      <alignment vertical="center"/>
    </xf>
    <xf numFmtId="252" fontId="119" fillId="0" borderId="0" xfId="258" applyNumberFormat="1" applyFont="1" applyFill="1" applyBorder="1" applyAlignment="1">
      <alignment horizontal="center" vertical="center"/>
    </xf>
    <xf numFmtId="272" fontId="104" fillId="0" borderId="0" xfId="313" applyNumberFormat="1" applyFont="1" applyFill="1" applyBorder="1" applyAlignment="1">
      <alignment horizontal="center" vertical="center"/>
    </xf>
    <xf numFmtId="0" fontId="103" fillId="0" borderId="38" xfId="0" applyFont="1" applyFill="1" applyBorder="1" applyAlignment="1">
      <alignment horizontal="center" vertical="center" wrapText="1"/>
    </xf>
    <xf numFmtId="0" fontId="104" fillId="14" borderId="45" xfId="0" applyFont="1" applyFill="1" applyBorder="1" applyAlignment="1">
      <alignment horizontal="center" vertical="center"/>
    </xf>
    <xf numFmtId="9" fontId="122" fillId="0" borderId="0" xfId="0" applyNumberFormat="1" applyFont="1">
      <alignment vertical="center"/>
    </xf>
    <xf numFmtId="4" fontId="103" fillId="0" borderId="38" xfId="0" applyNumberFormat="1" applyFont="1" applyBorder="1" applyAlignment="1">
      <alignment vertical="center"/>
    </xf>
    <xf numFmtId="0" fontId="104" fillId="14" borderId="1" xfId="307" applyFont="1" applyFill="1" applyBorder="1" applyAlignment="1">
      <alignment horizontal="left" vertical="center"/>
    </xf>
    <xf numFmtId="0" fontId="104" fillId="14" borderId="45" xfId="307" applyFont="1" applyFill="1" applyBorder="1" applyAlignment="1">
      <alignment horizontal="center" vertical="center"/>
    </xf>
    <xf numFmtId="0" fontId="104" fillId="14" borderId="45" xfId="307" applyFont="1" applyFill="1" applyBorder="1" applyAlignment="1">
      <alignment horizontal="left" vertical="center"/>
    </xf>
    <xf numFmtId="0" fontId="103" fillId="11" borderId="0" xfId="312" quotePrefix="1" applyFont="1" applyFill="1" applyBorder="1">
      <alignment vertical="center"/>
    </xf>
    <xf numFmtId="0" fontId="104" fillId="11" borderId="0" xfId="312" applyFont="1" applyFill="1" applyBorder="1">
      <alignment vertical="center"/>
    </xf>
    <xf numFmtId="0" fontId="104" fillId="0" borderId="0" xfId="312" applyFont="1" applyBorder="1">
      <alignment vertical="center"/>
    </xf>
    <xf numFmtId="0" fontId="104" fillId="0" borderId="0" xfId="312" applyFont="1" applyBorder="1" applyAlignment="1">
      <alignment vertical="center"/>
    </xf>
    <xf numFmtId="0" fontId="104" fillId="14" borderId="45" xfId="307" applyFont="1" applyFill="1" applyBorder="1" applyAlignment="1">
      <alignment horizontal="left" vertical="center"/>
    </xf>
    <xf numFmtId="0" fontId="104" fillId="14" borderId="45" xfId="307" applyFont="1" applyFill="1" applyBorder="1" applyAlignment="1">
      <alignment horizontal="center" vertical="center"/>
    </xf>
    <xf numFmtId="0" fontId="104" fillId="14" borderId="45" xfId="307" applyFont="1" applyFill="1" applyBorder="1" applyAlignment="1">
      <alignment horizontal="left" vertical="center"/>
    </xf>
    <xf numFmtId="0" fontId="104" fillId="14" borderId="45" xfId="307" applyFont="1" applyFill="1" applyBorder="1" applyAlignment="1">
      <alignment horizontal="left" vertical="center"/>
    </xf>
    <xf numFmtId="244" fontId="174" fillId="9" borderId="38" xfId="265" applyNumberFormat="1" applyFont="1" applyFill="1" applyBorder="1" applyAlignment="1">
      <alignment vertical="center"/>
    </xf>
    <xf numFmtId="244" fontId="174" fillId="9" borderId="22" xfId="265" applyNumberFormat="1" applyFont="1" applyFill="1" applyBorder="1" applyAlignment="1">
      <alignment vertical="center"/>
    </xf>
    <xf numFmtId="9" fontId="3" fillId="9" borderId="70" xfId="310" applyNumberFormat="1" applyFont="1" applyFill="1" applyBorder="1" applyAlignment="1">
      <alignment horizontal="center" vertical="center"/>
    </xf>
    <xf numFmtId="0" fontId="174" fillId="9" borderId="70" xfId="310" applyFont="1" applyFill="1" applyBorder="1" applyAlignment="1">
      <alignment horizontal="center" vertical="center"/>
    </xf>
    <xf numFmtId="0" fontId="104" fillId="14" borderId="45" xfId="307" applyFont="1" applyFill="1" applyBorder="1" applyAlignment="1">
      <alignment horizontal="left" vertical="center"/>
    </xf>
    <xf numFmtId="256" fontId="141" fillId="13" borderId="0" xfId="315" applyNumberFormat="1" applyFont="1" applyFill="1" applyBorder="1" applyAlignment="1" applyProtection="1">
      <alignment horizontal="left" vertical="center"/>
    </xf>
    <xf numFmtId="244" fontId="141" fillId="13" borderId="0" xfId="315" applyNumberFormat="1" applyFont="1" applyFill="1" applyBorder="1" applyAlignment="1" applyProtection="1">
      <alignment horizontal="left" vertical="center"/>
    </xf>
    <xf numFmtId="0" fontId="149" fillId="13" borderId="159" xfId="302" applyFont="1" applyFill="1" applyBorder="1" applyAlignment="1">
      <alignment vertical="center" wrapText="1"/>
    </xf>
    <xf numFmtId="0" fontId="149" fillId="13" borderId="160" xfId="302" applyFont="1" applyFill="1" applyBorder="1" applyAlignment="1">
      <alignment vertical="center" wrapText="1"/>
    </xf>
    <xf numFmtId="0" fontId="161" fillId="0" borderId="0" xfId="302" applyFont="1" applyFill="1" applyBorder="1" applyAlignment="1">
      <alignment horizontal="center" vertical="center"/>
    </xf>
    <xf numFmtId="0" fontId="148" fillId="13" borderId="162" xfId="315" applyFont="1" applyFill="1" applyBorder="1" applyAlignment="1" applyProtection="1">
      <alignment horizontal="center" vertical="center"/>
    </xf>
    <xf numFmtId="0" fontId="129" fillId="0" borderId="2" xfId="0" applyFont="1" applyBorder="1" applyAlignment="1">
      <alignment horizontal="center" vertical="center" wrapText="1"/>
    </xf>
    <xf numFmtId="0" fontId="129" fillId="0" borderId="40" xfId="0" applyFont="1" applyBorder="1" applyAlignment="1">
      <alignment horizontal="center" vertical="center" wrapText="1"/>
    </xf>
    <xf numFmtId="0" fontId="156" fillId="0" borderId="38" xfId="0" applyFont="1" applyFill="1" applyBorder="1" applyAlignment="1">
      <alignment horizontal="center" vertical="center" wrapText="1"/>
    </xf>
    <xf numFmtId="0" fontId="156" fillId="0" borderId="51" xfId="0" applyFont="1" applyFill="1" applyBorder="1" applyAlignment="1">
      <alignment horizontal="center" vertical="center" wrapText="1"/>
    </xf>
    <xf numFmtId="0" fontId="156" fillId="0" borderId="22" xfId="0" applyFont="1" applyFill="1" applyBorder="1" applyAlignment="1">
      <alignment horizontal="center" vertical="center" wrapText="1"/>
    </xf>
    <xf numFmtId="0" fontId="156" fillId="0" borderId="50" xfId="0" applyFont="1" applyFill="1" applyBorder="1" applyAlignment="1">
      <alignment horizontal="center" vertical="center" wrapText="1"/>
    </xf>
    <xf numFmtId="0" fontId="156" fillId="0" borderId="2" xfId="0" applyFont="1" applyFill="1" applyBorder="1" applyAlignment="1">
      <alignment horizontal="center" vertical="center" wrapText="1"/>
    </xf>
    <xf numFmtId="0" fontId="156" fillId="0" borderId="40" xfId="0" applyFont="1" applyFill="1" applyBorder="1" applyAlignment="1">
      <alignment horizontal="center" vertical="center" wrapText="1"/>
    </xf>
    <xf numFmtId="0" fontId="129" fillId="0" borderId="50" xfId="0" applyFont="1" applyBorder="1" applyAlignment="1">
      <alignment vertical="center" wrapText="1"/>
    </xf>
    <xf numFmtId="0" fontId="129" fillId="0" borderId="38" xfId="0" applyFont="1" applyBorder="1" applyAlignment="1">
      <alignment vertical="center" wrapText="1"/>
    </xf>
    <xf numFmtId="0" fontId="129" fillId="0" borderId="40" xfId="0" applyFont="1" applyBorder="1" applyAlignment="1">
      <alignment vertical="center" wrapText="1"/>
    </xf>
    <xf numFmtId="0" fontId="156" fillId="0" borderId="55" xfId="0" applyFont="1" applyFill="1" applyBorder="1" applyAlignment="1">
      <alignment horizontal="center" vertical="center" wrapText="1"/>
    </xf>
    <xf numFmtId="0" fontId="156" fillId="0" borderId="42" xfId="0" applyFont="1" applyFill="1" applyBorder="1" applyAlignment="1">
      <alignment horizontal="center" vertical="center" wrapText="1"/>
    </xf>
    <xf numFmtId="0" fontId="156" fillId="0" borderId="56" xfId="0" applyFont="1" applyFill="1" applyBorder="1" applyAlignment="1">
      <alignment horizontal="center" vertical="center" wrapText="1"/>
    </xf>
    <xf numFmtId="0" fontId="156" fillId="0" borderId="49" xfId="0" applyFont="1" applyFill="1" applyBorder="1" applyAlignment="1">
      <alignment horizontal="center" vertical="center" wrapText="1"/>
    </xf>
    <xf numFmtId="0" fontId="129" fillId="0" borderId="59" xfId="0" applyFont="1" applyBorder="1" applyAlignment="1">
      <alignment horizontal="center" vertical="center" wrapText="1"/>
    </xf>
    <xf numFmtId="0" fontId="129" fillId="0" borderId="41" xfId="0" applyFont="1" applyBorder="1" applyAlignment="1">
      <alignment horizontal="center" vertical="center" wrapText="1"/>
    </xf>
    <xf numFmtId="0" fontId="129" fillId="0" borderId="51" xfId="0" applyFont="1" applyBorder="1" applyAlignment="1">
      <alignment vertical="center" wrapText="1"/>
    </xf>
    <xf numFmtId="0" fontId="129" fillId="0" borderId="22" xfId="0" applyFont="1" applyBorder="1" applyAlignment="1">
      <alignment vertical="center" wrapText="1"/>
    </xf>
    <xf numFmtId="0" fontId="129" fillId="0" borderId="41" xfId="0" applyFont="1" applyBorder="1" applyAlignment="1">
      <alignment vertical="center" wrapText="1"/>
    </xf>
    <xf numFmtId="0" fontId="129" fillId="0" borderId="64" xfId="0" applyFont="1" applyBorder="1" applyAlignment="1">
      <alignment horizontal="center" vertical="center" wrapText="1"/>
    </xf>
    <xf numFmtId="0" fontId="129" fillId="0" borderId="56" xfId="0" applyFont="1" applyBorder="1" applyAlignment="1">
      <alignment horizontal="center" vertical="center" wrapText="1"/>
    </xf>
    <xf numFmtId="0" fontId="129" fillId="0" borderId="66" xfId="0" applyFont="1" applyBorder="1" applyAlignment="1">
      <alignment horizontal="center" vertical="center" wrapText="1"/>
    </xf>
    <xf numFmtId="0" fontId="129" fillId="0" borderId="52" xfId="0" applyFont="1" applyBorder="1" applyAlignment="1">
      <alignment vertical="center" wrapText="1"/>
    </xf>
    <xf numFmtId="0" fontId="129" fillId="0" borderId="42" xfId="0" applyFont="1" applyBorder="1" applyAlignment="1">
      <alignment vertical="center" wrapText="1"/>
    </xf>
    <xf numFmtId="0" fontId="129" fillId="0" borderId="49" xfId="0" applyFont="1" applyBorder="1" applyAlignment="1">
      <alignment vertical="center" wrapText="1"/>
    </xf>
    <xf numFmtId="0" fontId="129" fillId="0" borderId="57" xfId="0" applyFont="1" applyBorder="1" applyAlignment="1">
      <alignment horizontal="center" vertical="center" wrapText="1"/>
    </xf>
    <xf numFmtId="0" fontId="129" fillId="0" borderId="55" xfId="0" applyFont="1" applyBorder="1" applyAlignment="1">
      <alignment horizontal="center" vertical="center" wrapText="1"/>
    </xf>
    <xf numFmtId="0" fontId="156" fillId="0" borderId="41" xfId="0" applyFont="1" applyFill="1" applyBorder="1" applyAlignment="1">
      <alignment horizontal="center" vertical="center" wrapText="1"/>
    </xf>
    <xf numFmtId="0" fontId="162" fillId="15" borderId="164" xfId="315" applyFont="1" applyFill="1" applyBorder="1" applyAlignment="1" applyProtection="1">
      <alignment horizontal="center" vertical="center"/>
    </xf>
    <xf numFmtId="0" fontId="107" fillId="15" borderId="164" xfId="302" applyFont="1" applyFill="1" applyBorder="1" applyAlignment="1">
      <alignment horizontal="center" vertical="center"/>
    </xf>
    <xf numFmtId="0" fontId="107" fillId="15" borderId="192" xfId="302" applyFont="1" applyFill="1" applyBorder="1" applyAlignment="1">
      <alignment horizontal="center" vertical="center"/>
    </xf>
    <xf numFmtId="0" fontId="156" fillId="0" borderId="64" xfId="0" applyFont="1" applyFill="1" applyBorder="1" applyAlignment="1">
      <alignment horizontal="center" vertical="center" wrapText="1"/>
    </xf>
    <xf numFmtId="0" fontId="156" fillId="0" borderId="66" xfId="0" applyFont="1" applyFill="1" applyBorder="1" applyAlignment="1">
      <alignment horizontal="center" vertical="center" wrapText="1"/>
    </xf>
    <xf numFmtId="0" fontId="156" fillId="0" borderId="59" xfId="0" applyFont="1" applyFill="1" applyBorder="1" applyAlignment="1">
      <alignment horizontal="center" vertical="center" wrapText="1"/>
    </xf>
    <xf numFmtId="0" fontId="156" fillId="0" borderId="57" xfId="0" applyFont="1" applyFill="1" applyBorder="1" applyAlignment="1">
      <alignment horizontal="center" vertical="center" wrapText="1"/>
    </xf>
    <xf numFmtId="0" fontId="156" fillId="0" borderId="52" xfId="0" applyFont="1" applyFill="1" applyBorder="1" applyAlignment="1">
      <alignment horizontal="center" vertical="center" wrapText="1"/>
    </xf>
    <xf numFmtId="0" fontId="103" fillId="10" borderId="0" xfId="311" applyFont="1" applyFill="1" applyBorder="1">
      <alignment vertical="center"/>
    </xf>
    <xf numFmtId="0" fontId="106" fillId="0" borderId="103" xfId="302" applyFont="1" applyFill="1" applyBorder="1" applyAlignment="1">
      <alignment horizontal="center" vertical="center"/>
    </xf>
    <xf numFmtId="0" fontId="106" fillId="0" borderId="26" xfId="302" applyFont="1" applyFill="1" applyBorder="1" applyAlignment="1">
      <alignment horizontal="center" vertical="center"/>
    </xf>
    <xf numFmtId="0" fontId="106" fillId="0" borderId="7" xfId="302" applyFont="1" applyFill="1" applyBorder="1" applyAlignment="1">
      <alignment horizontal="center" vertical="center"/>
    </xf>
    <xf numFmtId="0" fontId="106" fillId="0" borderId="104" xfId="302" applyFont="1" applyFill="1" applyBorder="1" applyAlignment="1">
      <alignment horizontal="center" vertical="center"/>
    </xf>
    <xf numFmtId="0" fontId="106" fillId="0" borderId="29" xfId="302" applyFont="1" applyFill="1" applyBorder="1" applyAlignment="1">
      <alignment horizontal="center" vertical="center"/>
    </xf>
    <xf numFmtId="0" fontId="106" fillId="0" borderId="105" xfId="302" applyFont="1" applyFill="1" applyBorder="1" applyAlignment="1">
      <alignment horizontal="center" vertical="center"/>
    </xf>
    <xf numFmtId="183" fontId="106" fillId="11" borderId="106" xfId="302" applyNumberFormat="1" applyFont="1" applyFill="1" applyBorder="1" applyAlignment="1">
      <alignment horizontal="center" vertical="center"/>
    </xf>
    <xf numFmtId="183" fontId="106" fillId="11" borderId="107" xfId="302" applyNumberFormat="1" applyFont="1" applyFill="1" applyBorder="1" applyAlignment="1">
      <alignment horizontal="center" vertical="center"/>
    </xf>
    <xf numFmtId="0" fontId="106" fillId="11" borderId="108" xfId="302" applyFont="1" applyFill="1" applyBorder="1" applyAlignment="1">
      <alignment horizontal="center" vertical="center"/>
    </xf>
    <xf numFmtId="0" fontId="106" fillId="11" borderId="109" xfId="302" applyFont="1" applyFill="1" applyBorder="1" applyAlignment="1">
      <alignment horizontal="center" vertical="center"/>
    </xf>
    <xf numFmtId="0" fontId="106" fillId="11" borderId="110" xfId="302" applyFont="1" applyFill="1" applyBorder="1" applyAlignment="1">
      <alignment horizontal="center" vertical="center"/>
    </xf>
    <xf numFmtId="0" fontId="106" fillId="11" borderId="111" xfId="302" applyFont="1" applyFill="1" applyBorder="1" applyAlignment="1">
      <alignment horizontal="center" vertical="center"/>
    </xf>
    <xf numFmtId="0" fontId="114" fillId="0" borderId="24" xfId="302" applyFont="1" applyFill="1" applyBorder="1" applyAlignment="1">
      <alignment horizontal="center" vertical="center"/>
    </xf>
    <xf numFmtId="0" fontId="114" fillId="0" borderId="112" xfId="302" applyFont="1" applyFill="1" applyBorder="1" applyAlignment="1">
      <alignment horizontal="center" vertical="center"/>
    </xf>
    <xf numFmtId="0" fontId="114" fillId="0" borderId="113" xfId="302" applyFont="1" applyFill="1" applyBorder="1" applyAlignment="1">
      <alignment horizontal="center" vertical="center"/>
    </xf>
    <xf numFmtId="0" fontId="114" fillId="0" borderId="114" xfId="302" applyFont="1" applyFill="1" applyBorder="1" applyAlignment="1">
      <alignment horizontal="center" vertical="center"/>
    </xf>
    <xf numFmtId="0" fontId="114" fillId="0" borderId="115" xfId="302" applyFont="1" applyFill="1" applyBorder="1" applyAlignment="1">
      <alignment horizontal="center" vertical="center"/>
    </xf>
    <xf numFmtId="0" fontId="114" fillId="0" borderId="116" xfId="302" applyFont="1" applyFill="1" applyBorder="1" applyAlignment="1">
      <alignment horizontal="center" vertical="center"/>
    </xf>
    <xf numFmtId="239" fontId="112" fillId="0" borderId="0" xfId="302" applyNumberFormat="1" applyFont="1" applyFill="1" applyBorder="1" applyAlignment="1">
      <alignment horizontal="left" vertical="center"/>
    </xf>
    <xf numFmtId="0" fontId="163" fillId="0" borderId="27" xfId="302" applyFont="1" applyFill="1" applyBorder="1" applyAlignment="1">
      <alignment horizontal="center" vertical="center"/>
    </xf>
    <xf numFmtId="0" fontId="163" fillId="0" borderId="0" xfId="302" applyFont="1" applyFill="1" applyBorder="1" applyAlignment="1">
      <alignment horizontal="center" vertical="center"/>
    </xf>
    <xf numFmtId="0" fontId="163" fillId="0" borderId="28" xfId="302" applyFont="1" applyFill="1" applyBorder="1" applyAlignment="1">
      <alignment horizontal="center" vertical="center"/>
    </xf>
    <xf numFmtId="0" fontId="106" fillId="0" borderId="29" xfId="302" applyNumberFormat="1" applyFont="1" applyFill="1" applyBorder="1" applyAlignment="1">
      <alignment horizontal="left" vertical="center"/>
    </xf>
    <xf numFmtId="242" fontId="106" fillId="0" borderId="29" xfId="295" quotePrefix="1" applyNumberFormat="1" applyFont="1" applyFill="1" applyBorder="1" applyAlignment="1">
      <alignment horizontal="right" vertical="center"/>
    </xf>
    <xf numFmtId="242" fontId="106" fillId="0" borderId="29" xfId="295" applyNumberFormat="1" applyFont="1" applyFill="1" applyBorder="1" applyAlignment="1">
      <alignment horizontal="right" vertical="center"/>
    </xf>
    <xf numFmtId="0" fontId="112" fillId="0" borderId="0" xfId="302" applyFont="1" applyFill="1" applyBorder="1" applyAlignment="1">
      <alignment horizontal="center" vertical="center"/>
    </xf>
    <xf numFmtId="0" fontId="126" fillId="0" borderId="27" xfId="302" applyFont="1" applyFill="1" applyBorder="1" applyAlignment="1">
      <alignment horizontal="center" vertical="center"/>
    </xf>
    <xf numFmtId="0" fontId="126" fillId="0" borderId="0" xfId="302" applyFont="1" applyFill="1" applyBorder="1" applyAlignment="1">
      <alignment horizontal="center" vertical="center"/>
    </xf>
    <xf numFmtId="0" fontId="126" fillId="0" borderId="28" xfId="302" applyFont="1" applyFill="1" applyBorder="1" applyAlignment="1">
      <alignment horizontal="center" vertical="center"/>
    </xf>
    <xf numFmtId="243" fontId="106" fillId="0" borderId="29" xfId="302" applyNumberFormat="1" applyFont="1" applyFill="1" applyBorder="1" applyAlignment="1">
      <alignment horizontal="left" vertical="center"/>
    </xf>
    <xf numFmtId="0" fontId="114" fillId="0" borderId="121" xfId="302" applyFont="1" applyFill="1" applyBorder="1" applyAlignment="1">
      <alignment horizontal="center" vertical="center"/>
    </xf>
    <xf numFmtId="0" fontId="114" fillId="0" borderId="122" xfId="302" applyFont="1" applyFill="1" applyBorder="1" applyAlignment="1">
      <alignment horizontal="center" vertical="center"/>
    </xf>
    <xf numFmtId="0" fontId="117" fillId="0" borderId="0" xfId="302" applyFont="1" applyFill="1" applyBorder="1" applyAlignment="1">
      <alignment horizontal="center" vertical="center"/>
    </xf>
    <xf numFmtId="239" fontId="165" fillId="0" borderId="0" xfId="302" applyNumberFormat="1" applyFont="1" applyFill="1" applyBorder="1" applyAlignment="1">
      <alignment horizontal="center" vertical="center"/>
    </xf>
    <xf numFmtId="0" fontId="106" fillId="11" borderId="123" xfId="302" applyFont="1" applyFill="1" applyBorder="1" applyAlignment="1">
      <alignment horizontal="center" vertical="center"/>
    </xf>
    <xf numFmtId="0" fontId="106" fillId="11" borderId="124" xfId="302" applyFont="1" applyFill="1" applyBorder="1" applyAlignment="1">
      <alignment horizontal="center" vertical="center"/>
    </xf>
    <xf numFmtId="0" fontId="106" fillId="11" borderId="125" xfId="302" applyFont="1" applyFill="1" applyBorder="1" applyAlignment="1">
      <alignment horizontal="center" vertical="center"/>
    </xf>
    <xf numFmtId="0" fontId="106" fillId="11" borderId="126" xfId="302" applyFont="1" applyFill="1" applyBorder="1" applyAlignment="1">
      <alignment horizontal="center" vertical="center"/>
    </xf>
    <xf numFmtId="0" fontId="106" fillId="11" borderId="31" xfId="302" applyFont="1" applyFill="1" applyBorder="1" applyAlignment="1">
      <alignment horizontal="center" vertical="center"/>
    </xf>
    <xf numFmtId="0" fontId="106" fillId="11" borderId="127" xfId="302" applyFont="1" applyFill="1" applyBorder="1" applyAlignment="1">
      <alignment horizontal="center" vertical="center"/>
    </xf>
    <xf numFmtId="0" fontId="106" fillId="0" borderId="117" xfId="302" applyFont="1" applyFill="1" applyBorder="1" applyAlignment="1">
      <alignment horizontal="center" vertical="center"/>
    </xf>
    <xf numFmtId="0" fontId="106" fillId="0" borderId="18" xfId="302" applyFont="1" applyFill="1" applyBorder="1" applyAlignment="1">
      <alignment horizontal="center" vertical="center"/>
    </xf>
    <xf numFmtId="0" fontId="106" fillId="0" borderId="118" xfId="302" applyFont="1" applyFill="1" applyBorder="1" applyAlignment="1">
      <alignment horizontal="center" vertical="center"/>
    </xf>
    <xf numFmtId="239" fontId="164" fillId="0" borderId="0" xfId="302" applyNumberFormat="1" applyFont="1" applyFill="1" applyBorder="1" applyAlignment="1">
      <alignment horizontal="center" vertical="center"/>
    </xf>
    <xf numFmtId="0" fontId="164" fillId="0" borderId="0" xfId="302" applyNumberFormat="1" applyFont="1" applyFill="1" applyBorder="1" applyAlignment="1">
      <alignment horizontal="center" vertical="center"/>
    </xf>
    <xf numFmtId="0" fontId="106" fillId="0" borderId="119" xfId="302" applyFont="1" applyFill="1" applyBorder="1" applyAlignment="1">
      <alignment horizontal="center" vertical="center"/>
    </xf>
    <xf numFmtId="0" fontId="106" fillId="0" borderId="0" xfId="302" applyFont="1" applyFill="1" applyBorder="1" applyAlignment="1">
      <alignment horizontal="center" vertical="center"/>
    </xf>
    <xf numFmtId="0" fontId="106" fillId="0" borderId="120" xfId="302" applyFont="1" applyFill="1" applyBorder="1" applyAlignment="1">
      <alignment horizontal="center" vertical="center"/>
    </xf>
    <xf numFmtId="0" fontId="106" fillId="0" borderId="12" xfId="302" applyFont="1" applyFill="1" applyBorder="1" applyAlignment="1">
      <alignment horizontal="center" vertical="center"/>
    </xf>
    <xf numFmtId="0" fontId="106" fillId="0" borderId="35" xfId="302" applyFont="1" applyFill="1" applyBorder="1" applyAlignment="1">
      <alignment horizontal="center" vertical="center"/>
    </xf>
    <xf numFmtId="0" fontId="106" fillId="0" borderId="36" xfId="302" applyFont="1" applyFill="1" applyBorder="1" applyAlignment="1">
      <alignment horizontal="center" vertical="center"/>
    </xf>
    <xf numFmtId="0" fontId="106" fillId="0" borderId="128" xfId="302" applyFont="1" applyFill="1" applyBorder="1" applyAlignment="1">
      <alignment horizontal="center" vertical="center"/>
    </xf>
    <xf numFmtId="0" fontId="106" fillId="0" borderId="134" xfId="302" applyFont="1" applyFill="1" applyBorder="1" applyAlignment="1">
      <alignment horizontal="center" vertical="center"/>
    </xf>
    <xf numFmtId="0" fontId="106" fillId="0" borderId="135" xfId="302" applyFont="1" applyFill="1" applyBorder="1" applyAlignment="1">
      <alignment horizontal="center" vertical="center"/>
    </xf>
    <xf numFmtId="0" fontId="106" fillId="0" borderId="136" xfId="302" applyFont="1" applyFill="1" applyBorder="1" applyAlignment="1">
      <alignment horizontal="center" vertical="center"/>
    </xf>
    <xf numFmtId="238" fontId="106" fillId="0" borderId="197" xfId="302" applyNumberFormat="1" applyFont="1" applyFill="1" applyBorder="1" applyAlignment="1">
      <alignment horizontal="center" vertical="center"/>
    </xf>
    <xf numFmtId="238" fontId="106" fillId="0" borderId="26" xfId="302" applyNumberFormat="1" applyFont="1" applyFill="1" applyBorder="1" applyAlignment="1">
      <alignment horizontal="center" vertical="center"/>
    </xf>
    <xf numFmtId="238" fontId="106" fillId="0" borderId="7" xfId="302" applyNumberFormat="1" applyFont="1" applyFill="1" applyBorder="1" applyAlignment="1">
      <alignment horizontal="center" vertical="center"/>
    </xf>
    <xf numFmtId="238" fontId="106" fillId="0" borderId="27" xfId="302" applyNumberFormat="1" applyFont="1" applyFill="1" applyBorder="1" applyAlignment="1">
      <alignment horizontal="center" vertical="center"/>
    </xf>
    <xf numFmtId="238" fontId="106" fillId="0" borderId="0" xfId="302" applyNumberFormat="1" applyFont="1" applyFill="1" applyBorder="1" applyAlignment="1">
      <alignment horizontal="center" vertical="center"/>
    </xf>
    <xf numFmtId="238" fontId="106" fillId="0" borderId="120" xfId="302" applyNumberFormat="1" applyFont="1" applyFill="1" applyBorder="1" applyAlignment="1">
      <alignment horizontal="center" vertical="center"/>
    </xf>
    <xf numFmtId="238" fontId="106" fillId="0" borderId="198" xfId="302" applyNumberFormat="1" applyFont="1" applyFill="1" applyBorder="1" applyAlignment="1">
      <alignment horizontal="center" vertical="center"/>
    </xf>
    <xf numFmtId="238" fontId="106" fillId="0" borderId="29" xfId="302" applyNumberFormat="1" applyFont="1" applyFill="1" applyBorder="1" applyAlignment="1">
      <alignment horizontal="center" vertical="center"/>
    </xf>
    <xf numFmtId="238" fontId="106" fillId="0" borderId="105" xfId="302" applyNumberFormat="1" applyFont="1" applyFill="1" applyBorder="1" applyAlignment="1">
      <alignment horizontal="center" vertical="center"/>
    </xf>
    <xf numFmtId="0" fontId="106" fillId="0" borderId="129" xfId="302" applyFont="1" applyFill="1" applyBorder="1" applyAlignment="1">
      <alignment horizontal="center" vertical="center"/>
    </xf>
    <xf numFmtId="0" fontId="106" fillId="0" borderId="130" xfId="302" applyFont="1" applyFill="1" applyBorder="1" applyAlignment="1">
      <alignment horizontal="center" vertical="center"/>
    </xf>
    <xf numFmtId="0" fontId="106" fillId="0" borderId="115" xfId="302" applyFont="1" applyFill="1" applyBorder="1" applyAlignment="1">
      <alignment horizontal="center" vertical="center"/>
    </xf>
    <xf numFmtId="0" fontId="106" fillId="0" borderId="131" xfId="302" applyFont="1" applyFill="1" applyBorder="1" applyAlignment="1">
      <alignment horizontal="center" vertical="center"/>
    </xf>
    <xf numFmtId="0" fontId="106" fillId="0" borderId="24" xfId="302" applyFont="1" applyFill="1" applyBorder="1" applyAlignment="1">
      <alignment horizontal="center" vertical="center"/>
    </xf>
    <xf numFmtId="0" fontId="106" fillId="0" borderId="132" xfId="302" applyFont="1" applyFill="1" applyBorder="1" applyAlignment="1">
      <alignment horizontal="center" vertical="center"/>
    </xf>
    <xf numFmtId="0" fontId="106" fillId="0" borderId="113" xfId="302" applyFont="1" applyFill="1" applyBorder="1" applyAlignment="1">
      <alignment horizontal="center" vertical="center"/>
    </xf>
    <xf numFmtId="0" fontId="106" fillId="0" borderId="133" xfId="302" applyFont="1" applyFill="1" applyBorder="1" applyAlignment="1">
      <alignment horizontal="center" vertical="center"/>
    </xf>
    <xf numFmtId="0" fontId="124" fillId="0" borderId="39" xfId="301" applyFont="1" applyBorder="1" applyAlignment="1">
      <alignment horizontal="center" vertical="center"/>
    </xf>
    <xf numFmtId="0" fontId="124" fillId="0" borderId="17" xfId="301" applyFont="1" applyBorder="1" applyAlignment="1">
      <alignment horizontal="center" vertical="center"/>
    </xf>
    <xf numFmtId="0" fontId="125" fillId="11" borderId="4" xfId="301" applyFont="1" applyFill="1" applyBorder="1" applyAlignment="1">
      <alignment horizontal="center" vertical="center"/>
    </xf>
    <xf numFmtId="0" fontId="120" fillId="11" borderId="4" xfId="301" applyFont="1" applyFill="1" applyBorder="1" applyAlignment="1">
      <alignment vertical="center"/>
    </xf>
    <xf numFmtId="0" fontId="111" fillId="0" borderId="0" xfId="301" applyFont="1" applyBorder="1" applyAlignment="1">
      <alignment horizontal="center" vertical="center"/>
    </xf>
    <xf numFmtId="0" fontId="125" fillId="11" borderId="115" xfId="301" applyFont="1" applyFill="1" applyBorder="1" applyAlignment="1">
      <alignment horizontal="center" vertical="center"/>
    </xf>
    <xf numFmtId="0" fontId="125" fillId="11" borderId="7" xfId="301" applyFont="1" applyFill="1" applyBorder="1" applyAlignment="1">
      <alignment horizontal="center" vertical="center"/>
    </xf>
    <xf numFmtId="0" fontId="125" fillId="11" borderId="113" xfId="301" applyFont="1" applyFill="1" applyBorder="1" applyAlignment="1">
      <alignment horizontal="center" vertical="center"/>
    </xf>
    <xf numFmtId="0" fontId="125" fillId="11" borderId="105" xfId="301" applyFont="1" applyFill="1" applyBorder="1" applyAlignment="1">
      <alignment horizontal="center" vertical="center"/>
    </xf>
    <xf numFmtId="0" fontId="120" fillId="11" borderId="4" xfId="301" applyFont="1" applyFill="1" applyBorder="1" applyAlignment="1">
      <alignment horizontal="center" vertical="center"/>
    </xf>
    <xf numFmtId="0" fontId="104" fillId="14" borderId="45" xfId="307" applyFont="1" applyFill="1" applyBorder="1" applyAlignment="1">
      <alignment horizontal="center" vertical="center"/>
    </xf>
    <xf numFmtId="178" fontId="104" fillId="14" borderId="45" xfId="307" applyNumberFormat="1" applyFont="1" applyFill="1" applyBorder="1" applyAlignment="1">
      <alignment horizontal="right" vertical="center"/>
    </xf>
    <xf numFmtId="0" fontId="104" fillId="14" borderId="45" xfId="307" applyFont="1" applyFill="1" applyBorder="1" applyAlignment="1">
      <alignment horizontal="left" vertical="center"/>
    </xf>
    <xf numFmtId="192" fontId="104" fillId="14" borderId="1" xfId="265" applyNumberFormat="1" applyFont="1" applyFill="1" applyBorder="1" applyAlignment="1">
      <alignment horizontal="center" vertical="center"/>
    </xf>
    <xf numFmtId="41" fontId="104" fillId="14" borderId="45" xfId="265" applyFont="1" applyFill="1" applyBorder="1" applyAlignment="1">
      <alignment horizontal="center" vertical="center"/>
    </xf>
    <xf numFmtId="254" fontId="103" fillId="0" borderId="59" xfId="312" applyNumberFormat="1" applyFont="1" applyBorder="1" applyAlignment="1">
      <alignment horizontal="center" vertical="center"/>
    </xf>
    <xf numFmtId="254" fontId="103" fillId="0" borderId="22" xfId="312" applyNumberFormat="1" applyFont="1" applyBorder="1" applyAlignment="1">
      <alignment horizontal="center" vertical="center"/>
    </xf>
    <xf numFmtId="249" fontId="103" fillId="0" borderId="0" xfId="312" applyNumberFormat="1" applyFont="1" applyFill="1" applyBorder="1" applyAlignment="1">
      <alignment horizontal="center" vertical="center"/>
    </xf>
    <xf numFmtId="254" fontId="103" fillId="0" borderId="2" xfId="312" applyNumberFormat="1" applyFont="1" applyBorder="1" applyAlignment="1">
      <alignment horizontal="center" vertical="center"/>
    </xf>
    <xf numFmtId="254" fontId="103" fillId="0" borderId="38" xfId="312" applyNumberFormat="1" applyFont="1" applyBorder="1" applyAlignment="1">
      <alignment horizontal="center" vertical="center"/>
    </xf>
    <xf numFmtId="187" fontId="103" fillId="0" borderId="38" xfId="312" applyNumberFormat="1" applyFont="1" applyBorder="1" applyAlignment="1">
      <alignment horizontal="center" vertical="center"/>
    </xf>
    <xf numFmtId="271" fontId="103" fillId="0" borderId="0" xfId="312" applyNumberFormat="1" applyFont="1" applyFill="1" applyBorder="1" applyAlignment="1">
      <alignment horizontal="center" vertical="center"/>
    </xf>
    <xf numFmtId="187" fontId="103" fillId="0" borderId="22" xfId="312" applyNumberFormat="1" applyFont="1" applyBorder="1" applyAlignment="1">
      <alignment horizontal="center" vertical="center"/>
    </xf>
    <xf numFmtId="188" fontId="103" fillId="0" borderId="22" xfId="312" applyNumberFormat="1" applyFont="1" applyBorder="1" applyAlignment="1">
      <alignment horizontal="center" vertical="center"/>
    </xf>
    <xf numFmtId="188" fontId="103" fillId="0" borderId="41" xfId="312" applyNumberFormat="1" applyFont="1" applyBorder="1" applyAlignment="1">
      <alignment horizontal="center" vertical="center"/>
    </xf>
    <xf numFmtId="188" fontId="103" fillId="0" borderId="38" xfId="312" applyNumberFormat="1" applyFont="1" applyBorder="1" applyAlignment="1">
      <alignment horizontal="center" vertical="center"/>
    </xf>
    <xf numFmtId="188" fontId="103" fillId="0" borderId="40" xfId="312" applyNumberFormat="1" applyFont="1" applyBorder="1" applyAlignment="1">
      <alignment horizontal="center" vertical="center"/>
    </xf>
    <xf numFmtId="189" fontId="103" fillId="0" borderId="0" xfId="312" applyNumberFormat="1" applyFont="1" applyBorder="1" applyAlignment="1">
      <alignment horizontal="center" vertical="center"/>
    </xf>
    <xf numFmtId="41" fontId="103" fillId="0" borderId="0" xfId="312" applyNumberFormat="1" applyFont="1" applyFill="1" applyBorder="1">
      <alignment vertical="center"/>
    </xf>
    <xf numFmtId="0" fontId="103" fillId="8" borderId="0" xfId="312" applyFont="1" applyFill="1" applyBorder="1" applyAlignment="1">
      <alignment horizontal="center" vertical="center"/>
    </xf>
    <xf numFmtId="41" fontId="103" fillId="0" borderId="0" xfId="312" applyNumberFormat="1" applyFont="1" applyBorder="1" applyAlignment="1">
      <alignment horizontal="center" vertical="center"/>
    </xf>
    <xf numFmtId="0" fontId="103" fillId="0" borderId="0" xfId="312" applyFont="1" applyBorder="1" applyAlignment="1">
      <alignment horizontal="center" vertical="center"/>
    </xf>
    <xf numFmtId="255" fontId="103" fillId="0" borderId="2" xfId="312" applyNumberFormat="1" applyFont="1" applyBorder="1" applyAlignment="1">
      <alignment horizontal="center" vertical="center"/>
    </xf>
    <xf numFmtId="255" fontId="103" fillId="0" borderId="38" xfId="312" applyNumberFormat="1" applyFont="1" applyBorder="1" applyAlignment="1">
      <alignment horizontal="center" vertical="center"/>
    </xf>
    <xf numFmtId="0" fontId="103" fillId="0" borderId="137" xfId="312" applyFont="1" applyBorder="1" applyAlignment="1">
      <alignment vertical="center" wrapText="1"/>
    </xf>
    <xf numFmtId="0" fontId="103" fillId="0" borderId="138" xfId="312" applyFont="1" applyBorder="1" applyAlignment="1">
      <alignment vertical="center" wrapText="1"/>
    </xf>
    <xf numFmtId="0" fontId="103" fillId="0" borderId="139" xfId="312" applyFont="1" applyBorder="1" applyAlignment="1">
      <alignment vertical="center" wrapText="1"/>
    </xf>
    <xf numFmtId="0" fontId="103" fillId="0" borderId="140" xfId="312" applyFont="1" applyBorder="1" applyAlignment="1">
      <alignment vertical="center" wrapText="1"/>
    </xf>
    <xf numFmtId="0" fontId="103" fillId="0" borderId="53" xfId="312" applyFont="1" applyBorder="1" applyAlignment="1">
      <alignment horizontal="center" vertical="center"/>
    </xf>
    <xf numFmtId="0" fontId="103" fillId="0" borderId="54" xfId="312" applyFont="1" applyBorder="1" applyAlignment="1">
      <alignment horizontal="center" vertical="center"/>
    </xf>
    <xf numFmtId="0" fontId="103" fillId="0" borderId="38" xfId="312" applyFont="1" applyBorder="1" applyAlignment="1">
      <alignment horizontal="center" vertical="center"/>
    </xf>
    <xf numFmtId="0" fontId="103" fillId="0" borderId="40" xfId="312" applyFont="1" applyBorder="1" applyAlignment="1">
      <alignment horizontal="center" vertical="center"/>
    </xf>
    <xf numFmtId="3" fontId="121" fillId="0" borderId="38" xfId="0" applyNumberFormat="1" applyFont="1" applyFill="1" applyBorder="1" applyAlignment="1">
      <alignment vertical="center"/>
    </xf>
    <xf numFmtId="3" fontId="121" fillId="0" borderId="40" xfId="0" applyNumberFormat="1" applyFont="1" applyFill="1" applyBorder="1" applyAlignment="1">
      <alignment vertical="center"/>
    </xf>
    <xf numFmtId="3" fontId="121" fillId="0" borderId="22" xfId="0" applyNumberFormat="1" applyFont="1" applyFill="1" applyBorder="1" applyAlignment="1">
      <alignment vertical="center"/>
    </xf>
    <xf numFmtId="3" fontId="121" fillId="0" borderId="41" xfId="0" applyNumberFormat="1" applyFont="1" applyFill="1" applyBorder="1" applyAlignment="1">
      <alignment vertical="center"/>
    </xf>
    <xf numFmtId="0" fontId="121" fillId="0" borderId="2" xfId="0" applyFont="1" applyFill="1" applyBorder="1" applyAlignment="1">
      <alignment horizontal="center" vertical="center"/>
    </xf>
    <xf numFmtId="0" fontId="121" fillId="0" borderId="38" xfId="0" applyFont="1" applyFill="1" applyBorder="1" applyAlignment="1">
      <alignment horizontal="center" vertical="center"/>
    </xf>
    <xf numFmtId="0" fontId="123" fillId="0" borderId="53" xfId="0" applyFont="1" applyFill="1" applyBorder="1" applyAlignment="1">
      <alignment horizontal="center" vertical="center"/>
    </xf>
    <xf numFmtId="0" fontId="123" fillId="0" borderId="54" xfId="0" applyFont="1" applyFill="1" applyBorder="1" applyAlignment="1">
      <alignment horizontal="center" vertical="center"/>
    </xf>
    <xf numFmtId="41" fontId="104" fillId="14" borderId="91" xfId="264" applyFont="1" applyFill="1" applyBorder="1" applyAlignment="1">
      <alignment horizontal="center" vertical="center"/>
    </xf>
    <xf numFmtId="0" fontId="121" fillId="0" borderId="59" xfId="0" applyFont="1" applyFill="1" applyBorder="1" applyAlignment="1">
      <alignment horizontal="center" vertical="center"/>
    </xf>
    <xf numFmtId="0" fontId="121" fillId="0" borderId="22" xfId="0" applyFont="1" applyFill="1" applyBorder="1" applyAlignment="1">
      <alignment horizontal="center" vertical="center"/>
    </xf>
    <xf numFmtId="0" fontId="123" fillId="0" borderId="60" xfId="0" applyFont="1" applyFill="1" applyBorder="1" applyAlignment="1">
      <alignment horizontal="center" vertical="center"/>
    </xf>
    <xf numFmtId="3" fontId="103" fillId="0" borderId="0" xfId="312" applyNumberFormat="1" applyFont="1" applyBorder="1" applyAlignment="1">
      <alignment horizontal="center" vertical="center"/>
    </xf>
    <xf numFmtId="249" fontId="103" fillId="0" borderId="0" xfId="312" applyNumberFormat="1" applyFont="1" applyBorder="1" applyAlignment="1">
      <alignment horizontal="center" vertical="center"/>
    </xf>
    <xf numFmtId="271" fontId="103" fillId="0" borderId="0" xfId="312" applyNumberFormat="1" applyFont="1" applyBorder="1" applyAlignment="1">
      <alignment horizontal="center" vertical="center"/>
    </xf>
    <xf numFmtId="0" fontId="103" fillId="0" borderId="0" xfId="312" applyFont="1" applyBorder="1" applyAlignment="1">
      <alignment vertical="center"/>
    </xf>
    <xf numFmtId="3" fontId="103" fillId="0" borderId="0" xfId="312" applyNumberFormat="1" applyFont="1" applyBorder="1" applyAlignment="1">
      <alignment vertical="center"/>
    </xf>
    <xf numFmtId="249" fontId="103" fillId="0" borderId="0" xfId="312" applyNumberFormat="1" applyFont="1" applyBorder="1" applyAlignment="1">
      <alignment vertical="center"/>
    </xf>
    <xf numFmtId="0" fontId="106" fillId="0" borderId="193" xfId="312" applyFont="1" applyBorder="1" applyAlignment="1">
      <alignment horizontal="center" vertical="center"/>
    </xf>
    <xf numFmtId="0" fontId="106" fillId="0" borderId="194" xfId="312" applyFont="1" applyBorder="1" applyAlignment="1">
      <alignment horizontal="center" vertical="center"/>
    </xf>
    <xf numFmtId="0" fontId="106" fillId="0" borderId="195" xfId="312" applyFont="1" applyBorder="1" applyAlignment="1">
      <alignment horizontal="center" vertical="center"/>
    </xf>
    <xf numFmtId="0" fontId="123" fillId="0" borderId="2" xfId="0" applyFont="1" applyFill="1" applyBorder="1" applyAlignment="1">
      <alignment horizontal="center" vertical="center"/>
    </xf>
    <xf numFmtId="0" fontId="123" fillId="0" borderId="141" xfId="0" applyFont="1" applyFill="1" applyBorder="1" applyAlignment="1">
      <alignment horizontal="center" vertical="center"/>
    </xf>
    <xf numFmtId="0" fontId="123" fillId="0" borderId="43" xfId="0" applyFont="1" applyFill="1" applyBorder="1" applyAlignment="1">
      <alignment horizontal="center" vertical="center"/>
    </xf>
    <xf numFmtId="0" fontId="123" fillId="0" borderId="44" xfId="0" applyFont="1" applyFill="1" applyBorder="1" applyAlignment="1">
      <alignment horizontal="center" vertical="center"/>
    </xf>
    <xf numFmtId="252" fontId="103" fillId="0" borderId="0" xfId="254" applyNumberFormat="1" applyFont="1" applyFill="1" applyBorder="1" applyAlignment="1">
      <alignment horizontal="center" vertical="center"/>
    </xf>
    <xf numFmtId="41" fontId="103" fillId="8" borderId="0" xfId="312" applyNumberFormat="1" applyFont="1" applyFill="1" applyBorder="1">
      <alignment vertical="center"/>
    </xf>
    <xf numFmtId="0" fontId="104" fillId="0" borderId="45" xfId="312" applyFont="1" applyBorder="1" applyAlignment="1">
      <alignment horizontal="left" vertical="center"/>
    </xf>
    <xf numFmtId="41" fontId="104" fillId="0" borderId="45" xfId="264" applyFont="1" applyBorder="1" applyAlignment="1">
      <alignment horizontal="center" vertical="center"/>
    </xf>
    <xf numFmtId="0" fontId="104" fillId="0" borderId="91" xfId="312" applyFont="1" applyBorder="1" applyAlignment="1">
      <alignment horizontal="left" vertical="center"/>
    </xf>
    <xf numFmtId="0" fontId="128" fillId="0" borderId="95" xfId="302" applyFont="1" applyFill="1" applyBorder="1" applyAlignment="1">
      <alignment horizontal="center" vertical="center"/>
    </xf>
    <xf numFmtId="0" fontId="128" fillId="0" borderId="48" xfId="302" applyFont="1" applyFill="1" applyBorder="1" applyAlignment="1">
      <alignment horizontal="center" vertical="center"/>
    </xf>
    <xf numFmtId="259" fontId="128" fillId="0" borderId="95" xfId="302" applyNumberFormat="1" applyFont="1" applyFill="1" applyBorder="1" applyAlignment="1">
      <alignment horizontal="center" vertical="center"/>
    </xf>
    <xf numFmtId="259" fontId="128" fillId="0" borderId="51" xfId="302" applyNumberFormat="1" applyFont="1" applyFill="1" applyBorder="1" applyAlignment="1">
      <alignment horizontal="center" vertical="center"/>
    </xf>
    <xf numFmtId="0" fontId="128" fillId="0" borderId="97" xfId="302" applyFont="1" applyFill="1" applyBorder="1" applyAlignment="1">
      <alignment horizontal="center" vertical="center"/>
    </xf>
    <xf numFmtId="0" fontId="128" fillId="0" borderId="47" xfId="302" applyFont="1" applyFill="1" applyBorder="1" applyAlignment="1">
      <alignment horizontal="center" vertical="center"/>
    </xf>
    <xf numFmtId="0" fontId="128" fillId="0" borderId="39" xfId="302" applyFont="1" applyFill="1" applyBorder="1" applyAlignment="1">
      <alignment horizontal="center" vertical="center"/>
    </xf>
    <xf numFmtId="0" fontId="128" fillId="0" borderId="17" xfId="302" applyFont="1" applyFill="1" applyBorder="1" applyAlignment="1">
      <alignment horizontal="center" vertical="center"/>
    </xf>
    <xf numFmtId="0" fontId="128" fillId="0" borderId="39" xfId="0" applyFont="1" applyFill="1" applyBorder="1" applyAlignment="1">
      <alignment horizontal="center" vertical="center"/>
    </xf>
    <xf numFmtId="0" fontId="128" fillId="0" borderId="57" xfId="0" applyFont="1" applyFill="1" applyBorder="1" applyAlignment="1">
      <alignment horizontal="center" vertical="center"/>
    </xf>
    <xf numFmtId="0" fontId="128" fillId="0" borderId="98" xfId="302" applyFont="1" applyFill="1" applyBorder="1" applyAlignment="1">
      <alignment horizontal="center" vertical="center"/>
    </xf>
    <xf numFmtId="0" fontId="128" fillId="0" borderId="11" xfId="302" applyFont="1" applyFill="1" applyBorder="1" applyAlignment="1">
      <alignment horizontal="center" vertical="center"/>
    </xf>
    <xf numFmtId="0" fontId="128" fillId="0" borderId="93" xfId="302" applyFont="1" applyFill="1" applyBorder="1" applyAlignment="1">
      <alignment horizontal="center" vertical="center"/>
    </xf>
    <xf numFmtId="0" fontId="128" fillId="0" borderId="44" xfId="302" applyFont="1" applyFill="1" applyBorder="1" applyAlignment="1">
      <alignment horizontal="center" vertical="center"/>
    </xf>
    <xf numFmtId="179" fontId="128" fillId="0" borderId="93" xfId="302" applyNumberFormat="1" applyFont="1" applyFill="1" applyBorder="1" applyAlignment="1">
      <alignment horizontal="center" vertical="center"/>
    </xf>
    <xf numFmtId="179" fontId="128" fillId="0" borderId="62" xfId="302" applyNumberFormat="1" applyFont="1" applyFill="1" applyBorder="1" applyAlignment="1">
      <alignment horizontal="center" vertical="center"/>
    </xf>
    <xf numFmtId="0" fontId="128" fillId="0" borderId="141" xfId="302" applyFont="1" applyFill="1" applyBorder="1" applyAlignment="1">
      <alignment horizontal="center" vertical="center"/>
    </xf>
    <xf numFmtId="0" fontId="128" fillId="0" borderId="43" xfId="302" applyFont="1" applyFill="1" applyBorder="1" applyAlignment="1">
      <alignment horizontal="center" vertical="center"/>
    </xf>
    <xf numFmtId="0" fontId="166" fillId="0" borderId="29" xfId="302" applyFont="1" applyFill="1" applyBorder="1" applyAlignment="1">
      <alignment horizontal="center" vertical="center"/>
    </xf>
    <xf numFmtId="0" fontId="103" fillId="11" borderId="54" xfId="0" applyFont="1" applyFill="1" applyBorder="1" applyAlignment="1">
      <alignment horizontal="center" vertical="center"/>
    </xf>
    <xf numFmtId="0" fontId="103" fillId="11" borderId="41" xfId="0" applyFont="1" applyFill="1" applyBorder="1" applyAlignment="1">
      <alignment horizontal="center" vertical="center"/>
    </xf>
    <xf numFmtId="0" fontId="106" fillId="0" borderId="0" xfId="0" applyFont="1" applyFill="1" applyBorder="1" applyAlignment="1">
      <alignment horizontal="center" vertical="center"/>
    </xf>
    <xf numFmtId="0" fontId="103" fillId="11" borderId="60" xfId="0" applyFont="1" applyFill="1" applyBorder="1" applyAlignment="1">
      <alignment horizontal="center" vertical="center"/>
    </xf>
    <xf numFmtId="0" fontId="103" fillId="11" borderId="59" xfId="0" applyFont="1" applyFill="1" applyBorder="1" applyAlignment="1">
      <alignment horizontal="center" vertical="center"/>
    </xf>
    <xf numFmtId="0" fontId="103" fillId="11" borderId="53" xfId="0" applyFont="1" applyFill="1" applyBorder="1" applyAlignment="1">
      <alignment horizontal="center" vertical="center"/>
    </xf>
    <xf numFmtId="0" fontId="103" fillId="11" borderId="22" xfId="0" applyFont="1" applyFill="1" applyBorder="1" applyAlignment="1">
      <alignment horizontal="center" vertical="center"/>
    </xf>
    <xf numFmtId="41" fontId="103" fillId="11" borderId="53" xfId="265" applyNumberFormat="1" applyFont="1" applyFill="1" applyBorder="1" applyAlignment="1">
      <alignment horizontal="center" vertical="center"/>
    </xf>
    <xf numFmtId="41" fontId="103" fillId="11" borderId="22" xfId="265" applyNumberFormat="1" applyFont="1" applyFill="1" applyBorder="1" applyAlignment="1">
      <alignment horizontal="center" vertical="center"/>
    </xf>
    <xf numFmtId="41" fontId="103" fillId="11" borderId="53" xfId="265" applyFont="1" applyFill="1" applyBorder="1" applyAlignment="1">
      <alignment horizontal="center" vertical="center"/>
    </xf>
    <xf numFmtId="41" fontId="103" fillId="11" borderId="22" xfId="265" applyFont="1" applyFill="1" applyBorder="1" applyAlignment="1">
      <alignment horizontal="center" vertical="center"/>
    </xf>
    <xf numFmtId="237" fontId="103" fillId="11" borderId="53" xfId="265" applyNumberFormat="1" applyFont="1" applyFill="1" applyBorder="1" applyAlignment="1">
      <alignment horizontal="center" vertical="center"/>
    </xf>
    <xf numFmtId="4" fontId="122" fillId="0" borderId="38" xfId="0" applyNumberFormat="1" applyFont="1" applyBorder="1" applyAlignment="1">
      <alignment horizontal="center" vertical="center"/>
    </xf>
    <xf numFmtId="0" fontId="122" fillId="11" borderId="51" xfId="0" applyFont="1" applyFill="1" applyBorder="1" applyAlignment="1">
      <alignment horizontal="center" vertical="center"/>
    </xf>
    <xf numFmtId="0" fontId="122" fillId="11" borderId="22" xfId="0" applyFont="1" applyFill="1" applyBorder="1" applyAlignment="1">
      <alignment horizontal="center" vertical="center"/>
    </xf>
    <xf numFmtId="0" fontId="122" fillId="11" borderId="50" xfId="0" applyFont="1" applyFill="1" applyBorder="1" applyAlignment="1">
      <alignment horizontal="center" vertical="center" wrapText="1"/>
    </xf>
    <xf numFmtId="0" fontId="122" fillId="11" borderId="38" xfId="0" applyFont="1" applyFill="1" applyBorder="1" applyAlignment="1">
      <alignment horizontal="center" vertical="center" wrapText="1"/>
    </xf>
    <xf numFmtId="0" fontId="122" fillId="0" borderId="22" xfId="0" applyFont="1" applyBorder="1" applyAlignment="1">
      <alignment horizontal="center" vertical="center"/>
    </xf>
    <xf numFmtId="0" fontId="122" fillId="0" borderId="41" xfId="0" applyFont="1" applyBorder="1" applyAlignment="1">
      <alignment horizontal="center" vertical="center"/>
    </xf>
    <xf numFmtId="0" fontId="122" fillId="0" borderId="38" xfId="0" applyFont="1" applyBorder="1" applyAlignment="1">
      <alignment horizontal="center" vertical="center"/>
    </xf>
    <xf numFmtId="0" fontId="122" fillId="0" borderId="40" xfId="0" applyFont="1" applyBorder="1" applyAlignment="1">
      <alignment horizontal="center" vertical="center"/>
    </xf>
    <xf numFmtId="4" fontId="122" fillId="0" borderId="50" xfId="0" applyNumberFormat="1" applyFont="1" applyBorder="1" applyAlignment="1">
      <alignment horizontal="center" vertical="center"/>
    </xf>
    <xf numFmtId="0" fontId="122" fillId="11" borderId="41" xfId="0" applyFont="1" applyFill="1" applyBorder="1" applyAlignment="1">
      <alignment horizontal="center" vertical="center"/>
    </xf>
    <xf numFmtId="4" fontId="122" fillId="0" borderId="53" xfId="0" applyNumberFormat="1" applyFont="1" applyBorder="1" applyAlignment="1">
      <alignment horizontal="center" vertical="center"/>
    </xf>
    <xf numFmtId="4" fontId="122" fillId="0" borderId="62" xfId="0" applyNumberFormat="1" applyFont="1" applyBorder="1" applyAlignment="1">
      <alignment horizontal="center" vertical="center"/>
    </xf>
    <xf numFmtId="181" fontId="122" fillId="11" borderId="38" xfId="0" applyNumberFormat="1" applyFont="1" applyFill="1" applyBorder="1" applyAlignment="1">
      <alignment horizontal="center" vertical="center"/>
    </xf>
    <xf numFmtId="0" fontId="122" fillId="11" borderId="38" xfId="0" applyFont="1" applyFill="1" applyBorder="1" applyAlignment="1">
      <alignment horizontal="center" vertical="center"/>
    </xf>
    <xf numFmtId="0" fontId="122" fillId="11" borderId="55" xfId="0" applyFont="1" applyFill="1" applyBorder="1" applyAlignment="1">
      <alignment horizontal="center" vertical="center" wrapText="1"/>
    </xf>
    <xf numFmtId="0" fontId="122" fillId="11" borderId="56" xfId="0" applyFont="1" applyFill="1" applyBorder="1" applyAlignment="1">
      <alignment horizontal="center" vertical="center" wrapText="1"/>
    </xf>
    <xf numFmtId="0" fontId="122" fillId="0" borderId="42" xfId="0" applyFont="1" applyBorder="1" applyAlignment="1">
      <alignment horizontal="center" vertical="center"/>
    </xf>
    <xf numFmtId="0" fontId="122" fillId="0" borderId="49" xfId="0" applyFont="1" applyBorder="1" applyAlignment="1">
      <alignment horizontal="center" vertical="center"/>
    </xf>
    <xf numFmtId="177" fontId="122" fillId="14" borderId="22" xfId="0" applyNumberFormat="1" applyFont="1" applyFill="1" applyBorder="1" applyAlignment="1">
      <alignment horizontal="center" vertical="center"/>
    </xf>
    <xf numFmtId="179" fontId="122" fillId="14" borderId="38" xfId="0" applyNumberFormat="1" applyFont="1" applyFill="1" applyBorder="1" applyAlignment="1">
      <alignment horizontal="center" vertical="center"/>
    </xf>
    <xf numFmtId="179" fontId="122" fillId="14" borderId="42" xfId="0" applyNumberFormat="1" applyFont="1" applyFill="1" applyBorder="1" applyAlignment="1">
      <alignment horizontal="center" vertical="center"/>
    </xf>
    <xf numFmtId="0" fontId="122" fillId="11" borderId="59" xfId="0" applyFont="1" applyFill="1" applyBorder="1" applyAlignment="1">
      <alignment horizontal="center" vertical="center" wrapText="1"/>
    </xf>
    <xf numFmtId="0" fontId="122" fillId="11" borderId="22" xfId="0" applyFont="1" applyFill="1" applyBorder="1" applyAlignment="1">
      <alignment horizontal="center" vertical="center" wrapText="1"/>
    </xf>
    <xf numFmtId="0" fontId="122" fillId="11" borderId="40" xfId="0" applyFont="1" applyFill="1" applyBorder="1" applyAlignment="1">
      <alignment horizontal="center" vertical="center"/>
    </xf>
    <xf numFmtId="0" fontId="122" fillId="11" borderId="42" xfId="0" applyFont="1" applyFill="1" applyBorder="1" applyAlignment="1">
      <alignment horizontal="center" vertical="center"/>
    </xf>
    <xf numFmtId="0" fontId="122" fillId="11" borderId="49" xfId="0" applyFont="1" applyFill="1" applyBorder="1" applyAlignment="1">
      <alignment horizontal="center" vertical="center"/>
    </xf>
    <xf numFmtId="0" fontId="122" fillId="11" borderId="60" xfId="0" applyFont="1" applyFill="1" applyBorder="1" applyAlignment="1">
      <alignment horizontal="center" vertical="center"/>
    </xf>
    <xf numFmtId="0" fontId="122" fillId="11" borderId="53" xfId="0" applyFont="1" applyFill="1" applyBorder="1" applyAlignment="1">
      <alignment horizontal="center" vertical="center"/>
    </xf>
    <xf numFmtId="0" fontId="122" fillId="11" borderId="54" xfId="0" applyFont="1" applyFill="1" applyBorder="1" applyAlignment="1">
      <alignment horizontal="center" vertical="center"/>
    </xf>
    <xf numFmtId="0" fontId="122" fillId="11" borderId="2" xfId="0" applyFont="1" applyFill="1" applyBorder="1" applyAlignment="1">
      <alignment horizontal="center" vertical="center"/>
    </xf>
    <xf numFmtId="0" fontId="122" fillId="11" borderId="59" xfId="0" applyFont="1" applyFill="1" applyBorder="1" applyAlignment="1">
      <alignment horizontal="center" vertical="center"/>
    </xf>
    <xf numFmtId="0" fontId="122" fillId="11" borderId="52" xfId="0" applyFont="1" applyFill="1" applyBorder="1" applyAlignment="1">
      <alignment horizontal="center" vertical="center" wrapText="1"/>
    </xf>
    <xf numFmtId="0" fontId="122" fillId="11" borderId="42" xfId="0" applyFont="1" applyFill="1" applyBorder="1" applyAlignment="1">
      <alignment horizontal="center" vertical="center" wrapText="1"/>
    </xf>
    <xf numFmtId="0" fontId="122" fillId="0" borderId="66" xfId="0" applyFont="1" applyBorder="1" applyAlignment="1">
      <alignment horizontal="center" vertical="center"/>
    </xf>
    <xf numFmtId="185" fontId="122" fillId="11" borderId="22" xfId="0" applyNumberFormat="1" applyFont="1" applyFill="1" applyBorder="1" applyAlignment="1">
      <alignment horizontal="center" vertical="center"/>
    </xf>
    <xf numFmtId="4" fontId="122" fillId="0" borderId="22" xfId="0" applyNumberFormat="1" applyFont="1" applyBorder="1" applyAlignment="1">
      <alignment horizontal="center" vertical="center"/>
    </xf>
    <xf numFmtId="4" fontId="122" fillId="0" borderId="51" xfId="0" applyNumberFormat="1" applyFont="1" applyBorder="1" applyAlignment="1">
      <alignment horizontal="center" vertical="center"/>
    </xf>
    <xf numFmtId="181" fontId="122" fillId="0" borderId="38" xfId="0" applyNumberFormat="1" applyFont="1" applyBorder="1" applyAlignment="1">
      <alignment horizontal="center" vertical="center" shrinkToFit="1"/>
    </xf>
    <xf numFmtId="0" fontId="122" fillId="0" borderId="2" xfId="0" applyFont="1" applyBorder="1" applyAlignment="1">
      <alignment horizontal="center" vertical="center"/>
    </xf>
    <xf numFmtId="0" fontId="122" fillId="0" borderId="59" xfId="0" applyFont="1" applyBorder="1" applyAlignment="1">
      <alignment horizontal="center" vertical="center"/>
    </xf>
    <xf numFmtId="0" fontId="122" fillId="11" borderId="64" xfId="0" applyFont="1" applyFill="1" applyBorder="1" applyAlignment="1">
      <alignment horizontal="center" vertical="center"/>
    </xf>
    <xf numFmtId="0" fontId="122" fillId="11" borderId="55" xfId="0" applyFont="1" applyFill="1" applyBorder="1" applyAlignment="1">
      <alignment horizontal="center" vertical="center"/>
    </xf>
    <xf numFmtId="0" fontId="122" fillId="11" borderId="56" xfId="0" applyFont="1" applyFill="1" applyBorder="1" applyAlignment="1">
      <alignment horizontal="center" vertical="center"/>
    </xf>
    <xf numFmtId="0" fontId="122" fillId="11" borderId="66" xfId="0" applyFont="1" applyFill="1" applyBorder="1" applyAlignment="1">
      <alignment horizontal="center" vertical="center" wrapText="1"/>
    </xf>
    <xf numFmtId="0" fontId="122" fillId="11" borderId="2" xfId="0" applyFont="1" applyFill="1" applyBorder="1" applyAlignment="1">
      <alignment horizontal="center" vertical="center" wrapText="1"/>
    </xf>
    <xf numFmtId="0" fontId="122" fillId="11" borderId="57" xfId="0" applyFont="1" applyFill="1" applyBorder="1" applyAlignment="1">
      <alignment horizontal="center" vertical="center" wrapText="1"/>
    </xf>
    <xf numFmtId="184" fontId="122" fillId="11" borderId="22" xfId="0" applyNumberFormat="1" applyFont="1" applyFill="1" applyBorder="1" applyAlignment="1">
      <alignment horizontal="center" vertical="center"/>
    </xf>
    <xf numFmtId="182" fontId="122" fillId="0" borderId="38" xfId="0" applyNumberFormat="1" applyFont="1" applyBorder="1" applyAlignment="1">
      <alignment horizontal="center" vertical="center" shrinkToFit="1"/>
    </xf>
    <xf numFmtId="0" fontId="122" fillId="11" borderId="53" xfId="0" applyFont="1" applyFill="1" applyBorder="1" applyAlignment="1">
      <alignment horizontal="center" vertical="center" wrapText="1"/>
    </xf>
    <xf numFmtId="0" fontId="122" fillId="11" borderId="53" xfId="0" applyNumberFormat="1" applyFont="1" applyFill="1" applyBorder="1" applyAlignment="1">
      <alignment horizontal="center" vertical="center"/>
    </xf>
    <xf numFmtId="180" fontId="122" fillId="0" borderId="38" xfId="0" applyNumberFormat="1" applyFont="1" applyBorder="1" applyAlignment="1">
      <alignment horizontal="center" vertical="center" shrinkToFit="1"/>
    </xf>
    <xf numFmtId="0" fontId="122" fillId="0" borderId="60" xfId="0" applyFont="1" applyBorder="1" applyAlignment="1">
      <alignment horizontal="center" vertical="center"/>
    </xf>
    <xf numFmtId="0" fontId="122" fillId="0" borderId="53" xfId="0" applyFont="1" applyBorder="1" applyAlignment="1">
      <alignment horizontal="center" vertical="center"/>
    </xf>
    <xf numFmtId="0" fontId="122" fillId="0" borderId="54" xfId="0" applyFont="1" applyBorder="1" applyAlignment="1">
      <alignment horizontal="center" vertical="center"/>
    </xf>
    <xf numFmtId="0" fontId="122" fillId="16" borderId="42" xfId="0" applyFont="1" applyFill="1" applyBorder="1" applyAlignment="1">
      <alignment horizontal="center" vertical="center"/>
    </xf>
    <xf numFmtId="0" fontId="122" fillId="0" borderId="51" xfId="0" applyFont="1" applyBorder="1" applyAlignment="1">
      <alignment horizontal="center" vertical="center"/>
    </xf>
    <xf numFmtId="0" fontId="122" fillId="0" borderId="52" xfId="0" applyFont="1" applyBorder="1" applyAlignment="1">
      <alignment horizontal="center" vertical="center"/>
    </xf>
    <xf numFmtId="0" fontId="122" fillId="14" borderId="42" xfId="0" applyFont="1" applyFill="1" applyBorder="1" applyAlignment="1">
      <alignment horizontal="center" vertical="center"/>
    </xf>
    <xf numFmtId="0" fontId="122" fillId="14" borderId="38" xfId="0" applyFont="1" applyFill="1" applyBorder="1" applyAlignment="1">
      <alignment horizontal="center" vertical="center"/>
    </xf>
    <xf numFmtId="0" fontId="122" fillId="11" borderId="54" xfId="0" applyFont="1" applyFill="1" applyBorder="1" applyAlignment="1">
      <alignment horizontal="center" vertical="center" shrinkToFit="1"/>
    </xf>
    <xf numFmtId="0" fontId="122" fillId="11" borderId="41" xfId="0" applyFont="1" applyFill="1" applyBorder="1" applyAlignment="1">
      <alignment horizontal="center" vertical="center" shrinkToFit="1"/>
    </xf>
    <xf numFmtId="0" fontId="122" fillId="0" borderId="57" xfId="0" applyFont="1" applyBorder="1" applyAlignment="1">
      <alignment horizontal="center" vertical="center"/>
    </xf>
    <xf numFmtId="0" fontId="122" fillId="0" borderId="55" xfId="0" applyFont="1" applyBorder="1" applyAlignment="1">
      <alignment horizontal="center" vertical="center"/>
    </xf>
    <xf numFmtId="0" fontId="122" fillId="0" borderId="56" xfId="0" applyFont="1" applyBorder="1" applyAlignment="1">
      <alignment horizontal="center" vertical="center"/>
    </xf>
    <xf numFmtId="0" fontId="122" fillId="0" borderId="64" xfId="0" applyFont="1" applyBorder="1" applyAlignment="1">
      <alignment horizontal="center" vertical="center"/>
    </xf>
    <xf numFmtId="0" fontId="122" fillId="11" borderId="62" xfId="0" applyFont="1" applyFill="1" applyBorder="1" applyAlignment="1">
      <alignment horizontal="center" vertical="center"/>
    </xf>
    <xf numFmtId="0" fontId="122" fillId="0" borderId="50" xfId="0" applyFont="1" applyBorder="1" applyAlignment="1">
      <alignment horizontal="center" vertical="center"/>
    </xf>
    <xf numFmtId="0" fontId="122" fillId="14" borderId="22" xfId="0" applyFont="1" applyFill="1" applyBorder="1" applyAlignment="1">
      <alignment horizontal="center" vertical="center"/>
    </xf>
    <xf numFmtId="0" fontId="122" fillId="0" borderId="62" xfId="0" applyFont="1" applyBorder="1" applyAlignment="1">
      <alignment horizontal="center" vertical="center"/>
    </xf>
    <xf numFmtId="0" fontId="122" fillId="11" borderId="66" xfId="0" applyFont="1" applyFill="1" applyBorder="1" applyAlignment="1">
      <alignment horizontal="center" vertical="center"/>
    </xf>
    <xf numFmtId="0" fontId="122" fillId="0" borderId="53" xfId="0" applyFont="1" applyBorder="1" applyAlignment="1">
      <alignment horizontal="center" vertical="center" shrinkToFit="1"/>
    </xf>
    <xf numFmtId="0" fontId="122" fillId="0" borderId="54" xfId="0" applyFont="1" applyBorder="1" applyAlignment="1">
      <alignment horizontal="center" vertical="center" shrinkToFit="1"/>
    </xf>
    <xf numFmtId="0" fontId="122" fillId="0" borderId="141" xfId="0" applyFont="1" applyBorder="1" applyAlignment="1">
      <alignment horizontal="center" vertical="center" shrinkToFit="1"/>
    </xf>
    <xf numFmtId="0" fontId="122" fillId="0" borderId="44" xfId="0" applyFont="1" applyBorder="1" applyAlignment="1">
      <alignment horizontal="center" vertical="center" shrinkToFit="1"/>
    </xf>
    <xf numFmtId="0" fontId="122" fillId="0" borderId="142" xfId="0" applyFont="1" applyBorder="1" applyAlignment="1">
      <alignment horizontal="center" vertical="center"/>
    </xf>
    <xf numFmtId="0" fontId="122" fillId="0" borderId="143" xfId="0" applyFont="1" applyBorder="1" applyAlignment="1">
      <alignment horizontal="center" vertical="center"/>
    </xf>
    <xf numFmtId="0" fontId="122" fillId="0" borderId="99" xfId="0" applyFont="1" applyBorder="1" applyAlignment="1">
      <alignment horizontal="center" vertical="center"/>
    </xf>
    <xf numFmtId="0" fontId="122" fillId="0" borderId="58" xfId="0" applyFont="1" applyBorder="1" applyAlignment="1">
      <alignment horizontal="center" vertical="center"/>
    </xf>
    <xf numFmtId="0" fontId="122" fillId="11" borderId="55" xfId="0" applyFont="1" applyFill="1" applyBorder="1" applyAlignment="1">
      <alignment horizontal="center" vertical="center" shrinkToFit="1"/>
    </xf>
    <xf numFmtId="179" fontId="122" fillId="11" borderId="50" xfId="0" applyNumberFormat="1" applyFont="1" applyFill="1" applyBorder="1" applyAlignment="1">
      <alignment horizontal="center" vertical="center"/>
    </xf>
    <xf numFmtId="179" fontId="122" fillId="11" borderId="38" xfId="0" applyNumberFormat="1" applyFont="1" applyFill="1" applyBorder="1" applyAlignment="1">
      <alignment horizontal="center" vertical="center"/>
    </xf>
    <xf numFmtId="176" fontId="122" fillId="11" borderId="50" xfId="0" quotePrefix="1" applyNumberFormat="1" applyFont="1" applyFill="1" applyBorder="1" applyAlignment="1">
      <alignment horizontal="center" vertical="center"/>
    </xf>
    <xf numFmtId="176" fontId="122" fillId="11" borderId="38" xfId="0" applyNumberFormat="1" applyFont="1" applyFill="1" applyBorder="1" applyAlignment="1">
      <alignment horizontal="center" vertical="center"/>
    </xf>
    <xf numFmtId="176" fontId="122" fillId="11" borderId="52" xfId="0" applyNumberFormat="1" applyFont="1" applyFill="1" applyBorder="1" applyAlignment="1">
      <alignment horizontal="center" vertical="center"/>
    </xf>
    <xf numFmtId="176" fontId="122" fillId="11" borderId="42" xfId="0" applyNumberFormat="1" applyFont="1" applyFill="1" applyBorder="1" applyAlignment="1">
      <alignment horizontal="center" vertical="center"/>
    </xf>
    <xf numFmtId="0" fontId="122" fillId="11" borderId="57" xfId="0" applyFont="1" applyFill="1" applyBorder="1" applyAlignment="1">
      <alignment horizontal="center" vertical="center" shrinkToFit="1"/>
    </xf>
    <xf numFmtId="0" fontId="122" fillId="16" borderId="38" xfId="0" applyFont="1" applyFill="1" applyBorder="1" applyAlignment="1">
      <alignment horizontal="center" vertical="center"/>
    </xf>
    <xf numFmtId="176" fontId="122" fillId="11" borderId="50" xfId="0" applyNumberFormat="1" applyFont="1" applyFill="1" applyBorder="1" applyAlignment="1">
      <alignment horizontal="center" vertical="center"/>
    </xf>
    <xf numFmtId="176" fontId="122" fillId="14" borderId="42" xfId="0" applyNumberFormat="1" applyFont="1" applyFill="1" applyBorder="1" applyAlignment="1">
      <alignment horizontal="center" vertical="center"/>
    </xf>
    <xf numFmtId="257" fontId="122" fillId="11" borderId="50" xfId="0" applyNumberFormat="1" applyFont="1" applyFill="1" applyBorder="1" applyAlignment="1">
      <alignment horizontal="center" vertical="center"/>
    </xf>
    <xf numFmtId="257" fontId="122" fillId="11" borderId="38" xfId="0" applyNumberFormat="1" applyFont="1" applyFill="1" applyBorder="1" applyAlignment="1">
      <alignment horizontal="center" vertical="center"/>
    </xf>
    <xf numFmtId="257" fontId="122" fillId="14" borderId="142" xfId="0" applyNumberFormat="1" applyFont="1" applyFill="1" applyBorder="1" applyAlignment="1">
      <alignment horizontal="center" vertical="center"/>
    </xf>
    <xf numFmtId="257" fontId="122" fillId="14" borderId="89" xfId="0" applyNumberFormat="1" applyFont="1" applyFill="1" applyBorder="1" applyAlignment="1">
      <alignment horizontal="center" vertical="center"/>
    </xf>
    <xf numFmtId="257" fontId="122" fillId="14" borderId="99" xfId="0" applyNumberFormat="1" applyFont="1" applyFill="1" applyBorder="1" applyAlignment="1">
      <alignment horizontal="center" vertical="center"/>
    </xf>
    <xf numFmtId="257" fontId="122" fillId="14" borderId="52" xfId="0" applyNumberFormat="1" applyFont="1" applyFill="1" applyBorder="1" applyAlignment="1">
      <alignment horizontal="center" vertical="center"/>
    </xf>
    <xf numFmtId="4" fontId="122" fillId="0" borderId="62" xfId="0" applyNumberFormat="1" applyFont="1" applyBorder="1" applyAlignment="1">
      <alignment vertical="center"/>
    </xf>
    <xf numFmtId="4" fontId="122" fillId="0" borderId="53" xfId="0" applyNumberFormat="1" applyFont="1" applyBorder="1" applyAlignment="1">
      <alignment vertical="center"/>
    </xf>
    <xf numFmtId="4" fontId="122" fillId="0" borderId="52" xfId="0" applyNumberFormat="1" applyFont="1" applyBorder="1" applyAlignment="1">
      <alignment vertical="center"/>
    </xf>
    <xf numFmtId="4" fontId="122" fillId="0" borderId="42" xfId="0" applyNumberFormat="1" applyFont="1" applyBorder="1" applyAlignment="1">
      <alignment vertical="center"/>
    </xf>
    <xf numFmtId="4" fontId="136" fillId="0" borderId="96" xfId="0" applyNumberFormat="1" applyFont="1" applyFill="1" applyBorder="1" applyAlignment="1">
      <alignment vertical="center"/>
    </xf>
    <xf numFmtId="4" fontId="136" fillId="0" borderId="46" xfId="0" applyNumberFormat="1" applyFont="1" applyFill="1" applyBorder="1" applyAlignment="1">
      <alignment vertical="center"/>
    </xf>
    <xf numFmtId="4" fontId="136" fillId="0" borderId="99" xfId="0" applyNumberFormat="1" applyFont="1" applyFill="1" applyBorder="1" applyAlignment="1">
      <alignment vertical="center"/>
    </xf>
    <xf numFmtId="4" fontId="136" fillId="0" borderId="58" xfId="0" applyNumberFormat="1" applyFont="1" applyFill="1" applyBorder="1" applyAlignment="1">
      <alignment vertical="center"/>
    </xf>
    <xf numFmtId="0" fontId="122" fillId="16" borderId="22" xfId="0" applyFont="1" applyFill="1" applyBorder="1" applyAlignment="1">
      <alignment horizontal="center" vertical="center"/>
    </xf>
    <xf numFmtId="177" fontId="122" fillId="14" borderId="38" xfId="0" applyNumberFormat="1" applyFont="1" applyFill="1" applyBorder="1" applyAlignment="1">
      <alignment horizontal="center" vertical="center"/>
    </xf>
    <xf numFmtId="0" fontId="136" fillId="0" borderId="0" xfId="0" applyFont="1" applyFill="1" applyBorder="1" applyAlignment="1">
      <alignment horizontal="center" vertical="center"/>
    </xf>
    <xf numFmtId="177" fontId="122" fillId="11" borderId="50" xfId="0" applyNumberFormat="1" applyFont="1" applyFill="1" applyBorder="1" applyAlignment="1">
      <alignment horizontal="center" vertical="center"/>
    </xf>
    <xf numFmtId="177" fontId="122" fillId="11" borderId="38" xfId="0" applyNumberFormat="1" applyFont="1" applyFill="1" applyBorder="1" applyAlignment="1">
      <alignment horizontal="center" vertical="center"/>
    </xf>
    <xf numFmtId="176" fontId="122" fillId="11" borderId="51" xfId="0" applyNumberFormat="1" applyFont="1" applyFill="1" applyBorder="1" applyAlignment="1">
      <alignment horizontal="center" vertical="center"/>
    </xf>
    <xf numFmtId="176" fontId="122" fillId="11" borderId="22" xfId="0" applyNumberFormat="1" applyFont="1" applyFill="1" applyBorder="1" applyAlignment="1">
      <alignment horizontal="center" vertical="center"/>
    </xf>
    <xf numFmtId="0" fontId="136" fillId="0" borderId="98" xfId="0" applyFont="1" applyFill="1" applyBorder="1" applyAlignment="1">
      <alignment horizontal="center" vertical="center" shrinkToFit="1"/>
    </xf>
    <xf numFmtId="0" fontId="136" fillId="0" borderId="17" xfId="0" applyFont="1" applyFill="1" applyBorder="1" applyAlignment="1">
      <alignment horizontal="center" vertical="center" shrinkToFit="1"/>
    </xf>
    <xf numFmtId="0" fontId="136" fillId="0" borderId="55" xfId="0" applyFont="1" applyFill="1" applyBorder="1" applyAlignment="1">
      <alignment horizontal="center" vertical="center"/>
    </xf>
    <xf numFmtId="0" fontId="136" fillId="0" borderId="56" xfId="0" applyFont="1" applyFill="1" applyBorder="1" applyAlignment="1">
      <alignment horizontal="center" vertical="center"/>
    </xf>
    <xf numFmtId="0" fontId="136" fillId="0" borderId="0" xfId="0" applyNumberFormat="1" applyFont="1" applyFill="1" applyBorder="1" applyAlignment="1">
      <alignment horizontal="center" vertical="center"/>
    </xf>
    <xf numFmtId="0" fontId="136" fillId="0" borderId="59" xfId="0" applyFont="1" applyFill="1" applyBorder="1" applyAlignment="1">
      <alignment horizontal="center" vertical="center"/>
    </xf>
    <xf numFmtId="0" fontId="136" fillId="0" borderId="22" xfId="0" applyFont="1" applyFill="1" applyBorder="1" applyAlignment="1">
      <alignment horizontal="center" vertical="center"/>
    </xf>
    <xf numFmtId="0" fontId="136" fillId="0" borderId="41" xfId="0" applyFont="1" applyFill="1" applyBorder="1" applyAlignment="1">
      <alignment horizontal="center" vertical="center"/>
    </xf>
    <xf numFmtId="0" fontId="136" fillId="0" borderId="2" xfId="0" applyFont="1" applyFill="1" applyBorder="1" applyAlignment="1">
      <alignment horizontal="center" vertical="center"/>
    </xf>
    <xf numFmtId="0" fontId="136" fillId="0" borderId="38" xfId="0" applyFont="1" applyFill="1" applyBorder="1" applyAlignment="1">
      <alignment horizontal="center" vertical="center"/>
    </xf>
    <xf numFmtId="0" fontId="136" fillId="0" borderId="40" xfId="0" applyFont="1" applyFill="1" applyBorder="1" applyAlignment="1">
      <alignment horizontal="center" vertical="center"/>
    </xf>
    <xf numFmtId="0" fontId="136" fillId="0" borderId="64" xfId="0" applyFont="1" applyFill="1" applyBorder="1" applyAlignment="1">
      <alignment horizontal="center" vertical="center"/>
    </xf>
    <xf numFmtId="0" fontId="136" fillId="0" borderId="66" xfId="0" applyFont="1" applyFill="1" applyBorder="1" applyAlignment="1">
      <alignment horizontal="center" vertical="center"/>
    </xf>
    <xf numFmtId="0" fontId="136" fillId="0" borderId="42" xfId="0" applyFont="1" applyFill="1" applyBorder="1" applyAlignment="1">
      <alignment horizontal="center" vertical="center"/>
    </xf>
    <xf numFmtId="0" fontId="136" fillId="0" borderId="49" xfId="0" applyFont="1" applyFill="1" applyBorder="1" applyAlignment="1">
      <alignment horizontal="center" vertical="center"/>
    </xf>
    <xf numFmtId="4" fontId="136" fillId="0" borderId="97" xfId="0" applyNumberFormat="1" applyFont="1" applyFill="1" applyBorder="1" applyAlignment="1">
      <alignment vertical="center"/>
    </xf>
    <xf numFmtId="4" fontId="136" fillId="0" borderId="48" xfId="0" applyNumberFormat="1" applyFont="1" applyFill="1" applyBorder="1" applyAlignment="1">
      <alignment vertical="center"/>
    </xf>
    <xf numFmtId="4" fontId="136" fillId="0" borderId="42" xfId="0" applyNumberFormat="1" applyFont="1" applyFill="1" applyBorder="1" applyAlignment="1">
      <alignment vertical="center"/>
    </xf>
    <xf numFmtId="4" fontId="136" fillId="0" borderId="38" xfId="0" applyNumberFormat="1" applyFont="1" applyFill="1" applyBorder="1" applyAlignment="1">
      <alignment vertical="center"/>
    </xf>
    <xf numFmtId="0" fontId="136" fillId="0" borderId="29" xfId="0" applyFont="1" applyFill="1" applyBorder="1" applyAlignment="1">
      <alignment horizontal="center" vertical="center"/>
    </xf>
    <xf numFmtId="0" fontId="136" fillId="0" borderId="38" xfId="0" applyFont="1" applyFill="1" applyBorder="1" applyAlignment="1">
      <alignment vertical="center"/>
    </xf>
    <xf numFmtId="0" fontId="136" fillId="0" borderId="40" xfId="0" applyFont="1" applyFill="1" applyBorder="1" applyAlignment="1">
      <alignment vertical="center"/>
    </xf>
    <xf numFmtId="4" fontId="136" fillId="0" borderId="22" xfId="0" applyNumberFormat="1" applyFont="1" applyFill="1" applyBorder="1" applyAlignment="1">
      <alignment vertical="center"/>
    </xf>
    <xf numFmtId="0" fontId="136" fillId="0" borderId="42" xfId="0" applyFont="1" applyFill="1" applyBorder="1" applyAlignment="1">
      <alignment vertical="center"/>
    </xf>
    <xf numFmtId="0" fontId="136" fillId="0" borderId="49" xfId="0" applyFont="1" applyFill="1" applyBorder="1" applyAlignment="1">
      <alignment vertical="center"/>
    </xf>
    <xf numFmtId="4" fontId="136" fillId="0" borderId="51" xfId="0" applyNumberFormat="1" applyFont="1" applyFill="1" applyBorder="1" applyAlignment="1">
      <alignment horizontal="center" vertical="center"/>
    </xf>
    <xf numFmtId="4" fontId="136" fillId="0" borderId="41" xfId="0" applyNumberFormat="1" applyFont="1" applyFill="1" applyBorder="1" applyAlignment="1">
      <alignment horizontal="center" vertical="center"/>
    </xf>
    <xf numFmtId="4" fontId="136" fillId="0" borderId="50" xfId="0" applyNumberFormat="1" applyFont="1" applyFill="1" applyBorder="1" applyAlignment="1">
      <alignment horizontal="center" vertical="center"/>
    </xf>
    <xf numFmtId="4" fontId="136" fillId="0" borderId="40" xfId="0" applyNumberFormat="1" applyFont="1" applyFill="1" applyBorder="1" applyAlignment="1">
      <alignment horizontal="center" vertical="center"/>
    </xf>
    <xf numFmtId="4" fontId="136" fillId="0" borderId="52" xfId="0" applyNumberFormat="1" applyFont="1" applyFill="1" applyBorder="1" applyAlignment="1">
      <alignment horizontal="center" vertical="center"/>
    </xf>
    <xf numFmtId="4" fontId="136" fillId="0" borderId="49" xfId="0" applyNumberFormat="1" applyFont="1" applyFill="1" applyBorder="1" applyAlignment="1">
      <alignment horizontal="center" vertical="center"/>
    </xf>
    <xf numFmtId="0" fontId="136" fillId="0" borderId="57" xfId="0" applyFont="1" applyFill="1" applyBorder="1" applyAlignment="1">
      <alignment horizontal="center" vertical="center"/>
    </xf>
    <xf numFmtId="0" fontId="136" fillId="0" borderId="0" xfId="0" applyFont="1" applyFill="1" applyBorder="1" applyAlignment="1">
      <alignment horizontal="left" vertical="center"/>
    </xf>
    <xf numFmtId="0" fontId="136" fillId="0" borderId="22" xfId="0" applyFont="1" applyFill="1" applyBorder="1" applyAlignment="1">
      <alignment vertical="center" shrinkToFit="1"/>
    </xf>
    <xf numFmtId="0" fontId="136" fillId="0" borderId="41" xfId="0" applyFont="1" applyFill="1" applyBorder="1" applyAlignment="1">
      <alignment vertical="center" shrinkToFit="1"/>
    </xf>
    <xf numFmtId="0" fontId="136" fillId="0" borderId="38" xfId="0" applyFont="1" applyFill="1" applyBorder="1" applyAlignment="1">
      <alignment vertical="center" shrinkToFit="1"/>
    </xf>
    <xf numFmtId="0" fontId="136" fillId="0" borderId="40" xfId="0" applyFont="1" applyFill="1" applyBorder="1" applyAlignment="1">
      <alignment vertical="center" shrinkToFit="1"/>
    </xf>
    <xf numFmtId="0" fontId="136" fillId="0" borderId="42" xfId="0" applyFont="1" applyFill="1" applyBorder="1" applyAlignment="1">
      <alignment vertical="center" shrinkToFit="1"/>
    </xf>
    <xf numFmtId="0" fontId="136" fillId="0" borderId="49" xfId="0" applyFont="1" applyFill="1" applyBorder="1" applyAlignment="1">
      <alignment vertical="center" shrinkToFit="1"/>
    </xf>
    <xf numFmtId="0" fontId="136" fillId="0" borderId="59" xfId="0" quotePrefix="1" applyFont="1" applyFill="1" applyBorder="1" applyAlignment="1">
      <alignment horizontal="center" vertical="center"/>
    </xf>
    <xf numFmtId="0" fontId="136" fillId="0" borderId="2" xfId="0" quotePrefix="1" applyFont="1" applyFill="1" applyBorder="1" applyAlignment="1">
      <alignment horizontal="center" vertical="center"/>
    </xf>
    <xf numFmtId="0" fontId="136" fillId="0" borderId="66" xfId="0" quotePrefix="1" applyFont="1" applyFill="1" applyBorder="1" applyAlignment="1">
      <alignment horizontal="center" vertical="center"/>
    </xf>
    <xf numFmtId="0" fontId="136" fillId="0" borderId="0" xfId="0" applyFont="1" applyFill="1" applyBorder="1" applyAlignment="1">
      <alignment horizontal="right" vertical="center"/>
    </xf>
    <xf numFmtId="0" fontId="136" fillId="0" borderId="0" xfId="0" quotePrefix="1" applyFont="1" applyFill="1" applyBorder="1" applyAlignment="1">
      <alignment horizontal="right" vertical="center"/>
    </xf>
    <xf numFmtId="0" fontId="136" fillId="0" borderId="22" xfId="0" applyFont="1" applyFill="1" applyBorder="1" applyAlignment="1">
      <alignment vertical="center"/>
    </xf>
    <xf numFmtId="0" fontId="136" fillId="0" borderId="41" xfId="0" applyFont="1" applyFill="1" applyBorder="1" applyAlignment="1">
      <alignment vertical="center"/>
    </xf>
    <xf numFmtId="4" fontId="136" fillId="0" borderId="61" xfId="0" applyNumberFormat="1" applyFont="1" applyFill="1" applyBorder="1" applyAlignment="1">
      <alignment vertical="center"/>
    </xf>
    <xf numFmtId="0" fontId="136" fillId="0" borderId="60" xfId="0" applyFont="1" applyFill="1" applyBorder="1" applyAlignment="1">
      <alignment horizontal="center" vertical="center"/>
    </xf>
    <xf numFmtId="0" fontId="136" fillId="0" borderId="53" xfId="0" applyFont="1" applyFill="1" applyBorder="1" applyAlignment="1">
      <alignment horizontal="center" vertical="center"/>
    </xf>
    <xf numFmtId="0" fontId="136" fillId="0" borderId="54" xfId="0" applyFont="1" applyFill="1" applyBorder="1" applyAlignment="1">
      <alignment horizontal="center" vertical="center"/>
    </xf>
    <xf numFmtId="4" fontId="136" fillId="0" borderId="53" xfId="0" applyNumberFormat="1" applyFont="1" applyFill="1" applyBorder="1" applyAlignment="1">
      <alignment vertical="center"/>
    </xf>
    <xf numFmtId="4" fontId="122" fillId="0" borderId="61" xfId="0" applyNumberFormat="1" applyFont="1" applyBorder="1" applyAlignment="1">
      <alignment vertical="center"/>
    </xf>
    <xf numFmtId="4" fontId="122" fillId="0" borderId="63" xfId="0" applyNumberFormat="1" applyFont="1" applyBorder="1" applyAlignment="1">
      <alignment vertical="center"/>
    </xf>
    <xf numFmtId="0" fontId="122" fillId="11" borderId="38" xfId="0" applyFont="1" applyFill="1" applyBorder="1" applyAlignment="1">
      <alignment horizontal="center" vertical="center" shrinkToFit="1"/>
    </xf>
    <xf numFmtId="0" fontId="122" fillId="11" borderId="40" xfId="0" applyFont="1" applyFill="1" applyBorder="1" applyAlignment="1">
      <alignment horizontal="center" vertical="center" shrinkToFit="1"/>
    </xf>
    <xf numFmtId="4" fontId="103" fillId="12" borderId="53" xfId="0" applyNumberFormat="1" applyFont="1" applyFill="1" applyBorder="1" applyAlignment="1">
      <alignment vertical="center"/>
    </xf>
    <xf numFmtId="4" fontId="103" fillId="12" borderId="54" xfId="0" applyNumberFormat="1" applyFont="1" applyFill="1" applyBorder="1" applyAlignment="1">
      <alignment vertical="center"/>
    </xf>
    <xf numFmtId="4" fontId="103" fillId="12" borderId="38" xfId="0" applyNumberFormat="1" applyFont="1" applyFill="1" applyBorder="1" applyAlignment="1">
      <alignment vertical="center"/>
    </xf>
    <xf numFmtId="4" fontId="103" fillId="12" borderId="40" xfId="0" applyNumberFormat="1" applyFont="1" applyFill="1" applyBorder="1" applyAlignment="1">
      <alignment vertical="center"/>
    </xf>
    <xf numFmtId="4" fontId="103" fillId="12" borderId="22" xfId="0" applyNumberFormat="1" applyFont="1" applyFill="1" applyBorder="1" applyAlignment="1">
      <alignment vertical="center"/>
    </xf>
    <xf numFmtId="4" fontId="103" fillId="12" borderId="41" xfId="0" applyNumberFormat="1" applyFont="1" applyFill="1" applyBorder="1" applyAlignment="1">
      <alignment vertical="center"/>
    </xf>
    <xf numFmtId="0" fontId="122" fillId="0" borderId="144" xfId="0" applyFont="1" applyBorder="1" applyAlignment="1">
      <alignment horizontal="center" vertical="center" wrapText="1" shrinkToFit="1"/>
    </xf>
    <xf numFmtId="0" fontId="122" fillId="0" borderId="100" xfId="0" applyFont="1" applyBorder="1" applyAlignment="1">
      <alignment horizontal="center" vertical="center" wrapText="1" shrinkToFit="1"/>
    </xf>
    <xf numFmtId="0" fontId="122" fillId="0" borderId="145" xfId="0" applyFont="1" applyBorder="1" applyAlignment="1">
      <alignment horizontal="center" vertical="center" wrapText="1" shrinkToFit="1"/>
    </xf>
    <xf numFmtId="0" fontId="122" fillId="0" borderId="63" xfId="0" applyFont="1" applyBorder="1" applyAlignment="1">
      <alignment horizontal="center" vertical="center" wrapText="1" shrinkToFit="1"/>
    </xf>
    <xf numFmtId="0" fontId="167" fillId="0" borderId="144" xfId="0" applyFont="1" applyBorder="1" applyAlignment="1">
      <alignment horizontal="center" vertical="center" wrapText="1" shrinkToFit="1"/>
    </xf>
    <xf numFmtId="0" fontId="167" fillId="0" borderId="100" xfId="0" applyFont="1" applyBorder="1" applyAlignment="1">
      <alignment horizontal="center" vertical="center" wrapText="1" shrinkToFit="1"/>
    </xf>
    <xf numFmtId="0" fontId="167" fillId="0" borderId="145" xfId="0" applyFont="1" applyBorder="1" applyAlignment="1">
      <alignment horizontal="center" vertical="center" wrapText="1" shrinkToFit="1"/>
    </xf>
    <xf numFmtId="0" fontId="167" fillId="0" borderId="63" xfId="0" applyFont="1" applyBorder="1" applyAlignment="1">
      <alignment horizontal="center" vertical="center" wrapText="1" shrinkToFit="1"/>
    </xf>
    <xf numFmtId="251" fontId="122" fillId="14" borderId="38" xfId="264" applyNumberFormat="1" applyFont="1" applyFill="1" applyBorder="1" applyAlignment="1">
      <alignment horizontal="center" vertical="center"/>
    </xf>
    <xf numFmtId="0" fontId="122" fillId="0" borderId="51" xfId="0" applyFont="1" applyBorder="1" applyAlignment="1">
      <alignment horizontal="center" vertical="center" shrinkToFit="1"/>
    </xf>
    <xf numFmtId="0" fontId="122" fillId="0" borderId="22" xfId="0" applyFont="1" applyBorder="1" applyAlignment="1">
      <alignment horizontal="center" vertical="center" shrinkToFit="1"/>
    </xf>
    <xf numFmtId="0" fontId="122" fillId="0" borderId="50" xfId="0" applyFont="1" applyBorder="1" applyAlignment="1">
      <alignment horizontal="center" vertical="center" shrinkToFit="1"/>
    </xf>
    <xf numFmtId="0" fontId="122" fillId="0" borderId="38" xfId="0" applyFont="1" applyBorder="1" applyAlignment="1">
      <alignment horizontal="center" vertical="center" shrinkToFit="1"/>
    </xf>
    <xf numFmtId="0" fontId="122" fillId="0" borderId="92" xfId="0" applyFont="1" applyBorder="1" applyAlignment="1">
      <alignment horizontal="center" vertical="center"/>
    </xf>
    <xf numFmtId="0" fontId="122" fillId="0" borderId="1" xfId="0" applyFont="1" applyBorder="1" applyAlignment="1">
      <alignment horizontal="center" vertical="center"/>
    </xf>
    <xf numFmtId="0" fontId="122" fillId="0" borderId="95" xfId="0" applyFont="1" applyBorder="1" applyAlignment="1">
      <alignment horizontal="center" vertical="center" shrinkToFit="1"/>
    </xf>
    <xf numFmtId="0" fontId="122" fillId="0" borderId="47" xfId="0" applyFont="1" applyBorder="1" applyAlignment="1">
      <alignment horizontal="center" vertical="center" shrinkToFit="1"/>
    </xf>
    <xf numFmtId="0" fontId="122" fillId="0" borderId="48" xfId="0" applyFont="1" applyBorder="1" applyAlignment="1">
      <alignment horizontal="center" vertical="center" shrinkToFit="1"/>
    </xf>
    <xf numFmtId="0" fontId="122" fillId="0" borderId="90" xfId="0" applyFont="1" applyBorder="1" applyAlignment="1">
      <alignment horizontal="center" vertical="center" shrinkToFit="1"/>
    </xf>
    <xf numFmtId="0" fontId="122" fillId="0" borderId="45" xfId="0" applyFont="1" applyBorder="1" applyAlignment="1">
      <alignment horizontal="center" vertical="center" shrinkToFit="1"/>
    </xf>
    <xf numFmtId="0" fontId="122" fillId="0" borderId="46" xfId="0" applyFont="1" applyBorder="1" applyAlignment="1">
      <alignment horizontal="center" vertical="center" shrinkToFit="1"/>
    </xf>
    <xf numFmtId="0" fontId="122" fillId="11" borderId="102" xfId="0" applyFont="1" applyFill="1" applyBorder="1" applyAlignment="1">
      <alignment horizontal="center" vertical="center" shrinkToFit="1"/>
    </xf>
    <xf numFmtId="0" fontId="122" fillId="11" borderId="87" xfId="0" applyFont="1" applyFill="1" applyBorder="1" applyAlignment="1">
      <alignment horizontal="center" vertical="center" shrinkToFit="1"/>
    </xf>
    <xf numFmtId="0" fontId="122" fillId="11" borderId="144" xfId="0" applyFont="1" applyFill="1" applyBorder="1" applyAlignment="1">
      <alignment horizontal="center" vertical="center"/>
    </xf>
    <xf numFmtId="0" fontId="122" fillId="11" borderId="100" xfId="0" applyFont="1" applyFill="1" applyBorder="1" applyAlignment="1">
      <alignment horizontal="center" vertical="center"/>
    </xf>
    <xf numFmtId="0" fontId="122" fillId="11" borderId="145" xfId="0" applyFont="1" applyFill="1" applyBorder="1" applyAlignment="1">
      <alignment horizontal="center" vertical="center"/>
    </xf>
    <xf numFmtId="0" fontId="122" fillId="11" borderId="63" xfId="0" applyFont="1" applyFill="1" applyBorder="1" applyAlignment="1">
      <alignment horizontal="center" vertical="center"/>
    </xf>
    <xf numFmtId="0" fontId="122" fillId="11" borderId="62" xfId="0" applyFont="1" applyFill="1" applyBorder="1" applyAlignment="1">
      <alignment horizontal="center" vertical="center" wrapText="1"/>
    </xf>
    <xf numFmtId="0" fontId="122" fillId="11" borderId="51" xfId="0" applyFont="1" applyFill="1" applyBorder="1" applyAlignment="1">
      <alignment horizontal="center" vertical="center" wrapText="1"/>
    </xf>
    <xf numFmtId="178" fontId="122" fillId="0" borderId="22" xfId="0" applyNumberFormat="1" applyFont="1" applyBorder="1" applyAlignment="1">
      <alignment vertical="center"/>
    </xf>
    <xf numFmtId="178" fontId="122" fillId="0" borderId="41" xfId="0" applyNumberFormat="1" applyFont="1" applyBorder="1" applyAlignment="1">
      <alignment vertical="center"/>
    </xf>
    <xf numFmtId="178" fontId="122" fillId="0" borderId="50" xfId="0" applyNumberFormat="1" applyFont="1" applyBorder="1" applyAlignment="1">
      <alignment vertical="center"/>
    </xf>
    <xf numFmtId="178" fontId="122" fillId="0" borderId="38" xfId="0" applyNumberFormat="1" applyFont="1" applyBorder="1" applyAlignment="1">
      <alignment vertical="center"/>
    </xf>
    <xf numFmtId="178" fontId="122" fillId="0" borderId="40" xfId="0" applyNumberFormat="1" applyFont="1" applyBorder="1" applyAlignment="1">
      <alignment vertical="center"/>
    </xf>
    <xf numFmtId="178" fontId="122" fillId="0" borderId="51" xfId="0" applyNumberFormat="1" applyFont="1" applyBorder="1" applyAlignment="1">
      <alignment vertical="center"/>
    </xf>
    <xf numFmtId="178" fontId="122" fillId="0" borderId="42" xfId="0" applyNumberFormat="1" applyFont="1" applyBorder="1" applyAlignment="1">
      <alignment vertical="center"/>
    </xf>
    <xf numFmtId="178" fontId="122" fillId="0" borderId="49" xfId="0" applyNumberFormat="1" applyFont="1" applyBorder="1" applyAlignment="1">
      <alignment vertical="center"/>
    </xf>
    <xf numFmtId="178" fontId="122" fillId="0" borderId="52" xfId="0" applyNumberFormat="1" applyFont="1" applyBorder="1" applyAlignment="1">
      <alignment vertical="center"/>
    </xf>
    <xf numFmtId="0" fontId="122" fillId="0" borderId="115" xfId="0" applyFont="1" applyBorder="1" applyAlignment="1">
      <alignment horizontal="center" vertical="center"/>
    </xf>
    <xf numFmtId="0" fontId="122" fillId="0" borderId="7" xfId="0" applyFont="1" applyBorder="1" applyAlignment="1">
      <alignment horizontal="center" vertical="center"/>
    </xf>
    <xf numFmtId="0" fontId="122" fillId="0" borderId="113" xfId="0" applyFont="1" applyBorder="1" applyAlignment="1">
      <alignment horizontal="center" vertical="center"/>
    </xf>
    <xf numFmtId="0" fontId="122" fillId="0" borderId="105" xfId="0" applyFont="1" applyBorder="1" applyAlignment="1">
      <alignment horizontal="center" vertical="center"/>
    </xf>
    <xf numFmtId="0" fontId="122" fillId="0" borderId="144" xfId="0" applyFont="1" applyBorder="1" applyAlignment="1">
      <alignment horizontal="center" vertical="center" shrinkToFit="1"/>
    </xf>
    <xf numFmtId="0" fontId="122" fillId="0" borderId="7" xfId="0" applyFont="1" applyBorder="1" applyAlignment="1">
      <alignment horizontal="center" vertical="center" shrinkToFit="1"/>
    </xf>
    <xf numFmtId="0" fontId="122" fillId="0" borderId="145" xfId="0" applyFont="1" applyBorder="1" applyAlignment="1">
      <alignment horizontal="center" vertical="center" shrinkToFit="1"/>
    </xf>
    <xf numFmtId="0" fontId="122" fillId="0" borderId="105" xfId="0" applyFont="1" applyBorder="1" applyAlignment="1">
      <alignment horizontal="center" vertical="center" shrinkToFit="1"/>
    </xf>
    <xf numFmtId="0" fontId="167" fillId="0" borderId="26" xfId="0" applyFont="1" applyBorder="1" applyAlignment="1">
      <alignment horizontal="center" vertical="center" wrapText="1"/>
    </xf>
    <xf numFmtId="0" fontId="167" fillId="0" borderId="100" xfId="0" applyFont="1" applyBorder="1" applyAlignment="1">
      <alignment horizontal="center" vertical="center" wrapText="1"/>
    </xf>
    <xf numFmtId="0" fontId="167" fillId="0" borderId="29" xfId="0" applyFont="1" applyBorder="1" applyAlignment="1">
      <alignment horizontal="center" vertical="center" wrapText="1"/>
    </xf>
    <xf numFmtId="0" fontId="167" fillId="0" borderId="63" xfId="0" applyFont="1" applyBorder="1" applyAlignment="1">
      <alignment horizontal="center" vertical="center" wrapText="1"/>
    </xf>
    <xf numFmtId="0" fontId="122" fillId="0" borderId="26" xfId="0" applyFont="1" applyBorder="1" applyAlignment="1">
      <alignment horizontal="center" vertical="center"/>
    </xf>
    <xf numFmtId="0" fontId="122" fillId="0" borderId="29" xfId="0" applyFont="1" applyBorder="1" applyAlignment="1">
      <alignment horizontal="center" vertical="center"/>
    </xf>
    <xf numFmtId="0" fontId="122" fillId="11" borderId="39" xfId="0" applyFont="1" applyFill="1" applyBorder="1" applyAlignment="1">
      <alignment horizontal="center" vertical="center"/>
    </xf>
    <xf numFmtId="0" fontId="122" fillId="11" borderId="11" xfId="0" applyFont="1" applyFill="1" applyBorder="1" applyAlignment="1">
      <alignment horizontal="center" vertical="center"/>
    </xf>
    <xf numFmtId="0" fontId="122" fillId="11" borderId="17" xfId="0" applyFont="1" applyFill="1" applyBorder="1" applyAlignment="1">
      <alignment horizontal="center" vertical="center"/>
    </xf>
    <xf numFmtId="0" fontId="153" fillId="0" borderId="0" xfId="0" applyFont="1" applyFill="1" applyAlignment="1">
      <alignment vertical="center"/>
    </xf>
    <xf numFmtId="0" fontId="128" fillId="0" borderId="62" xfId="308" applyFont="1" applyBorder="1" applyAlignment="1">
      <alignment vertical="center"/>
    </xf>
    <xf numFmtId="0" fontId="128" fillId="0" borderId="53" xfId="308" applyFont="1" applyBorder="1" applyAlignment="1">
      <alignment vertical="center"/>
    </xf>
    <xf numFmtId="0" fontId="128" fillId="0" borderId="54" xfId="308" applyFont="1" applyBorder="1" applyAlignment="1">
      <alignment vertical="center"/>
    </xf>
    <xf numFmtId="0" fontId="128" fillId="0" borderId="51" xfId="308" applyFont="1" applyBorder="1" applyAlignment="1">
      <alignment vertical="center"/>
    </xf>
    <xf numFmtId="0" fontId="128" fillId="0" borderId="22" xfId="308" applyFont="1" applyBorder="1" applyAlignment="1">
      <alignment vertical="center"/>
    </xf>
    <xf numFmtId="0" fontId="128" fillId="0" borderId="41" xfId="308" applyFont="1" applyBorder="1" applyAlignment="1">
      <alignment vertical="center"/>
    </xf>
    <xf numFmtId="0" fontId="144" fillId="0" borderId="96" xfId="0" applyFont="1" applyFill="1" applyBorder="1" applyAlignment="1">
      <alignment vertical="center"/>
    </xf>
    <xf numFmtId="0" fontId="144" fillId="0" borderId="45" xfId="0" applyFont="1" applyFill="1" applyBorder="1" applyAlignment="1">
      <alignment vertical="center"/>
    </xf>
    <xf numFmtId="0" fontId="144" fillId="0" borderId="46" xfId="0" applyFont="1" applyFill="1" applyBorder="1" applyAlignment="1">
      <alignment vertical="center"/>
    </xf>
    <xf numFmtId="0" fontId="168" fillId="0" borderId="96" xfId="0" applyFont="1" applyFill="1" applyBorder="1" applyAlignment="1">
      <alignment vertical="center"/>
    </xf>
    <xf numFmtId="0" fontId="168" fillId="0" borderId="45" xfId="0" applyFont="1" applyFill="1" applyBorder="1" applyAlignment="1">
      <alignment vertical="center"/>
    </xf>
    <xf numFmtId="0" fontId="168" fillId="0" borderId="46" xfId="0" applyFont="1" applyFill="1" applyBorder="1" applyAlignment="1">
      <alignment vertical="center"/>
    </xf>
    <xf numFmtId="41" fontId="128" fillId="0" borderId="2" xfId="264" applyFont="1" applyBorder="1" applyAlignment="1">
      <alignment horizontal="center" vertical="center"/>
    </xf>
    <xf numFmtId="41" fontId="128" fillId="0" borderId="40" xfId="264" applyFont="1" applyBorder="1" applyAlignment="1">
      <alignment horizontal="center" vertical="center"/>
    </xf>
    <xf numFmtId="41" fontId="128" fillId="0" borderId="50" xfId="264" applyFont="1" applyBorder="1" applyAlignment="1">
      <alignment horizontal="center" vertical="center"/>
    </xf>
    <xf numFmtId="41" fontId="128" fillId="0" borderId="38" xfId="264" applyFont="1" applyBorder="1" applyAlignment="1">
      <alignment horizontal="center" vertical="center"/>
    </xf>
    <xf numFmtId="0" fontId="144" fillId="16" borderId="38" xfId="0" applyFont="1" applyFill="1" applyBorder="1" applyAlignment="1">
      <alignment horizontal="center" vertical="center"/>
    </xf>
    <xf numFmtId="0" fontId="144" fillId="0" borderId="38" xfId="0" applyFont="1" applyFill="1" applyBorder="1" applyAlignment="1">
      <alignment horizontal="center" vertical="center"/>
    </xf>
    <xf numFmtId="41" fontId="144" fillId="0" borderId="38" xfId="0" applyNumberFormat="1" applyFont="1" applyFill="1" applyBorder="1" applyAlignment="1">
      <alignment horizontal="center" vertical="center"/>
    </xf>
    <xf numFmtId="41" fontId="144" fillId="0" borderId="40" xfId="0" applyNumberFormat="1" applyFont="1" applyFill="1" applyBorder="1" applyAlignment="1">
      <alignment horizontal="center" vertical="center"/>
    </xf>
    <xf numFmtId="260" fontId="144" fillId="0" borderId="38" xfId="0" applyNumberFormat="1" applyFont="1" applyFill="1" applyBorder="1" applyAlignment="1">
      <alignment vertical="center"/>
    </xf>
    <xf numFmtId="260" fontId="144" fillId="0" borderId="40" xfId="0" applyNumberFormat="1" applyFont="1" applyFill="1" applyBorder="1" applyAlignment="1">
      <alignment vertical="center"/>
    </xf>
    <xf numFmtId="0" fontId="144" fillId="0" borderId="38" xfId="0" applyFont="1" applyFill="1" applyBorder="1" applyAlignment="1">
      <alignment horizontal="center" vertical="center" shrinkToFit="1"/>
    </xf>
    <xf numFmtId="0" fontId="144" fillId="0" borderId="40" xfId="0" applyFont="1" applyFill="1" applyBorder="1" applyAlignment="1">
      <alignment horizontal="center" vertical="center" shrinkToFit="1"/>
    </xf>
    <xf numFmtId="0" fontId="131" fillId="0" borderId="0" xfId="0" applyFont="1" applyFill="1" applyAlignment="1">
      <alignment vertical="center"/>
    </xf>
    <xf numFmtId="0" fontId="144" fillId="0" borderId="59" xfId="0" applyFont="1" applyFill="1" applyBorder="1" applyAlignment="1">
      <alignment horizontal="center" vertical="center"/>
    </xf>
    <xf numFmtId="0" fontId="144" fillId="0" borderId="22" xfId="0" applyFont="1" applyFill="1" applyBorder="1" applyAlignment="1">
      <alignment horizontal="center" vertical="center"/>
    </xf>
    <xf numFmtId="0" fontId="144" fillId="0" borderId="41" xfId="0" applyFont="1" applyFill="1" applyBorder="1" applyAlignment="1">
      <alignment horizontal="center" vertical="center"/>
    </xf>
    <xf numFmtId="0" fontId="144" fillId="0" borderId="2" xfId="0" applyFont="1" applyFill="1" applyBorder="1" applyAlignment="1">
      <alignment horizontal="center" vertical="center"/>
    </xf>
    <xf numFmtId="0" fontId="144" fillId="0" borderId="40" xfId="0" applyFont="1" applyFill="1" applyBorder="1" applyAlignment="1">
      <alignment horizontal="center" vertical="center"/>
    </xf>
    <xf numFmtId="0" fontId="144" fillId="0" borderId="66" xfId="0" applyFont="1" applyFill="1" applyBorder="1" applyAlignment="1">
      <alignment horizontal="center" vertical="center"/>
    </xf>
    <xf numFmtId="0" fontId="144" fillId="0" borderId="42" xfId="0" applyFont="1" applyFill="1" applyBorder="1" applyAlignment="1">
      <alignment horizontal="center" vertical="center"/>
    </xf>
    <xf numFmtId="0" fontId="144" fillId="0" borderId="49" xfId="0" applyFont="1" applyFill="1" applyBorder="1" applyAlignment="1">
      <alignment horizontal="center" vertical="center"/>
    </xf>
    <xf numFmtId="0" fontId="144" fillId="0" borderId="42" xfId="0" applyFont="1" applyFill="1" applyBorder="1" applyAlignment="1">
      <alignment vertical="center"/>
    </xf>
    <xf numFmtId="0" fontId="144" fillId="0" borderId="22" xfId="0" applyFont="1" applyFill="1" applyBorder="1" applyAlignment="1">
      <alignment vertical="center"/>
    </xf>
    <xf numFmtId="0" fontId="144" fillId="0" borderId="38" xfId="0" applyFont="1" applyFill="1" applyBorder="1" applyAlignment="1">
      <alignment vertical="center"/>
    </xf>
    <xf numFmtId="0" fontId="144" fillId="0" borderId="50" xfId="0" applyFont="1" applyFill="1" applyBorder="1" applyAlignment="1">
      <alignment horizontal="center" vertical="center"/>
    </xf>
    <xf numFmtId="0" fontId="144" fillId="0" borderId="70" xfId="0" applyFont="1" applyFill="1" applyBorder="1" applyAlignment="1">
      <alignment horizontal="center" vertical="center" wrapText="1"/>
    </xf>
    <xf numFmtId="41" fontId="128" fillId="0" borderId="66" xfId="264" applyFont="1" applyBorder="1" applyAlignment="1">
      <alignment horizontal="center" vertical="center"/>
    </xf>
    <xf numFmtId="41" fontId="128" fillId="0" borderId="49" xfId="264" applyFont="1" applyBorder="1" applyAlignment="1">
      <alignment horizontal="center" vertical="center"/>
    </xf>
    <xf numFmtId="41" fontId="128" fillId="0" borderId="52" xfId="264" applyFont="1" applyBorder="1" applyAlignment="1">
      <alignment horizontal="center" vertical="center"/>
    </xf>
    <xf numFmtId="41" fontId="128" fillId="0" borderId="42" xfId="264" applyFont="1" applyBorder="1" applyAlignment="1">
      <alignment horizontal="center" vertical="center"/>
    </xf>
    <xf numFmtId="41" fontId="128" fillId="0" borderId="64" xfId="264" applyFont="1" applyBorder="1" applyAlignment="1">
      <alignment horizontal="center" vertical="center"/>
    </xf>
    <xf numFmtId="41" fontId="128" fillId="0" borderId="56" xfId="264" applyFont="1" applyBorder="1" applyAlignment="1">
      <alignment horizontal="center" vertical="center"/>
    </xf>
    <xf numFmtId="41" fontId="128" fillId="0" borderId="57" xfId="264" applyFont="1" applyBorder="1" applyAlignment="1">
      <alignment horizontal="center" vertical="center"/>
    </xf>
    <xf numFmtId="41" fontId="128" fillId="0" borderId="55" xfId="264" applyFont="1" applyBorder="1" applyAlignment="1">
      <alignment horizontal="center" vertical="center"/>
    </xf>
    <xf numFmtId="41" fontId="128" fillId="0" borderId="89" xfId="264" applyFont="1" applyBorder="1" applyAlignment="1">
      <alignment horizontal="center" vertical="center"/>
    </xf>
    <xf numFmtId="41" fontId="128" fillId="0" borderId="65" xfId="264" applyFont="1" applyBorder="1" applyAlignment="1">
      <alignment horizontal="center" vertical="center"/>
    </xf>
    <xf numFmtId="41" fontId="144" fillId="0" borderId="42" xfId="0" applyNumberFormat="1" applyFont="1" applyFill="1" applyBorder="1" applyAlignment="1">
      <alignment horizontal="center" vertical="center"/>
    </xf>
    <xf numFmtId="41" fontId="144" fillId="0" borderId="49" xfId="0" applyNumberFormat="1" applyFont="1" applyFill="1" applyBorder="1" applyAlignment="1">
      <alignment horizontal="center" vertical="center"/>
    </xf>
    <xf numFmtId="41" fontId="144" fillId="0" borderId="22" xfId="0" applyNumberFormat="1" applyFont="1" applyFill="1" applyBorder="1" applyAlignment="1">
      <alignment horizontal="center" vertical="center"/>
    </xf>
    <xf numFmtId="41" fontId="144" fillId="0" borderId="41" xfId="0" applyNumberFormat="1" applyFont="1" applyFill="1" applyBorder="1" applyAlignment="1">
      <alignment horizontal="center" vertical="center"/>
    </xf>
    <xf numFmtId="0" fontId="144" fillId="0" borderId="52" xfId="0" applyFont="1" applyFill="1" applyBorder="1" applyAlignment="1">
      <alignment horizontal="center" vertical="center"/>
    </xf>
    <xf numFmtId="0" fontId="144" fillId="0" borderId="57" xfId="0" applyFont="1" applyFill="1" applyBorder="1" applyAlignment="1">
      <alignment horizontal="center" vertical="center"/>
    </xf>
    <xf numFmtId="0" fontId="144" fillId="0" borderId="55" xfId="0" applyFont="1" applyFill="1" applyBorder="1" applyAlignment="1">
      <alignment horizontal="center" vertical="center"/>
    </xf>
    <xf numFmtId="260" fontId="144" fillId="0" borderId="52" xfId="0" applyNumberFormat="1" applyFont="1" applyFill="1" applyBorder="1" applyAlignment="1">
      <alignment horizontal="center" vertical="center"/>
    </xf>
    <xf numFmtId="260" fontId="144" fillId="0" borderId="42" xfId="0" applyNumberFormat="1" applyFont="1" applyFill="1" applyBorder="1" applyAlignment="1">
      <alignment horizontal="center" vertical="center"/>
    </xf>
    <xf numFmtId="260" fontId="144" fillId="0" borderId="53" xfId="0" applyNumberFormat="1" applyFont="1" applyFill="1" applyBorder="1" applyAlignment="1">
      <alignment horizontal="center" vertical="center"/>
    </xf>
    <xf numFmtId="260" fontId="144" fillId="0" borderId="54" xfId="0" applyNumberFormat="1" applyFont="1" applyFill="1" applyBorder="1" applyAlignment="1">
      <alignment horizontal="center" vertical="center"/>
    </xf>
    <xf numFmtId="0" fontId="144" fillId="0" borderId="56" xfId="0" applyFont="1" applyFill="1" applyBorder="1" applyAlignment="1">
      <alignment horizontal="center" vertical="center"/>
    </xf>
    <xf numFmtId="260" fontId="144" fillId="0" borderId="38" xfId="0" applyNumberFormat="1" applyFont="1" applyFill="1" applyBorder="1" applyAlignment="1">
      <alignment horizontal="center" vertical="center"/>
    </xf>
    <xf numFmtId="260" fontId="144" fillId="0" borderId="40" xfId="0" applyNumberFormat="1" applyFont="1" applyFill="1" applyBorder="1" applyAlignment="1">
      <alignment horizontal="center" vertical="center"/>
    </xf>
    <xf numFmtId="0" fontId="146" fillId="0" borderId="2" xfId="0" applyFont="1" applyBorder="1" applyAlignment="1">
      <alignment horizontal="center" vertical="center" wrapText="1"/>
    </xf>
    <xf numFmtId="0" fontId="146" fillId="0" borderId="38" xfId="0" applyFont="1" applyBorder="1" applyAlignment="1">
      <alignment horizontal="center" vertical="center" wrapText="1"/>
    </xf>
    <xf numFmtId="0" fontId="146" fillId="0" borderId="40" xfId="0" applyFont="1" applyBorder="1" applyAlignment="1">
      <alignment horizontal="center" vertical="center" wrapText="1"/>
    </xf>
    <xf numFmtId="41" fontId="128" fillId="0" borderId="67" xfId="264" applyFont="1" applyBorder="1" applyAlignment="1">
      <alignment horizontal="center" vertical="center"/>
    </xf>
    <xf numFmtId="41" fontId="128" fillId="0" borderId="72" xfId="264" applyFont="1" applyBorder="1" applyAlignment="1">
      <alignment horizontal="center" vertical="center"/>
    </xf>
    <xf numFmtId="0" fontId="144" fillId="0" borderId="67" xfId="0" applyFont="1" applyFill="1" applyBorder="1" applyAlignment="1">
      <alignment horizontal="center" vertical="center"/>
    </xf>
    <xf numFmtId="0" fontId="144" fillId="0" borderId="72" xfId="0" applyFont="1" applyFill="1" applyBorder="1" applyAlignment="1">
      <alignment horizontal="center" vertical="center"/>
    </xf>
    <xf numFmtId="41" fontId="128" fillId="0" borderId="22" xfId="264" applyFont="1" applyBorder="1" applyAlignment="1">
      <alignment horizontal="center" vertical="center"/>
    </xf>
    <xf numFmtId="0" fontId="145" fillId="0" borderId="4" xfId="0" applyFont="1" applyFill="1" applyBorder="1" applyAlignment="1">
      <alignment horizontal="center" vertical="center" wrapText="1"/>
    </xf>
    <xf numFmtId="183" fontId="168" fillId="14" borderId="50" xfId="308" applyNumberFormat="1" applyFont="1" applyFill="1" applyBorder="1" applyAlignment="1">
      <alignment horizontal="center" vertical="center"/>
    </xf>
    <xf numFmtId="183" fontId="168" fillId="14" borderId="38" xfId="308" applyNumberFormat="1" applyFont="1" applyFill="1" applyBorder="1" applyAlignment="1">
      <alignment horizontal="center" vertical="center"/>
    </xf>
    <xf numFmtId="0" fontId="144" fillId="0" borderId="65" xfId="0" applyFont="1" applyFill="1" applyBorder="1" applyAlignment="1">
      <alignment horizontal="center" vertical="center"/>
    </xf>
    <xf numFmtId="0" fontId="144" fillId="16" borderId="65" xfId="0" applyFont="1" applyFill="1" applyBorder="1" applyAlignment="1">
      <alignment horizontal="center" vertical="center"/>
    </xf>
    <xf numFmtId="0" fontId="144" fillId="0" borderId="51" xfId="0" applyFont="1" applyFill="1" applyBorder="1" applyAlignment="1">
      <alignment horizontal="center" vertical="center"/>
    </xf>
    <xf numFmtId="0" fontId="144" fillId="0" borderId="2" xfId="0" quotePrefix="1" applyNumberFormat="1" applyFont="1" applyFill="1" applyBorder="1" applyAlignment="1">
      <alignment horizontal="center" vertical="center"/>
    </xf>
    <xf numFmtId="0" fontId="144" fillId="0" borderId="40" xfId="0" quotePrefix="1" applyNumberFormat="1" applyFont="1" applyFill="1" applyBorder="1" applyAlignment="1">
      <alignment horizontal="center" vertical="center"/>
    </xf>
    <xf numFmtId="0" fontId="144" fillId="0" borderId="19" xfId="0" applyFont="1" applyFill="1" applyBorder="1" applyAlignment="1">
      <alignment horizontal="center" vertical="center" wrapText="1"/>
    </xf>
    <xf numFmtId="0" fontId="146" fillId="0" borderId="2" xfId="0" quotePrefix="1" applyNumberFormat="1" applyFont="1" applyBorder="1" applyAlignment="1">
      <alignment horizontal="center" vertical="center" wrapText="1"/>
    </xf>
    <xf numFmtId="0" fontId="146" fillId="0" borderId="40" xfId="0" quotePrefix="1" applyNumberFormat="1" applyFont="1" applyBorder="1" applyAlignment="1">
      <alignment horizontal="center" vertical="center" wrapText="1"/>
    </xf>
    <xf numFmtId="0" fontId="146" fillId="0" borderId="59" xfId="0" quotePrefix="1" applyNumberFormat="1" applyFont="1" applyBorder="1" applyAlignment="1">
      <alignment horizontal="center" vertical="center" wrapText="1"/>
    </xf>
    <xf numFmtId="0" fontId="146" fillId="0" borderId="41" xfId="0" quotePrefix="1" applyNumberFormat="1" applyFont="1" applyBorder="1" applyAlignment="1">
      <alignment horizontal="center" vertical="center" wrapText="1"/>
    </xf>
    <xf numFmtId="0" fontId="128" fillId="0" borderId="2" xfId="0" applyFont="1" applyFill="1" applyBorder="1" applyAlignment="1">
      <alignment horizontal="center" vertical="center"/>
    </xf>
    <xf numFmtId="0" fontId="128" fillId="0" borderId="38" xfId="0" applyFont="1" applyFill="1" applyBorder="1" applyAlignment="1">
      <alignment horizontal="center" vertical="center"/>
    </xf>
    <xf numFmtId="41" fontId="144" fillId="0" borderId="55" xfId="0" applyNumberFormat="1" applyFont="1" applyFill="1" applyBorder="1" applyAlignment="1">
      <alignment horizontal="center" vertical="center"/>
    </xf>
    <xf numFmtId="41" fontId="144" fillId="0" borderId="56" xfId="0" applyNumberFormat="1" applyFont="1" applyFill="1" applyBorder="1" applyAlignment="1">
      <alignment horizontal="center" vertical="center"/>
    </xf>
    <xf numFmtId="41" fontId="128" fillId="0" borderId="51" xfId="264" applyFont="1" applyBorder="1" applyAlignment="1">
      <alignment horizontal="center" vertical="center"/>
    </xf>
    <xf numFmtId="0" fontId="146" fillId="0" borderId="62" xfId="0" applyFont="1" applyBorder="1" applyAlignment="1">
      <alignment horizontal="center" vertical="center" wrapText="1"/>
    </xf>
    <xf numFmtId="0" fontId="146" fillId="0" borderId="53" xfId="0" applyFont="1" applyBorder="1" applyAlignment="1">
      <alignment horizontal="center" vertical="center" wrapText="1"/>
    </xf>
    <xf numFmtId="0" fontId="146" fillId="0" borderId="51" xfId="0" applyFont="1" applyBorder="1" applyAlignment="1">
      <alignment horizontal="center" vertical="center" wrapText="1"/>
    </xf>
    <xf numFmtId="0" fontId="146" fillId="0" borderId="22" xfId="0" applyFont="1" applyBorder="1" applyAlignment="1">
      <alignment horizontal="center" vertical="center" wrapText="1"/>
    </xf>
    <xf numFmtId="260" fontId="144" fillId="0" borderId="22" xfId="0" applyNumberFormat="1" applyFont="1" applyFill="1" applyBorder="1" applyAlignment="1">
      <alignment horizontal="center" vertical="center"/>
    </xf>
    <xf numFmtId="260" fontId="144" fillId="0" borderId="41" xfId="0" applyNumberFormat="1" applyFont="1" applyFill="1" applyBorder="1" applyAlignment="1">
      <alignment horizontal="center" vertical="center"/>
    </xf>
    <xf numFmtId="0" fontId="146" fillId="0" borderId="55" xfId="0" applyFont="1" applyBorder="1" applyAlignment="1">
      <alignment horizontal="center" vertical="center" wrapText="1"/>
    </xf>
    <xf numFmtId="0" fontId="146" fillId="0" borderId="56" xfId="0" applyFont="1" applyBorder="1" applyAlignment="1">
      <alignment horizontal="center" vertical="center" wrapText="1"/>
    </xf>
    <xf numFmtId="0" fontId="169" fillId="0" borderId="29" xfId="0" applyFont="1" applyFill="1" applyBorder="1" applyAlignment="1">
      <alignment horizontal="center" vertical="center"/>
    </xf>
    <xf numFmtId="0" fontId="146" fillId="0" borderId="66" xfId="0" applyFont="1" applyBorder="1" applyAlignment="1">
      <alignment horizontal="center" vertical="center" wrapText="1"/>
    </xf>
    <xf numFmtId="0" fontId="146" fillId="0" borderId="42" xfId="0" applyFont="1" applyBorder="1" applyAlignment="1">
      <alignment horizontal="center" vertical="center" wrapText="1"/>
    </xf>
    <xf numFmtId="0" fontId="146" fillId="0" borderId="49" xfId="0" applyFont="1" applyBorder="1" applyAlignment="1">
      <alignment horizontal="center" vertical="center" wrapText="1"/>
    </xf>
    <xf numFmtId="0" fontId="146" fillId="0" borderId="59" xfId="0" applyFont="1" applyBorder="1" applyAlignment="1">
      <alignment horizontal="center" vertical="center" wrapText="1"/>
    </xf>
    <xf numFmtId="0" fontId="146" fillId="0" borderId="41" xfId="0" applyFont="1" applyBorder="1" applyAlignment="1">
      <alignment horizontal="center" vertical="center" wrapText="1"/>
    </xf>
    <xf numFmtId="0" fontId="146" fillId="0" borderId="115" xfId="0" applyFont="1" applyBorder="1" applyAlignment="1">
      <alignment horizontal="center" vertical="center" wrapText="1"/>
    </xf>
    <xf numFmtId="0" fontId="146" fillId="0" borderId="100" xfId="0" applyFont="1" applyBorder="1" applyAlignment="1">
      <alignment horizontal="center" vertical="center" wrapText="1"/>
    </xf>
    <xf numFmtId="0" fontId="146" fillId="0" borderId="24" xfId="0" applyFont="1" applyBorder="1" applyAlignment="1">
      <alignment horizontal="center" vertical="center" wrapText="1"/>
    </xf>
    <xf numFmtId="0" fontId="146" fillId="0" borderId="146" xfId="0" applyFont="1" applyBorder="1" applyAlignment="1">
      <alignment horizontal="center" vertical="center" wrapText="1"/>
    </xf>
    <xf numFmtId="0" fontId="146" fillId="0" borderId="113" xfId="0" applyFont="1" applyBorder="1" applyAlignment="1">
      <alignment horizontal="center" vertical="center" wrapText="1"/>
    </xf>
    <xf numFmtId="0" fontId="146" fillId="0" borderId="63" xfId="0" applyFont="1" applyBorder="1" applyAlignment="1">
      <alignment horizontal="center" vertical="center" wrapText="1"/>
    </xf>
    <xf numFmtId="0" fontId="146" fillId="0" borderId="66" xfId="0" quotePrefix="1" applyNumberFormat="1" applyFont="1" applyBorder="1" applyAlignment="1">
      <alignment horizontal="center" vertical="center" wrapText="1"/>
    </xf>
    <xf numFmtId="0" fontId="146" fillId="0" borderId="49" xfId="0" quotePrefix="1" applyNumberFormat="1" applyFont="1" applyBorder="1" applyAlignment="1">
      <alignment horizontal="center" vertical="center" wrapText="1"/>
    </xf>
    <xf numFmtId="0" fontId="146" fillId="0" borderId="64" xfId="0" applyFont="1" applyBorder="1" applyAlignment="1">
      <alignment horizontal="center" vertical="center" wrapText="1"/>
    </xf>
    <xf numFmtId="0" fontId="146" fillId="0" borderId="2" xfId="0" quotePrefix="1" applyFont="1" applyBorder="1" applyAlignment="1">
      <alignment horizontal="center" vertical="center" wrapText="1"/>
    </xf>
    <xf numFmtId="0" fontId="146" fillId="0" borderId="40" xfId="0" quotePrefix="1" applyFont="1" applyBorder="1" applyAlignment="1">
      <alignment horizontal="center" vertical="center" wrapText="1"/>
    </xf>
    <xf numFmtId="0" fontId="146" fillId="0" borderId="60" xfId="0" applyFont="1" applyBorder="1" applyAlignment="1">
      <alignment horizontal="center" vertical="center" wrapText="1"/>
    </xf>
    <xf numFmtId="0" fontId="146" fillId="0" borderId="54" xfId="0" applyFont="1" applyBorder="1" applyAlignment="1">
      <alignment horizontal="center" vertical="center" wrapText="1"/>
    </xf>
    <xf numFmtId="0" fontId="146" fillId="0" borderId="93" xfId="0" applyFont="1" applyBorder="1" applyAlignment="1">
      <alignment horizontal="center" vertical="center" shrinkToFit="1"/>
    </xf>
    <xf numFmtId="0" fontId="146" fillId="0" borderId="44" xfId="0" applyFont="1" applyBorder="1" applyAlignment="1">
      <alignment horizontal="center" vertical="center" shrinkToFit="1"/>
    </xf>
    <xf numFmtId="260" fontId="144" fillId="0" borderId="49" xfId="0" applyNumberFormat="1" applyFont="1" applyFill="1" applyBorder="1" applyAlignment="1">
      <alignment horizontal="center" vertical="center"/>
    </xf>
    <xf numFmtId="0" fontId="144" fillId="0" borderId="64" xfId="0" applyFont="1" applyFill="1" applyBorder="1" applyAlignment="1">
      <alignment horizontal="center" vertical="center"/>
    </xf>
    <xf numFmtId="251" fontId="144" fillId="0" borderId="50" xfId="0" applyNumberFormat="1" applyFont="1" applyFill="1" applyBorder="1" applyAlignment="1">
      <alignment horizontal="center" vertical="center"/>
    </xf>
    <xf numFmtId="251" fontId="144" fillId="0" borderId="38" xfId="0" applyNumberFormat="1" applyFont="1" applyFill="1" applyBorder="1" applyAlignment="1">
      <alignment horizontal="center" vertical="center"/>
    </xf>
    <xf numFmtId="0" fontId="144" fillId="0" borderId="71" xfId="0" applyFont="1" applyFill="1" applyBorder="1" applyAlignment="1">
      <alignment horizontal="center" vertical="center"/>
    </xf>
    <xf numFmtId="0" fontId="144" fillId="0" borderId="19" xfId="0" applyFont="1" applyFill="1" applyBorder="1" applyAlignment="1">
      <alignment horizontal="center" vertical="center"/>
    </xf>
    <xf numFmtId="0" fontId="144" fillId="0" borderId="4" xfId="0" applyFont="1" applyFill="1" applyBorder="1" applyAlignment="1">
      <alignment horizontal="center" vertical="center"/>
    </xf>
    <xf numFmtId="0" fontId="144" fillId="0" borderId="59" xfId="0" quotePrefix="1" applyNumberFormat="1" applyFont="1" applyFill="1" applyBorder="1" applyAlignment="1">
      <alignment horizontal="center" vertical="center"/>
    </xf>
    <xf numFmtId="0" fontId="144" fillId="0" borderId="41" xfId="0" quotePrefix="1" applyNumberFormat="1" applyFont="1" applyFill="1" applyBorder="1" applyAlignment="1">
      <alignment horizontal="center" vertical="center"/>
    </xf>
    <xf numFmtId="0" fontId="144" fillId="0" borderId="60" xfId="0" applyFont="1" applyFill="1" applyBorder="1" applyAlignment="1">
      <alignment horizontal="center" vertical="center"/>
    </xf>
    <xf numFmtId="0" fontId="144" fillId="0" borderId="54" xfId="0" applyFont="1" applyFill="1" applyBorder="1" applyAlignment="1">
      <alignment horizontal="center" vertical="center"/>
    </xf>
    <xf numFmtId="266" fontId="168" fillId="14" borderId="50" xfId="308" applyNumberFormat="1" applyFont="1" applyFill="1" applyBorder="1" applyAlignment="1">
      <alignment horizontal="center" vertical="center"/>
    </xf>
    <xf numFmtId="266" fontId="168" fillId="14" borderId="38" xfId="308" applyNumberFormat="1" applyFont="1" applyFill="1" applyBorder="1" applyAlignment="1">
      <alignment horizontal="center" vertical="center"/>
    </xf>
    <xf numFmtId="0" fontId="144" fillId="0" borderId="71" xfId="0" applyFont="1" applyFill="1" applyBorder="1" applyAlignment="1">
      <alignment horizontal="center" vertical="center" wrapText="1"/>
    </xf>
    <xf numFmtId="0" fontId="144" fillId="0" borderId="55" xfId="0" applyFont="1" applyFill="1" applyBorder="1" applyAlignment="1">
      <alignment horizontal="center" vertical="center" wrapText="1"/>
    </xf>
    <xf numFmtId="0" fontId="144" fillId="0" borderId="56" xfId="0" applyFont="1" applyFill="1" applyBorder="1" applyAlignment="1">
      <alignment horizontal="center" vertical="center" wrapText="1"/>
    </xf>
    <xf numFmtId="0" fontId="144" fillId="16" borderId="38" xfId="0" applyFont="1" applyFill="1" applyBorder="1" applyAlignment="1">
      <alignment horizontal="center" vertical="center" shrinkToFit="1"/>
    </xf>
    <xf numFmtId="0" fontId="144" fillId="16" borderId="40" xfId="0" applyFont="1" applyFill="1" applyBorder="1" applyAlignment="1">
      <alignment horizontal="center" vertical="center" shrinkToFit="1"/>
    </xf>
    <xf numFmtId="0" fontId="146" fillId="0" borderId="39" xfId="0" applyFont="1" applyBorder="1" applyAlignment="1">
      <alignment horizontal="center" vertical="center" wrapText="1"/>
    </xf>
    <xf numFmtId="0" fontId="146" fillId="0" borderId="17" xfId="0" applyFont="1" applyBorder="1" applyAlignment="1">
      <alignment horizontal="center" vertical="center" wrapText="1"/>
    </xf>
    <xf numFmtId="0" fontId="146" fillId="0" borderId="59" xfId="0" quotePrefix="1" applyFont="1" applyBorder="1" applyAlignment="1">
      <alignment horizontal="center" vertical="center" wrapText="1"/>
    </xf>
    <xf numFmtId="0" fontId="146" fillId="0" borderId="41" xfId="0" quotePrefix="1" applyFont="1" applyBorder="1" applyAlignment="1">
      <alignment horizontal="center" vertical="center" wrapText="1"/>
    </xf>
    <xf numFmtId="0" fontId="146" fillId="0" borderId="52" xfId="0" applyFont="1" applyBorder="1" applyAlignment="1">
      <alignment horizontal="center" vertical="center" wrapText="1"/>
    </xf>
    <xf numFmtId="0" fontId="146" fillId="0" borderId="50" xfId="0" applyFont="1" applyBorder="1" applyAlignment="1">
      <alignment horizontal="center" vertical="center" wrapText="1"/>
    </xf>
    <xf numFmtId="0" fontId="146" fillId="0" borderId="95" xfId="0" applyFont="1" applyBorder="1" applyAlignment="1">
      <alignment horizontal="center" vertical="center" wrapText="1"/>
    </xf>
    <xf numFmtId="0" fontId="146" fillId="0" borderId="48" xfId="0" applyFont="1" applyBorder="1" applyAlignment="1">
      <alignment horizontal="center" vertical="center" wrapText="1"/>
    </xf>
    <xf numFmtId="0" fontId="146" fillId="0" borderId="90" xfId="0" applyFont="1" applyBorder="1" applyAlignment="1">
      <alignment horizontal="center" vertical="center" wrapText="1"/>
    </xf>
    <xf numFmtId="0" fontId="146" fillId="0" borderId="46" xfId="0" applyFont="1" applyBorder="1" applyAlignment="1">
      <alignment horizontal="center" vertical="center" wrapText="1"/>
    </xf>
    <xf numFmtId="0" fontId="146" fillId="0" borderId="57" xfId="0" applyFont="1" applyBorder="1" applyAlignment="1">
      <alignment horizontal="center" vertical="center" wrapText="1"/>
    </xf>
    <xf numFmtId="260" fontId="144" fillId="0" borderId="89" xfId="0" applyNumberFormat="1" applyFont="1" applyFill="1" applyBorder="1" applyAlignment="1">
      <alignment horizontal="center" vertical="center"/>
    </xf>
    <xf numFmtId="260" fontId="144" fillId="0" borderId="65" xfId="0" applyNumberFormat="1" applyFont="1" applyFill="1" applyBorder="1" applyAlignment="1">
      <alignment horizontal="center" vertical="center"/>
    </xf>
    <xf numFmtId="260" fontId="144" fillId="0" borderId="50" xfId="0" applyNumberFormat="1" applyFont="1" applyFill="1" applyBorder="1" applyAlignment="1">
      <alignment horizontal="center" vertical="center"/>
    </xf>
    <xf numFmtId="0" fontId="146" fillId="0" borderId="39" xfId="0" applyFont="1" applyBorder="1" applyAlignment="1">
      <alignment horizontal="center" vertical="center" shrinkToFit="1"/>
    </xf>
    <xf numFmtId="0" fontId="146" fillId="0" borderId="57" xfId="0" applyFont="1" applyBorder="1" applyAlignment="1">
      <alignment horizontal="center" vertical="center" shrinkToFit="1"/>
    </xf>
    <xf numFmtId="0" fontId="146" fillId="0" borderId="144" xfId="0" applyFont="1" applyBorder="1" applyAlignment="1">
      <alignment horizontal="center" vertical="center" wrapText="1"/>
    </xf>
    <xf numFmtId="0" fontId="146" fillId="0" borderId="147" xfId="0" applyFont="1" applyBorder="1" applyAlignment="1">
      <alignment horizontal="center" vertical="center" wrapText="1"/>
    </xf>
    <xf numFmtId="0" fontId="146" fillId="0" borderId="145" xfId="0" applyFont="1" applyBorder="1" applyAlignment="1">
      <alignment horizontal="center" vertical="center" wrapText="1"/>
    </xf>
    <xf numFmtId="0" fontId="146" fillId="0" borderId="7" xfId="0" applyFont="1" applyBorder="1" applyAlignment="1">
      <alignment horizontal="center" vertical="center" wrapText="1"/>
    </xf>
    <xf numFmtId="0" fontId="146" fillId="0" borderId="105" xfId="0" applyFont="1" applyBorder="1" applyAlignment="1">
      <alignment horizontal="center" vertical="center" wrapText="1"/>
    </xf>
    <xf numFmtId="260" fontId="144" fillId="0" borderId="55" xfId="0" applyNumberFormat="1" applyFont="1" applyFill="1" applyBorder="1" applyAlignment="1">
      <alignment horizontal="center" vertical="center"/>
    </xf>
    <xf numFmtId="260" fontId="144" fillId="0" borderId="57" xfId="0" applyNumberFormat="1" applyFont="1" applyFill="1" applyBorder="1" applyAlignment="1">
      <alignment horizontal="center" vertical="center"/>
    </xf>
    <xf numFmtId="260" fontId="144" fillId="0" borderId="56" xfId="0" applyNumberFormat="1" applyFont="1" applyFill="1" applyBorder="1" applyAlignment="1">
      <alignment horizontal="center" vertical="center"/>
    </xf>
    <xf numFmtId="260" fontId="144" fillId="0" borderId="72" xfId="0" applyNumberFormat="1" applyFont="1" applyFill="1" applyBorder="1" applyAlignment="1">
      <alignment horizontal="center" vertical="center"/>
    </xf>
    <xf numFmtId="0" fontId="146" fillId="0" borderId="22" xfId="0" applyFont="1" applyBorder="1" applyAlignment="1">
      <alignment horizontal="center" vertical="center" shrinkToFit="1"/>
    </xf>
    <xf numFmtId="0" fontId="146" fillId="0" borderId="41" xfId="0" applyFont="1" applyBorder="1" applyAlignment="1">
      <alignment horizontal="center" vertical="center" shrinkToFit="1"/>
    </xf>
    <xf numFmtId="251" fontId="144" fillId="0" borderId="51" xfId="0" applyNumberFormat="1" applyFont="1" applyFill="1" applyBorder="1" applyAlignment="1">
      <alignment horizontal="center" vertical="center"/>
    </xf>
    <xf numFmtId="251" fontId="144" fillId="0" borderId="22" xfId="0" applyNumberFormat="1" applyFont="1" applyFill="1" applyBorder="1" applyAlignment="1">
      <alignment horizontal="center" vertical="center"/>
    </xf>
    <xf numFmtId="0" fontId="144" fillId="0" borderId="53" xfId="0" applyFont="1" applyFill="1" applyBorder="1" applyAlignment="1">
      <alignment horizontal="center" vertical="center"/>
    </xf>
    <xf numFmtId="0" fontId="144" fillId="0" borderId="62" xfId="0" applyFont="1" applyFill="1" applyBorder="1" applyAlignment="1">
      <alignment horizontal="center" vertical="center"/>
    </xf>
    <xf numFmtId="0" fontId="144" fillId="0" borderId="22" xfId="0" applyFont="1" applyFill="1" applyBorder="1" applyAlignment="1">
      <alignment horizontal="center" vertical="center" shrinkToFit="1"/>
    </xf>
    <xf numFmtId="0" fontId="145" fillId="11" borderId="90" xfId="0" applyFont="1" applyFill="1" applyBorder="1" applyAlignment="1">
      <alignment horizontal="center" vertical="center"/>
    </xf>
    <xf numFmtId="0" fontId="145" fillId="11" borderId="45" xfId="0" applyFont="1" applyFill="1" applyBorder="1" applyAlignment="1">
      <alignment horizontal="center" vertical="center"/>
    </xf>
    <xf numFmtId="0" fontId="145" fillId="11" borderId="46" xfId="0" applyFont="1" applyFill="1" applyBorder="1" applyAlignment="1">
      <alignment horizontal="center" vertical="center"/>
    </xf>
    <xf numFmtId="41" fontId="128" fillId="0" borderId="41" xfId="264" applyFont="1" applyBorder="1" applyAlignment="1">
      <alignment horizontal="center" vertical="center"/>
    </xf>
    <xf numFmtId="0" fontId="144" fillId="11" borderId="53" xfId="0" applyFont="1" applyFill="1" applyBorder="1" applyAlignment="1">
      <alignment horizontal="center" vertical="center"/>
    </xf>
    <xf numFmtId="0" fontId="144" fillId="11" borderId="54" xfId="0" applyFont="1" applyFill="1" applyBorder="1" applyAlignment="1">
      <alignment horizontal="center" vertical="center"/>
    </xf>
    <xf numFmtId="0" fontId="144" fillId="11" borderId="22" xfId="0" applyFont="1" applyFill="1" applyBorder="1" applyAlignment="1">
      <alignment horizontal="center" vertical="center"/>
    </xf>
    <xf numFmtId="0" fontId="144" fillId="11" borderId="41" xfId="0" applyFont="1" applyFill="1" applyBorder="1" applyAlignment="1">
      <alignment horizontal="center" vertical="center"/>
    </xf>
    <xf numFmtId="0" fontId="144" fillId="11" borderId="60" xfId="0" applyFont="1" applyFill="1" applyBorder="1" applyAlignment="1">
      <alignment horizontal="center" vertical="center"/>
    </xf>
    <xf numFmtId="41" fontId="144" fillId="0" borderId="96" xfId="0" applyNumberFormat="1" applyFont="1" applyFill="1" applyBorder="1" applyAlignment="1">
      <alignment horizontal="center" vertical="center"/>
    </xf>
    <xf numFmtId="0" fontId="144" fillId="0" borderId="66" xfId="0" quotePrefix="1" applyNumberFormat="1" applyFont="1" applyFill="1" applyBorder="1" applyAlignment="1">
      <alignment horizontal="center" vertical="center"/>
    </xf>
    <xf numFmtId="0" fontId="144" fillId="0" borderId="49" xfId="0" quotePrefix="1" applyNumberFormat="1" applyFont="1" applyFill="1" applyBorder="1" applyAlignment="1">
      <alignment horizontal="center" vertical="center"/>
    </xf>
    <xf numFmtId="0" fontId="145" fillId="11" borderId="94" xfId="0" applyFont="1" applyFill="1" applyBorder="1" applyAlignment="1">
      <alignment horizontal="center" vertical="center"/>
    </xf>
    <xf numFmtId="0" fontId="145" fillId="11" borderId="91" xfId="0" applyFont="1" applyFill="1" applyBorder="1" applyAlignment="1">
      <alignment horizontal="center" vertical="center"/>
    </xf>
    <xf numFmtId="0" fontId="145" fillId="11" borderId="143" xfId="0" applyFont="1" applyFill="1" applyBorder="1" applyAlignment="1">
      <alignment horizontal="center" vertical="center"/>
    </xf>
    <xf numFmtId="0" fontId="145" fillId="11" borderId="92" xfId="0" applyFont="1" applyFill="1" applyBorder="1" applyAlignment="1">
      <alignment horizontal="center" vertical="center"/>
    </xf>
    <xf numFmtId="0" fontId="145" fillId="11" borderId="1" xfId="0" applyFont="1" applyFill="1" applyBorder="1" applyAlignment="1">
      <alignment horizontal="center" vertical="center"/>
    </xf>
    <xf numFmtId="0" fontId="145" fillId="11" borderId="58" xfId="0" applyFont="1" applyFill="1" applyBorder="1" applyAlignment="1">
      <alignment horizontal="center" vertical="center"/>
    </xf>
    <xf numFmtId="251" fontId="144" fillId="0" borderId="52" xfId="0" applyNumberFormat="1" applyFont="1" applyFill="1" applyBorder="1" applyAlignment="1">
      <alignment horizontal="center" vertical="center"/>
    </xf>
    <xf numFmtId="251" fontId="144" fillId="0" borderId="42" xfId="0" applyNumberFormat="1" applyFont="1" applyFill="1" applyBorder="1" applyAlignment="1">
      <alignment horizontal="center" vertical="center"/>
    </xf>
    <xf numFmtId="177" fontId="144" fillId="0" borderId="51" xfId="0" applyNumberFormat="1" applyFont="1" applyFill="1" applyBorder="1" applyAlignment="1">
      <alignment horizontal="center" vertical="center"/>
    </xf>
    <xf numFmtId="177" fontId="144" fillId="0" borderId="22" xfId="0" applyNumberFormat="1" applyFont="1" applyFill="1" applyBorder="1" applyAlignment="1">
      <alignment horizontal="center" vertical="center"/>
    </xf>
    <xf numFmtId="0" fontId="144" fillId="11" borderId="59" xfId="0" applyFont="1" applyFill="1" applyBorder="1" applyAlignment="1">
      <alignment horizontal="center" vertical="center"/>
    </xf>
    <xf numFmtId="0" fontId="128" fillId="0" borderId="66" xfId="0" applyFont="1" applyFill="1" applyBorder="1" applyAlignment="1">
      <alignment horizontal="center" vertical="center"/>
    </xf>
    <xf numFmtId="0" fontId="128" fillId="0" borderId="42" xfId="0" applyFont="1" applyFill="1" applyBorder="1" applyAlignment="1">
      <alignment horizontal="center" vertical="center"/>
    </xf>
    <xf numFmtId="0" fontId="145" fillId="11" borderId="98" xfId="0" applyFont="1" applyFill="1" applyBorder="1" applyAlignment="1">
      <alignment horizontal="center" vertical="center"/>
    </xf>
    <xf numFmtId="0" fontId="145" fillId="11" borderId="17" xfId="0" applyFont="1" applyFill="1" applyBorder="1" applyAlignment="1">
      <alignment horizontal="center" vertical="center"/>
    </xf>
    <xf numFmtId="0" fontId="145" fillId="11" borderId="55" xfId="0" applyFont="1" applyFill="1" applyBorder="1" applyAlignment="1">
      <alignment horizontal="center" vertical="center"/>
    </xf>
    <xf numFmtId="0" fontId="145" fillId="0" borderId="64" xfId="0" applyFont="1" applyFill="1" applyBorder="1" applyAlignment="1">
      <alignment horizontal="center" vertical="center"/>
    </xf>
    <xf numFmtId="0" fontId="145" fillId="0" borderId="55" xfId="0" applyFont="1" applyFill="1" applyBorder="1" applyAlignment="1">
      <alignment horizontal="center" vertical="center"/>
    </xf>
    <xf numFmtId="0" fontId="145" fillId="0" borderId="56" xfId="0" applyFont="1" applyFill="1" applyBorder="1" applyAlignment="1">
      <alignment horizontal="center" vertical="center"/>
    </xf>
    <xf numFmtId="0" fontId="145" fillId="11" borderId="22" xfId="0" applyFont="1" applyFill="1" applyBorder="1" applyAlignment="1">
      <alignment horizontal="center" vertical="center"/>
    </xf>
    <xf numFmtId="0" fontId="145" fillId="11" borderId="41" xfId="0" applyFont="1" applyFill="1" applyBorder="1" applyAlignment="1">
      <alignment horizontal="center" vertical="center"/>
    </xf>
    <xf numFmtId="177" fontId="144" fillId="0" borderId="97" xfId="0" applyNumberFormat="1" applyFont="1" applyFill="1" applyBorder="1" applyAlignment="1">
      <alignment horizontal="center" vertical="center"/>
    </xf>
    <xf numFmtId="177" fontId="144" fillId="0" borderId="48" xfId="0" applyNumberFormat="1" applyFont="1" applyFill="1" applyBorder="1" applyAlignment="1">
      <alignment horizontal="center" vertical="center"/>
    </xf>
    <xf numFmtId="41" fontId="144" fillId="0" borderId="65" xfId="0" applyNumberFormat="1" applyFont="1" applyFill="1" applyBorder="1" applyAlignment="1">
      <alignment horizontal="center" vertical="center"/>
    </xf>
    <xf numFmtId="0" fontId="145" fillId="11" borderId="64" xfId="0" applyFont="1" applyFill="1" applyBorder="1" applyAlignment="1">
      <alignment horizontal="center" vertical="center"/>
    </xf>
    <xf numFmtId="0" fontId="145" fillId="11" borderId="56" xfId="0" applyFont="1" applyFill="1" applyBorder="1" applyAlignment="1">
      <alignment horizontal="center" vertical="center"/>
    </xf>
    <xf numFmtId="0" fontId="145" fillId="11" borderId="95" xfId="0" applyFont="1" applyFill="1" applyBorder="1" applyAlignment="1">
      <alignment horizontal="center" vertical="center"/>
    </xf>
    <xf numFmtId="0" fontId="145" fillId="11" borderId="47" xfId="0" applyFont="1" applyFill="1" applyBorder="1" applyAlignment="1">
      <alignment horizontal="center" vertical="center"/>
    </xf>
    <xf numFmtId="0" fontId="145" fillId="11" borderId="48" xfId="0" applyFont="1" applyFill="1" applyBorder="1" applyAlignment="1">
      <alignment horizontal="center" vertical="center"/>
    </xf>
    <xf numFmtId="177" fontId="144" fillId="0" borderId="52" xfId="0" applyNumberFormat="1" applyFont="1" applyFill="1" applyBorder="1" applyAlignment="1">
      <alignment horizontal="center" vertical="center"/>
    </xf>
    <xf numFmtId="177" fontId="144" fillId="0" borderId="42" xfId="0" applyNumberFormat="1" applyFont="1" applyFill="1" applyBorder="1" applyAlignment="1">
      <alignment horizontal="center" vertical="center"/>
    </xf>
    <xf numFmtId="0" fontId="145" fillId="11" borderId="38" xfId="0" applyFont="1" applyFill="1" applyBorder="1" applyAlignment="1">
      <alignment horizontal="center" vertical="center"/>
    </xf>
    <xf numFmtId="0" fontId="145" fillId="11" borderId="40" xfId="0" applyFont="1" applyFill="1" applyBorder="1" applyAlignment="1">
      <alignment horizontal="center" vertical="center"/>
    </xf>
    <xf numFmtId="177" fontId="144" fillId="0" borderId="96" xfId="0" applyNumberFormat="1" applyFont="1" applyFill="1" applyBorder="1" applyAlignment="1">
      <alignment horizontal="center" vertical="center"/>
    </xf>
    <xf numFmtId="0" fontId="144" fillId="0" borderId="46" xfId="0" applyFont="1" applyFill="1" applyBorder="1" applyAlignment="1">
      <alignment horizontal="center" vertical="center"/>
    </xf>
    <xf numFmtId="177" fontId="144" fillId="0" borderId="141" xfId="0" applyNumberFormat="1" applyFont="1" applyFill="1" applyBorder="1" applyAlignment="1">
      <alignment horizontal="center" vertical="center"/>
    </xf>
    <xf numFmtId="0" fontId="144" fillId="0" borderId="44" xfId="0" applyFont="1" applyFill="1" applyBorder="1" applyAlignment="1">
      <alignment horizontal="center" vertical="center"/>
    </xf>
    <xf numFmtId="177" fontId="144" fillId="0" borderId="50" xfId="0" applyNumberFormat="1" applyFont="1" applyFill="1" applyBorder="1" applyAlignment="1">
      <alignment horizontal="center" vertical="center"/>
    </xf>
    <xf numFmtId="177" fontId="144" fillId="0" borderId="38" xfId="0" applyNumberFormat="1" applyFont="1" applyFill="1" applyBorder="1" applyAlignment="1">
      <alignment horizontal="center" vertical="center"/>
    </xf>
    <xf numFmtId="0" fontId="145" fillId="11" borderId="2" xfId="0" applyFont="1" applyFill="1" applyBorder="1" applyAlignment="1">
      <alignment horizontal="center" vertical="center"/>
    </xf>
    <xf numFmtId="0" fontId="145" fillId="11" borderId="66" xfId="0" applyFont="1" applyFill="1" applyBorder="1" applyAlignment="1">
      <alignment horizontal="center" vertical="center"/>
    </xf>
    <xf numFmtId="0" fontId="145" fillId="11" borderId="42" xfId="0" applyFont="1" applyFill="1" applyBorder="1" applyAlignment="1">
      <alignment horizontal="center" vertical="center"/>
    </xf>
    <xf numFmtId="0" fontId="145" fillId="11" borderId="49" xfId="0" applyFont="1" applyFill="1" applyBorder="1" applyAlignment="1">
      <alignment horizontal="center" vertical="center"/>
    </xf>
    <xf numFmtId="0" fontId="145" fillId="11" borderId="59" xfId="0" applyFont="1" applyFill="1" applyBorder="1" applyAlignment="1">
      <alignment horizontal="center" vertical="center"/>
    </xf>
    <xf numFmtId="257" fontId="144" fillId="0" borderId="50" xfId="0" applyNumberFormat="1" applyFont="1" applyFill="1" applyBorder="1" applyAlignment="1">
      <alignment horizontal="center" vertical="center"/>
    </xf>
    <xf numFmtId="257" fontId="144" fillId="0" borderId="38" xfId="0" applyNumberFormat="1" applyFont="1" applyFill="1" applyBorder="1" applyAlignment="1">
      <alignment horizontal="center" vertical="center"/>
    </xf>
    <xf numFmtId="257" fontId="144" fillId="0" borderId="96" xfId="0" applyNumberFormat="1" applyFont="1" applyFill="1" applyBorder="1" applyAlignment="1">
      <alignment horizontal="center" vertical="center"/>
    </xf>
    <xf numFmtId="257" fontId="144" fillId="0" borderId="46" xfId="0" applyNumberFormat="1" applyFont="1" applyFill="1" applyBorder="1" applyAlignment="1">
      <alignment horizontal="center" vertical="center"/>
    </xf>
    <xf numFmtId="261" fontId="144" fillId="0" borderId="96" xfId="0" applyNumberFormat="1" applyFont="1" applyFill="1" applyBorder="1" applyAlignment="1">
      <alignment horizontal="center" vertical="center"/>
    </xf>
    <xf numFmtId="261" fontId="144" fillId="0" borderId="46" xfId="0" applyNumberFormat="1" applyFont="1" applyFill="1" applyBorder="1" applyAlignment="1">
      <alignment horizontal="center" vertical="center"/>
    </xf>
    <xf numFmtId="0" fontId="145" fillId="11" borderId="57" xfId="0" applyFont="1" applyFill="1" applyBorder="1" applyAlignment="1">
      <alignment horizontal="center" vertical="center"/>
    </xf>
    <xf numFmtId="0" fontId="144" fillId="0" borderId="65" xfId="0" applyFont="1" applyFill="1" applyBorder="1" applyAlignment="1">
      <alignment horizontal="center" vertical="center" shrinkToFit="1"/>
    </xf>
    <xf numFmtId="0" fontId="144" fillId="0" borderId="72" xfId="0" applyFont="1" applyFill="1" applyBorder="1" applyAlignment="1">
      <alignment horizontal="center" vertical="center" shrinkToFit="1"/>
    </xf>
    <xf numFmtId="0" fontId="144" fillId="0" borderId="42" xfId="0" applyFont="1" applyFill="1" applyBorder="1" applyAlignment="1">
      <alignment horizontal="center" vertical="center" shrinkToFit="1"/>
    </xf>
    <xf numFmtId="0" fontId="144" fillId="0" borderId="49" xfId="0" applyFont="1" applyFill="1" applyBorder="1" applyAlignment="1">
      <alignment horizontal="center" vertical="center" shrinkToFit="1"/>
    </xf>
    <xf numFmtId="257" fontId="144" fillId="14" borderId="50" xfId="0" applyNumberFormat="1" applyFont="1" applyFill="1" applyBorder="1" applyAlignment="1">
      <alignment horizontal="center" vertical="center"/>
    </xf>
    <xf numFmtId="257" fontId="144" fillId="14" borderId="38" xfId="0" applyNumberFormat="1" applyFont="1" applyFill="1" applyBorder="1" applyAlignment="1">
      <alignment horizontal="center" vertical="center"/>
    </xf>
    <xf numFmtId="251" fontId="144" fillId="14" borderId="62" xfId="0" applyNumberFormat="1" applyFont="1" applyFill="1" applyBorder="1" applyAlignment="1">
      <alignment horizontal="center" vertical="center"/>
    </xf>
    <xf numFmtId="251" fontId="144" fillId="14" borderId="53" xfId="0" applyNumberFormat="1" applyFont="1" applyFill="1" applyBorder="1" applyAlignment="1">
      <alignment horizontal="center" vertical="center"/>
    </xf>
    <xf numFmtId="262" fontId="144" fillId="14" borderId="50" xfId="0" applyNumberFormat="1" applyFont="1" applyFill="1" applyBorder="1" applyAlignment="1">
      <alignment horizontal="center" vertical="center"/>
    </xf>
    <xf numFmtId="262" fontId="144" fillId="14" borderId="38" xfId="0" applyNumberFormat="1" applyFont="1" applyFill="1" applyBorder="1" applyAlignment="1">
      <alignment horizontal="center" vertical="center"/>
    </xf>
    <xf numFmtId="251" fontId="144" fillId="14" borderId="50" xfId="0" applyNumberFormat="1" applyFont="1" applyFill="1" applyBorder="1" applyAlignment="1">
      <alignment horizontal="center" vertical="center"/>
    </xf>
    <xf numFmtId="251" fontId="144" fillId="14" borderId="38" xfId="0" applyNumberFormat="1" applyFont="1" applyFill="1" applyBorder="1" applyAlignment="1">
      <alignment horizontal="center" vertical="center"/>
    </xf>
    <xf numFmtId="0" fontId="145" fillId="11" borderId="93" xfId="0" applyFont="1" applyFill="1" applyBorder="1" applyAlignment="1">
      <alignment horizontal="center" vertical="center"/>
    </xf>
    <xf numFmtId="0" fontId="145" fillId="11" borderId="43" xfId="0" applyFont="1" applyFill="1" applyBorder="1" applyAlignment="1">
      <alignment horizontal="center" vertical="center"/>
    </xf>
    <xf numFmtId="0" fontId="145" fillId="11" borderId="44" xfId="0" applyFont="1" applyFill="1" applyBorder="1" applyAlignment="1">
      <alignment horizontal="center" vertical="center"/>
    </xf>
    <xf numFmtId="0" fontId="144" fillId="0" borderId="141" xfId="0" applyFont="1" applyFill="1" applyBorder="1" applyAlignment="1">
      <alignment horizontal="center" vertical="center"/>
    </xf>
    <xf numFmtId="261" fontId="144" fillId="0" borderId="50" xfId="0" applyNumberFormat="1" applyFont="1" applyFill="1" applyBorder="1" applyAlignment="1">
      <alignment horizontal="center" vertical="center"/>
    </xf>
    <xf numFmtId="263" fontId="144" fillId="0" borderId="96" xfId="0" applyNumberFormat="1" applyFont="1" applyFill="1" applyBorder="1" applyAlignment="1">
      <alignment horizontal="center" vertical="center"/>
    </xf>
    <xf numFmtId="263" fontId="144" fillId="0" borderId="50" xfId="0" applyNumberFormat="1" applyFont="1" applyFill="1" applyBorder="1" applyAlignment="1">
      <alignment horizontal="center" vertical="center"/>
    </xf>
    <xf numFmtId="261" fontId="144" fillId="0" borderId="141" xfId="0" applyNumberFormat="1" applyFont="1" applyFill="1" applyBorder="1" applyAlignment="1">
      <alignment horizontal="center" vertical="center"/>
    </xf>
    <xf numFmtId="261" fontId="144" fillId="0" borderId="62" xfId="0" applyNumberFormat="1" applyFont="1" applyFill="1" applyBorder="1" applyAlignment="1">
      <alignment horizontal="center" vertical="center"/>
    </xf>
    <xf numFmtId="0" fontId="144" fillId="0" borderId="96" xfId="0" applyFont="1" applyFill="1" applyBorder="1" applyAlignment="1">
      <alignment horizontal="center" vertical="center"/>
    </xf>
    <xf numFmtId="265" fontId="144" fillId="0" borderId="96" xfId="0" applyNumberFormat="1" applyFont="1" applyFill="1" applyBorder="1" applyAlignment="1">
      <alignment horizontal="center" vertical="center"/>
    </xf>
    <xf numFmtId="265" fontId="144" fillId="0" borderId="46" xfId="0" applyNumberFormat="1" applyFont="1" applyFill="1" applyBorder="1" applyAlignment="1">
      <alignment horizontal="center" vertical="center"/>
    </xf>
    <xf numFmtId="264" fontId="144" fillId="14" borderId="53" xfId="0" applyNumberFormat="1" applyFont="1" applyFill="1" applyBorder="1" applyAlignment="1">
      <alignment horizontal="center" vertical="center"/>
    </xf>
    <xf numFmtId="264" fontId="144" fillId="14" borderId="38" xfId="0" applyNumberFormat="1" applyFont="1" applyFill="1" applyBorder="1" applyAlignment="1">
      <alignment horizontal="center" vertical="center"/>
    </xf>
    <xf numFmtId="0" fontId="144" fillId="16" borderId="115" xfId="0" applyFont="1" applyFill="1" applyBorder="1" applyAlignment="1">
      <alignment horizontal="center" vertical="center"/>
    </xf>
    <xf numFmtId="0" fontId="144" fillId="16" borderId="26" xfId="0" applyFont="1" applyFill="1" applyBorder="1" applyAlignment="1">
      <alignment horizontal="center" vertical="center"/>
    </xf>
    <xf numFmtId="0" fontId="144" fillId="16" borderId="7" xfId="0" applyFont="1" applyFill="1" applyBorder="1" applyAlignment="1">
      <alignment horizontal="center" vertical="center"/>
    </xf>
    <xf numFmtId="0" fontId="144" fillId="16" borderId="113" xfId="0" applyFont="1" applyFill="1" applyBorder="1" applyAlignment="1">
      <alignment horizontal="center" vertical="center"/>
    </xf>
    <xf numFmtId="0" fontId="144" fillId="16" borderId="29" xfId="0" applyFont="1" applyFill="1" applyBorder="1" applyAlignment="1">
      <alignment horizontal="center" vertical="center"/>
    </xf>
    <xf numFmtId="0" fontId="144" fillId="16" borderId="105" xfId="0" applyFont="1" applyFill="1" applyBorder="1" applyAlignment="1">
      <alignment horizontal="center" vertical="center"/>
    </xf>
    <xf numFmtId="0" fontId="144" fillId="11" borderId="65" xfId="0" applyFont="1" applyFill="1" applyBorder="1" applyAlignment="1">
      <alignment horizontal="center" vertical="center"/>
    </xf>
    <xf numFmtId="0" fontId="144" fillId="11" borderId="142" xfId="0" applyFont="1" applyFill="1" applyBorder="1" applyAlignment="1">
      <alignment horizontal="center" vertical="center"/>
    </xf>
    <xf numFmtId="0" fontId="144" fillId="0" borderId="97" xfId="0" applyFont="1" applyFill="1" applyBorder="1" applyAlignment="1">
      <alignment horizontal="center" vertical="center"/>
    </xf>
    <xf numFmtId="0" fontId="144" fillId="0" borderId="48" xfId="0" applyFont="1" applyFill="1" applyBorder="1" applyAlignment="1">
      <alignment horizontal="center" vertical="center"/>
    </xf>
    <xf numFmtId="0" fontId="144" fillId="11" borderId="141" xfId="0" applyFont="1" applyFill="1" applyBorder="1" applyAlignment="1">
      <alignment horizontal="center" vertical="center"/>
    </xf>
    <xf numFmtId="41" fontId="144" fillId="0" borderId="53" xfId="0" applyNumberFormat="1" applyFont="1" applyFill="1" applyBorder="1" applyAlignment="1">
      <alignment horizontal="center" vertical="center"/>
    </xf>
    <xf numFmtId="41" fontId="144" fillId="0" borderId="141" xfId="0" applyNumberFormat="1" applyFont="1" applyFill="1" applyBorder="1" applyAlignment="1">
      <alignment horizontal="center" vertical="center"/>
    </xf>
    <xf numFmtId="260" fontId="144" fillId="0" borderId="53" xfId="0" applyNumberFormat="1" applyFont="1" applyFill="1" applyBorder="1" applyAlignment="1">
      <alignment vertical="center"/>
    </xf>
    <xf numFmtId="260" fontId="144" fillId="0" borderId="54" xfId="0" applyNumberFormat="1" applyFont="1" applyFill="1" applyBorder="1" applyAlignment="1">
      <alignment vertical="center"/>
    </xf>
    <xf numFmtId="41" fontId="144" fillId="0" borderId="61" xfId="0" applyNumberFormat="1" applyFont="1" applyFill="1" applyBorder="1" applyAlignment="1">
      <alignment horizontal="center" vertical="center"/>
    </xf>
    <xf numFmtId="41" fontId="144" fillId="0" borderId="145" xfId="0" applyNumberFormat="1" applyFont="1" applyFill="1" applyBorder="1" applyAlignment="1">
      <alignment horizontal="center" vertical="center"/>
    </xf>
    <xf numFmtId="41" fontId="144" fillId="0" borderId="72" xfId="0" applyNumberFormat="1" applyFont="1" applyFill="1" applyBorder="1" applyAlignment="1">
      <alignment horizontal="center" vertical="center"/>
    </xf>
    <xf numFmtId="41" fontId="168" fillId="14" borderId="42" xfId="264" applyFont="1" applyFill="1" applyBorder="1" applyAlignment="1">
      <alignment horizontal="center" vertical="center"/>
    </xf>
    <xf numFmtId="41" fontId="128" fillId="0" borderId="38" xfId="264" applyFont="1" applyFill="1" applyBorder="1" applyAlignment="1">
      <alignment horizontal="center" vertical="center"/>
    </xf>
    <xf numFmtId="0" fontId="128" fillId="0" borderId="38" xfId="264" applyNumberFormat="1" applyFont="1" applyBorder="1" applyAlignment="1">
      <alignment horizontal="center" vertical="center"/>
    </xf>
    <xf numFmtId="177" fontId="144" fillId="14" borderId="51" xfId="0" applyNumberFormat="1" applyFont="1" applyFill="1" applyBorder="1" applyAlignment="1">
      <alignment horizontal="center" vertical="center"/>
    </xf>
    <xf numFmtId="177" fontId="144" fillId="14" borderId="22" xfId="0" applyNumberFormat="1" applyFont="1" applyFill="1" applyBorder="1" applyAlignment="1">
      <alignment horizontal="center" vertical="center"/>
    </xf>
    <xf numFmtId="0" fontId="144" fillId="11" borderId="53" xfId="0" applyFont="1" applyFill="1" applyBorder="1" applyAlignment="1">
      <alignment horizontal="center" vertical="center" wrapText="1"/>
    </xf>
    <xf numFmtId="260" fontId="144" fillId="0" borderId="61" xfId="0" applyNumberFormat="1" applyFont="1" applyFill="1" applyBorder="1" applyAlignment="1">
      <alignment vertical="center"/>
    </xf>
    <xf numFmtId="260" fontId="144" fillId="0" borderId="87" xfId="0" applyNumberFormat="1" applyFont="1" applyFill="1" applyBorder="1" applyAlignment="1">
      <alignment vertical="center"/>
    </xf>
    <xf numFmtId="41" fontId="144" fillId="0" borderId="97" xfId="0" applyNumberFormat="1" applyFont="1" applyFill="1" applyBorder="1" applyAlignment="1">
      <alignment horizontal="center" vertical="center"/>
    </xf>
    <xf numFmtId="260" fontId="144" fillId="0" borderId="22" xfId="0" applyNumberFormat="1" applyFont="1" applyFill="1" applyBorder="1" applyAlignment="1">
      <alignment vertical="center"/>
    </xf>
    <xf numFmtId="260" fontId="144" fillId="0" borderId="41" xfId="0" applyNumberFormat="1" applyFont="1" applyFill="1" applyBorder="1" applyAlignment="1">
      <alignment vertical="center"/>
    </xf>
    <xf numFmtId="0" fontId="144" fillId="11" borderId="72" xfId="0" applyFont="1" applyFill="1" applyBorder="1" applyAlignment="1">
      <alignment horizontal="center" vertical="center"/>
    </xf>
    <xf numFmtId="0" fontId="106" fillId="0" borderId="0" xfId="308" applyFont="1" applyAlignment="1">
      <alignment horizontal="center" vertical="center"/>
    </xf>
    <xf numFmtId="41" fontId="108" fillId="0" borderId="55" xfId="264" applyFont="1" applyBorder="1" applyAlignment="1">
      <alignment horizontal="center" vertical="center"/>
    </xf>
    <xf numFmtId="41" fontId="108" fillId="0" borderId="56" xfId="264" applyFont="1" applyBorder="1" applyAlignment="1">
      <alignment horizontal="center" vertical="center"/>
    </xf>
    <xf numFmtId="41" fontId="108" fillId="0" borderId="65" xfId="264" applyFont="1" applyBorder="1" applyAlignment="1">
      <alignment horizontal="center" vertical="center"/>
    </xf>
    <xf numFmtId="41" fontId="108" fillId="0" borderId="72" xfId="264" applyFont="1" applyBorder="1" applyAlignment="1">
      <alignment horizontal="center" vertical="center"/>
    </xf>
    <xf numFmtId="41" fontId="108" fillId="0" borderId="38" xfId="264" applyFont="1" applyBorder="1" applyAlignment="1">
      <alignment horizontal="center" vertical="center"/>
    </xf>
    <xf numFmtId="41" fontId="108" fillId="0" borderId="40" xfId="264" applyFont="1" applyBorder="1" applyAlignment="1">
      <alignment horizontal="center" vertical="center"/>
    </xf>
    <xf numFmtId="41" fontId="108" fillId="0" borderId="42" xfId="264" applyFont="1" applyBorder="1" applyAlignment="1">
      <alignment horizontal="center" vertical="center"/>
    </xf>
    <xf numFmtId="41" fontId="108" fillId="0" borderId="49" xfId="264" applyFont="1" applyBorder="1" applyAlignment="1">
      <alignment horizontal="center" vertical="center"/>
    </xf>
    <xf numFmtId="0" fontId="106" fillId="0" borderId="0" xfId="302" applyFont="1" applyAlignment="1">
      <alignment horizontal="center" vertical="center"/>
    </xf>
    <xf numFmtId="3" fontId="103" fillId="0" borderId="0" xfId="302" applyNumberFormat="1" applyFont="1" applyAlignment="1">
      <alignment vertical="center"/>
    </xf>
    <xf numFmtId="0" fontId="103" fillId="11" borderId="53" xfId="302" applyFont="1" applyFill="1" applyBorder="1" applyAlignment="1">
      <alignment horizontal="center" vertical="center"/>
    </xf>
    <xf numFmtId="0" fontId="103" fillId="11" borderId="53" xfId="302" applyFont="1" applyFill="1" applyBorder="1" applyAlignment="1">
      <alignment horizontal="center" vertical="center" wrapText="1"/>
    </xf>
    <xf numFmtId="0" fontId="103" fillId="11" borderId="54" xfId="302" applyFont="1" applyFill="1" applyBorder="1" applyAlignment="1">
      <alignment horizontal="center" vertical="center" wrapText="1"/>
    </xf>
    <xf numFmtId="0" fontId="103" fillId="11" borderId="41" xfId="302" applyFont="1" applyFill="1" applyBorder="1" applyAlignment="1">
      <alignment horizontal="center" vertical="center"/>
    </xf>
    <xf numFmtId="0" fontId="103" fillId="11" borderId="19" xfId="302" applyFont="1" applyFill="1" applyBorder="1" applyAlignment="1">
      <alignment horizontal="center" vertical="center"/>
    </xf>
    <xf numFmtId="0" fontId="103" fillId="11" borderId="71" xfId="302" applyFont="1" applyFill="1" applyBorder="1" applyAlignment="1">
      <alignment horizontal="center" vertical="center"/>
    </xf>
    <xf numFmtId="0" fontId="103" fillId="11" borderId="62" xfId="302" applyFont="1" applyFill="1" applyBorder="1" applyAlignment="1">
      <alignment horizontal="center" vertical="center"/>
    </xf>
    <xf numFmtId="3" fontId="103" fillId="0" borderId="0" xfId="265" applyNumberFormat="1" applyFont="1" applyFill="1" applyAlignment="1">
      <alignment vertical="center"/>
    </xf>
    <xf numFmtId="0" fontId="128" fillId="11" borderId="148" xfId="302" applyFont="1" applyFill="1" applyBorder="1" applyAlignment="1">
      <alignment horizontal="center" vertical="center" wrapText="1"/>
    </xf>
    <xf numFmtId="0" fontId="128" fillId="11" borderId="149" xfId="302" applyFont="1" applyFill="1" applyBorder="1" applyAlignment="1">
      <alignment horizontal="center" vertical="center"/>
    </xf>
    <xf numFmtId="0" fontId="128" fillId="11" borderId="150" xfId="302" applyFont="1" applyFill="1" applyBorder="1" applyAlignment="1">
      <alignment horizontal="center" vertical="center" wrapText="1"/>
    </xf>
    <xf numFmtId="244" fontId="103" fillId="0" borderId="45" xfId="264" applyNumberFormat="1" applyFont="1" applyBorder="1" applyAlignment="1">
      <alignment vertical="center"/>
    </xf>
    <xf numFmtId="248" fontId="103" fillId="0" borderId="96" xfId="264" applyNumberFormat="1" applyFont="1" applyBorder="1" applyAlignment="1">
      <alignment vertical="center"/>
    </xf>
    <xf numFmtId="248" fontId="103" fillId="0" borderId="45" xfId="264" applyNumberFormat="1" applyFont="1" applyBorder="1" applyAlignment="1">
      <alignment vertical="center"/>
    </xf>
    <xf numFmtId="248" fontId="103" fillId="0" borderId="141" xfId="264" applyNumberFormat="1" applyFont="1" applyBorder="1" applyAlignment="1">
      <alignment vertical="center"/>
    </xf>
    <xf numFmtId="248" fontId="103" fillId="0" borderId="43" xfId="264" applyNumberFormat="1" applyFont="1" applyBorder="1" applyAlignment="1">
      <alignment vertical="center"/>
    </xf>
    <xf numFmtId="0" fontId="104" fillId="0" borderId="97" xfId="302" applyFont="1" applyBorder="1" applyAlignment="1">
      <alignment vertical="center"/>
    </xf>
    <xf numFmtId="0" fontId="104" fillId="0" borderId="47" xfId="302" applyFont="1" applyBorder="1" applyAlignment="1">
      <alignment vertical="center"/>
    </xf>
    <xf numFmtId="0" fontId="128" fillId="11" borderId="151" xfId="302" applyFont="1" applyFill="1" applyBorder="1" applyAlignment="1">
      <alignment horizontal="center" vertical="center" wrapText="1"/>
    </xf>
    <xf numFmtId="0" fontId="128" fillId="11" borderId="86" xfId="302" applyFont="1" applyFill="1" applyBorder="1" applyAlignment="1">
      <alignment horizontal="center" vertical="center" wrapText="1"/>
    </xf>
    <xf numFmtId="0" fontId="128" fillId="11" borderId="152" xfId="302" applyFont="1" applyFill="1" applyBorder="1" applyAlignment="1">
      <alignment horizontal="center" vertical="center" wrapText="1"/>
    </xf>
    <xf numFmtId="244" fontId="104" fillId="11" borderId="47" xfId="302" applyNumberFormat="1" applyFont="1" applyFill="1" applyBorder="1" applyAlignment="1">
      <alignment vertical="center"/>
    </xf>
    <xf numFmtId="0" fontId="104" fillId="11" borderId="47" xfId="302" applyFont="1" applyFill="1" applyBorder="1" applyAlignment="1">
      <alignment vertical="center"/>
    </xf>
    <xf numFmtId="244" fontId="103" fillId="0" borderId="43" xfId="264" applyNumberFormat="1" applyFont="1" applyBorder="1" applyAlignment="1">
      <alignment vertical="center"/>
    </xf>
    <xf numFmtId="0" fontId="124" fillId="0" borderId="55" xfId="306" applyFont="1" applyFill="1" applyBorder="1" applyAlignment="1">
      <alignment vertical="center"/>
    </xf>
    <xf numFmtId="0" fontId="119" fillId="0" borderId="55" xfId="306" applyFont="1" applyFill="1" applyBorder="1" applyAlignment="1">
      <alignment horizontal="center" vertical="center" wrapText="1"/>
    </xf>
    <xf numFmtId="0" fontId="119" fillId="0" borderId="42" xfId="306" applyFont="1" applyFill="1" applyBorder="1" applyAlignment="1">
      <alignment horizontal="center" vertical="center" wrapText="1"/>
    </xf>
    <xf numFmtId="0" fontId="119" fillId="0" borderId="49" xfId="306" applyFont="1" applyFill="1" applyBorder="1" applyAlignment="1">
      <alignment horizontal="center" vertical="center" wrapText="1"/>
    </xf>
    <xf numFmtId="194" fontId="119" fillId="0" borderId="65" xfId="306" applyNumberFormat="1" applyFont="1" applyFill="1" applyBorder="1" applyAlignment="1">
      <alignment vertical="center" wrapText="1"/>
    </xf>
    <xf numFmtId="0" fontId="119" fillId="0" borderId="65" xfId="306" applyFont="1" applyFill="1" applyBorder="1" applyAlignment="1">
      <alignment vertical="center" wrapText="1"/>
    </xf>
    <xf numFmtId="0" fontId="119" fillId="0" borderId="65" xfId="306" applyFont="1" applyFill="1" applyBorder="1" applyAlignment="1">
      <alignment horizontal="center" vertical="center" wrapText="1"/>
    </xf>
    <xf numFmtId="0" fontId="119" fillId="0" borderId="72" xfId="306" applyFont="1" applyFill="1" applyBorder="1" applyAlignment="1">
      <alignment horizontal="center" vertical="center" wrapText="1"/>
    </xf>
    <xf numFmtId="0" fontId="104" fillId="0" borderId="64" xfId="313" applyFont="1" applyFill="1" applyBorder="1" applyAlignment="1">
      <alignment horizontal="center" vertical="center"/>
    </xf>
    <xf numFmtId="0" fontId="104" fillId="0" borderId="55" xfId="313" applyFont="1" applyFill="1" applyBorder="1" applyAlignment="1">
      <alignment horizontal="center" vertical="center"/>
    </xf>
    <xf numFmtId="0" fontId="104" fillId="0" borderId="56" xfId="313" applyFont="1" applyFill="1" applyBorder="1" applyAlignment="1">
      <alignment horizontal="center" vertical="center"/>
    </xf>
    <xf numFmtId="0" fontId="119" fillId="0" borderId="43" xfId="306" applyFont="1" applyFill="1" applyBorder="1" applyAlignment="1">
      <alignment vertical="center" wrapText="1"/>
    </xf>
    <xf numFmtId="0" fontId="119" fillId="0" borderId="62" xfId="306" applyFont="1" applyFill="1" applyBorder="1" applyAlignment="1">
      <alignment vertical="center" wrapText="1"/>
    </xf>
    <xf numFmtId="0" fontId="119" fillId="0" borderId="91" xfId="306" applyFont="1" applyFill="1" applyBorder="1" applyAlignment="1">
      <alignment vertical="center" wrapText="1"/>
    </xf>
    <xf numFmtId="0" fontId="119" fillId="0" borderId="89" xfId="306" applyFont="1" applyFill="1" applyBorder="1" applyAlignment="1">
      <alignment vertical="center" wrapText="1"/>
    </xf>
    <xf numFmtId="0" fontId="106" fillId="0" borderId="0" xfId="306" applyFont="1" applyFill="1" applyBorder="1" applyAlignment="1">
      <alignment horizontal="center" vertical="top"/>
    </xf>
    <xf numFmtId="0" fontId="103" fillId="16" borderId="0" xfId="313" applyFont="1" applyFill="1" applyBorder="1" applyAlignment="1">
      <alignment horizontal="center" vertical="center"/>
    </xf>
    <xf numFmtId="0" fontId="124" fillId="0" borderId="57" xfId="306" applyFont="1" applyFill="1" applyBorder="1" applyAlignment="1">
      <alignment horizontal="center" vertical="center" wrapText="1"/>
    </xf>
    <xf numFmtId="0" fontId="124" fillId="0" borderId="55" xfId="306" applyFont="1" applyFill="1" applyBorder="1" applyAlignment="1">
      <alignment horizontal="center" vertical="center" wrapText="1"/>
    </xf>
    <xf numFmtId="0" fontId="119" fillId="0" borderId="57" xfId="306" applyFont="1" applyFill="1" applyBorder="1" applyAlignment="1">
      <alignment horizontal="center" vertical="center" wrapText="1"/>
    </xf>
    <xf numFmtId="0" fontId="103" fillId="0" borderId="55" xfId="313" applyFont="1" applyFill="1" applyBorder="1" applyAlignment="1">
      <alignment horizontal="center" vertical="center"/>
    </xf>
    <xf numFmtId="0" fontId="103" fillId="0" borderId="56" xfId="313" applyFont="1" applyFill="1" applyBorder="1" applyAlignment="1">
      <alignment horizontal="center" vertical="center"/>
    </xf>
    <xf numFmtId="0" fontId="103" fillId="0" borderId="42" xfId="313" applyFont="1" applyFill="1" applyBorder="1" applyAlignment="1">
      <alignment horizontal="center" vertical="center"/>
    </xf>
    <xf numFmtId="0" fontId="103" fillId="0" borderId="49" xfId="313" applyFont="1" applyFill="1" applyBorder="1" applyAlignment="1">
      <alignment horizontal="center" vertical="center"/>
    </xf>
    <xf numFmtId="0" fontId="103" fillId="0" borderId="65" xfId="313" applyFont="1" applyFill="1" applyBorder="1" applyAlignment="1">
      <alignment horizontal="center" vertical="center"/>
    </xf>
    <xf numFmtId="0" fontId="103" fillId="0" borderId="72" xfId="313" applyFont="1" applyFill="1" applyBorder="1" applyAlignment="1">
      <alignment horizontal="center" vertical="center"/>
    </xf>
    <xf numFmtId="178" fontId="119" fillId="14" borderId="0" xfId="306" applyNumberFormat="1" applyFont="1" applyFill="1" applyBorder="1" applyAlignment="1">
      <alignment vertical="center"/>
    </xf>
    <xf numFmtId="4" fontId="119" fillId="14" borderId="0" xfId="306" applyNumberFormat="1" applyFont="1" applyFill="1" applyBorder="1" applyAlignment="1">
      <alignment vertical="center"/>
    </xf>
    <xf numFmtId="0" fontId="103" fillId="0" borderId="64" xfId="313" applyFont="1" applyFill="1" applyBorder="1" applyAlignment="1">
      <alignment horizontal="center" vertical="center"/>
    </xf>
    <xf numFmtId="194" fontId="119" fillId="0" borderId="42" xfId="306" applyNumberFormat="1" applyFont="1" applyFill="1" applyBorder="1" applyAlignment="1">
      <alignment vertical="center" wrapText="1"/>
    </xf>
    <xf numFmtId="0" fontId="119" fillId="0" borderId="42" xfId="306" applyFont="1" applyFill="1" applyBorder="1" applyAlignment="1">
      <alignment vertical="center" wrapText="1"/>
    </xf>
    <xf numFmtId="178" fontId="103" fillId="14" borderId="0" xfId="266" applyNumberFormat="1" applyFont="1" applyFill="1" applyBorder="1" applyAlignment="1">
      <alignment vertical="center"/>
    </xf>
    <xf numFmtId="249" fontId="103" fillId="0" borderId="0" xfId="313" applyNumberFormat="1" applyFont="1" applyFill="1" applyBorder="1" applyAlignment="1">
      <alignment vertical="center"/>
    </xf>
    <xf numFmtId="0" fontId="119" fillId="0" borderId="66" xfId="306" applyFont="1" applyFill="1" applyBorder="1" applyAlignment="1">
      <alignment horizontal="center" vertical="center" wrapText="1"/>
    </xf>
    <xf numFmtId="0" fontId="119" fillId="0" borderId="67" xfId="306" applyFont="1" applyFill="1" applyBorder="1" applyAlignment="1">
      <alignment horizontal="center" vertical="center" wrapText="1"/>
    </xf>
    <xf numFmtId="0" fontId="103" fillId="0" borderId="2" xfId="310" applyNumberFormat="1" applyFont="1" applyFill="1" applyBorder="1" applyAlignment="1">
      <alignment vertical="center"/>
    </xf>
    <xf numFmtId="0" fontId="103" fillId="0" borderId="38" xfId="310" applyNumberFormat="1" applyFont="1" applyFill="1" applyBorder="1" applyAlignment="1">
      <alignment vertical="center"/>
    </xf>
    <xf numFmtId="0" fontId="103" fillId="0" borderId="40" xfId="310" applyNumberFormat="1" applyFont="1" applyFill="1" applyBorder="1" applyAlignment="1">
      <alignment vertical="center"/>
    </xf>
    <xf numFmtId="0" fontId="119" fillId="0" borderId="60" xfId="310" applyNumberFormat="1" applyFont="1" applyFill="1" applyBorder="1" applyAlignment="1">
      <alignment horizontal="center" vertical="center" wrapText="1"/>
    </xf>
    <xf numFmtId="0" fontId="119" fillId="0" borderId="53" xfId="310" applyNumberFormat="1" applyFont="1" applyFill="1" applyBorder="1" applyAlignment="1">
      <alignment horizontal="center" vertical="center" wrapText="1"/>
    </xf>
    <xf numFmtId="0" fontId="119" fillId="0" borderId="54" xfId="310" applyNumberFormat="1" applyFont="1" applyFill="1" applyBorder="1" applyAlignment="1">
      <alignment horizontal="center" vertical="center" wrapText="1"/>
    </xf>
    <xf numFmtId="0" fontId="119" fillId="0" borderId="59" xfId="310" applyNumberFormat="1" applyFont="1" applyFill="1" applyBorder="1" applyAlignment="1">
      <alignment horizontal="center" vertical="center" wrapText="1"/>
    </xf>
    <xf numFmtId="0" fontId="119" fillId="0" borderId="22" xfId="310" applyNumberFormat="1" applyFont="1" applyFill="1" applyBorder="1" applyAlignment="1">
      <alignment horizontal="center" vertical="center" wrapText="1"/>
    </xf>
    <xf numFmtId="0" fontId="119" fillId="0" borderId="41" xfId="310" applyNumberFormat="1" applyFont="1" applyFill="1" applyBorder="1" applyAlignment="1">
      <alignment horizontal="center" vertical="center" wrapText="1"/>
    </xf>
    <xf numFmtId="178" fontId="103" fillId="0" borderId="2" xfId="310" applyNumberFormat="1" applyFont="1" applyFill="1" applyBorder="1" applyAlignment="1">
      <alignment horizontal="center" vertical="center"/>
    </xf>
    <xf numFmtId="178" fontId="103" fillId="0" borderId="38" xfId="310" applyNumberFormat="1" applyFont="1" applyFill="1" applyBorder="1" applyAlignment="1">
      <alignment horizontal="center" vertical="center"/>
    </xf>
    <xf numFmtId="0" fontId="103" fillId="0" borderId="90" xfId="310" applyNumberFormat="1" applyFont="1" applyFill="1" applyBorder="1" applyAlignment="1">
      <alignment vertical="center"/>
    </xf>
    <xf numFmtId="0" fontId="103" fillId="0" borderId="45" xfId="310" applyNumberFormat="1" applyFont="1" applyFill="1" applyBorder="1" applyAlignment="1">
      <alignment vertical="center"/>
    </xf>
    <xf numFmtId="0" fontId="103" fillId="0" borderId="46" xfId="310" applyNumberFormat="1" applyFont="1" applyFill="1" applyBorder="1" applyAlignment="1">
      <alignment vertical="center"/>
    </xf>
    <xf numFmtId="0" fontId="104" fillId="0" borderId="92" xfId="310" applyNumberFormat="1" applyFont="1" applyFill="1" applyBorder="1" applyAlignment="1">
      <alignment vertical="center"/>
    </xf>
    <xf numFmtId="0" fontId="104" fillId="0" borderId="1" xfId="310" applyNumberFormat="1" applyFont="1" applyFill="1" applyBorder="1" applyAlignment="1">
      <alignment vertical="center"/>
    </xf>
    <xf numFmtId="0" fontId="104" fillId="0" borderId="58" xfId="310" applyNumberFormat="1" applyFont="1" applyFill="1" applyBorder="1" applyAlignment="1">
      <alignment vertical="center"/>
    </xf>
    <xf numFmtId="0" fontId="104" fillId="0" borderId="90" xfId="310" applyNumberFormat="1" applyFont="1" applyFill="1" applyBorder="1" applyAlignment="1">
      <alignment vertical="center"/>
    </xf>
    <xf numFmtId="0" fontId="104" fillId="0" borderId="45" xfId="310" applyNumberFormat="1" applyFont="1" applyFill="1" applyBorder="1" applyAlignment="1">
      <alignment vertical="center"/>
    </xf>
    <xf numFmtId="0" fontId="104" fillId="0" borderId="46" xfId="310" applyNumberFormat="1" applyFont="1" applyFill="1" applyBorder="1" applyAlignment="1">
      <alignment vertical="center"/>
    </xf>
    <xf numFmtId="178" fontId="104" fillId="0" borderId="64" xfId="310" applyNumberFormat="1" applyFont="1" applyFill="1" applyBorder="1" applyAlignment="1">
      <alignment horizontal="center" vertical="center"/>
    </xf>
    <xf numFmtId="178" fontId="104" fillId="0" borderId="55" xfId="310" applyNumberFormat="1" applyFont="1" applyFill="1" applyBorder="1" applyAlignment="1">
      <alignment horizontal="center" vertical="center"/>
    </xf>
    <xf numFmtId="0" fontId="103" fillId="0" borderId="0" xfId="313" applyFont="1" applyFill="1" applyBorder="1" applyAlignment="1">
      <alignment horizontal="center" vertical="center"/>
    </xf>
    <xf numFmtId="0" fontId="103" fillId="0" borderId="0" xfId="313" applyNumberFormat="1" applyFont="1" applyFill="1" applyBorder="1" applyAlignment="1">
      <alignment horizontal="center" vertical="center"/>
    </xf>
    <xf numFmtId="0" fontId="103" fillId="0" borderId="29" xfId="313" applyNumberFormat="1" applyFont="1" applyFill="1" applyBorder="1" applyAlignment="1">
      <alignment horizontal="center" vertical="center"/>
    </xf>
    <xf numFmtId="0" fontId="104" fillId="0" borderId="39" xfId="310" applyNumberFormat="1" applyFont="1" applyFill="1" applyBorder="1" applyAlignment="1">
      <alignment horizontal="center" vertical="center"/>
    </xf>
    <xf numFmtId="0" fontId="104" fillId="0" borderId="11" xfId="310" applyNumberFormat="1" applyFont="1" applyFill="1" applyBorder="1" applyAlignment="1">
      <alignment horizontal="center" vertical="center"/>
    </xf>
    <xf numFmtId="0" fontId="104" fillId="0" borderId="17" xfId="310" applyNumberFormat="1" applyFont="1" applyFill="1" applyBorder="1" applyAlignment="1">
      <alignment horizontal="center" vertical="center"/>
    </xf>
    <xf numFmtId="0" fontId="104" fillId="0" borderId="2" xfId="310" applyNumberFormat="1" applyFont="1" applyFill="1" applyBorder="1" applyAlignment="1">
      <alignment vertical="center"/>
    </xf>
    <xf numFmtId="0" fontId="104" fillId="0" borderId="38" xfId="310" applyNumberFormat="1" applyFont="1" applyFill="1" applyBorder="1" applyAlignment="1">
      <alignment vertical="center"/>
    </xf>
    <xf numFmtId="0" fontId="104" fillId="0" borderId="40" xfId="310" applyNumberFormat="1" applyFont="1" applyFill="1" applyBorder="1" applyAlignment="1">
      <alignment vertical="center"/>
    </xf>
    <xf numFmtId="0" fontId="104" fillId="0" borderId="67" xfId="310" applyNumberFormat="1" applyFont="1" applyFill="1" applyBorder="1" applyAlignment="1">
      <alignment vertical="center"/>
    </xf>
    <xf numFmtId="0" fontId="104" fillId="0" borderId="65" xfId="310" applyNumberFormat="1" applyFont="1" applyFill="1" applyBorder="1" applyAlignment="1">
      <alignment vertical="center"/>
    </xf>
    <xf numFmtId="0" fontId="104" fillId="0" borderId="72" xfId="310" applyNumberFormat="1" applyFont="1" applyFill="1" applyBorder="1" applyAlignment="1">
      <alignment vertical="center"/>
    </xf>
    <xf numFmtId="0" fontId="104" fillId="0" borderId="50" xfId="313" applyFont="1" applyFill="1" applyBorder="1" applyAlignment="1">
      <alignment horizontal="center" vertical="center"/>
    </xf>
    <xf numFmtId="0" fontId="104" fillId="0" borderId="38" xfId="313" applyFont="1" applyFill="1" applyBorder="1" applyAlignment="1">
      <alignment horizontal="center" vertical="center"/>
    </xf>
    <xf numFmtId="0" fontId="104" fillId="0" borderId="40" xfId="313" applyFont="1" applyFill="1" applyBorder="1" applyAlignment="1">
      <alignment horizontal="center" vertical="center"/>
    </xf>
    <xf numFmtId="0" fontId="103" fillId="16" borderId="2" xfId="310" applyFont="1" applyFill="1" applyBorder="1" applyAlignment="1">
      <alignment horizontal="center" vertical="center"/>
    </xf>
    <xf numFmtId="0" fontId="103" fillId="16" borderId="40" xfId="310" applyFont="1" applyFill="1" applyBorder="1" applyAlignment="1">
      <alignment horizontal="center" vertical="center"/>
    </xf>
    <xf numFmtId="0" fontId="104" fillId="0" borderId="89" xfId="313" applyFont="1" applyFill="1" applyBorder="1" applyAlignment="1">
      <alignment horizontal="center" vertical="center"/>
    </xf>
    <xf numFmtId="0" fontId="104" fillId="0" borderId="65" xfId="313" applyFont="1" applyFill="1" applyBorder="1" applyAlignment="1">
      <alignment horizontal="center" vertical="center"/>
    </xf>
    <xf numFmtId="0" fontId="104" fillId="0" borderId="72" xfId="313" applyFont="1" applyFill="1" applyBorder="1" applyAlignment="1">
      <alignment horizontal="center" vertical="center"/>
    </xf>
    <xf numFmtId="0" fontId="103" fillId="0" borderId="64" xfId="310" applyFont="1" applyFill="1" applyBorder="1" applyAlignment="1">
      <alignment horizontal="center" vertical="center"/>
    </xf>
    <xf numFmtId="0" fontId="103" fillId="0" borderId="56" xfId="310" applyFont="1" applyFill="1" applyBorder="1" applyAlignment="1">
      <alignment horizontal="center" vertical="center"/>
    </xf>
    <xf numFmtId="0" fontId="104" fillId="0" borderId="57" xfId="313" applyFont="1" applyFill="1" applyBorder="1" applyAlignment="1">
      <alignment horizontal="center" vertical="center"/>
    </xf>
    <xf numFmtId="0" fontId="103" fillId="0" borderId="50" xfId="313" applyFont="1" applyFill="1" applyBorder="1" applyAlignment="1">
      <alignment horizontal="center" vertical="center"/>
    </xf>
    <xf numFmtId="0" fontId="103" fillId="0" borderId="38" xfId="313" applyFont="1" applyFill="1" applyBorder="1" applyAlignment="1">
      <alignment horizontal="center" vertical="center"/>
    </xf>
    <xf numFmtId="0" fontId="103" fillId="0" borderId="40" xfId="313" applyFont="1" applyFill="1" applyBorder="1" applyAlignment="1">
      <alignment horizontal="center" vertical="center"/>
    </xf>
    <xf numFmtId="0" fontId="103" fillId="0" borderId="2" xfId="310" applyFont="1" applyFill="1" applyBorder="1" applyAlignment="1">
      <alignment horizontal="center" vertical="center"/>
    </xf>
    <xf numFmtId="0" fontId="103" fillId="0" borderId="40" xfId="310" applyFont="1" applyFill="1" applyBorder="1" applyAlignment="1">
      <alignment horizontal="center" vertical="center"/>
    </xf>
    <xf numFmtId="0" fontId="103" fillId="0" borderId="0" xfId="310" quotePrefix="1" applyFont="1" applyFill="1" applyBorder="1" applyAlignment="1">
      <alignment vertical="center" wrapText="1"/>
    </xf>
    <xf numFmtId="9" fontId="119" fillId="9" borderId="95" xfId="258" applyFont="1" applyFill="1" applyBorder="1" applyAlignment="1">
      <alignment horizontal="center" vertical="center"/>
    </xf>
    <xf numFmtId="9" fontId="119" fillId="9" borderId="48" xfId="258" applyFont="1" applyFill="1" applyBorder="1" applyAlignment="1">
      <alignment horizontal="center" vertical="center"/>
    </xf>
    <xf numFmtId="0" fontId="170" fillId="0" borderId="50" xfId="313" applyFont="1" applyFill="1" applyBorder="1" applyAlignment="1">
      <alignment horizontal="center" vertical="center"/>
    </xf>
    <xf numFmtId="0" fontId="170" fillId="0" borderId="38" xfId="313" applyFont="1" applyFill="1" applyBorder="1" applyAlignment="1">
      <alignment horizontal="center" vertical="center"/>
    </xf>
    <xf numFmtId="0" fontId="170" fillId="0" borderId="40" xfId="313" applyFont="1" applyFill="1" applyBorder="1" applyAlignment="1">
      <alignment horizontal="center" vertical="center"/>
    </xf>
    <xf numFmtId="0" fontId="103" fillId="0" borderId="60" xfId="306" applyFont="1" applyFill="1" applyBorder="1" applyAlignment="1">
      <alignment horizontal="center" vertical="center" wrapText="1"/>
    </xf>
    <xf numFmtId="0" fontId="103" fillId="0" borderId="54" xfId="306" applyFont="1" applyFill="1" applyBorder="1" applyAlignment="1">
      <alignment horizontal="center" vertical="center"/>
    </xf>
    <xf numFmtId="0" fontId="103" fillId="0" borderId="59" xfId="306" applyFont="1" applyFill="1" applyBorder="1" applyAlignment="1">
      <alignment horizontal="center" vertical="center"/>
    </xf>
    <xf numFmtId="0" fontId="103" fillId="0" borderId="41" xfId="306" applyFont="1" applyFill="1" applyBorder="1" applyAlignment="1">
      <alignment horizontal="center" vertical="center"/>
    </xf>
    <xf numFmtId="9" fontId="119" fillId="9" borderId="93" xfId="258" applyFont="1" applyFill="1" applyBorder="1" applyAlignment="1">
      <alignment horizontal="center" vertical="center"/>
    </xf>
    <xf numFmtId="9" fontId="119" fillId="9" borderId="44" xfId="258" applyFont="1" applyFill="1" applyBorder="1" applyAlignment="1">
      <alignment horizontal="center" vertical="center"/>
    </xf>
    <xf numFmtId="178" fontId="104" fillId="0" borderId="60" xfId="310" applyNumberFormat="1" applyFont="1" applyFill="1" applyBorder="1" applyAlignment="1">
      <alignment horizontal="center" vertical="center"/>
    </xf>
    <xf numFmtId="178" fontId="104" fillId="0" borderId="53" xfId="310" applyNumberFormat="1" applyFont="1" applyFill="1" applyBorder="1" applyAlignment="1">
      <alignment horizontal="center" vertical="center"/>
    </xf>
    <xf numFmtId="178" fontId="104" fillId="0" borderId="54" xfId="310" applyNumberFormat="1" applyFont="1" applyFill="1" applyBorder="1" applyAlignment="1">
      <alignment horizontal="center" vertical="center"/>
    </xf>
    <xf numFmtId="0" fontId="103" fillId="0" borderId="62" xfId="306" applyFont="1" applyFill="1" applyBorder="1" applyAlignment="1">
      <alignment horizontal="center" vertical="center"/>
    </xf>
    <xf numFmtId="0" fontId="103" fillId="0" borderId="53" xfId="306" applyFont="1" applyFill="1" applyBorder="1" applyAlignment="1">
      <alignment horizontal="center" vertical="center"/>
    </xf>
    <xf numFmtId="0" fontId="103" fillId="0" borderId="51" xfId="306" applyFont="1" applyFill="1" applyBorder="1" applyAlignment="1">
      <alignment horizontal="center" vertical="center"/>
    </xf>
    <xf numFmtId="0" fontId="103" fillId="0" borderId="22" xfId="306" applyFont="1" applyFill="1" applyBorder="1" applyAlignment="1">
      <alignment horizontal="center" vertical="center"/>
    </xf>
    <xf numFmtId="0" fontId="119" fillId="0" borderId="22" xfId="306" applyFont="1" applyFill="1" applyBorder="1" applyAlignment="1">
      <alignment horizontal="center" vertical="center" wrapText="1"/>
    </xf>
    <xf numFmtId="0" fontId="119" fillId="0" borderId="41" xfId="306" applyFont="1" applyFill="1" applyBorder="1" applyAlignment="1">
      <alignment horizontal="center" vertical="center" wrapText="1"/>
    </xf>
    <xf numFmtId="0" fontId="119" fillId="0" borderId="60" xfId="310" applyFont="1" applyFill="1" applyBorder="1" applyAlignment="1">
      <alignment horizontal="center" vertical="center" wrapText="1"/>
    </xf>
    <xf numFmtId="0" fontId="119" fillId="0" borderId="53" xfId="310" applyFont="1" applyFill="1" applyBorder="1" applyAlignment="1">
      <alignment horizontal="center" vertical="center" wrapText="1"/>
    </xf>
    <xf numFmtId="0" fontId="119" fillId="0" borderId="54" xfId="310" applyFont="1" applyFill="1" applyBorder="1" applyAlignment="1">
      <alignment horizontal="center" vertical="center" wrapText="1"/>
    </xf>
    <xf numFmtId="0" fontId="119" fillId="0" borderId="59" xfId="306" applyFont="1" applyFill="1" applyBorder="1" applyAlignment="1">
      <alignment horizontal="center" vertical="center" wrapText="1"/>
    </xf>
    <xf numFmtId="0" fontId="104" fillId="0" borderId="51" xfId="313" applyFont="1" applyFill="1" applyBorder="1" applyAlignment="1">
      <alignment horizontal="center" vertical="center"/>
    </xf>
    <xf numFmtId="0" fontId="104" fillId="0" borderId="22" xfId="313" applyFont="1" applyFill="1" applyBorder="1" applyAlignment="1">
      <alignment horizontal="center" vertical="center"/>
    </xf>
    <xf numFmtId="0" fontId="104" fillId="0" borderId="41" xfId="313" applyFont="1" applyFill="1" applyBorder="1" applyAlignment="1">
      <alignment horizontal="center" vertical="center"/>
    </xf>
    <xf numFmtId="0" fontId="103" fillId="0" borderId="51" xfId="313" applyFont="1" applyFill="1" applyBorder="1" applyAlignment="1">
      <alignment horizontal="center" vertical="center"/>
    </xf>
    <xf numFmtId="0" fontId="103" fillId="0" borderId="22" xfId="313" applyFont="1" applyFill="1" applyBorder="1" applyAlignment="1">
      <alignment horizontal="center" vertical="center"/>
    </xf>
    <xf numFmtId="0" fontId="103" fillId="0" borderId="41" xfId="313" applyFont="1" applyFill="1" applyBorder="1" applyAlignment="1">
      <alignment horizontal="center" vertical="center"/>
    </xf>
    <xf numFmtId="0" fontId="103" fillId="0" borderId="50" xfId="313" applyFont="1" applyFill="1" applyBorder="1" applyAlignment="1">
      <alignment horizontal="center" vertical="center" shrinkToFit="1"/>
    </xf>
    <xf numFmtId="0" fontId="103" fillId="0" borderId="38" xfId="313" applyFont="1" applyFill="1" applyBorder="1" applyAlignment="1">
      <alignment horizontal="center" vertical="center" shrinkToFit="1"/>
    </xf>
    <xf numFmtId="0" fontId="103" fillId="0" borderId="40" xfId="313" applyFont="1" applyFill="1" applyBorder="1" applyAlignment="1">
      <alignment horizontal="center" vertical="center" shrinkToFit="1"/>
    </xf>
    <xf numFmtId="178" fontId="104" fillId="0" borderId="2" xfId="310" applyNumberFormat="1" applyFont="1" applyFill="1" applyBorder="1" applyAlignment="1">
      <alignment horizontal="center" vertical="center"/>
    </xf>
    <xf numFmtId="178" fontId="104" fillId="0" borderId="38" xfId="310" applyNumberFormat="1" applyFont="1" applyFill="1" applyBorder="1" applyAlignment="1">
      <alignment horizontal="center" vertical="center"/>
    </xf>
    <xf numFmtId="178" fontId="104" fillId="0" borderId="40" xfId="310" applyNumberFormat="1" applyFont="1" applyFill="1" applyBorder="1" applyAlignment="1">
      <alignment horizontal="center" vertical="center"/>
    </xf>
    <xf numFmtId="178" fontId="104" fillId="0" borderId="59" xfId="310" applyNumberFormat="1" applyFont="1" applyFill="1" applyBorder="1" applyAlignment="1">
      <alignment horizontal="center" vertical="center"/>
    </xf>
    <xf numFmtId="178" fontId="104" fillId="0" borderId="22" xfId="310" applyNumberFormat="1" applyFont="1" applyFill="1" applyBorder="1" applyAlignment="1">
      <alignment horizontal="center" vertical="center"/>
    </xf>
    <xf numFmtId="178" fontId="104" fillId="0" borderId="41" xfId="310" applyNumberFormat="1" applyFont="1" applyFill="1" applyBorder="1" applyAlignment="1">
      <alignment horizontal="center" vertical="center"/>
    </xf>
    <xf numFmtId="0" fontId="103" fillId="0" borderId="62" xfId="313" applyFont="1" applyFill="1" applyBorder="1" applyAlignment="1">
      <alignment horizontal="center" vertical="center"/>
    </xf>
    <xf numFmtId="0" fontId="103" fillId="0" borderId="53" xfId="313" applyFont="1" applyFill="1" applyBorder="1" applyAlignment="1">
      <alignment horizontal="center" vertical="center"/>
    </xf>
    <xf numFmtId="0" fontId="103" fillId="0" borderId="54" xfId="313" applyFont="1" applyFill="1" applyBorder="1" applyAlignment="1">
      <alignment horizontal="center" vertical="center"/>
    </xf>
    <xf numFmtId="0" fontId="103" fillId="0" borderId="52" xfId="313" applyFont="1" applyFill="1" applyBorder="1" applyAlignment="1">
      <alignment horizontal="center" vertical="center"/>
    </xf>
    <xf numFmtId="178" fontId="103" fillId="0" borderId="40" xfId="310" applyNumberFormat="1" applyFont="1" applyFill="1" applyBorder="1" applyAlignment="1">
      <alignment horizontal="center" vertical="center"/>
    </xf>
    <xf numFmtId="9" fontId="103" fillId="0" borderId="2" xfId="254" applyFont="1" applyFill="1" applyBorder="1" applyAlignment="1">
      <alignment horizontal="center" vertical="center"/>
    </xf>
    <xf numFmtId="9" fontId="103" fillId="0" borderId="40" xfId="254" applyFont="1" applyFill="1" applyBorder="1" applyAlignment="1">
      <alignment horizontal="center" vertical="center"/>
    </xf>
    <xf numFmtId="9" fontId="103" fillId="14" borderId="2" xfId="254" applyFont="1" applyFill="1" applyBorder="1" applyAlignment="1">
      <alignment horizontal="center" vertical="center"/>
    </xf>
    <xf numFmtId="9" fontId="103" fillId="14" borderId="40" xfId="254" applyFont="1" applyFill="1" applyBorder="1" applyAlignment="1">
      <alignment horizontal="center" vertical="center"/>
    </xf>
    <xf numFmtId="9" fontId="104" fillId="14" borderId="66" xfId="254" applyFont="1" applyFill="1" applyBorder="1" applyAlignment="1">
      <alignment horizontal="center" vertical="center"/>
    </xf>
    <xf numFmtId="9" fontId="104" fillId="14" borderId="49" xfId="254" applyFont="1" applyFill="1" applyBorder="1" applyAlignment="1">
      <alignment horizontal="center" vertical="center"/>
    </xf>
    <xf numFmtId="9" fontId="104" fillId="14" borderId="2" xfId="254" applyFont="1" applyFill="1" applyBorder="1" applyAlignment="1">
      <alignment horizontal="center" vertical="center"/>
    </xf>
    <xf numFmtId="9" fontId="104" fillId="14" borderId="40" xfId="254" applyFont="1" applyFill="1" applyBorder="1" applyAlignment="1">
      <alignment horizontal="center" vertical="center"/>
    </xf>
    <xf numFmtId="9" fontId="104" fillId="0" borderId="2" xfId="254" applyFont="1" applyFill="1" applyBorder="1" applyAlignment="1">
      <alignment horizontal="center" vertical="center"/>
    </xf>
    <xf numFmtId="9" fontId="104" fillId="0" borderId="40" xfId="254" applyFont="1" applyFill="1" applyBorder="1" applyAlignment="1">
      <alignment horizontal="center" vertical="center"/>
    </xf>
    <xf numFmtId="178" fontId="104" fillId="0" borderId="42" xfId="310" applyNumberFormat="1" applyFont="1" applyFill="1" applyBorder="1" applyAlignment="1">
      <alignment horizontal="center" vertical="center"/>
    </xf>
    <xf numFmtId="178" fontId="104" fillId="0" borderId="49" xfId="310" applyNumberFormat="1" applyFont="1" applyFill="1" applyBorder="1" applyAlignment="1">
      <alignment horizontal="center" vertical="center"/>
    </xf>
    <xf numFmtId="9" fontId="104" fillId="14" borderId="59" xfId="254" applyFont="1" applyFill="1" applyBorder="1" applyAlignment="1">
      <alignment horizontal="center" vertical="center"/>
    </xf>
    <xf numFmtId="9" fontId="104" fillId="14" borderId="41" xfId="254" applyFont="1" applyFill="1" applyBorder="1" applyAlignment="1">
      <alignment horizontal="center" vertical="center"/>
    </xf>
    <xf numFmtId="178" fontId="104" fillId="0" borderId="51" xfId="310" applyNumberFormat="1" applyFont="1" applyFill="1" applyBorder="1" applyAlignment="1">
      <alignment horizontal="center" vertical="center"/>
    </xf>
    <xf numFmtId="178" fontId="104" fillId="0" borderId="56" xfId="310" applyNumberFormat="1" applyFont="1" applyFill="1" applyBorder="1" applyAlignment="1">
      <alignment horizontal="center" vertical="center"/>
    </xf>
    <xf numFmtId="0" fontId="103" fillId="0" borderId="59" xfId="310" applyFont="1" applyFill="1" applyBorder="1" applyAlignment="1">
      <alignment horizontal="center" vertical="center"/>
    </xf>
    <xf numFmtId="0" fontId="103" fillId="0" borderId="41" xfId="310" applyFont="1" applyFill="1" applyBorder="1" applyAlignment="1">
      <alignment horizontal="center" vertical="center"/>
    </xf>
    <xf numFmtId="0" fontId="104" fillId="0" borderId="95" xfId="310" applyNumberFormat="1" applyFont="1" applyFill="1" applyBorder="1" applyAlignment="1">
      <alignment vertical="center"/>
    </xf>
    <xf numFmtId="0" fontId="104" fillId="0" borderId="47" xfId="310" applyNumberFormat="1" applyFont="1" applyFill="1" applyBorder="1" applyAlignment="1">
      <alignment vertical="center"/>
    </xf>
    <xf numFmtId="0" fontId="104" fillId="0" borderId="48" xfId="310" applyNumberFormat="1" applyFont="1" applyFill="1" applyBorder="1" applyAlignment="1">
      <alignment vertical="center"/>
    </xf>
    <xf numFmtId="0" fontId="104" fillId="0" borderId="66" xfId="310" applyNumberFormat="1" applyFont="1" applyFill="1" applyBorder="1" applyAlignment="1">
      <alignment vertical="center"/>
    </xf>
    <xf numFmtId="0" fontId="104" fillId="0" borderId="42" xfId="310" applyNumberFormat="1" applyFont="1" applyFill="1" applyBorder="1" applyAlignment="1">
      <alignment vertical="center"/>
    </xf>
    <xf numFmtId="0" fontId="104" fillId="0" borderId="49" xfId="310" applyNumberFormat="1" applyFont="1" applyFill="1" applyBorder="1" applyAlignment="1">
      <alignment vertical="center"/>
    </xf>
    <xf numFmtId="178" fontId="104" fillId="0" borderId="66" xfId="310" applyNumberFormat="1" applyFont="1" applyFill="1" applyBorder="1" applyAlignment="1">
      <alignment horizontal="center" vertical="center"/>
    </xf>
    <xf numFmtId="194" fontId="119" fillId="0" borderId="59" xfId="306" applyNumberFormat="1" applyFont="1" applyFill="1" applyBorder="1" applyAlignment="1">
      <alignment vertical="center" wrapText="1"/>
    </xf>
    <xf numFmtId="194" fontId="119" fillId="0" borderId="22" xfId="306" applyNumberFormat="1" applyFont="1" applyFill="1" applyBorder="1" applyAlignment="1">
      <alignment vertical="center" wrapText="1"/>
    </xf>
    <xf numFmtId="194" fontId="119" fillId="0" borderId="41" xfId="306" applyNumberFormat="1" applyFont="1" applyFill="1" applyBorder="1" applyAlignment="1">
      <alignment vertical="center" wrapText="1"/>
    </xf>
    <xf numFmtId="194" fontId="119" fillId="0" borderId="38" xfId="306" applyNumberFormat="1" applyFont="1" applyFill="1" applyBorder="1" applyAlignment="1">
      <alignment vertical="center" wrapText="1"/>
    </xf>
    <xf numFmtId="194" fontId="119" fillId="0" borderId="40" xfId="306" applyNumberFormat="1" applyFont="1" applyFill="1" applyBorder="1" applyAlignment="1">
      <alignment vertical="center" wrapText="1"/>
    </xf>
    <xf numFmtId="194" fontId="119" fillId="0" borderId="2" xfId="306" applyNumberFormat="1" applyFont="1" applyFill="1" applyBorder="1" applyAlignment="1">
      <alignment vertical="center" wrapText="1"/>
    </xf>
    <xf numFmtId="0" fontId="119" fillId="0" borderId="56" xfId="306" applyFont="1" applyFill="1" applyBorder="1" applyAlignment="1">
      <alignment horizontal="center" vertical="center" wrapText="1"/>
    </xf>
    <xf numFmtId="194" fontId="119" fillId="0" borderId="66" xfId="306" applyNumberFormat="1" applyFont="1" applyFill="1" applyBorder="1" applyAlignment="1">
      <alignment vertical="center" wrapText="1"/>
    </xf>
    <xf numFmtId="194" fontId="119" fillId="0" borderId="49" xfId="306" applyNumberFormat="1" applyFont="1" applyFill="1" applyBorder="1" applyAlignment="1">
      <alignment vertical="center" wrapText="1"/>
    </xf>
    <xf numFmtId="0" fontId="119" fillId="0" borderId="64" xfId="306" applyFont="1" applyFill="1" applyBorder="1" applyAlignment="1">
      <alignment horizontal="center" vertical="center" wrapText="1"/>
    </xf>
    <xf numFmtId="194" fontId="119" fillId="0" borderId="50" xfId="306" applyNumberFormat="1" applyFont="1" applyFill="1" applyBorder="1" applyAlignment="1">
      <alignment vertical="center" wrapText="1"/>
    </xf>
    <xf numFmtId="194" fontId="119" fillId="0" borderId="52" xfId="306" applyNumberFormat="1" applyFont="1" applyFill="1" applyBorder="1" applyAlignment="1">
      <alignment vertical="center" wrapText="1"/>
    </xf>
    <xf numFmtId="0" fontId="119" fillId="0" borderId="45" xfId="306" applyNumberFormat="1" applyFont="1" applyFill="1" applyBorder="1" applyAlignment="1">
      <alignment vertical="center" wrapText="1"/>
    </xf>
    <xf numFmtId="0" fontId="119" fillId="0" borderId="46" xfId="306" applyNumberFormat="1" applyFont="1" applyFill="1" applyBorder="1" applyAlignment="1">
      <alignment vertical="center" wrapText="1"/>
    </xf>
    <xf numFmtId="0" fontId="119" fillId="0" borderId="47" xfId="306" applyNumberFormat="1" applyFont="1" applyFill="1" applyBorder="1" applyAlignment="1">
      <alignment vertical="center" wrapText="1"/>
    </xf>
    <xf numFmtId="0" fontId="119" fillId="0" borderId="48" xfId="306" applyNumberFormat="1" applyFont="1" applyFill="1" applyBorder="1" applyAlignment="1">
      <alignment vertical="center" wrapText="1"/>
    </xf>
    <xf numFmtId="0" fontId="119" fillId="0" borderId="1" xfId="306" applyNumberFormat="1" applyFont="1" applyFill="1" applyBorder="1" applyAlignment="1">
      <alignment vertical="center" wrapText="1"/>
    </xf>
    <xf numFmtId="0" fontId="119" fillId="0" borderId="58" xfId="306" applyNumberFormat="1" applyFont="1" applyFill="1" applyBorder="1" applyAlignment="1">
      <alignment vertical="center" wrapText="1"/>
    </xf>
    <xf numFmtId="194" fontId="119" fillId="0" borderId="51" xfId="306" applyNumberFormat="1" applyFont="1" applyFill="1" applyBorder="1" applyAlignment="1">
      <alignment vertical="center" wrapText="1"/>
    </xf>
    <xf numFmtId="0" fontId="122" fillId="0" borderId="96" xfId="0" applyFont="1" applyBorder="1" applyAlignment="1">
      <alignment horizontal="center" vertical="center"/>
    </xf>
    <xf numFmtId="0" fontId="122" fillId="0" borderId="45" xfId="0" applyFont="1" applyBorder="1" applyAlignment="1">
      <alignment horizontal="center" vertical="center"/>
    </xf>
    <xf numFmtId="0" fontId="122" fillId="0" borderId="46" xfId="0" applyFont="1" applyBorder="1" applyAlignment="1">
      <alignment horizontal="center" vertical="center"/>
    </xf>
    <xf numFmtId="0" fontId="122" fillId="0" borderId="97" xfId="0" applyFont="1" applyBorder="1" applyAlignment="1">
      <alignment horizontal="center" vertical="center"/>
    </xf>
    <xf numFmtId="0" fontId="122" fillId="0" borderId="47" xfId="0" applyFont="1" applyBorder="1" applyAlignment="1">
      <alignment horizontal="center" vertical="center"/>
    </xf>
    <xf numFmtId="0" fontId="122" fillId="0" borderId="48" xfId="0" applyFont="1" applyBorder="1" applyAlignment="1">
      <alignment horizontal="center" vertical="center"/>
    </xf>
    <xf numFmtId="0" fontId="122" fillId="0" borderId="141" xfId="0" applyFont="1" applyBorder="1" applyAlignment="1">
      <alignment horizontal="center" vertical="center"/>
    </xf>
    <xf numFmtId="0" fontId="122" fillId="0" borderId="43" xfId="0" applyFont="1" applyBorder="1" applyAlignment="1">
      <alignment horizontal="center" vertical="center"/>
    </xf>
    <xf numFmtId="0" fontId="122" fillId="0" borderId="44" xfId="0" applyFont="1" applyBorder="1" applyAlignment="1">
      <alignment horizontal="center" vertical="center"/>
    </xf>
    <xf numFmtId="0" fontId="106" fillId="0" borderId="29" xfId="313" applyFont="1" applyFill="1" applyBorder="1" applyAlignment="1">
      <alignment horizontal="center" vertical="top"/>
    </xf>
    <xf numFmtId="0" fontId="122" fillId="0" borderId="98" xfId="0" applyFont="1" applyBorder="1" applyAlignment="1">
      <alignment horizontal="center" vertical="center"/>
    </xf>
    <xf numFmtId="0" fontId="122" fillId="0" borderId="11" xfId="0" applyFont="1" applyBorder="1" applyAlignment="1">
      <alignment horizontal="center" vertical="center"/>
    </xf>
    <xf numFmtId="0" fontId="122" fillId="0" borderId="17" xfId="0" applyFont="1" applyBorder="1" applyAlignment="1">
      <alignment horizontal="center" vertical="center"/>
    </xf>
    <xf numFmtId="0" fontId="119" fillId="0" borderId="38" xfId="305" applyFont="1" applyFill="1" applyBorder="1" applyAlignment="1">
      <alignment horizontal="center" vertical="center"/>
    </xf>
    <xf numFmtId="0" fontId="119" fillId="0" borderId="53" xfId="305" applyFont="1" applyFill="1" applyBorder="1" applyAlignment="1">
      <alignment horizontal="center" vertical="center"/>
    </xf>
    <xf numFmtId="41" fontId="159" fillId="0" borderId="53" xfId="305" applyNumberFormat="1" applyFont="1" applyFill="1" applyBorder="1" applyAlignment="1">
      <alignment horizontal="center" vertical="center"/>
    </xf>
    <xf numFmtId="41" fontId="119" fillId="0" borderId="53" xfId="305" applyNumberFormat="1" applyFont="1" applyFill="1" applyBorder="1" applyAlignment="1">
      <alignment horizontal="center" vertical="center"/>
    </xf>
    <xf numFmtId="0" fontId="119" fillId="0" borderId="22" xfId="305" applyFont="1" applyFill="1" applyBorder="1" applyAlignment="1">
      <alignment horizontal="center" vertical="center"/>
    </xf>
    <xf numFmtId="41" fontId="159" fillId="0" borderId="22" xfId="305" applyNumberFormat="1" applyFont="1" applyFill="1" applyBorder="1" applyAlignment="1">
      <alignment horizontal="center" vertical="center"/>
    </xf>
    <xf numFmtId="41" fontId="119" fillId="0" borderId="22" xfId="305" applyNumberFormat="1" applyFont="1" applyFill="1" applyBorder="1" applyAlignment="1">
      <alignment horizontal="center" vertical="center"/>
    </xf>
    <xf numFmtId="41" fontId="159" fillId="0" borderId="38" xfId="305" applyNumberFormat="1" applyFont="1" applyFill="1" applyBorder="1" applyAlignment="1">
      <alignment horizontal="center" vertical="center"/>
    </xf>
    <xf numFmtId="41" fontId="119" fillId="0" borderId="38" xfId="305" applyNumberFormat="1" applyFont="1" applyFill="1" applyBorder="1" applyAlignment="1">
      <alignment horizontal="center" vertical="center"/>
    </xf>
    <xf numFmtId="0" fontId="119" fillId="0" borderId="40" xfId="305" applyFont="1" applyFill="1" applyBorder="1" applyAlignment="1">
      <alignment horizontal="center" vertical="center"/>
    </xf>
    <xf numFmtId="0" fontId="119" fillId="0" borderId="41" xfId="305" applyFont="1" applyFill="1" applyBorder="1" applyAlignment="1">
      <alignment horizontal="center" vertical="center"/>
    </xf>
    <xf numFmtId="0" fontId="119" fillId="0" borderId="54" xfId="305" applyFont="1" applyFill="1" applyBorder="1" applyAlignment="1">
      <alignment horizontal="center" vertical="center"/>
    </xf>
    <xf numFmtId="0" fontId="119" fillId="0" borderId="101" xfId="305" applyFont="1" applyFill="1" applyBorder="1" applyAlignment="1">
      <alignment horizontal="center" vertical="center"/>
    </xf>
    <xf numFmtId="0" fontId="103" fillId="0" borderId="100" xfId="313" applyFont="1" applyFill="1" applyBorder="1" applyAlignment="1">
      <alignment horizontal="center" vertical="center"/>
    </xf>
    <xf numFmtId="0" fontId="103" fillId="0" borderId="101" xfId="313" applyFont="1" applyFill="1" applyBorder="1" applyAlignment="1">
      <alignment horizontal="center" vertical="center"/>
    </xf>
    <xf numFmtId="0" fontId="119" fillId="0" borderId="153" xfId="305" applyFont="1" applyFill="1" applyBorder="1" applyAlignment="1">
      <alignment horizontal="center" vertical="center"/>
    </xf>
    <xf numFmtId="0" fontId="103" fillId="0" borderId="60" xfId="303" applyFont="1" applyFill="1" applyBorder="1" applyAlignment="1">
      <alignment horizontal="center" vertical="center"/>
    </xf>
    <xf numFmtId="0" fontId="103" fillId="0" borderId="53" xfId="303" applyFont="1" applyFill="1" applyBorder="1" applyAlignment="1">
      <alignment horizontal="center" vertical="center"/>
    </xf>
    <xf numFmtId="0" fontId="103" fillId="0" borderId="2" xfId="303" applyFont="1" applyFill="1" applyBorder="1" applyAlignment="1">
      <alignment horizontal="center" vertical="center"/>
    </xf>
    <xf numFmtId="0" fontId="103" fillId="0" borderId="38" xfId="303" applyFont="1" applyFill="1" applyBorder="1" applyAlignment="1">
      <alignment horizontal="center" vertical="center"/>
    </xf>
    <xf numFmtId="0" fontId="103" fillId="0" borderId="59" xfId="303" applyFont="1" applyFill="1" applyBorder="1" applyAlignment="1">
      <alignment horizontal="center" vertical="center"/>
    </xf>
    <xf numFmtId="0" fontId="103" fillId="0" borderId="22" xfId="303" applyFont="1" applyFill="1" applyBorder="1" applyAlignment="1">
      <alignment horizontal="center" vertical="center"/>
    </xf>
    <xf numFmtId="0" fontId="119" fillId="0" borderId="102" xfId="305" applyFont="1" applyFill="1" applyBorder="1" applyAlignment="1">
      <alignment horizontal="center" vertical="center"/>
    </xf>
    <xf numFmtId="41" fontId="124" fillId="0" borderId="39" xfId="306" applyNumberFormat="1" applyFont="1" applyFill="1" applyBorder="1" applyAlignment="1">
      <alignment horizontal="center" vertical="center"/>
    </xf>
    <xf numFmtId="41" fontId="124" fillId="0" borderId="11" xfId="306" applyNumberFormat="1" applyFont="1" applyFill="1" applyBorder="1" applyAlignment="1">
      <alignment horizontal="center" vertical="center"/>
    </xf>
    <xf numFmtId="41" fontId="124" fillId="0" borderId="17" xfId="306" applyNumberFormat="1" applyFont="1" applyFill="1" applyBorder="1" applyAlignment="1">
      <alignment horizontal="center" vertical="center"/>
    </xf>
    <xf numFmtId="0" fontId="103" fillId="0" borderId="29" xfId="313" applyFont="1" applyFill="1" applyBorder="1" applyAlignment="1">
      <alignment horizontal="center" vertical="center"/>
    </xf>
    <xf numFmtId="194" fontId="171" fillId="14" borderId="29" xfId="313" applyNumberFormat="1" applyFont="1" applyFill="1" applyBorder="1" applyAlignment="1">
      <alignment horizontal="center" vertical="center"/>
    </xf>
    <xf numFmtId="194" fontId="104" fillId="0" borderId="0" xfId="313" applyNumberFormat="1" applyFont="1" applyFill="1" applyBorder="1" applyAlignment="1">
      <alignment horizontal="center" vertical="center"/>
    </xf>
    <xf numFmtId="272" fontId="104" fillId="14" borderId="0" xfId="313" applyNumberFormat="1" applyFont="1" applyFill="1" applyBorder="1" applyAlignment="1">
      <alignment horizontal="center" vertical="center"/>
    </xf>
    <xf numFmtId="0" fontId="104" fillId="19" borderId="12" xfId="306" applyFont="1" applyFill="1" applyBorder="1" applyAlignment="1">
      <alignment horizontal="center" vertical="center"/>
    </xf>
    <xf numFmtId="0" fontId="104" fillId="19" borderId="36" xfId="306" applyFont="1" applyFill="1" applyBorder="1" applyAlignment="1">
      <alignment horizontal="center" vertical="center"/>
    </xf>
    <xf numFmtId="0" fontId="124" fillId="19" borderId="93" xfId="310" applyFont="1" applyFill="1" applyBorder="1" applyAlignment="1">
      <alignment horizontal="center" vertical="center" wrapText="1"/>
    </xf>
    <xf numFmtId="0" fontId="124" fillId="19" borderId="43" xfId="310" applyFont="1" applyFill="1" applyBorder="1" applyAlignment="1">
      <alignment horizontal="center" vertical="center" wrapText="1"/>
    </xf>
    <xf numFmtId="0" fontId="124" fillId="19" borderId="44" xfId="310" applyFont="1" applyFill="1" applyBorder="1" applyAlignment="1">
      <alignment horizontal="center" vertical="center" wrapText="1"/>
    </xf>
    <xf numFmtId="0" fontId="124" fillId="19" borderId="115" xfId="310" applyNumberFormat="1" applyFont="1" applyFill="1" applyBorder="1" applyAlignment="1">
      <alignment horizontal="center" vertical="center" wrapText="1"/>
    </xf>
    <xf numFmtId="0" fontId="124" fillId="19" borderId="26" xfId="310" applyNumberFormat="1" applyFont="1" applyFill="1" applyBorder="1" applyAlignment="1">
      <alignment horizontal="center" vertical="center" wrapText="1"/>
    </xf>
    <xf numFmtId="0" fontId="124" fillId="19" borderId="7" xfId="310" applyNumberFormat="1" applyFont="1" applyFill="1" applyBorder="1" applyAlignment="1">
      <alignment horizontal="center" vertical="center" wrapText="1"/>
    </xf>
    <xf numFmtId="0" fontId="124" fillId="19" borderId="113" xfId="310" applyNumberFormat="1" applyFont="1" applyFill="1" applyBorder="1" applyAlignment="1">
      <alignment horizontal="center" vertical="center" wrapText="1"/>
    </xf>
    <xf numFmtId="0" fontId="124" fillId="19" borderId="29" xfId="310" applyNumberFormat="1" applyFont="1" applyFill="1" applyBorder="1" applyAlignment="1">
      <alignment horizontal="center" vertical="center" wrapText="1"/>
    </xf>
    <xf numFmtId="0" fontId="124" fillId="19" borderId="105" xfId="310" applyNumberFormat="1" applyFont="1" applyFill="1" applyBorder="1" applyAlignment="1">
      <alignment horizontal="center" vertical="center" wrapText="1"/>
    </xf>
    <xf numFmtId="252" fontId="119" fillId="14" borderId="0" xfId="258" applyNumberFormat="1" applyFont="1" applyFill="1" applyBorder="1" applyAlignment="1">
      <alignment horizontal="center" vertical="center"/>
    </xf>
    <xf numFmtId="9" fontId="119" fillId="14" borderId="0" xfId="258" applyFont="1" applyFill="1" applyBorder="1" applyAlignment="1">
      <alignment horizontal="center" vertical="center"/>
    </xf>
    <xf numFmtId="194" fontId="104" fillId="0" borderId="0" xfId="313" applyNumberFormat="1" applyFont="1" applyFill="1" applyBorder="1" applyAlignment="1">
      <alignment horizontal="left" vertical="center"/>
    </xf>
    <xf numFmtId="0" fontId="103" fillId="0" borderId="26" xfId="313" applyFont="1" applyFill="1" applyBorder="1" applyAlignment="1">
      <alignment horizontal="center" vertical="center"/>
    </xf>
    <xf numFmtId="272" fontId="104" fillId="14" borderId="26" xfId="313" applyNumberFormat="1" applyFont="1" applyFill="1" applyBorder="1" applyAlignment="1">
      <alignment horizontal="center" vertical="center"/>
    </xf>
    <xf numFmtId="0" fontId="106" fillId="0" borderId="29" xfId="0" applyFont="1" applyBorder="1" applyAlignment="1">
      <alignment horizontal="center" vertical="center"/>
    </xf>
    <xf numFmtId="0" fontId="103" fillId="0" borderId="70" xfId="0" applyFont="1" applyFill="1" applyBorder="1" applyAlignment="1">
      <alignment horizontal="center" vertical="center" wrapText="1"/>
    </xf>
    <xf numFmtId="0" fontId="103" fillId="0" borderId="71" xfId="0" applyFont="1" applyFill="1" applyBorder="1" applyAlignment="1">
      <alignment horizontal="center" vertical="center" wrapText="1"/>
    </xf>
    <xf numFmtId="0" fontId="103" fillId="0" borderId="70" xfId="0" applyFont="1" applyBorder="1" applyAlignment="1">
      <alignment horizontal="center" vertical="center" wrapText="1"/>
    </xf>
    <xf numFmtId="0" fontId="103" fillId="0" borderId="19" xfId="0" applyFont="1" applyFill="1" applyBorder="1" applyAlignment="1">
      <alignment horizontal="center" vertical="center" wrapText="1"/>
    </xf>
    <xf numFmtId="0" fontId="103" fillId="0" borderId="101" xfId="0" applyFont="1" applyBorder="1" applyAlignment="1">
      <alignment vertical="center"/>
    </xf>
    <xf numFmtId="0" fontId="103" fillId="0" borderId="196" xfId="0" applyFont="1" applyBorder="1" applyAlignment="1">
      <alignment vertical="center"/>
    </xf>
    <xf numFmtId="0" fontId="103" fillId="0" borderId="42" xfId="0" applyFont="1" applyBorder="1" applyAlignment="1">
      <alignment vertical="center"/>
    </xf>
    <xf numFmtId="2" fontId="103" fillId="0" borderId="65" xfId="0" applyNumberFormat="1" applyFont="1" applyBorder="1" applyAlignment="1">
      <alignment vertical="center"/>
    </xf>
    <xf numFmtId="2" fontId="103" fillId="0" borderId="196" xfId="0" applyNumberFormat="1" applyFont="1" applyBorder="1" applyAlignment="1">
      <alignment vertical="center"/>
    </xf>
    <xf numFmtId="2" fontId="103" fillId="0" borderId="42" xfId="0" applyNumberFormat="1" applyFont="1" applyBorder="1" applyAlignment="1">
      <alignment vertical="center"/>
    </xf>
    <xf numFmtId="0" fontId="103" fillId="0" borderId="65" xfId="0" applyFont="1" applyBorder="1" applyAlignment="1">
      <alignment vertical="center"/>
    </xf>
    <xf numFmtId="0" fontId="103" fillId="0" borderId="61" xfId="0" applyFont="1" applyBorder="1" applyAlignment="1">
      <alignment vertical="center"/>
    </xf>
    <xf numFmtId="0" fontId="172" fillId="0" borderId="29" xfId="0" applyFont="1" applyBorder="1" applyAlignment="1">
      <alignment horizontal="center" vertical="center"/>
    </xf>
    <xf numFmtId="0" fontId="103" fillId="0" borderId="50" xfId="0" applyFont="1" applyFill="1" applyBorder="1" applyAlignment="1">
      <alignment horizontal="center" vertical="center" wrapText="1"/>
    </xf>
    <xf numFmtId="0" fontId="103" fillId="0" borderId="40" xfId="0" applyFont="1" applyFill="1" applyBorder="1" applyAlignment="1">
      <alignment horizontal="center" vertical="center" wrapText="1"/>
    </xf>
    <xf numFmtId="0" fontId="103" fillId="0" borderId="100" xfId="0" applyFont="1" applyFill="1" applyBorder="1" applyAlignment="1">
      <alignment horizontal="center" vertical="center" wrapText="1"/>
    </xf>
    <xf numFmtId="0" fontId="103" fillId="0" borderId="102" xfId="0" applyFont="1" applyFill="1" applyBorder="1" applyAlignment="1">
      <alignment horizontal="center" vertical="center" wrapText="1"/>
    </xf>
    <xf numFmtId="0" fontId="103" fillId="0" borderId="53" xfId="0" applyFont="1" applyFill="1" applyBorder="1" applyAlignment="1">
      <alignment horizontal="center" vertical="center" wrapText="1"/>
    </xf>
    <xf numFmtId="0" fontId="103" fillId="0" borderId="38" xfId="0" applyFont="1" applyFill="1" applyBorder="1" applyAlignment="1">
      <alignment horizontal="center" vertical="center" wrapText="1"/>
    </xf>
    <xf numFmtId="0" fontId="103" fillId="0" borderId="22" xfId="0" applyFont="1" applyFill="1" applyBorder="1" applyAlignment="1">
      <alignment horizontal="center" vertical="center" wrapText="1"/>
    </xf>
    <xf numFmtId="0" fontId="103" fillId="0" borderId="51" xfId="0" applyFont="1" applyFill="1" applyBorder="1" applyAlignment="1">
      <alignment horizontal="center" vertical="center" wrapText="1"/>
    </xf>
    <xf numFmtId="0" fontId="103" fillId="0" borderId="41" xfId="0" applyFont="1" applyFill="1" applyBorder="1" applyAlignment="1">
      <alignment horizontal="center" vertical="center" wrapText="1"/>
    </xf>
    <xf numFmtId="0" fontId="103" fillId="0" borderId="62" xfId="0" applyFont="1" applyFill="1" applyBorder="1" applyAlignment="1">
      <alignment horizontal="center" vertical="center" wrapText="1"/>
    </xf>
    <xf numFmtId="0" fontId="103" fillId="0" borderId="54" xfId="0" applyFont="1" applyFill="1" applyBorder="1" applyAlignment="1">
      <alignment horizontal="center" vertical="center" wrapText="1"/>
    </xf>
    <xf numFmtId="0" fontId="102" fillId="0" borderId="0" xfId="315" applyAlignment="1" applyProtection="1">
      <alignment vertical="center"/>
    </xf>
    <xf numFmtId="0" fontId="138" fillId="0" borderId="0" xfId="0" applyFont="1" applyAlignment="1">
      <alignment vertical="center"/>
    </xf>
    <xf numFmtId="0" fontId="17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</cellXfs>
  <cellStyles count="319">
    <cellStyle name="$" xfId="1"/>
    <cellStyle name="$_db진흥" xfId="2"/>
    <cellStyle name="$_SE40" xfId="3"/>
    <cellStyle name="$_견적2" xfId="4"/>
    <cellStyle name="$_기아" xfId="5"/>
    <cellStyle name="??&amp;O?&amp;H?_x0008__x000f__x0007_?_x0007__x0001__x0001_" xfId="6"/>
    <cellStyle name="??&amp;O?&amp;H?_x0008_??_x0007__x0001__x0001_" xfId="7"/>
    <cellStyle name="??&amp;쏗?뷐9_x0008__x0011__x0007_?_x0007__x0001__x0001_" xfId="8"/>
    <cellStyle name="?W?_laroux" xfId="9"/>
    <cellStyle name="_09월소장단회의자료1" xfId="10"/>
    <cellStyle name="_09월소장단회의자료1_B-1,B-1-1노선변경실정보고" xfId="11"/>
    <cellStyle name="_09월소장단회의자료1_토공계획" xfId="12"/>
    <cellStyle name="_09월소장단회의자료1_토공계획_B-1,B-1-1노선변경실정보고" xfId="13"/>
    <cellStyle name="_09월소장단회의자료1_토공계획_구조물공사시공계획서" xfId="14"/>
    <cellStyle name="_09월소장단회의자료1_토공계획_구조물공사시공계획서_B-1,B-1-1노선변경실정보고" xfId="15"/>
    <cellStyle name="_09월소장단회의자료1_토공계획_토공사시공계획서" xfId="16"/>
    <cellStyle name="_09월소장단회의자료1_토공계획_토공사시공계획서(포)" xfId="17"/>
    <cellStyle name="_09월소장단회의자료1_토공계획_토공사시공계획서(포)_B-1,B-1-1노선변경실정보고" xfId="18"/>
    <cellStyle name="_09월소장단회의자료1_토공계획_토공사시공계획서_B-1,B-1-1노선변경실정보고" xfId="19"/>
    <cellStyle name="_09월소장단회의자료1_토공시공계획서(효)" xfId="20"/>
    <cellStyle name="_09월소장단회의자료1_토공시공계획서(효)_B-1,B-1-1노선변경실정보고" xfId="21"/>
    <cellStyle name="_09월소장단회의자료1_토공시공계획서(효)_구조물공사시공계획서" xfId="22"/>
    <cellStyle name="_09월소장단회의자료1_토공시공계획서(효)_구조물공사시공계획서_B-1,B-1-1노선변경실정보고" xfId="23"/>
    <cellStyle name="_09월소장단회의자료1_토공시공계획서(효)_토공사시공계획서" xfId="24"/>
    <cellStyle name="_09월소장단회의자료1_토공시공계획서(효)_토공사시공계획서(포)" xfId="25"/>
    <cellStyle name="_09월소장단회의자료1_토공시공계획서(효)_토공사시공계획서(포)_B-1,B-1-1노선변경실정보고" xfId="26"/>
    <cellStyle name="_09월소장단회의자료1_토공시공계획서(효)_토공사시공계획서_B-1,B-1-1노선변경실정보고" xfId="27"/>
    <cellStyle name="_2001년1월소장단회의REV2" xfId="28"/>
    <cellStyle name="_2001년1월소장단회의REV2_B-1,B-1-1노선변경실정보고" xfId="29"/>
    <cellStyle name="_2001년1월소장단회의REV2_토공계획" xfId="30"/>
    <cellStyle name="_2001년1월소장단회의REV2_토공계획_B-1,B-1-1노선변경실정보고" xfId="31"/>
    <cellStyle name="_2001년1월소장단회의REV2_토공계획_구조물공사시공계획서" xfId="32"/>
    <cellStyle name="_2001년1월소장단회의REV2_토공계획_구조물공사시공계획서_B-1,B-1-1노선변경실정보고" xfId="33"/>
    <cellStyle name="_2001년1월소장단회의REV2_토공계획_토공사시공계획서" xfId="34"/>
    <cellStyle name="_2001년1월소장단회의REV2_토공계획_토공사시공계획서(포)" xfId="35"/>
    <cellStyle name="_2001년1월소장단회의REV2_토공계획_토공사시공계획서(포)_B-1,B-1-1노선변경실정보고" xfId="36"/>
    <cellStyle name="_2001년1월소장단회의REV2_토공계획_토공사시공계획서_B-1,B-1-1노선변경실정보고" xfId="37"/>
    <cellStyle name="_2001년1월소장단회의REV2_토공시공계획서(효)" xfId="38"/>
    <cellStyle name="_2001년1월소장단회의REV2_토공시공계획서(효)_B-1,B-1-1노선변경실정보고" xfId="39"/>
    <cellStyle name="_2001년1월소장단회의REV2_토공시공계획서(효)_구조물공사시공계획서" xfId="40"/>
    <cellStyle name="_2001년1월소장단회의REV2_토공시공계획서(효)_구조물공사시공계획서_B-1,B-1-1노선변경실정보고" xfId="41"/>
    <cellStyle name="_2001년1월소장단회의REV2_토공시공계획서(효)_토공사시공계획서" xfId="42"/>
    <cellStyle name="_2001년1월소장단회의REV2_토공시공계획서(효)_토공사시공계획서(포)" xfId="43"/>
    <cellStyle name="_2001년1월소장단회의REV2_토공시공계획서(효)_토공사시공계획서(포)_B-1,B-1-1노선변경실정보고" xfId="44"/>
    <cellStyle name="_2001년1월소장단회의REV2_토공시공계획서(효)_토공사시공계획서_B-1,B-1-1노선변경실정보고" xfId="45"/>
    <cellStyle name="_2001년1월소장회의" xfId="46"/>
    <cellStyle name="_2001년1월소장회의_B-1,B-1-1노선변경실정보고" xfId="47"/>
    <cellStyle name="_2001년1월소장회의_토공계획" xfId="48"/>
    <cellStyle name="_2001년1월소장회의_토공계획_B-1,B-1-1노선변경실정보고" xfId="49"/>
    <cellStyle name="_2001년1월소장회의_토공계획_구조물공사시공계획서" xfId="50"/>
    <cellStyle name="_2001년1월소장회의_토공계획_구조물공사시공계획서_B-1,B-1-1노선변경실정보고" xfId="51"/>
    <cellStyle name="_2001년1월소장회의_토공계획_토공사시공계획서" xfId="52"/>
    <cellStyle name="_2001년1월소장회의_토공계획_토공사시공계획서(포)" xfId="53"/>
    <cellStyle name="_2001년1월소장회의_토공계획_토공사시공계획서(포)_B-1,B-1-1노선변경실정보고" xfId="54"/>
    <cellStyle name="_2001년1월소장회의_토공계획_토공사시공계획서_B-1,B-1-1노선변경실정보고" xfId="55"/>
    <cellStyle name="_2001년1월소장회의_토공시공계획서(효)" xfId="56"/>
    <cellStyle name="_2001년1월소장회의_토공시공계획서(효)_B-1,B-1-1노선변경실정보고" xfId="57"/>
    <cellStyle name="_2001년1월소장회의_토공시공계획서(효)_구조물공사시공계획서" xfId="58"/>
    <cellStyle name="_2001년1월소장회의_토공시공계획서(효)_구조물공사시공계획서_B-1,B-1-1노선변경실정보고" xfId="59"/>
    <cellStyle name="_2001년1월소장회의_토공시공계획서(효)_토공사시공계획서" xfId="60"/>
    <cellStyle name="_2001년1월소장회의_토공시공계획서(효)_토공사시공계획서(포)" xfId="61"/>
    <cellStyle name="_2001년1월소장회의_토공시공계획서(효)_토공사시공계획서(포)_B-1,B-1-1노선변경실정보고" xfId="62"/>
    <cellStyle name="_2001년1월소장회의_토공시공계획서(효)_토공사시공계획서_B-1,B-1-1노선변경실정보고" xfId="63"/>
    <cellStyle name="_FCST (2)" xfId="64"/>
    <cellStyle name="_부대시설물수량산출" xfId="65"/>
    <cellStyle name="_사진대지" xfId="66"/>
    <cellStyle name="_사진대지_B-1,B-1-1노선변경실정보고" xfId="67"/>
    <cellStyle name="_유재복차장(CP10,17,HP5100_mail)" xfId="68"/>
    <cellStyle name="_토공계획" xfId="69"/>
    <cellStyle name="_토공계획_B-1,B-1-1노선변경실정보고" xfId="70"/>
    <cellStyle name="_토공계획_구조물공사시공계획서" xfId="71"/>
    <cellStyle name="_토공계획_구조물공사시공계획서_B-1,B-1-1노선변경실정보고" xfId="72"/>
    <cellStyle name="_토공계획_토공사시공계획서" xfId="73"/>
    <cellStyle name="_토공계획_토공사시공계획서(포)" xfId="74"/>
    <cellStyle name="_토공계획_토공사시공계획서(포)_B-1,B-1-1노선변경실정보고" xfId="75"/>
    <cellStyle name="_토공계획_토공사시공계획서_B-1,B-1-1노선변경실정보고" xfId="76"/>
    <cellStyle name="_토공시공계획서(효)" xfId="77"/>
    <cellStyle name="_토공시공계획서(효)_B-1,B-1-1노선변경실정보고" xfId="78"/>
    <cellStyle name="_토공시공계획서(효)_구조물공사시공계획서" xfId="79"/>
    <cellStyle name="_토공시공계획서(효)_구조물공사시공계획서_B-1,B-1-1노선변경실정보고" xfId="80"/>
    <cellStyle name="_토공시공계획서(효)_토공사시공계획서" xfId="81"/>
    <cellStyle name="_토공시공계획서(효)_토공사시공계획서(포)" xfId="82"/>
    <cellStyle name="_토공시공계획서(효)_토공사시공계획서(포)_B-1,B-1-1노선변경실정보고" xfId="83"/>
    <cellStyle name="_토공시공계획서(효)_토공사시공계획서_B-1,B-1-1노선변경실정보고" xfId="84"/>
    <cellStyle name="´þ" xfId="85"/>
    <cellStyle name="’E‰Y [0.00]_laroux" xfId="86"/>
    <cellStyle name="’E‰Y_laroux" xfId="87"/>
    <cellStyle name="°ia¤¼o " xfId="88"/>
    <cellStyle name="°ia¤aa " xfId="89"/>
    <cellStyle name="¾È°ÇÈ¸°è¹ýÀÎ" xfId="90"/>
    <cellStyle name="2)" xfId="91"/>
    <cellStyle name="³?a" xfId="92"/>
    <cellStyle name="60" xfId="93"/>
    <cellStyle name="ÅëÈ­ [0]_¿¹»ê¼­" xfId="94"/>
    <cellStyle name="AeE­ [0]_7°eE¹ " xfId="95"/>
    <cellStyle name="ÅëÈ­ [0]_7°èÈ¹ " xfId="96"/>
    <cellStyle name="AeE­ [0]_A¾CO½A¼³ " xfId="97"/>
    <cellStyle name="ÅëÈ­_¿¹»ê¼­" xfId="98"/>
    <cellStyle name="AeE­_7°eE¹ " xfId="99"/>
    <cellStyle name="ÅëÈ­_7°èÈ¹ " xfId="100"/>
    <cellStyle name="AeE­_7°eE¹$" xfId="101"/>
    <cellStyle name="Æu¼ " xfId="102"/>
    <cellStyle name="ALIGNMENT" xfId="103"/>
    <cellStyle name="ÄÞ¸¶ [0]_¿¹»ê¼­" xfId="104"/>
    <cellStyle name="AÞ¸¶ [0]_7°eE¹ " xfId="105"/>
    <cellStyle name="ÄÞ¸¶ [0]_7°èÈ¹ " xfId="106"/>
    <cellStyle name="AÞ¸¶ [0]_A¾CO½A¼³ " xfId="107"/>
    <cellStyle name="ÄÞ¸¶_¿¹»ê¼­" xfId="108"/>
    <cellStyle name="AÞ¸¶_7°eE¹ " xfId="109"/>
    <cellStyle name="ÄÞ¸¶_7°èÈ¹ " xfId="110"/>
    <cellStyle name="AÞ¸¶_A¾CO½A¼³ " xfId="111"/>
    <cellStyle name="Au¸r " xfId="112"/>
    <cellStyle name="Au¸r¼" xfId="113"/>
    <cellStyle name="Background" xfId="114"/>
    <cellStyle name="BoldHdr" xfId="115"/>
    <cellStyle name="Ç¥ÁØ_#3E4¿î»ê" xfId="116"/>
    <cellStyle name="C￥AØ_¿μ¾÷CoE² " xfId="117"/>
    <cellStyle name="Ç¥ÁØ_»óºÎ¼ö·®Áý°è " xfId="118"/>
    <cellStyle name="C￥AØ_≫c¾÷ºIº° AN°e " xfId="119"/>
    <cellStyle name="Ç¥ÁØ_¼ÕÀÍ¿¹»ê" xfId="120"/>
    <cellStyle name="C￥AØ_95,96 ºn±³ " xfId="121"/>
    <cellStyle name="Ç¥ÁØ_95,96 ºñ±³ " xfId="122"/>
    <cellStyle name="Calc Currency (0)" xfId="123"/>
    <cellStyle name="category" xfId="124"/>
    <cellStyle name="Co≫" xfId="125"/>
    <cellStyle name="ColHdr" xfId="126"/>
    <cellStyle name="Column Headings" xfId="127"/>
    <cellStyle name="Comma" xfId="128"/>
    <cellStyle name="Comma [0]" xfId="129"/>
    <cellStyle name="comma zerodec" xfId="130"/>
    <cellStyle name="Comma_ SG&amp;A Bridge " xfId="131"/>
    <cellStyle name="Comma0" xfId="132"/>
    <cellStyle name="Company Info" xfId="133"/>
    <cellStyle name="Contents Heading 1" xfId="134"/>
    <cellStyle name="Contents Heading 2" xfId="135"/>
    <cellStyle name="Contents Heading 3" xfId="136"/>
    <cellStyle name="Copied" xfId="137"/>
    <cellStyle name="CoverHeadline1" xfId="138"/>
    <cellStyle name="Curr" xfId="139"/>
    <cellStyle name="Curren" xfId="140"/>
    <cellStyle name="Currency" xfId="141"/>
    <cellStyle name="Currency [0]" xfId="142"/>
    <cellStyle name="Currency_ SG&amp;A Bridge " xfId="143"/>
    <cellStyle name="Currency0" xfId="144"/>
    <cellStyle name="Currency1" xfId="145"/>
    <cellStyle name="Data" xfId="146"/>
    <cellStyle name="Date" xfId="147"/>
    <cellStyle name="Dezimal [0]_laroux" xfId="148"/>
    <cellStyle name="Dezimal_laroux" xfId="149"/>
    <cellStyle name="Display" xfId="150"/>
    <cellStyle name="Display Price" xfId="151"/>
    <cellStyle name="Dollar (zero dec)" xfId="152"/>
    <cellStyle name="EA" xfId="153"/>
    <cellStyle name="E­æo±" xfId="154"/>
    <cellStyle name="E­æo±a" xfId="155"/>
    <cellStyle name="Entered" xfId="156"/>
    <cellStyle name="Euro" xfId="157"/>
    <cellStyle name="F2" xfId="158"/>
    <cellStyle name="F3" xfId="159"/>
    <cellStyle name="F4" xfId="160"/>
    <cellStyle name="F5" xfId="161"/>
    <cellStyle name="F6" xfId="162"/>
    <cellStyle name="F7" xfId="163"/>
    <cellStyle name="F8" xfId="164"/>
    <cellStyle name="FinePrint" xfId="165"/>
    <cellStyle name="Fixed" xfId="166"/>
    <cellStyle name="G" xfId="167"/>
    <cellStyle name="Grey" xfId="168"/>
    <cellStyle name="HEADER" xfId="169"/>
    <cellStyle name="Header1" xfId="170"/>
    <cellStyle name="Header2" xfId="171"/>
    <cellStyle name="Heading" xfId="172"/>
    <cellStyle name="Heading 1" xfId="173"/>
    <cellStyle name="Heading 2" xfId="174"/>
    <cellStyle name="Heading 3" xfId="175"/>
    <cellStyle name="HEADING1" xfId="176"/>
    <cellStyle name="HEADING2" xfId="177"/>
    <cellStyle name="Heading2Divider" xfId="178"/>
    <cellStyle name="Hyperlink_NEGS" xfId="179"/>
    <cellStyle name="Input" xfId="180"/>
    <cellStyle name="Input [yellow]" xfId="181"/>
    <cellStyle name="Input Price" xfId="182"/>
    <cellStyle name="Input Quantity" xfId="183"/>
    <cellStyle name="Input Single Cell" xfId="184"/>
    <cellStyle name="InputBodyCurr" xfId="185"/>
    <cellStyle name="InputBodyDate" xfId="186"/>
    <cellStyle name="InputBodyText" xfId="187"/>
    <cellStyle name="InputColor" xfId="188"/>
    <cellStyle name="Item" xfId="189"/>
    <cellStyle name="Item Input" xfId="190"/>
    <cellStyle name="Milliers [0]_Arabian Spec" xfId="191"/>
    <cellStyle name="Milliers_Arabian Spec" xfId="192"/>
    <cellStyle name="mma_CASH &amp; DSO" xfId="193"/>
    <cellStyle name="Model" xfId="194"/>
    <cellStyle name="Mon?aire [0]_Arabian Spec" xfId="195"/>
    <cellStyle name="Mon?aire_Arabian Spec" xfId="196"/>
    <cellStyle name="Normal - Style1" xfId="197"/>
    <cellStyle name="Normal_ SG&amp;A Bridge " xfId="198"/>
    <cellStyle name="Œ…?æ맖?e [0.00]_laroux" xfId="199"/>
    <cellStyle name="Œ…?æ맖?e_laroux" xfId="200"/>
    <cellStyle name="Output Single Cell" xfId="201"/>
    <cellStyle name="Package Size" xfId="202"/>
    <cellStyle name="Percent" xfId="203"/>
    <cellStyle name="Percent [2]" xfId="204"/>
    <cellStyle name="Percent_01.원봉토공(3.14)" xfId="205"/>
    <cellStyle name="Print Heading" xfId="206"/>
    <cellStyle name="Ʀ" xfId="207"/>
    <cellStyle name="Recipe" xfId="208"/>
    <cellStyle name="Recipe Heading" xfId="209"/>
    <cellStyle name="Recipe_괴산연풍통합-변상엽수정" xfId="210"/>
    <cellStyle name="Revenue" xfId="211"/>
    <cellStyle name="RevList" xfId="212"/>
    <cellStyle name="RptTitle" xfId="213"/>
    <cellStyle name="SHIM" xfId="214"/>
    <cellStyle name="Standard_laroux" xfId="215"/>
    <cellStyle name="subhead" xfId="216"/>
    <cellStyle name="SubHeading" xfId="217"/>
    <cellStyle name="Subtotal" xfId="218"/>
    <cellStyle name="Subtotal 1" xfId="219"/>
    <cellStyle name="Suggested Quantity" xfId="220"/>
    <cellStyle name="title [1]" xfId="221"/>
    <cellStyle name="title [2]" xfId="222"/>
    <cellStyle name="ton" xfId="223"/>
    <cellStyle name="Total" xfId="224"/>
    <cellStyle name="TotalCurr" xfId="225"/>
    <cellStyle name="TotalHdr" xfId="226"/>
    <cellStyle name="UM" xfId="227"/>
    <cellStyle name="W?rung [0]_laroux" xfId="228"/>
    <cellStyle name="W?rung_FixerSetupDlg" xfId="229"/>
    <cellStyle name="고정소숫점" xfId="230"/>
    <cellStyle name="고정출력1" xfId="231"/>
    <cellStyle name="고정출력2" xfId="232"/>
    <cellStyle name="공사원가계산서(조경)" xfId="233"/>
    <cellStyle name="공종-규격" xfId="234"/>
    <cellStyle name="날짜" xfId="235"/>
    <cellStyle name="내역서" xfId="236"/>
    <cellStyle name="단위-&quot;*&quot;" xfId="237"/>
    <cellStyle name="단위-%" xfId="238"/>
    <cellStyle name="단위-kg" xfId="239"/>
    <cellStyle name="단위-m" xfId="240"/>
    <cellStyle name="단위-㎡" xfId="241"/>
    <cellStyle name="단위-㎡/개소" xfId="242"/>
    <cellStyle name="단위-㎡_2. 남부맨홀공" xfId="243"/>
    <cellStyle name="단위-㎥" xfId="244"/>
    <cellStyle name="단위-t=" xfId="245"/>
    <cellStyle name="달러" xfId="246"/>
    <cellStyle name="대공종" xfId="247"/>
    <cellStyle name="뒤에 오는 하이퍼링크" xfId="248"/>
    <cellStyle name="똿뗦먛귟 [0.00]_PRODUCT DETAIL Q1" xfId="249"/>
    <cellStyle name="똿뗦먛귟_PRODUCT DETAIL Q1" xfId="250"/>
    <cellStyle name="믅됞 [0.00]_PRODUCT DETAIL Q1" xfId="251"/>
    <cellStyle name="믅됞_PRODUCT DETAIL Q1" xfId="252"/>
    <cellStyle name="백 " xfId="253"/>
    <cellStyle name="백분율" xfId="254" builtinId="5"/>
    <cellStyle name="백분율 [0]" xfId="255"/>
    <cellStyle name="백분율 [2]" xfId="256"/>
    <cellStyle name="백분율 2" xfId="257"/>
    <cellStyle name="백분율 3" xfId="258"/>
    <cellStyle name="뷭?" xfId="259"/>
    <cellStyle name="산출식" xfId="260"/>
    <cellStyle name="소공종" xfId="261"/>
    <cellStyle name="수량" xfId="262"/>
    <cellStyle name="숫자(R)" xfId="263"/>
    <cellStyle name="쉼표 [0]" xfId="264" builtinId="6"/>
    <cellStyle name="쉼표 [0] 2" xfId="265"/>
    <cellStyle name="쉼표 [0]_엄다~자풍 확포장공사 실시설계용역(환경)" xfId="266"/>
    <cellStyle name="쉼표 [0]_환경성검토" xfId="267"/>
    <cellStyle name="스타일 1" xfId="268"/>
    <cellStyle name="안건회계법인" xfId="269"/>
    <cellStyle name="양식-타이틀" xfId="270"/>
    <cellStyle name="왼쪽2" xfId="271"/>
    <cellStyle name="우괄호_박심배수구조물공" xfId="272"/>
    <cellStyle name="우측양괄호" xfId="273"/>
    <cellStyle name="원" xfId="274"/>
    <cellStyle name="유1" xfId="275"/>
    <cellStyle name="일반" xfId="276"/>
    <cellStyle name="자리수" xfId="277"/>
    <cellStyle name="자리수0" xfId="278"/>
    <cellStyle name="제곱" xfId="279"/>
    <cellStyle name="좌괄호_박심배수구조물공" xfId="280"/>
    <cellStyle name="좌측양괄호" xfId="281"/>
    <cellStyle name="지정되지 않음" xfId="282"/>
    <cellStyle name="콤" xfId="283"/>
    <cellStyle name="콤_문경내역(1127)" xfId="284"/>
    <cellStyle name="콤_설계비산출" xfId="285"/>
    <cellStyle name="콤마 [" xfId="286"/>
    <cellStyle name="콤마 [0]_  종  합  " xfId="287"/>
    <cellStyle name="콤마 [1]" xfId="288"/>
    <cellStyle name="콤마 [2]" xfId="289"/>
    <cellStyle name="콤마_  종  합  " xfId="290"/>
    <cellStyle name="통" xfId="291"/>
    <cellStyle name="통_문경내역(1127)" xfId="292"/>
    <cellStyle name="통_설계비산출" xfId="293"/>
    <cellStyle name="통화 [" xfId="294"/>
    <cellStyle name="통화 [0] 2" xfId="295"/>
    <cellStyle name="통화 [0㉝〸" xfId="296"/>
    <cellStyle name="퍼센트" xfId="297"/>
    <cellStyle name="표" xfId="298"/>
    <cellStyle name="표_문경내역(1127)" xfId="299"/>
    <cellStyle name="표_설계비산출" xfId="300"/>
    <cellStyle name="표준" xfId="0" builtinId="0"/>
    <cellStyle name="표준 2" xfId="301"/>
    <cellStyle name="표준 3" xfId="302"/>
    <cellStyle name="표준 4" xfId="303"/>
    <cellStyle name="標準_Akia(F）-8" xfId="304"/>
    <cellStyle name="표준_Book1" xfId="305"/>
    <cellStyle name="표준_OO~OO간 지방도 확장공사 실시설계용역" xfId="306"/>
    <cellStyle name="표준_개략공사비" xfId="307"/>
    <cellStyle name="표준_기본및실시설계내역서(050621)" xfId="308"/>
    <cellStyle name="표준_아산내역(2천노임)" xfId="309"/>
    <cellStyle name="표준_엄다~자풍 확포장공사 실시설계용역(환경)" xfId="310"/>
    <cellStyle name="표준_용역대가" xfId="311"/>
    <cellStyle name="표준_용역사업대가기준" xfId="312"/>
    <cellStyle name="표준_환경성검토" xfId="313"/>
    <cellStyle name="표준JKDH" xfId="314"/>
    <cellStyle name="하이퍼링크" xfId="315" builtinId="8"/>
    <cellStyle name="합산" xfId="316"/>
    <cellStyle name="화폐기호" xfId="317"/>
    <cellStyle name="화폐기호0" xfId="3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28</xdr:row>
      <xdr:rowOff>200025</xdr:rowOff>
    </xdr:from>
    <xdr:to>
      <xdr:col>2</xdr:col>
      <xdr:colOff>190500</xdr:colOff>
      <xdr:row>28</xdr:row>
      <xdr:rowOff>200025</xdr:rowOff>
    </xdr:to>
    <xdr:pic>
      <xdr:nvPicPr>
        <xdr:cNvPr id="20053" name="그림 8" descr="고추요정.jpg">
          <a:extLst>
            <a:ext uri="{FF2B5EF4-FFF2-40B4-BE49-F238E27FC236}">
              <a16:creationId xmlns:a16="http://schemas.microsoft.com/office/drawing/2014/main" xmlns="" id="{00000000-0008-0000-0200-0000554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667750"/>
          <a:ext cx="695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68</xdr:row>
      <xdr:rowOff>168521</xdr:rowOff>
    </xdr:from>
    <xdr:to>
      <xdr:col>7</xdr:col>
      <xdr:colOff>627530</xdr:colOff>
      <xdr:row>69</xdr:row>
      <xdr:rowOff>168521</xdr:rowOff>
    </xdr:to>
    <xdr:sp macro="" textlink="">
      <xdr:nvSpPr>
        <xdr:cNvPr id="7" name="직사각형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/>
      </xdr:nvSpPr>
      <xdr:spPr>
        <a:xfrm>
          <a:off x="3316941" y="21257992"/>
          <a:ext cx="1266265" cy="324970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ko-KR" altLang="en-US"/>
        </a:p>
      </xdr:txBody>
    </xdr:sp>
    <xdr:clientData/>
  </xdr:twoCellAnchor>
  <xdr:twoCellAnchor editAs="oneCell">
    <xdr:from>
      <xdr:col>6</xdr:col>
      <xdr:colOff>114300</xdr:colOff>
      <xdr:row>48</xdr:row>
      <xdr:rowOff>266700</xdr:rowOff>
    </xdr:from>
    <xdr:to>
      <xdr:col>7</xdr:col>
      <xdr:colOff>333375</xdr:colOff>
      <xdr:row>51</xdr:row>
      <xdr:rowOff>76200</xdr:rowOff>
    </xdr:to>
    <xdr:pic>
      <xdr:nvPicPr>
        <xdr:cNvPr id="20055" name="그림 4" descr="기본심벌.jpg">
          <a:extLst>
            <a:ext uri="{FF2B5EF4-FFF2-40B4-BE49-F238E27FC236}">
              <a16:creationId xmlns:a16="http://schemas.microsoft.com/office/drawing/2014/main" xmlns="" id="{00000000-0008-0000-0200-0000574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15211425"/>
          <a:ext cx="8572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72</xdr:row>
      <xdr:rowOff>176893</xdr:rowOff>
    </xdr:from>
    <xdr:to>
      <xdr:col>14</xdr:col>
      <xdr:colOff>627529</xdr:colOff>
      <xdr:row>73</xdr:row>
      <xdr:rowOff>149678</xdr:rowOff>
    </xdr:to>
    <xdr:sp macro="" textlink="">
      <xdr:nvSpPr>
        <xdr:cNvPr id="12" name="직사각형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/>
      </xdr:nvSpPr>
      <xdr:spPr>
        <a:xfrm>
          <a:off x="5871882" y="22566246"/>
          <a:ext cx="3182471" cy="297756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ko-KR" altLang="en-US"/>
        </a:p>
      </xdr:txBody>
    </xdr:sp>
    <xdr:clientData/>
  </xdr:twoCellAnchor>
  <xdr:twoCellAnchor>
    <xdr:from>
      <xdr:col>6</xdr:col>
      <xdr:colOff>9525</xdr:colOff>
      <xdr:row>74</xdr:row>
      <xdr:rowOff>176893</xdr:rowOff>
    </xdr:from>
    <xdr:to>
      <xdr:col>14</xdr:col>
      <xdr:colOff>627529</xdr:colOff>
      <xdr:row>75</xdr:row>
      <xdr:rowOff>168521</xdr:rowOff>
    </xdr:to>
    <xdr:sp macro="" textlink="">
      <xdr:nvSpPr>
        <xdr:cNvPr id="13" name="직사각형 1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/>
      </xdr:nvSpPr>
      <xdr:spPr>
        <a:xfrm>
          <a:off x="3326466" y="23216187"/>
          <a:ext cx="5727887" cy="316599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ko-KR" altLang="en-US"/>
        </a:p>
      </xdr:txBody>
    </xdr:sp>
    <xdr:clientData/>
  </xdr:twoCellAnchor>
  <xdr:twoCellAnchor>
    <xdr:from>
      <xdr:col>8</xdr:col>
      <xdr:colOff>18840</xdr:colOff>
      <xdr:row>70</xdr:row>
      <xdr:rowOff>183175</xdr:rowOff>
    </xdr:from>
    <xdr:to>
      <xdr:col>10</xdr:col>
      <xdr:colOff>0</xdr:colOff>
      <xdr:row>71</xdr:row>
      <xdr:rowOff>163285</xdr:rowOff>
    </xdr:to>
    <xdr:sp macro="" textlink="">
      <xdr:nvSpPr>
        <xdr:cNvPr id="8" name="직사각형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/>
      </xdr:nvSpPr>
      <xdr:spPr>
        <a:xfrm>
          <a:off x="4613252" y="21922587"/>
          <a:ext cx="1258630" cy="305080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ko-KR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28575</xdr:colOff>
      <xdr:row>19</xdr:row>
      <xdr:rowOff>95250</xdr:rowOff>
    </xdr:from>
    <xdr:to>
      <xdr:col>38</xdr:col>
      <xdr:colOff>28575</xdr:colOff>
      <xdr:row>19</xdr:row>
      <xdr:rowOff>95250</xdr:rowOff>
    </xdr:to>
    <xdr:sp macro="" textlink="">
      <xdr:nvSpPr>
        <xdr:cNvPr id="7378" name="Line 2">
          <a:extLst>
            <a:ext uri="{FF2B5EF4-FFF2-40B4-BE49-F238E27FC236}">
              <a16:creationId xmlns:a16="http://schemas.microsoft.com/office/drawing/2014/main" xmlns="" id="{00000000-0008-0000-0400-0000D21C0000}"/>
            </a:ext>
          </a:extLst>
        </xdr:cNvPr>
        <xdr:cNvSpPr>
          <a:spLocks noChangeShapeType="1"/>
        </xdr:cNvSpPr>
      </xdr:nvSpPr>
      <xdr:spPr bwMode="auto">
        <a:xfrm>
          <a:off x="4867275" y="3019425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47625</xdr:colOff>
      <xdr:row>29</xdr:row>
      <xdr:rowOff>85725</xdr:rowOff>
    </xdr:from>
    <xdr:to>
      <xdr:col>51</xdr:col>
      <xdr:colOff>190500</xdr:colOff>
      <xdr:row>29</xdr:row>
      <xdr:rowOff>85725</xdr:rowOff>
    </xdr:to>
    <xdr:sp macro="" textlink="">
      <xdr:nvSpPr>
        <xdr:cNvPr id="7379" name="Line 3">
          <a:extLst>
            <a:ext uri="{FF2B5EF4-FFF2-40B4-BE49-F238E27FC236}">
              <a16:creationId xmlns:a16="http://schemas.microsoft.com/office/drawing/2014/main" xmlns="" id="{00000000-0008-0000-0400-0000D31C0000}"/>
            </a:ext>
          </a:extLst>
        </xdr:cNvPr>
        <xdr:cNvSpPr>
          <a:spLocks noChangeShapeType="1"/>
        </xdr:cNvSpPr>
      </xdr:nvSpPr>
      <xdr:spPr bwMode="auto">
        <a:xfrm>
          <a:off x="5286375" y="4533900"/>
          <a:ext cx="4343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8283</xdr:colOff>
      <xdr:row>0</xdr:row>
      <xdr:rowOff>0</xdr:rowOff>
    </xdr:from>
    <xdr:to>
      <xdr:col>29</xdr:col>
      <xdr:colOff>115956</xdr:colOff>
      <xdr:row>0</xdr:row>
      <xdr:rowOff>323022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SpPr txBox="1"/>
      </xdr:nvSpPr>
      <xdr:spPr>
        <a:xfrm>
          <a:off x="5102087" y="0"/>
          <a:ext cx="4414630" cy="3230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144000" tIns="0" rIns="0" bIns="0" rtlCol="0" anchor="ctr"/>
        <a:lstStyle/>
        <a:p>
          <a:pPr>
            <a:lnSpc>
              <a:spcPts val="1000"/>
            </a:lnSpc>
          </a:pPr>
          <a:r>
            <a:rPr lang="ko-KR" altLang="en-US" sz="700" b="1">
              <a:solidFill>
                <a:srgbClr val="FF0000"/>
              </a:solidFill>
              <a:latin typeface="+mn-ea"/>
              <a:ea typeface="+mn-ea"/>
            </a:rPr>
            <a:t>공공측량에서 제외되는 측량</a:t>
          </a:r>
          <a:endParaRPr lang="en-US" altLang="ko-KR" sz="700" b="1">
            <a:solidFill>
              <a:srgbClr val="FF0000"/>
            </a:solidFill>
            <a:latin typeface="+mn-ea"/>
            <a:ea typeface="+mn-ea"/>
          </a:endParaRPr>
        </a:p>
        <a:p>
          <a:pPr>
            <a:lnSpc>
              <a:spcPts val="1000"/>
            </a:lnSpc>
          </a:pPr>
          <a:r>
            <a:rPr lang="en-US" altLang="ko-KR" sz="700" b="1">
              <a:solidFill>
                <a:srgbClr val="FF0000"/>
              </a:solidFill>
              <a:latin typeface="+mn-ea"/>
              <a:ea typeface="+mn-ea"/>
            </a:rPr>
            <a:t>1. 30,000㎡ </a:t>
          </a:r>
          <a:r>
            <a:rPr lang="ko-KR" altLang="en-US" sz="700" b="1">
              <a:solidFill>
                <a:srgbClr val="FF0000"/>
              </a:solidFill>
              <a:latin typeface="+mn-ea"/>
              <a:ea typeface="+mn-ea"/>
            </a:rPr>
            <a:t>미만인 기준점측량</a:t>
          </a:r>
          <a:r>
            <a:rPr lang="en-US" altLang="ko-KR" sz="700" b="1">
              <a:solidFill>
                <a:srgbClr val="FF0000"/>
              </a:solidFill>
              <a:latin typeface="+mn-ea"/>
              <a:ea typeface="+mn-ea"/>
            </a:rPr>
            <a:t>, </a:t>
          </a:r>
          <a:r>
            <a:rPr lang="ko-KR" altLang="en-US" sz="700" b="1">
              <a:solidFill>
                <a:srgbClr val="FF0000"/>
              </a:solidFill>
              <a:latin typeface="+mn-ea"/>
              <a:ea typeface="+mn-ea"/>
            </a:rPr>
            <a:t>지형측량</a:t>
          </a:r>
          <a:r>
            <a:rPr lang="en-US" altLang="ko-KR" sz="700" b="1">
              <a:solidFill>
                <a:srgbClr val="FF0000"/>
              </a:solidFill>
              <a:latin typeface="+mn-ea"/>
              <a:ea typeface="+mn-ea"/>
            </a:rPr>
            <a:t>, </a:t>
          </a:r>
          <a:r>
            <a:rPr lang="ko-KR" altLang="en-US" sz="700" b="1">
              <a:solidFill>
                <a:srgbClr val="FF0000"/>
              </a:solidFill>
              <a:latin typeface="+mn-ea"/>
              <a:ea typeface="+mn-ea"/>
            </a:rPr>
            <a:t>평면측량</a:t>
          </a:r>
          <a:r>
            <a:rPr lang="en-US" altLang="ko-KR" sz="700" b="1">
              <a:solidFill>
                <a:srgbClr val="FF0000"/>
              </a:solidFill>
              <a:latin typeface="+mn-ea"/>
              <a:ea typeface="+mn-ea"/>
            </a:rPr>
            <a:t>,        2. </a:t>
          </a:r>
          <a:r>
            <a:rPr lang="ko-KR" altLang="en-US" sz="700" b="1">
              <a:solidFill>
                <a:srgbClr val="FF0000"/>
              </a:solidFill>
              <a:latin typeface="+mn-ea"/>
              <a:ea typeface="+mn-ea"/>
            </a:rPr>
            <a:t>노선장이 </a:t>
          </a:r>
          <a:r>
            <a:rPr lang="en-US" altLang="ko-KR" sz="700" b="1">
              <a:solidFill>
                <a:srgbClr val="FF0000"/>
              </a:solidFill>
              <a:latin typeface="+mn-ea"/>
              <a:ea typeface="+mn-ea"/>
            </a:rPr>
            <a:t>1㎞ </a:t>
          </a:r>
          <a:r>
            <a:rPr lang="ko-KR" altLang="en-US" sz="700" b="1">
              <a:solidFill>
                <a:srgbClr val="FF0000"/>
              </a:solidFill>
              <a:latin typeface="+mn-ea"/>
              <a:ea typeface="+mn-ea"/>
            </a:rPr>
            <a:t>미만인 기준점측량  등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geoinfo.kigam.re.kr/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5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..\..\&#52572;&#48337;&#44600;\AppData\Local\&#52572;&#48337;&#44600;\AppData\Local\&#52572;&#48337;&#44600;\AppData\Local\Microsoft\Windows\Temporary%20Internet%20Files\User\AppData\Local\AppData\Local\Temp\AppData\Local\Temp\HAMONITEMP\&#44277;&#44277;&#48156;&#51452;&#49324;&#50629;&#50640;_&#45824;&#54620;_&#44148;&#52629;&#49324;&#51032;_&#50629;&#47924;&#48276;&#50948;&#50752;_&#45824;&#44032;&#44592;&#51456;.pdf" TargetMode="External"/><Relationship Id="rId13" Type="http://schemas.openxmlformats.org/officeDocument/2006/relationships/hyperlink" Target="..\..\&#52572;&#48337;&#44600;\AppData\Local\&#52572;&#48337;&#44600;\AppData\Local\&#52572;&#48337;&#44600;\AppData\Local\Microsoft\Windows\Temporary%20Internet%20Files\User\AppData\Local\AppData\Local\Temp\AppData\Local\Temp\HAMONITEMP\%5b&#48324;&#54364;_1%5d_&#54872;&#44221;&#50689;&#54693;&#54217;&#44032;&#47484;_&#49892;&#49884;&#54616;&#50668;&#50556;_&#54616;&#45716;_&#45824;&#49345;&#49324;&#50629;&#51032;_&#48276;&#50948;,_&#54217;&#44032;&#49436;_&#51228;&#52636;&#49884;&#44592;_&#48143;_&#54801;&#51032;&#50836;&#52397;&#49884;&#44592;.pdf" TargetMode="External"/><Relationship Id="rId3" Type="http://schemas.openxmlformats.org/officeDocument/2006/relationships/hyperlink" Target="../../&#52572;&#48337;&#44600;/AppData/Local/&#52572;&#48337;&#44600;/AppData/Local/&#52572;&#48337;&#44600;/AppData/Local/Microsoft/Windows/Temporary%20Internet%20Files/User/AppData/Local/AppData/Local/Temp/AppData/Local/Temp/&#50756;&#49457;&#48376;(1&#52264;)/&#44277;&#44277;&#48156;&#51452;&#49324;&#50629;&#50640;&#45824;&#54620;&#44148;&#52629;&#49324;&#51032;&#50629;&#47924;&#48276;&#50948;&#50752;&#45824;&#44032;&#44592;&#51456;.pdf" TargetMode="External"/><Relationship Id="rId7" Type="http://schemas.openxmlformats.org/officeDocument/2006/relationships/hyperlink" Target="../../&#52572;&#48337;&#44600;/AppData/Local/&#52572;&#48337;&#44600;/AppData/Local/&#52572;&#48337;&#44600;/AppData/Local/Microsoft/Windows/Temporary%20Internet%20Files/User/AppData/Local/AppData/Local/Temp/AppData/Local/Temp/&#50756;&#49457;&#48376;(4&#52264;)/%5b&#48324;&#54364;_1%5d_&#54872;&#44221;&#50689;&#54693;&#54217;&#44032;&#47484;_&#49892;&#49884;&#54616;&#50668;&#50556;_&#54616;&#45716;_&#45824;&#49345;&#49324;&#50629;&#51032;_&#48276;&#50948;,_&#54217;&#44032;&#49436;_&#51228;&#52636;&#49884;&#44592;_&#48143;_&#54801;&#51032;&#50836;&#52397;&#49884;&#44592;.pdf" TargetMode="External"/><Relationship Id="rId12" Type="http://schemas.openxmlformats.org/officeDocument/2006/relationships/hyperlink" Target="..\..\&#52572;&#48337;&#44600;\AppData\Local\&#52572;&#48337;&#44600;\AppData\Local\&#52572;&#48337;&#44600;\AppData\Local\Microsoft\Windows\Temporary%20Internet%20Files\User\AppData\Local\AppData\Local\Temp\AppData\Local\Temp\HAMONITEMP\&#54617;&#49696;&#50672;&#44396;&#50857;&#50669;&#50896;&#44032;&#44228;&#49328;.pdf" TargetMode="External"/><Relationship Id="rId2" Type="http://schemas.openxmlformats.org/officeDocument/2006/relationships/hyperlink" Target="../../&#52572;&#48337;&#44600;/AppData/Local/&#52572;&#48337;&#44600;/AppData/Local/&#52572;&#48337;&#44600;/AppData/Local/Microsoft/Windows/Temporary%20Internet%20Files/User/AppData/Local/AppData/Local/Temp/AppData/Local/Temp/&#50756;&#49457;&#48376;(1&#52264;)/&#44148;&#49444;&#44277;&#49324;&#44048;&#47532;&#45824;&#44032;&#44592;&#51456;.pdf" TargetMode="External"/><Relationship Id="rId1" Type="http://schemas.openxmlformats.org/officeDocument/2006/relationships/hyperlink" Target="../../&#52572;&#48337;&#44600;/AppData/Local/&#52572;&#48337;&#44600;/AppData/Local/&#52572;&#48337;&#44600;/AppData/Local/Microsoft/Windows/Temporary%20Internet%20Files/User/AppData/Local/AppData/Local/Temp/AppData/Local/Temp/&#50756;&#49457;&#48376;(1&#52264;)/&#50644;&#51648;&#45768;&#50612;&#47553;&#49324;&#50629;&#45824;&#44032;&#51032;_&#44592;&#51456;.pdf" TargetMode="External"/><Relationship Id="rId6" Type="http://schemas.openxmlformats.org/officeDocument/2006/relationships/hyperlink" Target="..\..\&#52572;&#48337;&#44600;\AppData\Local\&#52572;&#48337;&#44600;\AppData\Local\&#52572;&#48337;&#44600;\AppData\Local\Microsoft\Windows\Temporary%20Internet%20Files\User\AppData\Local\AppData\Local\Temp\AppData\Local\Temp\HAMONITEMP\&#44277;&#44277;&#52769;&#47049;&#49457;&#44284;&#49900;&#49324;%20&#48277;&#47456;%20&#48143;%20&#44256;&#49884;&#47928;%20&#50836;&#50557;.pdf" TargetMode="External"/><Relationship Id="rId11" Type="http://schemas.openxmlformats.org/officeDocument/2006/relationships/hyperlink" Target="..\..\&#52572;&#48337;&#44600;\AppData\Local\&#52572;&#48337;&#44600;\AppData\Local\&#52572;&#48337;&#44600;\AppData\Local\Microsoft\Windows\Temporary%20Internet%20Files\User\AppData\Local\AppData\Local\Temp\AppData\Local\Temp\HAMONITEMP\&#44148;&#49444;&#44277;&#49324;&#44048;&#47532;&#45824;&#44032;&#44592;&#51456;.pdf" TargetMode="External"/><Relationship Id="rId5" Type="http://schemas.openxmlformats.org/officeDocument/2006/relationships/hyperlink" Target="../../&#52572;&#48337;&#44600;/AppData/Local/&#52572;&#48337;&#44600;/AppData/Local/&#52572;&#48337;&#44600;/AppData/Local/Microsoft/Windows/Temporary%20Internet%20Files/User/AppData/Local/AppData/Local/Temp/AppData/Local/Temp/&#50756;&#49457;&#48376;(1&#52264;)/&#52769;&#47049;&#45824;&#44032;&#51032;&#44592;&#51456;.pdf" TargetMode="External"/><Relationship Id="rId10" Type="http://schemas.openxmlformats.org/officeDocument/2006/relationships/hyperlink" Target="../../&#52572;&#48337;&#44600;/AppData/Local/&#52572;&#48337;&#44600;/AppData/Local/&#52572;&#48337;&#44600;/AppData/Local/Microsoft/Windows/Temporary%20Internet%20Files/User/AppData/Local/AppData/Local/Temp/AppData/Local/Temp/HAMONITEMP/&#52769;&#47049;&#45824;&#44032;&#51032;&#44592;&#51456;.pdf" TargetMode="External"/><Relationship Id="rId4" Type="http://schemas.openxmlformats.org/officeDocument/2006/relationships/hyperlink" Target="../../&#52572;&#48337;&#44600;/AppData/Local/&#52572;&#48337;&#44600;/AppData/Local/&#52572;&#48337;&#44600;/AppData/Local/Microsoft/Windows/Temporary%20Internet%20Files/User/AppData/Local/AppData/Local/Temp/AppData/Local/Temp/&#50756;&#49457;&#48376;(1&#52264;)/&#54617;&#49696;&#50672;&#44396;&#50857;&#50669;&#50896;&#44032;&#44228;&#49328;.pdf" TargetMode="External"/><Relationship Id="rId9" Type="http://schemas.openxmlformats.org/officeDocument/2006/relationships/hyperlink" Target="../../&#52572;&#48337;&#44600;/AppData/Local/&#52572;&#48337;&#44600;/AppData/Local/&#52572;&#48337;&#44600;/AppData/Local/Microsoft/Windows/Temporary%20Internet%20Files/User/AppData/Local/AppData/Local/Temp/AppData/Local/Temp/HAMONITEMP/&#50644;&#51648;&#45768;&#50612;&#47553;&#49324;&#50629;&#45824;&#44032;&#51032;_&#44592;&#51456;.pdf" TargetMode="External"/><Relationship Id="rId14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C00000"/>
  </sheetPr>
  <dimension ref="A1:P20"/>
  <sheetViews>
    <sheetView zoomScaleNormal="100" zoomScaleSheetLayoutView="100" workbookViewId="0">
      <selection activeCell="C10" sqref="C10"/>
    </sheetView>
  </sheetViews>
  <sheetFormatPr defaultRowHeight="17.399999999999999"/>
  <cols>
    <col min="1" max="1" width="13.59765625" customWidth="1"/>
    <col min="2" max="4" width="11.59765625" customWidth="1"/>
    <col min="5" max="5" width="14.19921875" customWidth="1"/>
    <col min="6" max="7" width="11.59765625" customWidth="1"/>
    <col min="8" max="9" width="10.09765625" customWidth="1"/>
    <col min="10" max="12" width="11.59765625" customWidth="1"/>
    <col min="13" max="13" width="3.59765625" customWidth="1"/>
    <col min="16" max="16" width="9" hidden="1" customWidth="1"/>
  </cols>
  <sheetData>
    <row r="1" spans="1:16" ht="30">
      <c r="A1" s="755" t="s">
        <v>1465</v>
      </c>
      <c r="B1" s="755"/>
      <c r="C1" s="755"/>
      <c r="D1" s="755"/>
      <c r="E1" s="755"/>
      <c r="F1" s="755"/>
      <c r="G1" s="755"/>
      <c r="H1" s="755"/>
      <c r="I1" s="755"/>
      <c r="J1" s="755"/>
      <c r="K1" s="755"/>
      <c r="L1" s="755"/>
    </row>
    <row r="2" spans="1:16" ht="8.25" customHeight="1">
      <c r="A2" s="156"/>
      <c r="B2" s="11"/>
      <c r="C2" s="11"/>
      <c r="D2" s="11"/>
      <c r="E2" s="11"/>
      <c r="F2" s="11"/>
      <c r="G2" s="11"/>
      <c r="H2" s="11"/>
    </row>
    <row r="3" spans="1:16" ht="33" customHeight="1">
      <c r="A3" s="392" t="s">
        <v>595</v>
      </c>
      <c r="B3" s="305" t="s">
        <v>1557</v>
      </c>
      <c r="C3" s="305"/>
      <c r="D3" s="689" t="s">
        <v>1441</v>
      </c>
      <c r="E3" s="306"/>
      <c r="F3" s="306"/>
      <c r="G3" s="306"/>
      <c r="H3" s="306"/>
      <c r="I3" s="306"/>
      <c r="J3" s="306"/>
      <c r="K3" s="306"/>
      <c r="L3" s="307"/>
      <c r="P3" s="293">
        <f>IF(B3="기본설계",4,IF(B3="실시설계",7,10))</f>
        <v>4</v>
      </c>
    </row>
    <row r="4" spans="1:16" ht="33" customHeight="1">
      <c r="A4" s="393" t="s">
        <v>596</v>
      </c>
      <c r="B4" s="308" t="s">
        <v>1558</v>
      </c>
      <c r="C4" s="309"/>
      <c r="D4" s="310"/>
      <c r="E4" s="310"/>
      <c r="F4" s="310"/>
      <c r="G4" s="310"/>
      <c r="H4" s="310"/>
      <c r="I4" s="310"/>
      <c r="J4" s="310"/>
      <c r="K4" s="310"/>
      <c r="L4" s="311"/>
    </row>
    <row r="5" spans="1:16" ht="33" customHeight="1">
      <c r="A5" s="393" t="s">
        <v>597</v>
      </c>
      <c r="B5" s="308" t="s">
        <v>1559</v>
      </c>
      <c r="C5" s="309"/>
      <c r="D5" s="310"/>
      <c r="E5" s="310"/>
      <c r="F5" s="313" t="s">
        <v>1449</v>
      </c>
      <c r="G5" s="313"/>
      <c r="H5" s="310"/>
      <c r="I5" s="310"/>
      <c r="J5" s="310"/>
      <c r="K5" s="310"/>
      <c r="L5" s="311"/>
    </row>
    <row r="6" spans="1:16" ht="33" customHeight="1">
      <c r="A6" s="393" t="s">
        <v>598</v>
      </c>
      <c r="B6" s="308" t="str">
        <f>표지!F15</f>
        <v>농어촌도로 정비 L=0.85km</v>
      </c>
      <c r="C6" s="309"/>
      <c r="D6" s="313" t="s">
        <v>1450</v>
      </c>
      <c r="E6" s="310"/>
      <c r="F6" s="310"/>
      <c r="G6" s="310"/>
      <c r="H6" s="310"/>
      <c r="I6" s="310"/>
      <c r="J6" s="310"/>
      <c r="K6" s="310"/>
      <c r="L6" s="311"/>
    </row>
    <row r="7" spans="1:16" ht="33" customHeight="1">
      <c r="A7" s="393" t="s">
        <v>598</v>
      </c>
      <c r="B7" s="312">
        <v>90</v>
      </c>
      <c r="C7" s="309"/>
      <c r="D7" s="690" t="s">
        <v>1442</v>
      </c>
      <c r="E7" s="310"/>
      <c r="F7" s="310"/>
      <c r="G7" s="310"/>
      <c r="H7" s="310"/>
      <c r="I7" s="310"/>
      <c r="J7" s="310"/>
      <c r="K7" s="310"/>
      <c r="L7" s="311"/>
    </row>
    <row r="8" spans="1:16" ht="33" customHeight="1">
      <c r="A8" s="393" t="s">
        <v>599</v>
      </c>
      <c r="B8" s="308" t="s">
        <v>225</v>
      </c>
      <c r="C8" s="309"/>
      <c r="D8" s="690" t="s">
        <v>1443</v>
      </c>
      <c r="E8" s="310"/>
      <c r="F8" s="310"/>
      <c r="G8" s="310"/>
      <c r="H8" s="310"/>
      <c r="I8" s="310"/>
      <c r="J8" s="310"/>
      <c r="K8" s="310"/>
      <c r="L8" s="311"/>
    </row>
    <row r="9" spans="1:16" ht="33" customHeight="1">
      <c r="A9" s="393" t="s">
        <v>600</v>
      </c>
      <c r="B9" s="751">
        <f>사업대가!AN13</f>
        <v>85000</v>
      </c>
      <c r="C9" s="751"/>
      <c r="D9" s="690" t="s">
        <v>1444</v>
      </c>
      <c r="E9" s="310"/>
      <c r="F9" s="310"/>
      <c r="G9" s="310"/>
      <c r="H9" s="310"/>
      <c r="I9" s="310"/>
      <c r="J9" s="310"/>
      <c r="K9" s="310"/>
      <c r="L9" s="311"/>
    </row>
    <row r="10" spans="1:16" ht="33" customHeight="1">
      <c r="A10" s="393" t="s">
        <v>601</v>
      </c>
      <c r="B10" s="314">
        <v>1</v>
      </c>
      <c r="C10" s="309"/>
      <c r="D10" s="690" t="s">
        <v>1445</v>
      </c>
      <c r="E10" s="310"/>
      <c r="F10" s="315"/>
      <c r="G10" s="315"/>
      <c r="H10" s="315"/>
      <c r="I10" s="315"/>
      <c r="J10" s="315"/>
      <c r="K10" s="315"/>
      <c r="L10" s="316"/>
    </row>
    <row r="11" spans="1:16" ht="33" customHeight="1">
      <c r="A11" s="393" t="s">
        <v>602</v>
      </c>
      <c r="B11" s="317">
        <v>1.35</v>
      </c>
      <c r="C11" s="309"/>
      <c r="D11" s="690" t="s">
        <v>1446</v>
      </c>
      <c r="E11" s="318"/>
      <c r="F11" s="315"/>
      <c r="G11" s="315"/>
      <c r="H11" s="315"/>
      <c r="I11" s="315"/>
      <c r="J11" s="315"/>
      <c r="K11" s="315"/>
      <c r="L11" s="316"/>
    </row>
    <row r="12" spans="1:16" ht="33" customHeight="1">
      <c r="A12" s="393" t="s">
        <v>603</v>
      </c>
      <c r="B12" s="319" t="s">
        <v>594</v>
      </c>
      <c r="C12" s="320"/>
      <c r="D12" s="318"/>
      <c r="E12" s="318"/>
      <c r="F12" s="315"/>
      <c r="G12" s="315"/>
      <c r="H12" s="315"/>
      <c r="I12" s="315"/>
      <c r="J12" s="315"/>
      <c r="K12" s="315"/>
      <c r="L12" s="316"/>
    </row>
    <row r="13" spans="1:16" ht="33" customHeight="1">
      <c r="A13" s="393" t="s">
        <v>604</v>
      </c>
      <c r="B13" s="752">
        <f>여비!F19</f>
        <v>0</v>
      </c>
      <c r="C13" s="752"/>
      <c r="D13" s="690" t="s">
        <v>1447</v>
      </c>
      <c r="E13" s="318"/>
      <c r="F13" s="315"/>
      <c r="G13" s="315"/>
      <c r="H13" s="315"/>
      <c r="I13" s="315"/>
      <c r="J13" s="315"/>
      <c r="K13" s="315"/>
      <c r="L13" s="316"/>
    </row>
    <row r="14" spans="1:16" ht="33" customHeight="1" thickBot="1">
      <c r="A14" s="394" t="s">
        <v>605</v>
      </c>
      <c r="B14" s="321" t="s">
        <v>885</v>
      </c>
      <c r="C14" s="321" t="s">
        <v>886</v>
      </c>
      <c r="D14" s="321" t="s">
        <v>887</v>
      </c>
      <c r="E14" s="321" t="s">
        <v>888</v>
      </c>
      <c r="F14" s="411" t="s">
        <v>889</v>
      </c>
      <c r="G14" s="411" t="s">
        <v>890</v>
      </c>
      <c r="H14" s="756" t="s">
        <v>977</v>
      </c>
      <c r="I14" s="756"/>
      <c r="J14" s="691" t="s">
        <v>1448</v>
      </c>
      <c r="K14" s="322"/>
      <c r="L14" s="323"/>
    </row>
    <row r="15" spans="1:16" ht="14.25" customHeight="1" thickTop="1"/>
    <row r="16" spans="1:16" ht="50.25" customHeight="1">
      <c r="A16" s="495" t="s">
        <v>980</v>
      </c>
      <c r="B16" s="753" t="s">
        <v>1451</v>
      </c>
      <c r="C16" s="753"/>
      <c r="D16" s="753"/>
      <c r="E16" s="753"/>
      <c r="F16" s="753"/>
      <c r="G16" s="753"/>
      <c r="H16" s="753"/>
      <c r="I16" s="753"/>
      <c r="J16" s="753"/>
      <c r="K16" s="753"/>
      <c r="L16" s="754"/>
    </row>
    <row r="17" spans="1:12" ht="33" customHeight="1">
      <c r="A17" s="395" t="s">
        <v>676</v>
      </c>
      <c r="B17" s="442" t="s">
        <v>1452</v>
      </c>
      <c r="C17" s="443" t="s">
        <v>1453</v>
      </c>
      <c r="D17" s="443" t="s">
        <v>1454</v>
      </c>
      <c r="E17" s="443" t="s">
        <v>1455</v>
      </c>
      <c r="F17" s="443" t="s">
        <v>1456</v>
      </c>
      <c r="G17" s="443" t="s">
        <v>1457</v>
      </c>
      <c r="H17" s="692" t="s">
        <v>1458</v>
      </c>
      <c r="I17" s="693"/>
      <c r="J17" s="693"/>
      <c r="K17" s="693"/>
      <c r="L17" s="694"/>
    </row>
    <row r="18" spans="1:12" ht="33" customHeight="1" thickBot="1">
      <c r="A18" s="396" t="s">
        <v>677</v>
      </c>
      <c r="B18" s="444" t="s">
        <v>1459</v>
      </c>
      <c r="C18" s="444" t="s">
        <v>1460</v>
      </c>
      <c r="D18" s="444" t="s">
        <v>1461</v>
      </c>
      <c r="E18" s="444" t="s">
        <v>1462</v>
      </c>
      <c r="F18" s="444" t="s">
        <v>1463</v>
      </c>
      <c r="G18" s="444" t="s">
        <v>1464</v>
      </c>
      <c r="H18" s="695"/>
      <c r="I18" s="695"/>
      <c r="J18" s="695"/>
      <c r="K18" s="695"/>
      <c r="L18" s="696"/>
    </row>
    <row r="19" spans="1:12" ht="33" customHeight="1" thickTop="1"/>
    <row r="20" spans="1:12" ht="33" customHeight="1"/>
  </sheetData>
  <mergeCells count="5">
    <mergeCell ref="B9:C9"/>
    <mergeCell ref="B13:C13"/>
    <mergeCell ref="B16:L16"/>
    <mergeCell ref="A1:L1"/>
    <mergeCell ref="H14:I14"/>
  </mergeCells>
  <phoneticPr fontId="1" type="noConversion"/>
  <dataValidations count="3">
    <dataValidation type="list" allowBlank="1" showInputMessage="1" showErrorMessage="1" sqref="B3">
      <formula1>"기본설계, 실시설계, 공사감리"</formula1>
    </dataValidation>
    <dataValidation type="list" allowBlank="1" showInputMessage="1" showErrorMessage="1" sqref="B8">
      <formula1>공사의종류</formula1>
    </dataValidation>
    <dataValidation type="list" allowBlank="1" showInputMessage="1" showErrorMessage="1" sqref="B11">
      <formula1>"1.24, 1.35, 1.45"</formula1>
    </dataValidation>
  </dataValidations>
  <hyperlinks>
    <hyperlink ref="B14" location="하천측량!G4" display="하천측량"/>
    <hyperlink ref="C14" location="노선측량!F4" display="노선측량"/>
    <hyperlink ref="D14" location="시가지측량!F4" display="시가지측량"/>
    <hyperlink ref="E14" location="수도노선측량!F4" display="수도노선측량"/>
    <hyperlink ref="F14" location="지형현황측량!J4" display="지형측량"/>
    <hyperlink ref="G14" location="용지측량!H4" display="용지측량"/>
    <hyperlink ref="B9:C9" location="사업대가!C3" display="사업대가!C3"/>
    <hyperlink ref="B13" location="여비!B4" display="여비!B4"/>
    <hyperlink ref="H14:I14" location="공공측량성과심사!P4" display="공공측량성과심사"/>
  </hyperlinks>
  <pageMargins left="0.47244094488188981" right="0.31496062992125984" top="0.59055118110236227" bottom="0.31496062992125984" header="0.31496062992125984" footer="0.31496062992125984"/>
  <pageSetup paperSize="9" scale="9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C00000"/>
  </sheetPr>
  <dimension ref="A1:AE69"/>
  <sheetViews>
    <sheetView view="pageBreakPreview" zoomScaleNormal="100" zoomScaleSheetLayoutView="100" workbookViewId="0">
      <selection activeCell="B30" sqref="B30"/>
    </sheetView>
  </sheetViews>
  <sheetFormatPr defaultColWidth="9" defaultRowHeight="19.2"/>
  <cols>
    <col min="1" max="2" width="15.8984375" style="609" customWidth="1"/>
    <col min="3" max="3" width="11.5" style="609" customWidth="1"/>
    <col min="4" max="12" width="9.09765625" style="609" customWidth="1"/>
    <col min="13" max="13" width="12.5" style="609" customWidth="1"/>
    <col min="14" max="15" width="2.59765625" style="609" customWidth="1"/>
    <col min="16" max="30" width="8.09765625" style="239" customWidth="1"/>
    <col min="31" max="31" width="8.59765625" style="239" customWidth="1"/>
    <col min="32" max="52" width="9.09765625" style="609" customWidth="1"/>
    <col min="53" max="16384" width="9" style="609"/>
  </cols>
  <sheetData>
    <row r="1" spans="1:30" ht="30">
      <c r="A1" s="755" t="s">
        <v>678</v>
      </c>
      <c r="B1" s="755"/>
      <c r="C1" s="755"/>
      <c r="D1" s="755"/>
      <c r="E1" s="755"/>
      <c r="F1" s="755"/>
      <c r="G1" s="755"/>
      <c r="H1" s="755"/>
      <c r="I1" s="755"/>
      <c r="J1" s="755"/>
      <c r="K1" s="755"/>
      <c r="L1" s="755"/>
      <c r="M1" s="755"/>
      <c r="P1" s="616" t="s">
        <v>1145</v>
      </c>
    </row>
    <row r="2" spans="1:30" ht="18.899999999999999" customHeight="1">
      <c r="A2" s="414" t="s">
        <v>891</v>
      </c>
      <c r="P2" s="789" t="s">
        <v>1015</v>
      </c>
      <c r="Q2" s="770"/>
      <c r="R2" s="792" t="s">
        <v>1016</v>
      </c>
      <c r="S2" s="768"/>
      <c r="T2" s="768" t="s">
        <v>1017</v>
      </c>
      <c r="U2" s="768"/>
      <c r="V2" s="768"/>
      <c r="W2" s="768" t="s">
        <v>1018</v>
      </c>
      <c r="X2" s="768"/>
      <c r="Y2" s="768"/>
      <c r="Z2" s="768"/>
      <c r="AA2" s="768" t="s">
        <v>114</v>
      </c>
      <c r="AB2" s="768"/>
      <c r="AC2" s="768"/>
      <c r="AD2" s="770"/>
    </row>
    <row r="3" spans="1:30" s="239" customFormat="1" ht="18.899999999999999" customHeight="1">
      <c r="A3" s="390" t="s">
        <v>1086</v>
      </c>
      <c r="B3" s="597" t="s">
        <v>1087</v>
      </c>
      <c r="C3" s="359" t="s">
        <v>1088</v>
      </c>
      <c r="D3" s="359"/>
      <c r="E3" s="359"/>
      <c r="F3" s="359"/>
      <c r="G3" s="359"/>
      <c r="H3" s="359"/>
      <c r="I3" s="359"/>
      <c r="J3" s="359"/>
      <c r="K3" s="786" t="s">
        <v>1089</v>
      </c>
      <c r="L3" s="787"/>
      <c r="M3" s="788"/>
      <c r="P3" s="790" t="s">
        <v>1135</v>
      </c>
      <c r="Q3" s="610" t="s">
        <v>1019</v>
      </c>
      <c r="R3" s="793" t="s">
        <v>1020</v>
      </c>
      <c r="S3" s="769"/>
      <c r="T3" s="769" t="s">
        <v>1021</v>
      </c>
      <c r="U3" s="769"/>
      <c r="V3" s="769"/>
      <c r="W3" s="769" t="s">
        <v>1022</v>
      </c>
      <c r="X3" s="769"/>
      <c r="Y3" s="769"/>
      <c r="Z3" s="769"/>
      <c r="AA3" s="769" t="s">
        <v>1023</v>
      </c>
      <c r="AB3" s="769"/>
      <c r="AC3" s="769"/>
      <c r="AD3" s="771"/>
    </row>
    <row r="4" spans="1:30" s="239" customFormat="1" ht="18.899999999999999" customHeight="1">
      <c r="A4" s="387" t="s">
        <v>1090</v>
      </c>
      <c r="B4" s="380">
        <v>3</v>
      </c>
      <c r="C4" s="381" t="s">
        <v>1091</v>
      </c>
      <c r="D4" s="381"/>
      <c r="E4" s="381"/>
      <c r="F4" s="381"/>
      <c r="G4" s="381"/>
      <c r="H4" s="381"/>
      <c r="I4" s="381"/>
      <c r="J4" s="381"/>
      <c r="K4" s="381"/>
      <c r="L4" s="381"/>
      <c r="M4" s="382"/>
      <c r="P4" s="763"/>
      <c r="Q4" s="764" t="s">
        <v>1024</v>
      </c>
      <c r="R4" s="762" t="s">
        <v>1025</v>
      </c>
      <c r="S4" s="759"/>
      <c r="T4" s="759" t="s">
        <v>754</v>
      </c>
      <c r="U4" s="759"/>
      <c r="V4" s="759"/>
      <c r="W4" s="759" t="s">
        <v>1026</v>
      </c>
      <c r="X4" s="759"/>
      <c r="Y4" s="759"/>
      <c r="Z4" s="759"/>
      <c r="AA4" s="759" t="s">
        <v>1027</v>
      </c>
      <c r="AB4" s="759"/>
      <c r="AC4" s="759"/>
      <c r="AD4" s="764"/>
    </row>
    <row r="5" spans="1:30" s="239" customFormat="1" ht="18.899999999999999" customHeight="1">
      <c r="A5" s="388" t="s">
        <v>1092</v>
      </c>
      <c r="B5" s="357">
        <v>2</v>
      </c>
      <c r="C5" s="313" t="s">
        <v>684</v>
      </c>
      <c r="D5" s="313"/>
      <c r="E5" s="313"/>
      <c r="F5" s="313"/>
      <c r="G5" s="313"/>
      <c r="H5" s="313"/>
      <c r="I5" s="313"/>
      <c r="J5" s="313"/>
      <c r="K5" s="313"/>
      <c r="L5" s="313"/>
      <c r="M5" s="383"/>
      <c r="P5" s="763"/>
      <c r="Q5" s="764"/>
      <c r="R5" s="762" t="s">
        <v>1028</v>
      </c>
      <c r="S5" s="759"/>
      <c r="T5" s="759" t="s">
        <v>1029</v>
      </c>
      <c r="U5" s="759"/>
      <c r="V5" s="759"/>
      <c r="W5" s="759" t="s">
        <v>1030</v>
      </c>
      <c r="X5" s="759"/>
      <c r="Y5" s="759"/>
      <c r="Z5" s="759"/>
      <c r="AA5" s="759"/>
      <c r="AB5" s="759"/>
      <c r="AC5" s="759"/>
      <c r="AD5" s="764"/>
    </row>
    <row r="6" spans="1:30" s="239" customFormat="1" ht="18.899999999999999" customHeight="1">
      <c r="A6" s="388" t="s">
        <v>1093</v>
      </c>
      <c r="B6" s="357">
        <v>3</v>
      </c>
      <c r="C6" s="313" t="s">
        <v>684</v>
      </c>
      <c r="D6" s="313"/>
      <c r="E6" s="313"/>
      <c r="F6" s="313"/>
      <c r="G6" s="313"/>
      <c r="H6" s="313"/>
      <c r="I6" s="313"/>
      <c r="J6" s="313"/>
      <c r="K6" s="313"/>
      <c r="L6" s="313"/>
      <c r="M6" s="383"/>
      <c r="P6" s="763"/>
      <c r="Q6" s="764"/>
      <c r="R6" s="762" t="s">
        <v>1020</v>
      </c>
      <c r="S6" s="759"/>
      <c r="T6" s="759" t="s">
        <v>1031</v>
      </c>
      <c r="U6" s="759"/>
      <c r="V6" s="759"/>
      <c r="W6" s="759" t="s">
        <v>1032</v>
      </c>
      <c r="X6" s="759"/>
      <c r="Y6" s="759"/>
      <c r="Z6" s="759"/>
      <c r="AA6" s="759"/>
      <c r="AB6" s="759"/>
      <c r="AC6" s="759"/>
      <c r="AD6" s="764"/>
    </row>
    <row r="7" spans="1:30" s="239" customFormat="1" ht="18.899999999999999" customHeight="1">
      <c r="A7" s="388" t="s">
        <v>1094</v>
      </c>
      <c r="B7" s="357"/>
      <c r="C7" s="313" t="s">
        <v>684</v>
      </c>
      <c r="D7" s="313"/>
      <c r="E7" s="313"/>
      <c r="F7" s="313"/>
      <c r="G7" s="313"/>
      <c r="H7" s="313"/>
      <c r="I7" s="313"/>
      <c r="J7" s="313"/>
      <c r="K7" s="313"/>
      <c r="L7" s="313"/>
      <c r="M7" s="383"/>
      <c r="P7" s="763"/>
      <c r="Q7" s="764"/>
      <c r="R7" s="762" t="s">
        <v>1033</v>
      </c>
      <c r="S7" s="759"/>
      <c r="T7" s="759" t="s">
        <v>1031</v>
      </c>
      <c r="U7" s="759"/>
      <c r="V7" s="759"/>
      <c r="W7" s="759" t="s">
        <v>1034</v>
      </c>
      <c r="X7" s="759"/>
      <c r="Y7" s="759"/>
      <c r="Z7" s="759"/>
      <c r="AA7" s="759"/>
      <c r="AB7" s="759"/>
      <c r="AC7" s="759"/>
      <c r="AD7" s="764"/>
    </row>
    <row r="8" spans="1:30" s="239" customFormat="1" ht="18.899999999999999" customHeight="1">
      <c r="A8" s="388" t="s">
        <v>1095</v>
      </c>
      <c r="B8" s="357">
        <v>2</v>
      </c>
      <c r="C8" s="313" t="s">
        <v>684</v>
      </c>
      <c r="D8" s="313"/>
      <c r="E8" s="313"/>
      <c r="F8" s="313"/>
      <c r="G8" s="313"/>
      <c r="H8" s="313"/>
      <c r="I8" s="313"/>
      <c r="J8" s="313"/>
      <c r="K8" s="313"/>
      <c r="L8" s="313"/>
      <c r="M8" s="383"/>
      <c r="P8" s="763"/>
      <c r="Q8" s="764"/>
      <c r="R8" s="762" t="s">
        <v>1035</v>
      </c>
      <c r="S8" s="759"/>
      <c r="T8" s="759" t="s">
        <v>1036</v>
      </c>
      <c r="U8" s="759"/>
      <c r="V8" s="759"/>
      <c r="W8" s="759" t="s">
        <v>1037</v>
      </c>
      <c r="X8" s="759"/>
      <c r="Y8" s="759"/>
      <c r="Z8" s="759"/>
      <c r="AA8" s="759"/>
      <c r="AB8" s="759"/>
      <c r="AC8" s="759"/>
      <c r="AD8" s="764"/>
    </row>
    <row r="9" spans="1:30" s="239" customFormat="1" ht="18.899999999999999" customHeight="1">
      <c r="A9" s="388" t="s">
        <v>1096</v>
      </c>
      <c r="B9" s="357">
        <v>1</v>
      </c>
      <c r="C9" s="313" t="s">
        <v>684</v>
      </c>
      <c r="D9" s="313"/>
      <c r="E9" s="313"/>
      <c r="F9" s="313"/>
      <c r="G9" s="313"/>
      <c r="H9" s="313"/>
      <c r="I9" s="313"/>
      <c r="J9" s="313"/>
      <c r="K9" s="313"/>
      <c r="L9" s="313"/>
      <c r="M9" s="383"/>
      <c r="P9" s="763" t="s">
        <v>1038</v>
      </c>
      <c r="Q9" s="764"/>
      <c r="R9" s="762" t="s">
        <v>1039</v>
      </c>
      <c r="S9" s="759"/>
      <c r="T9" s="759" t="s">
        <v>116</v>
      </c>
      <c r="U9" s="759"/>
      <c r="V9" s="759"/>
      <c r="W9" s="759" t="s">
        <v>116</v>
      </c>
      <c r="X9" s="759"/>
      <c r="Y9" s="759"/>
      <c r="Z9" s="759"/>
      <c r="AA9" s="759" t="s">
        <v>1136</v>
      </c>
      <c r="AB9" s="759"/>
      <c r="AC9" s="759"/>
      <c r="AD9" s="764"/>
    </row>
    <row r="10" spans="1:30" s="239" customFormat="1" ht="18.899999999999999" customHeight="1">
      <c r="A10" s="388" t="s">
        <v>1097</v>
      </c>
      <c r="B10" s="357"/>
      <c r="C10" s="313" t="s">
        <v>684</v>
      </c>
      <c r="D10" s="313"/>
      <c r="E10" s="313"/>
      <c r="F10" s="313"/>
      <c r="G10" s="313"/>
      <c r="H10" s="313"/>
      <c r="I10" s="313"/>
      <c r="J10" s="313"/>
      <c r="K10" s="313"/>
      <c r="L10" s="313"/>
      <c r="M10" s="383"/>
      <c r="P10" s="763"/>
      <c r="Q10" s="764"/>
      <c r="R10" s="762" t="s">
        <v>1025</v>
      </c>
      <c r="S10" s="759"/>
      <c r="T10" s="759" t="s">
        <v>1040</v>
      </c>
      <c r="U10" s="759"/>
      <c r="V10" s="759"/>
      <c r="W10" s="759" t="s">
        <v>1041</v>
      </c>
      <c r="X10" s="759"/>
      <c r="Y10" s="759"/>
      <c r="Z10" s="759"/>
      <c r="AA10" s="759"/>
      <c r="AB10" s="759"/>
      <c r="AC10" s="759"/>
      <c r="AD10" s="764"/>
    </row>
    <row r="11" spans="1:30" s="239" customFormat="1" ht="18.899999999999999" customHeight="1">
      <c r="A11" s="388" t="s">
        <v>1098</v>
      </c>
      <c r="B11" s="357"/>
      <c r="C11" s="313" t="s">
        <v>684</v>
      </c>
      <c r="D11" s="313"/>
      <c r="E11" s="313"/>
      <c r="F11" s="313"/>
      <c r="G11" s="313"/>
      <c r="H11" s="313"/>
      <c r="I11" s="313"/>
      <c r="J11" s="313"/>
      <c r="K11" s="313"/>
      <c r="L11" s="313"/>
      <c r="M11" s="383"/>
      <c r="P11" s="763"/>
      <c r="Q11" s="764"/>
      <c r="R11" s="762" t="s">
        <v>1042</v>
      </c>
      <c r="S11" s="759"/>
      <c r="T11" s="759" t="s">
        <v>1043</v>
      </c>
      <c r="U11" s="759"/>
      <c r="V11" s="759"/>
      <c r="W11" s="759" t="s">
        <v>1044</v>
      </c>
      <c r="X11" s="759"/>
      <c r="Y11" s="759"/>
      <c r="Z11" s="759"/>
      <c r="AA11" s="759"/>
      <c r="AB11" s="759"/>
      <c r="AC11" s="759"/>
      <c r="AD11" s="764"/>
    </row>
    <row r="12" spans="1:30" s="239" customFormat="1" ht="18.899999999999999" customHeight="1">
      <c r="A12" s="388" t="s">
        <v>1099</v>
      </c>
      <c r="B12" s="357"/>
      <c r="C12" s="313" t="s">
        <v>684</v>
      </c>
      <c r="D12" s="313"/>
      <c r="E12" s="313"/>
      <c r="F12" s="313"/>
      <c r="G12" s="313"/>
      <c r="H12" s="313"/>
      <c r="I12" s="313"/>
      <c r="J12" s="313"/>
      <c r="K12" s="313"/>
      <c r="L12" s="313"/>
      <c r="M12" s="383"/>
      <c r="P12" s="763"/>
      <c r="Q12" s="764"/>
      <c r="R12" s="762" t="s">
        <v>1045</v>
      </c>
      <c r="S12" s="759"/>
      <c r="T12" s="759" t="s">
        <v>1046</v>
      </c>
      <c r="U12" s="759"/>
      <c r="V12" s="759"/>
      <c r="W12" s="759" t="s">
        <v>116</v>
      </c>
      <c r="X12" s="759"/>
      <c r="Y12" s="759"/>
      <c r="Z12" s="759"/>
      <c r="AA12" s="759" t="s">
        <v>1047</v>
      </c>
      <c r="AB12" s="759"/>
      <c r="AC12" s="759"/>
      <c r="AD12" s="764"/>
    </row>
    <row r="13" spans="1:30" s="239" customFormat="1" ht="18.899999999999999" customHeight="1">
      <c r="A13" s="388" t="s">
        <v>1100</v>
      </c>
      <c r="B13" s="379" t="s">
        <v>683</v>
      </c>
      <c r="C13" s="313" t="s">
        <v>1101</v>
      </c>
      <c r="D13" s="313"/>
      <c r="E13" s="313"/>
      <c r="F13" s="313"/>
      <c r="G13" s="313"/>
      <c r="H13" s="313"/>
      <c r="I13" s="313"/>
      <c r="J13" s="313"/>
      <c r="K13" s="313"/>
      <c r="L13" s="313"/>
      <c r="M13" s="383"/>
      <c r="P13" s="763"/>
      <c r="Q13" s="764"/>
      <c r="R13" s="762" t="s">
        <v>1048</v>
      </c>
      <c r="S13" s="759"/>
      <c r="T13" s="759" t="s">
        <v>1049</v>
      </c>
      <c r="U13" s="759"/>
      <c r="V13" s="759"/>
      <c r="W13" s="759" t="s">
        <v>116</v>
      </c>
      <c r="X13" s="759"/>
      <c r="Y13" s="759"/>
      <c r="Z13" s="759"/>
      <c r="AA13" s="759" t="s">
        <v>1050</v>
      </c>
      <c r="AB13" s="759"/>
      <c r="AC13" s="759"/>
      <c r="AD13" s="764"/>
    </row>
    <row r="14" spans="1:30" s="239" customFormat="1" ht="18.899999999999999" customHeight="1">
      <c r="A14" s="388" t="s">
        <v>1102</v>
      </c>
      <c r="B14" s="378">
        <v>2</v>
      </c>
      <c r="C14" s="313" t="s">
        <v>1103</v>
      </c>
      <c r="D14" s="313"/>
      <c r="E14" s="313"/>
      <c r="F14" s="313"/>
      <c r="G14" s="313"/>
      <c r="H14" s="313"/>
      <c r="I14" s="313"/>
      <c r="J14" s="313"/>
      <c r="K14" s="313"/>
      <c r="L14" s="313"/>
      <c r="M14" s="383"/>
      <c r="P14" s="763" t="s">
        <v>1137</v>
      </c>
      <c r="Q14" s="611" t="s">
        <v>1051</v>
      </c>
      <c r="R14" s="762" t="s">
        <v>1025</v>
      </c>
      <c r="S14" s="759"/>
      <c r="T14" s="759" t="s">
        <v>1052</v>
      </c>
      <c r="U14" s="759"/>
      <c r="V14" s="759"/>
      <c r="W14" s="759" t="s">
        <v>1138</v>
      </c>
      <c r="X14" s="759"/>
      <c r="Y14" s="759"/>
      <c r="Z14" s="759"/>
      <c r="AA14" s="759" t="s">
        <v>1053</v>
      </c>
      <c r="AB14" s="759"/>
      <c r="AC14" s="759"/>
      <c r="AD14" s="764"/>
    </row>
    <row r="15" spans="1:30" s="239" customFormat="1" ht="18.899999999999999" customHeight="1">
      <c r="A15" s="388" t="s">
        <v>1104</v>
      </c>
      <c r="B15" s="378">
        <v>2</v>
      </c>
      <c r="C15" s="313" t="s">
        <v>1105</v>
      </c>
      <c r="D15" s="313"/>
      <c r="E15" s="313"/>
      <c r="F15" s="313"/>
      <c r="G15" s="313"/>
      <c r="H15" s="313"/>
      <c r="I15" s="313"/>
      <c r="J15" s="313"/>
      <c r="K15" s="313"/>
      <c r="L15" s="313"/>
      <c r="M15" s="383"/>
      <c r="P15" s="763"/>
      <c r="Q15" s="764" t="s">
        <v>1054</v>
      </c>
      <c r="R15" s="762" t="s">
        <v>1039</v>
      </c>
      <c r="S15" s="759"/>
      <c r="T15" s="759" t="s">
        <v>116</v>
      </c>
      <c r="U15" s="759"/>
      <c r="V15" s="759"/>
      <c r="W15" s="759" t="s">
        <v>116</v>
      </c>
      <c r="X15" s="759"/>
      <c r="Y15" s="759"/>
      <c r="Z15" s="759"/>
      <c r="AA15" s="759" t="s">
        <v>1139</v>
      </c>
      <c r="AB15" s="759"/>
      <c r="AC15" s="759"/>
      <c r="AD15" s="764"/>
    </row>
    <row r="16" spans="1:30" s="239" customFormat="1" ht="18.899999999999999" customHeight="1" thickBot="1">
      <c r="A16" s="389" t="s">
        <v>1106</v>
      </c>
      <c r="B16" s="384">
        <v>1</v>
      </c>
      <c r="C16" s="385" t="s">
        <v>1107</v>
      </c>
      <c r="D16" s="385"/>
      <c r="E16" s="385"/>
      <c r="F16" s="385"/>
      <c r="G16" s="385"/>
      <c r="H16" s="385"/>
      <c r="I16" s="385"/>
      <c r="J16" s="385"/>
      <c r="K16" s="385"/>
      <c r="L16" s="385"/>
      <c r="M16" s="386"/>
      <c r="P16" s="763"/>
      <c r="Q16" s="764"/>
      <c r="R16" s="762" t="s">
        <v>1025</v>
      </c>
      <c r="S16" s="759"/>
      <c r="T16" s="759" t="s">
        <v>1085</v>
      </c>
      <c r="U16" s="759"/>
      <c r="V16" s="759"/>
      <c r="W16" s="759" t="s">
        <v>1055</v>
      </c>
      <c r="X16" s="759"/>
      <c r="Y16" s="759"/>
      <c r="Z16" s="759"/>
      <c r="AA16" s="759" t="s">
        <v>1083</v>
      </c>
      <c r="AB16" s="759"/>
      <c r="AC16" s="759"/>
      <c r="AD16" s="764"/>
    </row>
    <row r="17" spans="1:30" s="239" customFormat="1" ht="18.899999999999999" customHeight="1" thickTop="1">
      <c r="P17" s="763"/>
      <c r="Q17" s="764"/>
      <c r="R17" s="762" t="s">
        <v>1045</v>
      </c>
      <c r="S17" s="759"/>
      <c r="T17" s="759" t="s">
        <v>1056</v>
      </c>
      <c r="U17" s="759"/>
      <c r="V17" s="759"/>
      <c r="W17" s="759" t="s">
        <v>116</v>
      </c>
      <c r="X17" s="759"/>
      <c r="Y17" s="759"/>
      <c r="Z17" s="759"/>
      <c r="AA17" s="759"/>
      <c r="AB17" s="759"/>
      <c r="AC17" s="759"/>
      <c r="AD17" s="764"/>
    </row>
    <row r="18" spans="1:30" s="239" customFormat="1" ht="18.899999999999999" customHeight="1">
      <c r="A18" s="414" t="s">
        <v>1108</v>
      </c>
      <c r="B18" s="358"/>
      <c r="C18" s="358"/>
      <c r="D18" s="358"/>
      <c r="E18" s="358"/>
      <c r="F18" s="358"/>
      <c r="G18" s="358"/>
      <c r="H18" s="358"/>
      <c r="I18" s="358"/>
      <c r="J18" s="358"/>
      <c r="K18" s="358"/>
      <c r="L18" s="358"/>
      <c r="M18" s="358"/>
      <c r="P18" s="763"/>
      <c r="Q18" s="764"/>
      <c r="R18" s="762" t="s">
        <v>1057</v>
      </c>
      <c r="S18" s="759"/>
      <c r="T18" s="759" t="s">
        <v>1058</v>
      </c>
      <c r="U18" s="759"/>
      <c r="V18" s="759"/>
      <c r="W18" s="759" t="s">
        <v>116</v>
      </c>
      <c r="X18" s="759"/>
      <c r="Y18" s="759"/>
      <c r="Z18" s="759"/>
      <c r="AA18" s="759"/>
      <c r="AB18" s="759"/>
      <c r="AC18" s="759"/>
      <c r="AD18" s="764"/>
    </row>
    <row r="19" spans="1:30" s="239" customFormat="1" ht="18.899999999999999" customHeight="1">
      <c r="A19" s="609" t="s">
        <v>1109</v>
      </c>
      <c r="B19" s="358"/>
      <c r="C19" s="358"/>
      <c r="D19" s="358"/>
      <c r="E19" s="358"/>
      <c r="F19" s="358"/>
      <c r="G19" s="358"/>
      <c r="H19" s="358"/>
      <c r="I19" s="358"/>
      <c r="J19" s="358"/>
      <c r="K19" s="358"/>
      <c r="L19" s="358"/>
      <c r="M19" s="358"/>
      <c r="P19" s="763"/>
      <c r="Q19" s="764"/>
      <c r="R19" s="762" t="s">
        <v>1048</v>
      </c>
      <c r="S19" s="759"/>
      <c r="T19" s="759" t="s">
        <v>1049</v>
      </c>
      <c r="U19" s="759"/>
      <c r="V19" s="759"/>
      <c r="W19" s="759" t="s">
        <v>116</v>
      </c>
      <c r="X19" s="759"/>
      <c r="Y19" s="759"/>
      <c r="Z19" s="759"/>
      <c r="AA19" s="759" t="s">
        <v>1050</v>
      </c>
      <c r="AB19" s="759"/>
      <c r="AC19" s="759"/>
      <c r="AD19" s="764"/>
    </row>
    <row r="20" spans="1:30" s="239" customFormat="1" ht="18.899999999999999" customHeight="1">
      <c r="A20" s="412" t="s">
        <v>1110</v>
      </c>
      <c r="B20" s="358"/>
      <c r="C20" s="358"/>
      <c r="D20" s="358"/>
      <c r="E20" s="413" t="s">
        <v>1111</v>
      </c>
      <c r="F20" s="358"/>
      <c r="G20" s="358"/>
      <c r="H20" s="358"/>
      <c r="I20" s="358"/>
      <c r="J20" s="358"/>
      <c r="K20" s="358"/>
      <c r="L20" s="358"/>
      <c r="M20" s="358"/>
      <c r="P20" s="763" t="s">
        <v>1140</v>
      </c>
      <c r="Q20" s="611" t="s">
        <v>1059</v>
      </c>
      <c r="R20" s="762" t="s">
        <v>1025</v>
      </c>
      <c r="S20" s="759"/>
      <c r="T20" s="759" t="s">
        <v>1060</v>
      </c>
      <c r="U20" s="759"/>
      <c r="V20" s="759"/>
      <c r="W20" s="759" t="s">
        <v>1061</v>
      </c>
      <c r="X20" s="759"/>
      <c r="Y20" s="759"/>
      <c r="Z20" s="759"/>
      <c r="AA20" s="759" t="s">
        <v>1053</v>
      </c>
      <c r="AB20" s="759"/>
      <c r="AC20" s="759"/>
      <c r="AD20" s="764"/>
    </row>
    <row r="21" spans="1:30" s="239" customFormat="1" ht="18.899999999999999" customHeight="1">
      <c r="A21" s="371" t="s">
        <v>1112</v>
      </c>
      <c r="B21" s="367" t="s">
        <v>1113</v>
      </c>
      <c r="C21" s="365" t="s">
        <v>1114</v>
      </c>
      <c r="D21" s="365" t="s">
        <v>1115</v>
      </c>
      <c r="E21" s="365" t="s">
        <v>1116</v>
      </c>
      <c r="F21" s="365" t="s">
        <v>1117</v>
      </c>
      <c r="G21" s="365" t="s">
        <v>1118</v>
      </c>
      <c r="H21" s="365" t="s">
        <v>1119</v>
      </c>
      <c r="I21" s="365" t="s">
        <v>1120</v>
      </c>
      <c r="J21" s="365" t="s">
        <v>1121</v>
      </c>
      <c r="K21" s="365" t="s">
        <v>1122</v>
      </c>
      <c r="L21" s="365" t="s">
        <v>1123</v>
      </c>
      <c r="M21" s="366" t="s">
        <v>1124</v>
      </c>
      <c r="P21" s="763"/>
      <c r="Q21" s="764" t="s">
        <v>1062</v>
      </c>
      <c r="R21" s="762" t="s">
        <v>1025</v>
      </c>
      <c r="S21" s="759"/>
      <c r="T21" s="759" t="s">
        <v>1060</v>
      </c>
      <c r="U21" s="759"/>
      <c r="V21" s="759"/>
      <c r="W21" s="759" t="s">
        <v>1063</v>
      </c>
      <c r="X21" s="759"/>
      <c r="Y21" s="759"/>
      <c r="Z21" s="759"/>
      <c r="AA21" s="759" t="s">
        <v>1053</v>
      </c>
      <c r="AB21" s="759"/>
      <c r="AC21" s="759"/>
      <c r="AD21" s="764"/>
    </row>
    <row r="22" spans="1:30" s="239" customFormat="1" ht="18.899999999999999" customHeight="1">
      <c r="A22" s="372" t="s">
        <v>1125</v>
      </c>
      <c r="B22" s="368" t="s">
        <v>1126</v>
      </c>
      <c r="C22" s="397">
        <f>함수비</f>
        <v>12000</v>
      </c>
      <c r="D22" s="364">
        <f t="shared" ref="D22:D30" si="0">IF($B$4="","",1)</f>
        <v>1</v>
      </c>
      <c r="E22" s="364">
        <f t="shared" ref="E22:E30" si="1">IF($B$5="","",1)</f>
        <v>1</v>
      </c>
      <c r="F22" s="364">
        <f t="shared" ref="F22:F30" si="2">IF($B$6="","",1)</f>
        <v>1</v>
      </c>
      <c r="G22" s="364" t="str">
        <f t="shared" ref="G22:G30" si="3">IF($B$7="","",1)</f>
        <v/>
      </c>
      <c r="H22" s="364">
        <f t="shared" ref="H22:H30" si="4">IF($B$8="","",1)</f>
        <v>1</v>
      </c>
      <c r="I22" s="364">
        <f t="shared" ref="I22:I30" si="5">IF($B$9="","",1)</f>
        <v>1</v>
      </c>
      <c r="J22" s="364" t="str">
        <f t="shared" ref="J22:J30" si="6">IF($B$10="","",1)</f>
        <v/>
      </c>
      <c r="K22" s="364" t="str">
        <f t="shared" ref="K22:K30" si="7">IF($B$11="","",1)</f>
        <v/>
      </c>
      <c r="L22" s="364" t="str">
        <f t="shared" ref="L22:L30" si="8">IF($B$12="","",1)</f>
        <v/>
      </c>
      <c r="M22" s="375">
        <f>SUM(D22:L22)</f>
        <v>5</v>
      </c>
      <c r="P22" s="791"/>
      <c r="Q22" s="785"/>
      <c r="R22" s="760" t="s">
        <v>1042</v>
      </c>
      <c r="S22" s="761"/>
      <c r="T22" s="761" t="s">
        <v>1064</v>
      </c>
      <c r="U22" s="761"/>
      <c r="V22" s="761"/>
      <c r="W22" s="761" t="s">
        <v>1044</v>
      </c>
      <c r="X22" s="761"/>
      <c r="Y22" s="761"/>
      <c r="Z22" s="761"/>
      <c r="AA22" s="761"/>
      <c r="AB22" s="761"/>
      <c r="AC22" s="761"/>
      <c r="AD22" s="785"/>
    </row>
    <row r="23" spans="1:30" s="239" customFormat="1" ht="18.899999999999999" customHeight="1">
      <c r="A23" s="373" t="s">
        <v>1125</v>
      </c>
      <c r="B23" s="369" t="s">
        <v>1127</v>
      </c>
      <c r="C23" s="398">
        <f>밀도</f>
        <v>20000</v>
      </c>
      <c r="D23" s="360">
        <f t="shared" si="0"/>
        <v>1</v>
      </c>
      <c r="E23" s="360">
        <f t="shared" si="1"/>
        <v>1</v>
      </c>
      <c r="F23" s="360">
        <f t="shared" si="2"/>
        <v>1</v>
      </c>
      <c r="G23" s="360" t="str">
        <f t="shared" si="3"/>
        <v/>
      </c>
      <c r="H23" s="360">
        <f t="shared" si="4"/>
        <v>1</v>
      </c>
      <c r="I23" s="360">
        <f t="shared" si="5"/>
        <v>1</v>
      </c>
      <c r="J23" s="360" t="str">
        <f t="shared" si="6"/>
        <v/>
      </c>
      <c r="K23" s="360" t="str">
        <f t="shared" si="7"/>
        <v/>
      </c>
      <c r="L23" s="360" t="str">
        <f t="shared" si="8"/>
        <v/>
      </c>
      <c r="M23" s="376">
        <f>SUM(D23:L23)</f>
        <v>5</v>
      </c>
      <c r="P23" s="616" t="s">
        <v>1146</v>
      </c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</row>
    <row r="24" spans="1:30" s="239" customFormat="1" ht="18.899999999999999" customHeight="1">
      <c r="A24" s="373" t="s">
        <v>1125</v>
      </c>
      <c r="B24" s="369" t="s">
        <v>1128</v>
      </c>
      <c r="C24" s="398">
        <f>입도</f>
        <v>130000</v>
      </c>
      <c r="D24" s="360">
        <f t="shared" si="0"/>
        <v>1</v>
      </c>
      <c r="E24" s="360">
        <f t="shared" si="1"/>
        <v>1</v>
      </c>
      <c r="F24" s="361">
        <f t="shared" si="2"/>
        <v>1</v>
      </c>
      <c r="G24" s="361" t="str">
        <f t="shared" si="3"/>
        <v/>
      </c>
      <c r="H24" s="361">
        <f t="shared" si="4"/>
        <v>1</v>
      </c>
      <c r="I24" s="361">
        <f t="shared" si="5"/>
        <v>1</v>
      </c>
      <c r="J24" s="361" t="str">
        <f t="shared" si="6"/>
        <v/>
      </c>
      <c r="K24" s="361" t="str">
        <f t="shared" si="7"/>
        <v/>
      </c>
      <c r="L24" s="361" t="str">
        <f t="shared" si="8"/>
        <v/>
      </c>
      <c r="M24" s="376">
        <f t="shared" ref="M24:M29" si="9">SUM(D24:L24)</f>
        <v>5</v>
      </c>
      <c r="P24" s="777" t="s">
        <v>1065</v>
      </c>
      <c r="Q24" s="778"/>
      <c r="R24" s="783" t="s">
        <v>1066</v>
      </c>
      <c r="S24" s="784"/>
      <c r="T24" s="784"/>
      <c r="U24" s="784"/>
      <c r="V24" s="784"/>
      <c r="W24" s="784"/>
      <c r="X24" s="784"/>
      <c r="Y24" s="784"/>
      <c r="Z24" s="784"/>
      <c r="AA24" s="784"/>
      <c r="AB24" s="784"/>
      <c r="AC24" s="778"/>
      <c r="AD24" s="240"/>
    </row>
    <row r="25" spans="1:30" s="239" customFormat="1" ht="18.899999999999999" customHeight="1">
      <c r="A25" s="373" t="s">
        <v>1125</v>
      </c>
      <c r="B25" s="369" t="s">
        <v>1129</v>
      </c>
      <c r="C25" s="398">
        <f>액성한계</f>
        <v>40000</v>
      </c>
      <c r="D25" s="360">
        <f t="shared" si="0"/>
        <v>1</v>
      </c>
      <c r="E25" s="361">
        <f t="shared" si="1"/>
        <v>1</v>
      </c>
      <c r="F25" s="361">
        <f t="shared" si="2"/>
        <v>1</v>
      </c>
      <c r="G25" s="361" t="str">
        <f t="shared" si="3"/>
        <v/>
      </c>
      <c r="H25" s="361">
        <f t="shared" si="4"/>
        <v>1</v>
      </c>
      <c r="I25" s="361">
        <f t="shared" si="5"/>
        <v>1</v>
      </c>
      <c r="J25" s="361" t="str">
        <f t="shared" si="6"/>
        <v/>
      </c>
      <c r="K25" s="361" t="str">
        <f t="shared" si="7"/>
        <v/>
      </c>
      <c r="L25" s="361" t="str">
        <f t="shared" si="8"/>
        <v/>
      </c>
      <c r="M25" s="376">
        <f t="shared" si="9"/>
        <v>5</v>
      </c>
      <c r="P25" s="779" t="s">
        <v>1025</v>
      </c>
      <c r="Q25" s="612" t="s">
        <v>1067</v>
      </c>
      <c r="R25" s="780" t="s">
        <v>1141</v>
      </c>
      <c r="S25" s="781"/>
      <c r="T25" s="781"/>
      <c r="U25" s="781"/>
      <c r="V25" s="781"/>
      <c r="W25" s="781"/>
      <c r="X25" s="781"/>
      <c r="Y25" s="781"/>
      <c r="Z25" s="781"/>
      <c r="AA25" s="781"/>
      <c r="AB25" s="781"/>
      <c r="AC25" s="782"/>
      <c r="AD25" s="240"/>
    </row>
    <row r="26" spans="1:30" s="239" customFormat="1" ht="18.899999999999999" customHeight="1">
      <c r="A26" s="373" t="s">
        <v>1125</v>
      </c>
      <c r="B26" s="369" t="s">
        <v>1130</v>
      </c>
      <c r="C26" s="398">
        <f>소성한계</f>
        <v>30000</v>
      </c>
      <c r="D26" s="360">
        <f t="shared" si="0"/>
        <v>1</v>
      </c>
      <c r="E26" s="361">
        <f t="shared" si="1"/>
        <v>1</v>
      </c>
      <c r="F26" s="361">
        <f t="shared" si="2"/>
        <v>1</v>
      </c>
      <c r="G26" s="361" t="str">
        <f t="shared" si="3"/>
        <v/>
      </c>
      <c r="H26" s="361">
        <f t="shared" si="4"/>
        <v>1</v>
      </c>
      <c r="I26" s="361">
        <f t="shared" si="5"/>
        <v>1</v>
      </c>
      <c r="J26" s="361" t="str">
        <f t="shared" si="6"/>
        <v/>
      </c>
      <c r="K26" s="361" t="str">
        <f t="shared" si="7"/>
        <v/>
      </c>
      <c r="L26" s="361" t="str">
        <f t="shared" si="8"/>
        <v/>
      </c>
      <c r="M26" s="376">
        <f t="shared" si="9"/>
        <v>5</v>
      </c>
      <c r="P26" s="757"/>
      <c r="Q26" s="613" t="s">
        <v>1024</v>
      </c>
      <c r="R26" s="765" t="s">
        <v>1142</v>
      </c>
      <c r="S26" s="766"/>
      <c r="T26" s="766"/>
      <c r="U26" s="766"/>
      <c r="V26" s="766"/>
      <c r="W26" s="766"/>
      <c r="X26" s="766"/>
      <c r="Y26" s="766"/>
      <c r="Z26" s="766"/>
      <c r="AA26" s="766"/>
      <c r="AB26" s="766"/>
      <c r="AC26" s="767"/>
      <c r="AD26" s="240"/>
    </row>
    <row r="27" spans="1:30" s="239" customFormat="1" ht="18.899999999999999" customHeight="1">
      <c r="A27" s="373" t="s">
        <v>1125</v>
      </c>
      <c r="B27" s="369" t="s">
        <v>1131</v>
      </c>
      <c r="C27" s="398">
        <f>통과량</f>
        <v>15000</v>
      </c>
      <c r="D27" s="360">
        <f t="shared" si="0"/>
        <v>1</v>
      </c>
      <c r="E27" s="360">
        <f t="shared" si="1"/>
        <v>1</v>
      </c>
      <c r="F27" s="361">
        <f t="shared" si="2"/>
        <v>1</v>
      </c>
      <c r="G27" s="361" t="str">
        <f t="shared" si="3"/>
        <v/>
      </c>
      <c r="H27" s="361">
        <f t="shared" si="4"/>
        <v>1</v>
      </c>
      <c r="I27" s="361">
        <f t="shared" si="5"/>
        <v>1</v>
      </c>
      <c r="J27" s="361" t="str">
        <f t="shared" si="6"/>
        <v/>
      </c>
      <c r="K27" s="361" t="str">
        <f t="shared" si="7"/>
        <v/>
      </c>
      <c r="L27" s="361" t="str">
        <f t="shared" si="8"/>
        <v/>
      </c>
      <c r="M27" s="376">
        <f t="shared" si="9"/>
        <v>5</v>
      </c>
      <c r="P27" s="757"/>
      <c r="Q27" s="613" t="s">
        <v>1068</v>
      </c>
      <c r="R27" s="765" t="s">
        <v>1069</v>
      </c>
      <c r="S27" s="766"/>
      <c r="T27" s="766"/>
      <c r="U27" s="766"/>
      <c r="V27" s="766"/>
      <c r="W27" s="766"/>
      <c r="X27" s="766"/>
      <c r="Y27" s="766"/>
      <c r="Z27" s="766"/>
      <c r="AA27" s="766"/>
      <c r="AB27" s="766"/>
      <c r="AC27" s="767"/>
      <c r="AD27" s="240"/>
    </row>
    <row r="28" spans="1:30" s="239" customFormat="1" ht="18.899999999999999" customHeight="1">
      <c r="A28" s="373" t="s">
        <v>1132</v>
      </c>
      <c r="B28" s="369" t="s">
        <v>1133</v>
      </c>
      <c r="C28" s="398">
        <f>직접전단시험급속</f>
        <v>150000</v>
      </c>
      <c r="D28" s="360">
        <f t="shared" si="0"/>
        <v>1</v>
      </c>
      <c r="E28" s="360">
        <f t="shared" si="1"/>
        <v>1</v>
      </c>
      <c r="F28" s="360">
        <f t="shared" si="2"/>
        <v>1</v>
      </c>
      <c r="G28" s="360" t="str">
        <f t="shared" si="3"/>
        <v/>
      </c>
      <c r="H28" s="360">
        <f t="shared" si="4"/>
        <v>1</v>
      </c>
      <c r="I28" s="360">
        <f t="shared" si="5"/>
        <v>1</v>
      </c>
      <c r="J28" s="360" t="str">
        <f t="shared" si="6"/>
        <v/>
      </c>
      <c r="K28" s="360" t="str">
        <f t="shared" si="7"/>
        <v/>
      </c>
      <c r="L28" s="360" t="str">
        <f t="shared" si="8"/>
        <v/>
      </c>
      <c r="M28" s="376">
        <f t="shared" si="9"/>
        <v>5</v>
      </c>
      <c r="P28" s="757"/>
      <c r="Q28" s="613" t="s">
        <v>1070</v>
      </c>
      <c r="R28" s="765" t="s">
        <v>1143</v>
      </c>
      <c r="S28" s="766"/>
      <c r="T28" s="766"/>
      <c r="U28" s="766"/>
      <c r="V28" s="766"/>
      <c r="W28" s="766"/>
      <c r="X28" s="766"/>
      <c r="Y28" s="766"/>
      <c r="Z28" s="766"/>
      <c r="AA28" s="766"/>
      <c r="AB28" s="766"/>
      <c r="AC28" s="767"/>
      <c r="AD28" s="240"/>
    </row>
    <row r="29" spans="1:30" s="239" customFormat="1" ht="18.899999999999999" customHeight="1">
      <c r="A29" s="373" t="s">
        <v>1132</v>
      </c>
      <c r="B29" s="369" t="s">
        <v>1134</v>
      </c>
      <c r="C29" s="398">
        <f>다짐시험</f>
        <v>110000</v>
      </c>
      <c r="D29" s="360">
        <f t="shared" si="0"/>
        <v>1</v>
      </c>
      <c r="E29" s="360">
        <f t="shared" si="1"/>
        <v>1</v>
      </c>
      <c r="F29" s="361">
        <f t="shared" si="2"/>
        <v>1</v>
      </c>
      <c r="G29" s="361" t="str">
        <f t="shared" si="3"/>
        <v/>
      </c>
      <c r="H29" s="361">
        <f t="shared" si="4"/>
        <v>1</v>
      </c>
      <c r="I29" s="361">
        <f t="shared" si="5"/>
        <v>1</v>
      </c>
      <c r="J29" s="361" t="str">
        <f t="shared" si="6"/>
        <v/>
      </c>
      <c r="K29" s="361" t="str">
        <f t="shared" si="7"/>
        <v/>
      </c>
      <c r="L29" s="361" t="str">
        <f t="shared" si="8"/>
        <v/>
      </c>
      <c r="M29" s="376">
        <f t="shared" si="9"/>
        <v>5</v>
      </c>
      <c r="P29" s="757" t="s">
        <v>1084</v>
      </c>
      <c r="Q29" s="758"/>
      <c r="R29" s="765" t="s">
        <v>1144</v>
      </c>
      <c r="S29" s="766"/>
      <c r="T29" s="766"/>
      <c r="U29" s="766"/>
      <c r="V29" s="766"/>
      <c r="W29" s="766"/>
      <c r="X29" s="766"/>
      <c r="Y29" s="766"/>
      <c r="Z29" s="766"/>
      <c r="AA29" s="766"/>
      <c r="AB29" s="766"/>
      <c r="AC29" s="767"/>
      <c r="AD29" s="240"/>
    </row>
    <row r="30" spans="1:30" s="239" customFormat="1" ht="18.899999999999999" customHeight="1" thickBot="1">
      <c r="A30" s="374" t="s">
        <v>1132</v>
      </c>
      <c r="B30" s="370" t="s">
        <v>682</v>
      </c>
      <c r="C30" s="399">
        <f>실내씨비알</f>
        <v>200000</v>
      </c>
      <c r="D30" s="362">
        <f t="shared" si="0"/>
        <v>1</v>
      </c>
      <c r="E30" s="362">
        <f t="shared" si="1"/>
        <v>1</v>
      </c>
      <c r="F30" s="362">
        <f t="shared" si="2"/>
        <v>1</v>
      </c>
      <c r="G30" s="362" t="str">
        <f t="shared" si="3"/>
        <v/>
      </c>
      <c r="H30" s="362">
        <f t="shared" si="4"/>
        <v>1</v>
      </c>
      <c r="I30" s="363">
        <f t="shared" si="5"/>
        <v>1</v>
      </c>
      <c r="J30" s="363" t="str">
        <f t="shared" si="6"/>
        <v/>
      </c>
      <c r="K30" s="363" t="str">
        <f t="shared" si="7"/>
        <v/>
      </c>
      <c r="L30" s="363" t="str">
        <f t="shared" si="8"/>
        <v/>
      </c>
      <c r="M30" s="377">
        <f>SUM(D30:L30)</f>
        <v>5</v>
      </c>
      <c r="P30" s="757" t="s">
        <v>1071</v>
      </c>
      <c r="Q30" s="758"/>
      <c r="R30" s="765" t="s">
        <v>1143</v>
      </c>
      <c r="S30" s="766"/>
      <c r="T30" s="766"/>
      <c r="U30" s="766"/>
      <c r="V30" s="766"/>
      <c r="W30" s="766"/>
      <c r="X30" s="766"/>
      <c r="Y30" s="766"/>
      <c r="Z30" s="766"/>
      <c r="AA30" s="766"/>
      <c r="AB30" s="766"/>
      <c r="AC30" s="767"/>
      <c r="AD30" s="240"/>
    </row>
    <row r="31" spans="1:30" s="614" customFormat="1" ht="18.899999999999999" customHeight="1" thickTop="1">
      <c r="A31" s="358"/>
      <c r="B31" s="358"/>
      <c r="C31" s="358"/>
      <c r="D31" s="358"/>
      <c r="E31" s="358"/>
      <c r="F31" s="358"/>
      <c r="G31" s="358"/>
      <c r="H31" s="358"/>
      <c r="I31" s="358"/>
      <c r="J31" s="358"/>
      <c r="K31" s="358"/>
      <c r="L31" s="358"/>
      <c r="M31" s="358"/>
      <c r="P31" s="772" t="s">
        <v>1072</v>
      </c>
      <c r="Q31" s="773"/>
      <c r="R31" s="774" t="s">
        <v>1073</v>
      </c>
      <c r="S31" s="775"/>
      <c r="T31" s="775"/>
      <c r="U31" s="775"/>
      <c r="V31" s="775"/>
      <c r="W31" s="775"/>
      <c r="X31" s="775"/>
      <c r="Y31" s="775"/>
      <c r="Z31" s="775"/>
      <c r="AA31" s="775"/>
      <c r="AB31" s="775"/>
      <c r="AC31" s="776"/>
      <c r="AD31" s="238"/>
    </row>
    <row r="32" spans="1:30" s="614" customFormat="1" ht="20.100000000000001" customHeight="1">
      <c r="AB32" s="615"/>
    </row>
    <row r="33" spans="16:31" s="614" customFormat="1" ht="20.100000000000001" customHeight="1">
      <c r="AB33" s="615"/>
    </row>
    <row r="34" spans="16:31" s="614" customFormat="1" ht="20.100000000000001" customHeight="1">
      <c r="AB34" s="615"/>
    </row>
    <row r="35" spans="16:31" s="614" customFormat="1" ht="20.100000000000001" customHeight="1"/>
    <row r="36" spans="16:31" s="614" customFormat="1" ht="20.100000000000001" customHeight="1"/>
    <row r="37" spans="16:31" s="614" customFormat="1" ht="20.100000000000001" customHeight="1"/>
    <row r="38" spans="16:31" s="598" customFormat="1" ht="20.100000000000001" customHeight="1">
      <c r="P38" s="614"/>
      <c r="Q38" s="614"/>
      <c r="R38" s="614"/>
      <c r="S38" s="614"/>
      <c r="T38" s="614"/>
      <c r="U38" s="614"/>
      <c r="V38" s="614"/>
      <c r="W38" s="614"/>
      <c r="X38" s="614"/>
      <c r="Y38" s="614"/>
      <c r="Z38" s="614"/>
      <c r="AA38" s="614"/>
      <c r="AB38" s="614"/>
      <c r="AC38" s="614"/>
      <c r="AD38" s="614"/>
      <c r="AE38" s="614"/>
    </row>
    <row r="39" spans="16:31" s="598" customFormat="1" ht="15.75" customHeight="1">
      <c r="P39" s="614"/>
      <c r="Q39" s="614"/>
      <c r="R39" s="614"/>
      <c r="S39" s="614"/>
      <c r="T39" s="614"/>
      <c r="U39" s="614"/>
      <c r="V39" s="614"/>
      <c r="W39" s="614"/>
      <c r="X39" s="614"/>
      <c r="Y39" s="614"/>
      <c r="Z39" s="614"/>
      <c r="AA39" s="614"/>
      <c r="AB39" s="614"/>
      <c r="AC39" s="614"/>
      <c r="AD39" s="614"/>
      <c r="AE39" s="614"/>
    </row>
    <row r="40" spans="16:31" s="598" customFormat="1" ht="15.75" customHeight="1">
      <c r="P40" s="614"/>
      <c r="Q40" s="614"/>
      <c r="R40" s="614"/>
      <c r="S40" s="614"/>
      <c r="T40" s="614"/>
      <c r="U40" s="614"/>
      <c r="V40" s="614"/>
      <c r="W40" s="614"/>
      <c r="X40" s="614"/>
      <c r="Y40" s="614"/>
      <c r="Z40" s="614"/>
      <c r="AA40" s="614"/>
      <c r="AB40" s="614"/>
      <c r="AC40" s="614"/>
      <c r="AD40" s="614"/>
      <c r="AE40" s="614"/>
    </row>
    <row r="41" spans="16:31" s="598" customFormat="1" ht="15.75" customHeight="1">
      <c r="P41" s="614"/>
      <c r="Q41" s="614"/>
      <c r="R41" s="614"/>
      <c r="S41" s="614"/>
      <c r="T41" s="614"/>
      <c r="U41" s="614"/>
      <c r="V41" s="614"/>
      <c r="W41" s="614"/>
      <c r="X41" s="614"/>
      <c r="Y41" s="614"/>
      <c r="Z41" s="614"/>
      <c r="AA41" s="614"/>
      <c r="AB41" s="614"/>
      <c r="AC41" s="614"/>
      <c r="AD41" s="614"/>
      <c r="AE41" s="614"/>
    </row>
    <row r="42" spans="16:31" s="598" customFormat="1" ht="15.75" customHeight="1">
      <c r="P42" s="614"/>
      <c r="Q42" s="614"/>
      <c r="R42" s="614"/>
      <c r="S42" s="614"/>
      <c r="T42" s="614"/>
      <c r="U42" s="614"/>
      <c r="V42" s="614"/>
      <c r="W42" s="614"/>
      <c r="X42" s="614"/>
      <c r="Y42" s="614"/>
      <c r="Z42" s="614"/>
      <c r="AA42" s="614"/>
      <c r="AB42" s="614"/>
      <c r="AC42" s="614"/>
      <c r="AD42" s="614"/>
      <c r="AE42" s="614"/>
    </row>
    <row r="43" spans="16:31" s="598" customFormat="1" ht="15.75" customHeight="1">
      <c r="P43" s="614"/>
      <c r="Q43" s="614"/>
      <c r="R43" s="614"/>
      <c r="S43" s="614"/>
      <c r="T43" s="614"/>
      <c r="U43" s="614"/>
      <c r="V43" s="614"/>
      <c r="W43" s="614"/>
      <c r="X43" s="614"/>
      <c r="Y43" s="614"/>
      <c r="Z43" s="614"/>
      <c r="AA43" s="614"/>
      <c r="AB43" s="614"/>
      <c r="AC43" s="614"/>
      <c r="AD43" s="614"/>
      <c r="AE43" s="614"/>
    </row>
    <row r="44" spans="16:31" s="598" customFormat="1" ht="15.75" customHeight="1">
      <c r="P44" s="614"/>
      <c r="Q44" s="614"/>
      <c r="R44" s="614"/>
      <c r="S44" s="614"/>
      <c r="T44" s="614"/>
      <c r="U44" s="614"/>
      <c r="V44" s="614"/>
      <c r="W44" s="614"/>
      <c r="X44" s="614"/>
      <c r="Y44" s="614"/>
      <c r="Z44" s="614"/>
      <c r="AA44" s="614"/>
      <c r="AB44" s="614"/>
      <c r="AC44" s="614"/>
      <c r="AD44" s="614"/>
      <c r="AE44" s="614"/>
    </row>
    <row r="45" spans="16:31" s="598" customFormat="1" ht="15.75" customHeight="1">
      <c r="P45" s="614"/>
      <c r="Q45" s="614"/>
      <c r="R45" s="614"/>
      <c r="S45" s="614"/>
      <c r="T45" s="614"/>
      <c r="U45" s="614"/>
      <c r="V45" s="614"/>
      <c r="W45" s="614"/>
      <c r="X45" s="614"/>
      <c r="Y45" s="614"/>
      <c r="Z45" s="614"/>
      <c r="AA45" s="614"/>
      <c r="AB45" s="614"/>
      <c r="AC45" s="614"/>
      <c r="AD45" s="614"/>
      <c r="AE45" s="614"/>
    </row>
    <row r="46" spans="16:31" s="598" customFormat="1" ht="15.75" customHeight="1">
      <c r="P46" s="614"/>
      <c r="Q46" s="614"/>
      <c r="R46" s="614"/>
      <c r="S46" s="614"/>
      <c r="T46" s="614"/>
      <c r="U46" s="614"/>
      <c r="V46" s="614"/>
      <c r="W46" s="614"/>
      <c r="X46" s="614"/>
      <c r="Y46" s="614"/>
      <c r="Z46" s="614"/>
      <c r="AA46" s="614"/>
      <c r="AB46" s="614"/>
      <c r="AC46" s="614"/>
      <c r="AD46" s="614"/>
      <c r="AE46" s="614"/>
    </row>
    <row r="47" spans="16:31" s="598" customFormat="1" ht="15.75" customHeight="1">
      <c r="P47" s="614"/>
      <c r="Q47" s="614"/>
      <c r="R47" s="614"/>
      <c r="S47" s="614"/>
      <c r="T47" s="614"/>
      <c r="U47" s="614"/>
      <c r="V47" s="614"/>
      <c r="W47" s="614"/>
      <c r="X47" s="614"/>
      <c r="Y47" s="614"/>
      <c r="Z47" s="614"/>
      <c r="AA47" s="614"/>
      <c r="AB47" s="614"/>
      <c r="AC47" s="614"/>
      <c r="AD47" s="614"/>
      <c r="AE47" s="614"/>
    </row>
    <row r="48" spans="16:31" s="598" customFormat="1" ht="15.75" customHeight="1">
      <c r="P48" s="614"/>
      <c r="Q48" s="614"/>
      <c r="R48" s="614"/>
      <c r="S48" s="614"/>
      <c r="T48" s="614"/>
      <c r="U48" s="614"/>
      <c r="V48" s="614"/>
      <c r="W48" s="614"/>
      <c r="X48" s="614"/>
      <c r="Y48" s="614"/>
      <c r="Z48" s="614"/>
      <c r="AA48" s="614"/>
      <c r="AB48" s="614"/>
      <c r="AC48" s="614"/>
      <c r="AD48" s="614"/>
      <c r="AE48" s="614"/>
    </row>
    <row r="49" spans="16:31" s="598" customFormat="1" ht="15.75" customHeight="1">
      <c r="P49" s="614"/>
      <c r="Q49" s="614"/>
      <c r="R49" s="614"/>
      <c r="S49" s="614"/>
      <c r="T49" s="614"/>
      <c r="U49" s="614"/>
      <c r="V49" s="614"/>
      <c r="W49" s="614"/>
      <c r="X49" s="614"/>
      <c r="Y49" s="614"/>
      <c r="Z49" s="614"/>
      <c r="AA49" s="614"/>
      <c r="AB49" s="614"/>
      <c r="AC49" s="614"/>
      <c r="AD49" s="614"/>
      <c r="AE49" s="614"/>
    </row>
    <row r="50" spans="16:31" s="598" customFormat="1" ht="15.75" customHeight="1">
      <c r="P50" s="614"/>
      <c r="Q50" s="614"/>
      <c r="R50" s="614"/>
      <c r="S50" s="614"/>
      <c r="T50" s="614"/>
      <c r="U50" s="614"/>
      <c r="V50" s="614"/>
      <c r="W50" s="614"/>
      <c r="X50" s="614"/>
      <c r="Y50" s="614"/>
      <c r="Z50" s="614"/>
      <c r="AA50" s="614"/>
      <c r="AB50" s="614"/>
      <c r="AC50" s="614"/>
      <c r="AD50" s="614"/>
      <c r="AE50" s="614"/>
    </row>
    <row r="51" spans="16:31" s="598" customFormat="1" ht="15.75" customHeight="1">
      <c r="P51" s="614"/>
      <c r="Q51" s="614"/>
      <c r="R51" s="614"/>
      <c r="S51" s="614"/>
      <c r="T51" s="614"/>
      <c r="U51" s="614"/>
      <c r="V51" s="614"/>
      <c r="W51" s="614"/>
      <c r="X51" s="614"/>
      <c r="Y51" s="614"/>
      <c r="Z51" s="614"/>
      <c r="AA51" s="614"/>
      <c r="AB51" s="614"/>
      <c r="AC51" s="614"/>
      <c r="AD51" s="614"/>
      <c r="AE51" s="614"/>
    </row>
    <row r="52" spans="16:31" s="598" customFormat="1" ht="15.75" customHeight="1">
      <c r="P52" s="614"/>
      <c r="Q52" s="614"/>
      <c r="R52" s="614"/>
      <c r="S52" s="614"/>
      <c r="T52" s="614"/>
      <c r="U52" s="614"/>
      <c r="V52" s="614"/>
      <c r="W52" s="614"/>
      <c r="X52" s="614"/>
      <c r="Y52" s="614"/>
      <c r="Z52" s="614"/>
      <c r="AA52" s="614"/>
      <c r="AB52" s="614"/>
      <c r="AC52" s="614"/>
      <c r="AD52" s="614"/>
      <c r="AE52" s="614"/>
    </row>
    <row r="53" spans="16:31" s="598" customFormat="1" ht="15.75" customHeight="1">
      <c r="P53" s="614"/>
      <c r="Q53" s="614"/>
      <c r="R53" s="614"/>
      <c r="S53" s="614"/>
      <c r="T53" s="614"/>
      <c r="U53" s="614"/>
      <c r="V53" s="614"/>
      <c r="W53" s="614"/>
      <c r="X53" s="614"/>
      <c r="Y53" s="614"/>
      <c r="Z53" s="614"/>
      <c r="AA53" s="614"/>
      <c r="AB53" s="614"/>
      <c r="AC53" s="614"/>
      <c r="AD53" s="614"/>
      <c r="AE53" s="614"/>
    </row>
    <row r="54" spans="16:31" s="598" customFormat="1" ht="15.75" customHeight="1">
      <c r="P54" s="614"/>
      <c r="Q54" s="614"/>
      <c r="R54" s="614"/>
      <c r="S54" s="614"/>
      <c r="T54" s="614"/>
      <c r="U54" s="614"/>
      <c r="V54" s="614"/>
      <c r="W54" s="614"/>
      <c r="X54" s="614"/>
      <c r="Y54" s="614"/>
      <c r="Z54" s="614"/>
      <c r="AA54" s="614"/>
      <c r="AB54" s="614"/>
      <c r="AC54" s="614"/>
      <c r="AD54" s="614"/>
      <c r="AE54" s="614"/>
    </row>
    <row r="55" spans="16:31" s="598" customFormat="1" ht="15.75" customHeight="1">
      <c r="P55" s="614"/>
      <c r="Q55" s="614"/>
      <c r="R55" s="614"/>
      <c r="S55" s="614"/>
      <c r="T55" s="614"/>
      <c r="U55" s="614"/>
      <c r="V55" s="614"/>
      <c r="W55" s="614"/>
      <c r="X55" s="614"/>
      <c r="Y55" s="614"/>
      <c r="Z55" s="614"/>
      <c r="AA55" s="614"/>
      <c r="AB55" s="614"/>
      <c r="AC55" s="614"/>
      <c r="AD55" s="614"/>
      <c r="AE55" s="614"/>
    </row>
    <row r="56" spans="16:31" s="598" customFormat="1" ht="15.75" customHeight="1">
      <c r="P56" s="614"/>
      <c r="Q56" s="614"/>
      <c r="R56" s="614"/>
      <c r="S56" s="614"/>
      <c r="T56" s="614"/>
      <c r="U56" s="614"/>
      <c r="V56" s="614"/>
      <c r="W56" s="614"/>
      <c r="X56" s="614"/>
      <c r="Y56" s="614"/>
      <c r="Z56" s="614"/>
      <c r="AA56" s="614"/>
      <c r="AB56" s="614"/>
      <c r="AC56" s="614"/>
      <c r="AD56" s="614"/>
      <c r="AE56" s="614"/>
    </row>
    <row r="57" spans="16:31" s="598" customFormat="1" ht="15.75" customHeight="1">
      <c r="P57" s="614"/>
      <c r="Q57" s="614"/>
      <c r="R57" s="614"/>
      <c r="S57" s="614"/>
      <c r="T57" s="614"/>
      <c r="U57" s="614"/>
      <c r="V57" s="614"/>
      <c r="W57" s="614"/>
      <c r="X57" s="614"/>
      <c r="Y57" s="614"/>
      <c r="Z57" s="614"/>
      <c r="AA57" s="614"/>
      <c r="AB57" s="614"/>
      <c r="AC57" s="614"/>
      <c r="AD57" s="614"/>
      <c r="AE57" s="614"/>
    </row>
    <row r="58" spans="16:31" s="598" customFormat="1" ht="15.75" customHeight="1">
      <c r="P58" s="614"/>
      <c r="Q58" s="614"/>
      <c r="R58" s="614"/>
      <c r="S58" s="614"/>
      <c r="T58" s="614"/>
      <c r="U58" s="614"/>
      <c r="V58" s="614"/>
      <c r="W58" s="614"/>
      <c r="X58" s="614"/>
      <c r="Y58" s="614"/>
      <c r="Z58" s="614"/>
      <c r="AA58" s="614"/>
      <c r="AB58" s="614"/>
      <c r="AC58" s="614"/>
      <c r="AD58" s="614"/>
      <c r="AE58" s="614"/>
    </row>
    <row r="59" spans="16:31" s="598" customFormat="1" ht="15.75" customHeight="1">
      <c r="P59" s="614"/>
      <c r="Q59" s="614"/>
      <c r="R59" s="614"/>
      <c r="S59" s="614"/>
      <c r="T59" s="614"/>
      <c r="U59" s="614"/>
      <c r="V59" s="614"/>
      <c r="W59" s="614"/>
      <c r="X59" s="614"/>
      <c r="Y59" s="614"/>
      <c r="Z59" s="614"/>
      <c r="AA59" s="614"/>
      <c r="AB59" s="614"/>
      <c r="AC59" s="614"/>
      <c r="AD59" s="614"/>
      <c r="AE59" s="614"/>
    </row>
    <row r="60" spans="16:31" s="598" customFormat="1" ht="15.75" customHeight="1">
      <c r="P60" s="614"/>
      <c r="Q60" s="614"/>
      <c r="R60" s="614"/>
      <c r="S60" s="614"/>
      <c r="T60" s="614"/>
      <c r="U60" s="614"/>
      <c r="V60" s="614"/>
      <c r="W60" s="614"/>
      <c r="X60" s="614"/>
      <c r="Y60" s="614"/>
      <c r="Z60" s="614"/>
      <c r="AA60" s="614"/>
      <c r="AB60" s="614"/>
      <c r="AC60" s="614"/>
      <c r="AD60" s="614"/>
      <c r="AE60" s="614"/>
    </row>
    <row r="61" spans="16:31" s="598" customFormat="1" ht="15.75" customHeight="1">
      <c r="P61" s="614"/>
      <c r="Q61" s="614"/>
      <c r="R61" s="614"/>
      <c r="S61" s="614"/>
      <c r="T61" s="614"/>
      <c r="U61" s="614"/>
      <c r="V61" s="614"/>
      <c r="W61" s="614"/>
      <c r="X61" s="614"/>
      <c r="Y61" s="614"/>
      <c r="Z61" s="614"/>
      <c r="AA61" s="614"/>
      <c r="AB61" s="614"/>
      <c r="AC61" s="614"/>
      <c r="AD61" s="614"/>
      <c r="AE61" s="614"/>
    </row>
    <row r="62" spans="16:31" s="598" customFormat="1" ht="15.75" customHeight="1">
      <c r="P62" s="614"/>
      <c r="Q62" s="614"/>
      <c r="R62" s="614"/>
      <c r="S62" s="614"/>
      <c r="T62" s="614"/>
      <c r="U62" s="614"/>
      <c r="V62" s="614"/>
      <c r="W62" s="614"/>
      <c r="X62" s="614"/>
      <c r="Y62" s="614"/>
      <c r="Z62" s="614"/>
      <c r="AA62" s="614"/>
      <c r="AB62" s="614"/>
      <c r="AC62" s="614"/>
      <c r="AD62" s="614"/>
      <c r="AE62" s="614"/>
    </row>
    <row r="63" spans="16:31" s="598" customFormat="1" ht="15.75" customHeight="1">
      <c r="P63" s="614"/>
      <c r="Q63" s="614"/>
      <c r="R63" s="614"/>
      <c r="S63" s="614"/>
      <c r="T63" s="614"/>
      <c r="U63" s="614"/>
      <c r="V63" s="614"/>
      <c r="W63" s="614"/>
      <c r="X63" s="614"/>
      <c r="Y63" s="614"/>
      <c r="Z63" s="614"/>
      <c r="AA63" s="614"/>
      <c r="AB63" s="614"/>
      <c r="AC63" s="614"/>
      <c r="AD63" s="614"/>
      <c r="AE63" s="614"/>
    </row>
    <row r="64" spans="16:31" s="598" customFormat="1" ht="15.75" customHeight="1">
      <c r="P64" s="614"/>
      <c r="Q64" s="614"/>
      <c r="R64" s="614"/>
      <c r="S64" s="614"/>
      <c r="T64" s="614"/>
      <c r="U64" s="614"/>
      <c r="V64" s="614"/>
      <c r="W64" s="614"/>
      <c r="X64" s="614"/>
      <c r="Y64" s="614"/>
      <c r="Z64" s="614"/>
      <c r="AA64" s="614"/>
      <c r="AB64" s="614"/>
      <c r="AC64" s="614"/>
      <c r="AD64" s="614"/>
      <c r="AE64" s="614"/>
    </row>
    <row r="65" spans="16:31" s="598" customFormat="1" ht="15.75" customHeight="1">
      <c r="P65" s="239"/>
      <c r="Q65" s="239"/>
      <c r="R65" s="239"/>
      <c r="S65" s="239"/>
      <c r="T65" s="239"/>
      <c r="U65" s="239"/>
      <c r="V65" s="239"/>
      <c r="W65" s="239"/>
      <c r="X65" s="239"/>
      <c r="Y65" s="239"/>
      <c r="Z65" s="239"/>
      <c r="AA65" s="239"/>
      <c r="AB65" s="614"/>
      <c r="AC65" s="614"/>
      <c r="AD65" s="614"/>
      <c r="AE65" s="614"/>
    </row>
    <row r="66" spans="16:31" s="598" customFormat="1">
      <c r="P66" s="239"/>
      <c r="Q66" s="239"/>
      <c r="R66" s="239"/>
      <c r="S66" s="239"/>
      <c r="T66" s="239"/>
      <c r="U66" s="239"/>
      <c r="V66" s="239"/>
      <c r="W66" s="239"/>
      <c r="X66" s="239"/>
      <c r="Y66" s="239"/>
      <c r="Z66" s="239"/>
      <c r="AA66" s="239"/>
      <c r="AB66" s="614"/>
      <c r="AC66" s="614"/>
      <c r="AD66" s="614"/>
      <c r="AE66" s="614"/>
    </row>
    <row r="67" spans="16:31" s="598" customFormat="1">
      <c r="P67" s="239"/>
      <c r="Q67" s="239"/>
      <c r="R67" s="239"/>
      <c r="S67" s="239"/>
      <c r="T67" s="239"/>
      <c r="U67" s="239"/>
      <c r="V67" s="239"/>
      <c r="W67" s="239"/>
      <c r="X67" s="239"/>
      <c r="Y67" s="239"/>
      <c r="Z67" s="239"/>
      <c r="AA67" s="239"/>
      <c r="AB67" s="614"/>
      <c r="AC67" s="614"/>
      <c r="AD67" s="614"/>
      <c r="AE67" s="614"/>
    </row>
    <row r="68" spans="16:31" s="598" customFormat="1">
      <c r="P68" s="239"/>
      <c r="Q68" s="239"/>
      <c r="R68" s="239"/>
      <c r="S68" s="239"/>
      <c r="T68" s="239"/>
      <c r="U68" s="239"/>
      <c r="V68" s="239"/>
      <c r="W68" s="239"/>
      <c r="X68" s="239"/>
      <c r="Y68" s="239"/>
      <c r="Z68" s="239"/>
      <c r="AA68" s="239"/>
      <c r="AB68" s="239"/>
      <c r="AC68" s="614"/>
      <c r="AD68" s="614"/>
      <c r="AE68" s="614"/>
    </row>
    <row r="69" spans="16:31" s="598" customFormat="1">
      <c r="P69" s="239"/>
      <c r="Q69" s="239"/>
      <c r="R69" s="239"/>
      <c r="S69" s="239"/>
      <c r="T69" s="239"/>
      <c r="U69" s="239"/>
      <c r="V69" s="239"/>
      <c r="W69" s="239"/>
      <c r="X69" s="239"/>
      <c r="Y69" s="239"/>
      <c r="Z69" s="239"/>
      <c r="AA69" s="239"/>
      <c r="AB69" s="239"/>
      <c r="AC69" s="614"/>
      <c r="AD69" s="614"/>
      <c r="AE69" s="614"/>
    </row>
  </sheetData>
  <mergeCells count="107">
    <mergeCell ref="K3:M3"/>
    <mergeCell ref="A1:M1"/>
    <mergeCell ref="P2:Q2"/>
    <mergeCell ref="P3:P8"/>
    <mergeCell ref="Q4:Q8"/>
    <mergeCell ref="T20:V20"/>
    <mergeCell ref="R20:S20"/>
    <mergeCell ref="R18:S18"/>
    <mergeCell ref="R19:S19"/>
    <mergeCell ref="R14:S14"/>
    <mergeCell ref="T18:V18"/>
    <mergeCell ref="T16:V16"/>
    <mergeCell ref="P20:P22"/>
    <mergeCell ref="Q21:Q22"/>
    <mergeCell ref="R2:S2"/>
    <mergeCell ref="R3:S3"/>
    <mergeCell ref="R10:S10"/>
    <mergeCell ref="R21:S21"/>
    <mergeCell ref="T2:V2"/>
    <mergeCell ref="T3:V3"/>
    <mergeCell ref="T10:V10"/>
    <mergeCell ref="T9:V9"/>
    <mergeCell ref="T14:V14"/>
    <mergeCell ref="T21:V21"/>
    <mergeCell ref="W9:Z9"/>
    <mergeCell ref="W6:Z6"/>
    <mergeCell ref="W7:Z7"/>
    <mergeCell ref="W8:Z8"/>
    <mergeCell ref="T6:V6"/>
    <mergeCell ref="T7:V7"/>
    <mergeCell ref="W10:Z10"/>
    <mergeCell ref="W15:Z15"/>
    <mergeCell ref="T11:V11"/>
    <mergeCell ref="T12:V12"/>
    <mergeCell ref="T13:V13"/>
    <mergeCell ref="AA6:AD6"/>
    <mergeCell ref="AA7:AD7"/>
    <mergeCell ref="AA8:AD8"/>
    <mergeCell ref="AA22:AD22"/>
    <mergeCell ref="AA21:AD21"/>
    <mergeCell ref="W22:Z22"/>
    <mergeCell ref="AA16:AD16"/>
    <mergeCell ref="AA17:AD17"/>
    <mergeCell ref="AA19:AD19"/>
    <mergeCell ref="AA9:AD9"/>
    <mergeCell ref="AA10:AD10"/>
    <mergeCell ref="AA12:AD12"/>
    <mergeCell ref="AA13:AD13"/>
    <mergeCell ref="AA18:AD18"/>
    <mergeCell ref="W20:Z20"/>
    <mergeCell ref="W18:Z18"/>
    <mergeCell ref="W16:Z16"/>
    <mergeCell ref="W19:Z19"/>
    <mergeCell ref="W12:Z12"/>
    <mergeCell ref="AA20:AD20"/>
    <mergeCell ref="AA15:AD15"/>
    <mergeCell ref="W17:Z17"/>
    <mergeCell ref="AA11:AD11"/>
    <mergeCell ref="W11:Z11"/>
    <mergeCell ref="W2:Z2"/>
    <mergeCell ref="W3:Z3"/>
    <mergeCell ref="AA2:AD2"/>
    <mergeCell ref="AA3:AD3"/>
    <mergeCell ref="AA4:AD4"/>
    <mergeCell ref="AA5:AD5"/>
    <mergeCell ref="W4:Z4"/>
    <mergeCell ref="W5:Z5"/>
    <mergeCell ref="P31:Q31"/>
    <mergeCell ref="R29:AC29"/>
    <mergeCell ref="R30:AC30"/>
    <mergeCell ref="R31:AC31"/>
    <mergeCell ref="P24:Q24"/>
    <mergeCell ref="R28:AC28"/>
    <mergeCell ref="P25:P28"/>
    <mergeCell ref="R27:AC27"/>
    <mergeCell ref="R25:AC25"/>
    <mergeCell ref="R24:AC24"/>
    <mergeCell ref="AA14:AD14"/>
    <mergeCell ref="W21:Z21"/>
    <mergeCell ref="T22:V22"/>
    <mergeCell ref="W13:Z13"/>
    <mergeCell ref="W14:Z14"/>
    <mergeCell ref="T15:V15"/>
    <mergeCell ref="P30:Q30"/>
    <mergeCell ref="T4:V4"/>
    <mergeCell ref="T5:V5"/>
    <mergeCell ref="R22:S22"/>
    <mergeCell ref="R8:S8"/>
    <mergeCell ref="R9:S9"/>
    <mergeCell ref="T17:V17"/>
    <mergeCell ref="T8:V8"/>
    <mergeCell ref="R17:S17"/>
    <mergeCell ref="R4:S4"/>
    <mergeCell ref="R5:S5"/>
    <mergeCell ref="R6:S6"/>
    <mergeCell ref="R7:S7"/>
    <mergeCell ref="R15:S15"/>
    <mergeCell ref="R16:S16"/>
    <mergeCell ref="R12:S12"/>
    <mergeCell ref="R13:S13"/>
    <mergeCell ref="R11:S11"/>
    <mergeCell ref="P9:Q13"/>
    <mergeCell ref="P14:P19"/>
    <mergeCell ref="Q15:Q19"/>
    <mergeCell ref="P29:Q29"/>
    <mergeCell ref="T19:V19"/>
    <mergeCell ref="R26:AC26"/>
  </mergeCells>
  <phoneticPr fontId="1" type="noConversion"/>
  <dataValidations disablePrompts="1" count="1">
    <dataValidation type="list" allowBlank="1" showInputMessage="1" showErrorMessage="1" sqref="B13">
      <formula1>"BX, NX"</formula1>
    </dataValidation>
  </dataValidations>
  <hyperlinks>
    <hyperlink ref="K3" r:id="rId1"/>
  </hyperlinks>
  <pageMargins left="0.47244094488188981" right="0.31496062992125984" top="0.44" bottom="0.17" header="0.31496062992125984" footer="0.16"/>
  <pageSetup paperSize="9" scale="90" orientation="landscape" r:id="rId2"/>
  <colBreaks count="1" manualBreakCount="1">
    <brk id="14" max="1048575" man="1"/>
  </col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80"/>
  <sheetViews>
    <sheetView zoomScale="85" zoomScaleNormal="85" zoomScaleSheetLayoutView="85" workbookViewId="0">
      <selection activeCell="O23" sqref="O23:Q23"/>
    </sheetView>
  </sheetViews>
  <sheetFormatPr defaultColWidth="9.8984375" defaultRowHeight="22.2" customHeight="1"/>
  <cols>
    <col min="1" max="1" width="1.59765625" style="12" customWidth="1"/>
    <col min="2" max="19" width="8.3984375" style="12" customWidth="1"/>
    <col min="20" max="20" width="7.59765625" style="12" customWidth="1"/>
    <col min="21" max="21" width="1.59765625" style="7" customWidth="1"/>
    <col min="22" max="22" width="4.3984375" style="7" customWidth="1"/>
    <col min="23" max="23" width="9.8984375" style="7"/>
    <col min="24" max="24" width="23.69921875" style="7" customWidth="1"/>
    <col min="25" max="235" width="9.8984375" style="7"/>
    <col min="236" max="236" width="4.19921875" style="7" customWidth="1"/>
    <col min="237" max="237" width="6.5" style="7" customWidth="1"/>
    <col min="238" max="238" width="14.19921875" style="7" customWidth="1"/>
    <col min="239" max="239" width="8.3984375" style="7" customWidth="1"/>
    <col min="240" max="240" width="8.69921875" style="7" customWidth="1"/>
    <col min="241" max="242" width="7.59765625" style="7" customWidth="1"/>
    <col min="243" max="243" width="7.69921875" style="7" customWidth="1"/>
    <col min="244" max="244" width="8.59765625" style="7" customWidth="1"/>
    <col min="245" max="245" width="9.59765625" style="7" customWidth="1"/>
    <col min="246" max="247" width="8" style="7" customWidth="1"/>
    <col min="248" max="248" width="7.8984375" style="7" customWidth="1"/>
    <col min="249" max="249" width="8.5" style="7" customWidth="1"/>
    <col min="250" max="250" width="9.19921875" style="7" customWidth="1"/>
    <col min="251" max="251" width="9.09765625" style="7" customWidth="1"/>
    <col min="252" max="252" width="9.8984375" style="7" customWidth="1"/>
    <col min="253" max="253" width="11.09765625" style="7" customWidth="1"/>
    <col min="254" max="254" width="15.19921875" style="7" customWidth="1"/>
    <col min="255" max="255" width="10" style="7" customWidth="1"/>
    <col min="256" max="16384" width="9.8984375" style="7"/>
  </cols>
  <sheetData>
    <row r="1" spans="1:40" s="11" customFormat="1" ht="9.9" customHeight="1" thickBot="1">
      <c r="A1" s="10"/>
      <c r="B1" s="10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40" s="11" customFormat="1" ht="26.1" customHeight="1" thickTop="1">
      <c r="A2" s="12"/>
      <c r="B2" s="847" t="s">
        <v>161</v>
      </c>
      <c r="C2" s="848"/>
      <c r="D2" s="848"/>
      <c r="E2" s="848"/>
      <c r="F2" s="848"/>
      <c r="G2" s="848"/>
      <c r="H2" s="848"/>
      <c r="I2" s="848"/>
      <c r="J2" s="848"/>
      <c r="K2" s="849"/>
      <c r="L2" s="846" t="s">
        <v>1550</v>
      </c>
      <c r="M2" s="846"/>
      <c r="N2" s="846" t="s">
        <v>1498</v>
      </c>
      <c r="O2" s="846"/>
      <c r="P2" s="846" t="s">
        <v>1549</v>
      </c>
      <c r="Q2" s="846"/>
      <c r="R2" s="846" t="s">
        <v>1497</v>
      </c>
      <c r="S2" s="859"/>
      <c r="T2" s="860"/>
    </row>
    <row r="3" spans="1:40" ht="26.1" customHeight="1">
      <c r="B3" s="850">
        <f ca="1">NOW()+1</f>
        <v>44569.440298726855</v>
      </c>
      <c r="C3" s="851"/>
      <c r="D3" s="851"/>
      <c r="E3" s="851"/>
      <c r="F3" s="851"/>
      <c r="G3" s="851"/>
      <c r="H3" s="851"/>
      <c r="I3" s="851"/>
      <c r="J3" s="851"/>
      <c r="K3" s="852"/>
      <c r="L3" s="843"/>
      <c r="M3" s="843"/>
      <c r="N3" s="843"/>
      <c r="O3" s="843"/>
      <c r="P3" s="843"/>
      <c r="Q3" s="843"/>
      <c r="R3" s="843"/>
      <c r="S3" s="861"/>
      <c r="T3" s="862"/>
    </row>
    <row r="4" spans="1:40" ht="26.1" customHeight="1">
      <c r="B4" s="853"/>
      <c r="C4" s="854"/>
      <c r="D4" s="854"/>
      <c r="E4" s="854"/>
      <c r="F4" s="854"/>
      <c r="G4" s="854"/>
      <c r="H4" s="854"/>
      <c r="I4" s="854"/>
      <c r="J4" s="854"/>
      <c r="K4" s="855"/>
      <c r="L4" s="844"/>
      <c r="M4" s="844"/>
      <c r="N4" s="844"/>
      <c r="O4" s="844"/>
      <c r="P4" s="844"/>
      <c r="Q4" s="844"/>
      <c r="R4" s="844"/>
      <c r="S4" s="863"/>
      <c r="T4" s="864"/>
    </row>
    <row r="5" spans="1:40" ht="26.1" customHeight="1">
      <c r="B5" s="856"/>
      <c r="C5" s="857"/>
      <c r="D5" s="857"/>
      <c r="E5" s="857"/>
      <c r="F5" s="857"/>
      <c r="G5" s="857"/>
      <c r="H5" s="857"/>
      <c r="I5" s="857"/>
      <c r="J5" s="857"/>
      <c r="K5" s="858"/>
      <c r="L5" s="845"/>
      <c r="M5" s="845"/>
      <c r="N5" s="845"/>
      <c r="O5" s="845"/>
      <c r="P5" s="845"/>
      <c r="Q5" s="845"/>
      <c r="R5" s="845"/>
      <c r="S5" s="865"/>
      <c r="T5" s="866"/>
    </row>
    <row r="6" spans="1:40" ht="26.1" customHeight="1">
      <c r="B6" s="1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4"/>
      <c r="O6" s="14"/>
      <c r="P6" s="14"/>
      <c r="Q6" s="14"/>
      <c r="R6" s="14"/>
      <c r="S6" s="14"/>
      <c r="T6" s="15"/>
    </row>
    <row r="7" spans="1:40" s="11" customFormat="1" ht="26.1" customHeight="1">
      <c r="A7" s="12"/>
      <c r="B7" s="13"/>
      <c r="C7" s="813">
        <f ca="1">B3</f>
        <v>44569.440298726855</v>
      </c>
      <c r="D7" s="813"/>
      <c r="E7" s="813"/>
      <c r="F7" s="9"/>
      <c r="G7" s="9"/>
      <c r="H7" s="9"/>
      <c r="I7" s="9"/>
      <c r="J7" s="9"/>
      <c r="K7" s="9"/>
      <c r="L7" s="9"/>
      <c r="M7" s="9"/>
      <c r="N7" s="14"/>
      <c r="O7" s="14"/>
      <c r="P7" s="14"/>
      <c r="Q7" s="14"/>
      <c r="R7" s="14"/>
      <c r="S7" s="14"/>
      <c r="T7" s="15"/>
    </row>
    <row r="8" spans="1:40" s="11" customFormat="1" ht="26.1" customHeight="1">
      <c r="A8" s="12"/>
      <c r="B8" s="13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4"/>
      <c r="O8" s="14"/>
      <c r="P8" s="14"/>
      <c r="Q8" s="14"/>
      <c r="R8" s="14"/>
      <c r="S8" s="14"/>
      <c r="T8" s="15"/>
    </row>
    <row r="9" spans="1:40" s="11" customFormat="1" ht="26.1" customHeight="1">
      <c r="A9" s="12"/>
      <c r="B9" s="814" t="str">
        <f>기초자료입력!B4&amp;" 설계서"</f>
        <v>하노2리 농어촌도로 210호선 기본설계용역 설계서</v>
      </c>
      <c r="C9" s="815"/>
      <c r="D9" s="815"/>
      <c r="E9" s="815"/>
      <c r="F9" s="815"/>
      <c r="G9" s="815"/>
      <c r="H9" s="815"/>
      <c r="I9" s="815"/>
      <c r="J9" s="815"/>
      <c r="K9" s="815"/>
      <c r="L9" s="815"/>
      <c r="M9" s="815"/>
      <c r="N9" s="815"/>
      <c r="O9" s="815"/>
      <c r="P9" s="815"/>
      <c r="Q9" s="815"/>
      <c r="R9" s="815"/>
      <c r="S9" s="815"/>
      <c r="T9" s="816"/>
    </row>
    <row r="10" spans="1:40" s="11" customFormat="1" ht="26.1" customHeight="1">
      <c r="A10" s="12"/>
      <c r="B10" s="814"/>
      <c r="C10" s="815"/>
      <c r="D10" s="815"/>
      <c r="E10" s="815"/>
      <c r="F10" s="815"/>
      <c r="G10" s="815"/>
      <c r="H10" s="815"/>
      <c r="I10" s="815"/>
      <c r="J10" s="815"/>
      <c r="K10" s="815"/>
      <c r="L10" s="815"/>
      <c r="M10" s="815"/>
      <c r="N10" s="815"/>
      <c r="O10" s="815"/>
      <c r="P10" s="815"/>
      <c r="Q10" s="815"/>
      <c r="R10" s="815"/>
      <c r="S10" s="815"/>
      <c r="T10" s="816"/>
    </row>
    <row r="11" spans="1:40" s="11" customFormat="1" ht="26.1" customHeight="1">
      <c r="A11" s="12"/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8"/>
    </row>
    <row r="12" spans="1:40" s="11" customFormat="1" ht="26.1" customHeight="1">
      <c r="A12" s="12"/>
      <c r="B12" s="13"/>
      <c r="C12" s="820"/>
      <c r="D12" s="820"/>
      <c r="E12" s="6"/>
      <c r="F12" s="6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0"/>
      <c r="R12" s="20"/>
      <c r="S12" s="20"/>
      <c r="T12" s="21"/>
    </row>
    <row r="13" spans="1:40" s="11" customFormat="1" ht="26.1" customHeight="1">
      <c r="A13" s="12"/>
      <c r="B13" s="13"/>
      <c r="D13" s="6" t="s">
        <v>162</v>
      </c>
      <c r="E13" s="6"/>
      <c r="F13" s="6" t="str">
        <f>기초자료입력!B5</f>
        <v>원남면 하노2리  일원</v>
      </c>
      <c r="G13" s="44"/>
      <c r="H13" s="19"/>
      <c r="I13" s="19"/>
      <c r="J13" s="19"/>
      <c r="K13" s="19"/>
      <c r="L13" s="19"/>
      <c r="M13" s="19"/>
      <c r="N13" s="19"/>
      <c r="O13" s="19"/>
      <c r="P13" s="19"/>
      <c r="Q13" s="6"/>
      <c r="R13" s="6"/>
      <c r="S13" s="20"/>
      <c r="T13" s="21"/>
    </row>
    <row r="14" spans="1:40" ht="26.1" customHeight="1">
      <c r="B14" s="13"/>
      <c r="C14" s="7"/>
      <c r="D14" s="6"/>
      <c r="E14" s="6"/>
      <c r="F14" s="6"/>
      <c r="G14" s="44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20"/>
      <c r="T14" s="21"/>
    </row>
    <row r="15" spans="1:40" s="11" customFormat="1" ht="26.1" customHeight="1">
      <c r="A15" s="12"/>
      <c r="B15" s="13"/>
      <c r="D15" s="6" t="s">
        <v>163</v>
      </c>
      <c r="E15" s="6"/>
      <c r="F15" s="6" t="s">
        <v>1560</v>
      </c>
      <c r="G15" s="44"/>
      <c r="H15" s="44"/>
      <c r="I15" s="6"/>
      <c r="J15" s="6"/>
      <c r="K15" s="8"/>
      <c r="L15" s="6"/>
      <c r="M15" s="6"/>
      <c r="N15" s="6"/>
      <c r="O15" s="6"/>
      <c r="P15" s="6"/>
      <c r="Q15" s="6"/>
      <c r="R15" s="6"/>
      <c r="S15" s="20"/>
      <c r="T15" s="21"/>
      <c r="AE15" s="121"/>
      <c r="AF15" s="121"/>
      <c r="AG15" s="121"/>
      <c r="AH15" s="794"/>
      <c r="AI15" s="794"/>
      <c r="AJ15" s="4"/>
      <c r="AK15" s="121"/>
      <c r="AL15" s="4"/>
      <c r="AM15" s="4"/>
      <c r="AN15" s="4"/>
    </row>
    <row r="16" spans="1:40" s="11" customFormat="1" ht="26.1" customHeight="1">
      <c r="A16" s="12"/>
      <c r="B16" s="13"/>
      <c r="C16" s="6"/>
      <c r="D16" s="6"/>
      <c r="E16" s="6"/>
      <c r="F16" s="6"/>
      <c r="G16" s="6"/>
      <c r="H16" s="6"/>
      <c r="I16" s="6"/>
      <c r="J16" s="22"/>
      <c r="K16" s="22"/>
      <c r="L16" s="6"/>
      <c r="M16" s="6"/>
      <c r="N16" s="6"/>
      <c r="O16" s="6"/>
      <c r="P16" s="6"/>
      <c r="Q16" s="6"/>
      <c r="R16" s="6"/>
      <c r="S16" s="20"/>
      <c r="T16" s="21"/>
      <c r="AE16" s="121"/>
      <c r="AF16" s="4"/>
      <c r="AG16" s="121"/>
      <c r="AH16" s="794"/>
      <c r="AI16" s="794"/>
      <c r="AJ16" s="4"/>
      <c r="AK16" s="4"/>
      <c r="AL16" s="121"/>
      <c r="AM16" s="121"/>
      <c r="AN16" s="121"/>
    </row>
    <row r="17" spans="1:40" s="11" customFormat="1" ht="26.1" customHeight="1">
      <c r="A17" s="12"/>
      <c r="B17" s="13"/>
      <c r="C17" s="6"/>
      <c r="D17" s="6"/>
      <c r="E17" s="6"/>
      <c r="F17" s="39"/>
      <c r="G17" s="6"/>
      <c r="H17" s="6"/>
      <c r="I17" s="6"/>
      <c r="J17" s="22"/>
      <c r="K17" s="22"/>
      <c r="L17" s="6"/>
      <c r="M17" s="6"/>
      <c r="N17" s="6"/>
      <c r="O17" s="6"/>
      <c r="P17" s="6"/>
      <c r="Q17" s="6"/>
      <c r="R17" s="6"/>
      <c r="S17" s="20"/>
      <c r="T17" s="21"/>
      <c r="AE17" s="794"/>
      <c r="AF17" s="794"/>
      <c r="AG17" s="4"/>
      <c r="AH17" s="121"/>
      <c r="AI17" s="121"/>
      <c r="AJ17" s="121"/>
      <c r="AK17" s="121"/>
      <c r="AL17" s="121"/>
      <c r="AM17" s="121"/>
      <c r="AN17" s="121"/>
    </row>
    <row r="18" spans="1:40" s="11" customFormat="1" ht="26.1" customHeight="1">
      <c r="A18" s="12"/>
      <c r="B18" s="13"/>
      <c r="C18" s="5"/>
      <c r="D18" s="6"/>
      <c r="E18" s="6"/>
      <c r="F18" s="39"/>
      <c r="G18" s="6"/>
      <c r="H18" s="6"/>
      <c r="I18" s="6"/>
      <c r="J18" s="6"/>
      <c r="K18" s="6"/>
      <c r="L18" s="6"/>
      <c r="M18" s="6"/>
      <c r="N18" s="6"/>
      <c r="O18" s="44"/>
      <c r="P18" s="44"/>
      <c r="Q18" s="44"/>
      <c r="R18" s="44"/>
      <c r="S18" s="20"/>
      <c r="T18" s="21"/>
      <c r="AE18" s="794"/>
      <c r="AF18" s="794"/>
      <c r="AG18" s="4"/>
      <c r="AH18" s="121"/>
      <c r="AI18" s="121"/>
      <c r="AJ18" s="121"/>
      <c r="AK18" s="121"/>
      <c r="AL18" s="121"/>
      <c r="AM18" s="121"/>
      <c r="AN18" s="121"/>
    </row>
    <row r="19" spans="1:40" s="11" customFormat="1" ht="26.1" customHeight="1">
      <c r="A19" s="12"/>
      <c r="B19" s="13"/>
      <c r="C19" s="5"/>
      <c r="D19" s="6"/>
      <c r="E19" s="6"/>
      <c r="F19" s="39"/>
      <c r="G19" s="28"/>
      <c r="H19" s="28"/>
      <c r="I19" s="28"/>
      <c r="J19" s="6"/>
      <c r="K19" s="6"/>
      <c r="L19" s="6"/>
      <c r="M19" s="96"/>
      <c r="N19" s="96"/>
      <c r="O19" s="96"/>
      <c r="P19" s="96"/>
      <c r="Q19" s="96"/>
      <c r="R19" s="44"/>
      <c r="T19" s="23"/>
    </row>
    <row r="20" spans="1:40" s="11" customFormat="1" ht="26.1" customHeight="1">
      <c r="A20" s="12"/>
      <c r="B20" s="13"/>
      <c r="C20" s="5"/>
      <c r="D20" s="6"/>
      <c r="E20" s="6"/>
      <c r="F20" s="39"/>
      <c r="G20" s="28"/>
      <c r="H20" s="28"/>
      <c r="I20" s="28"/>
      <c r="J20" s="6"/>
      <c r="K20" s="6"/>
      <c r="L20" s="6"/>
      <c r="M20" s="6"/>
      <c r="N20" s="6"/>
      <c r="O20" s="44"/>
      <c r="P20" s="44"/>
      <c r="Q20" s="44"/>
      <c r="R20" s="44"/>
      <c r="S20" s="20"/>
      <c r="T20" s="21"/>
    </row>
    <row r="21" spans="1:40" s="11" customFormat="1" ht="26.1" customHeight="1">
      <c r="A21" s="12"/>
      <c r="B21" s="13"/>
      <c r="D21" s="6" t="s">
        <v>164</v>
      </c>
      <c r="E21" s="24"/>
      <c r="F21" s="817" t="str">
        <f>"금 "&amp;NUMBERSTRING(O21,1)&amp;"원 -----------------------------------------------------"</f>
        <v>금 이천일백일십팔만오천원 -----------------------------------------------------</v>
      </c>
      <c r="G21" s="817"/>
      <c r="H21" s="817"/>
      <c r="I21" s="817"/>
      <c r="J21" s="817"/>
      <c r="K21" s="817"/>
      <c r="L21" s="817"/>
      <c r="M21" s="817"/>
      <c r="N21" s="131" t="s">
        <v>305</v>
      </c>
      <c r="O21" s="818">
        <f>내역서!G15</f>
        <v>21185000</v>
      </c>
      <c r="P21" s="819"/>
      <c r="Q21" s="819"/>
      <c r="R21" s="25" t="s">
        <v>165</v>
      </c>
      <c r="S21" s="20"/>
      <c r="T21" s="26"/>
      <c r="U21" s="9"/>
    </row>
    <row r="22" spans="1:40" ht="26.1" customHeight="1">
      <c r="B22" s="13"/>
      <c r="C22" s="7"/>
      <c r="D22" s="6"/>
      <c r="E22" s="6"/>
      <c r="F22" s="27"/>
      <c r="G22" s="27"/>
      <c r="H22" s="27"/>
      <c r="I22" s="27"/>
      <c r="J22" s="27"/>
      <c r="K22" s="27"/>
      <c r="L22" s="44"/>
      <c r="M22" s="44"/>
      <c r="N22" s="44"/>
      <c r="O22" s="45"/>
      <c r="P22" s="45"/>
      <c r="Q22" s="45"/>
      <c r="R22" s="27"/>
      <c r="S22" s="20"/>
      <c r="T22" s="21"/>
      <c r="W22" s="11"/>
      <c r="X22" s="11"/>
      <c r="Y22" s="11"/>
      <c r="Z22" s="11"/>
      <c r="AA22" s="11"/>
    </row>
    <row r="23" spans="1:40" s="11" customFormat="1" ht="26.1" customHeight="1">
      <c r="A23" s="12"/>
      <c r="B23" s="13"/>
      <c r="D23" s="6" t="s">
        <v>166</v>
      </c>
      <c r="E23" s="6"/>
      <c r="F23" s="824" t="str">
        <f>"금 "&amp;NUMBERSTRING(O21,1)&amp;"원 -----------------------------------------------------"</f>
        <v>금 이천일백일십팔만오천원 -----------------------------------------------------</v>
      </c>
      <c r="G23" s="824"/>
      <c r="H23" s="824"/>
      <c r="I23" s="824"/>
      <c r="J23" s="824"/>
      <c r="K23" s="824"/>
      <c r="L23" s="824"/>
      <c r="M23" s="824"/>
      <c r="N23" s="131" t="s">
        <v>305</v>
      </c>
      <c r="O23" s="818">
        <f>O21</f>
        <v>21185000</v>
      </c>
      <c r="P23" s="819"/>
      <c r="Q23" s="819"/>
      <c r="R23" s="25" t="s">
        <v>165</v>
      </c>
      <c r="S23" s="20"/>
      <c r="T23" s="21"/>
      <c r="W23" s="7"/>
      <c r="X23" s="7"/>
      <c r="Y23" s="7"/>
      <c r="Z23" s="7"/>
      <c r="AA23" s="7"/>
    </row>
    <row r="24" spans="1:40" ht="26.1" customHeight="1">
      <c r="B24" s="13"/>
      <c r="C24" s="27"/>
      <c r="D24" s="27"/>
      <c r="E24" s="28"/>
      <c r="F24" s="28"/>
      <c r="G24" s="28"/>
      <c r="H24" s="28"/>
      <c r="I24" s="28"/>
      <c r="J24" s="28"/>
      <c r="K24" s="29"/>
      <c r="L24" s="30"/>
      <c r="M24" s="31"/>
      <c r="N24" s="31"/>
      <c r="O24" s="6"/>
      <c r="P24" s="5"/>
      <c r="Q24" s="20"/>
      <c r="R24" s="20"/>
      <c r="S24" s="20"/>
      <c r="T24" s="21"/>
      <c r="W24" s="11"/>
      <c r="X24" s="11"/>
      <c r="Y24" s="11"/>
      <c r="Z24" s="11"/>
      <c r="AA24" s="11"/>
    </row>
    <row r="25" spans="1:40" ht="26.1" customHeight="1">
      <c r="B25" s="13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1"/>
    </row>
    <row r="26" spans="1:40" ht="26.1" customHeight="1" thickBot="1"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4"/>
    </row>
    <row r="27" spans="1:40" ht="9.9" customHeight="1" thickTop="1">
      <c r="B27" s="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9"/>
    </row>
    <row r="28" spans="1:40" ht="9.9" customHeight="1" thickBot="1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40" ht="26.1" customHeight="1" thickTop="1"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8"/>
    </row>
    <row r="30" spans="1:40" ht="26.1" customHeight="1">
      <c r="B30" s="13"/>
      <c r="C30" s="828">
        <f ca="1">C7</f>
        <v>44569.440298726855</v>
      </c>
      <c r="D30" s="828"/>
      <c r="E30" s="828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21"/>
    </row>
    <row r="31" spans="1:40" ht="26.1" customHeight="1">
      <c r="B31" s="13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21"/>
    </row>
    <row r="32" spans="1:40" ht="26.1" customHeight="1">
      <c r="B32" s="13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21"/>
    </row>
    <row r="33" spans="2:20" ht="26.1" customHeight="1">
      <c r="B33" s="13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21"/>
    </row>
    <row r="34" spans="2:20" ht="26.1" customHeight="1">
      <c r="B34" s="821" t="str">
        <f>+B9</f>
        <v>하노2리 농어촌도로 210호선 기본설계용역 설계서</v>
      </c>
      <c r="C34" s="822"/>
      <c r="D34" s="822"/>
      <c r="E34" s="822"/>
      <c r="F34" s="822"/>
      <c r="G34" s="822"/>
      <c r="H34" s="822"/>
      <c r="I34" s="822"/>
      <c r="J34" s="822"/>
      <c r="K34" s="822"/>
      <c r="L34" s="822"/>
      <c r="M34" s="822"/>
      <c r="N34" s="822"/>
      <c r="O34" s="822"/>
      <c r="P34" s="822"/>
      <c r="Q34" s="822"/>
      <c r="R34" s="822"/>
      <c r="S34" s="822"/>
      <c r="T34" s="823"/>
    </row>
    <row r="35" spans="2:20" ht="26.1" customHeight="1">
      <c r="B35" s="821"/>
      <c r="C35" s="822"/>
      <c r="D35" s="822"/>
      <c r="E35" s="822"/>
      <c r="F35" s="822"/>
      <c r="G35" s="822"/>
      <c r="H35" s="822"/>
      <c r="I35" s="822"/>
      <c r="J35" s="822"/>
      <c r="K35" s="822"/>
      <c r="L35" s="822"/>
      <c r="M35" s="822"/>
      <c r="N35" s="822"/>
      <c r="O35" s="822"/>
      <c r="P35" s="822"/>
      <c r="Q35" s="822"/>
      <c r="R35" s="822"/>
      <c r="S35" s="822"/>
      <c r="T35" s="823"/>
    </row>
    <row r="36" spans="2:20" ht="26.1" customHeight="1">
      <c r="B36" s="51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52"/>
    </row>
    <row r="37" spans="2:20" ht="26.1" customHeight="1">
      <c r="B37" s="51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52"/>
    </row>
    <row r="38" spans="2:20" ht="26.1" customHeight="1">
      <c r="B38" s="51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52"/>
    </row>
    <row r="39" spans="2:20" ht="26.1" customHeight="1">
      <c r="B39" s="51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52"/>
    </row>
    <row r="40" spans="2:20" ht="26.1" customHeight="1">
      <c r="B40" s="51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52"/>
    </row>
    <row r="41" spans="2:20" ht="26.1" customHeight="1">
      <c r="B41" s="51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52"/>
    </row>
    <row r="42" spans="2:20" ht="26.1" customHeight="1">
      <c r="B42" s="51"/>
      <c r="C42" s="24"/>
      <c r="D42" s="6"/>
      <c r="E42" s="6"/>
      <c r="F42" s="19"/>
      <c r="G42" s="838">
        <f ca="1">C7</f>
        <v>44569.440298726855</v>
      </c>
      <c r="H42" s="839"/>
      <c r="I42" s="839"/>
      <c r="J42" s="839"/>
      <c r="K42" s="839"/>
      <c r="L42" s="839"/>
      <c r="M42" s="839"/>
      <c r="N42" s="839"/>
      <c r="O42" s="24"/>
      <c r="P42" s="24"/>
      <c r="Q42" s="24"/>
      <c r="R42" s="24"/>
      <c r="S42" s="24"/>
      <c r="T42" s="52"/>
    </row>
    <row r="43" spans="2:20" ht="26.1" customHeight="1">
      <c r="B43" s="51"/>
      <c r="C43" s="24"/>
      <c r="D43" s="24"/>
      <c r="E43" s="24"/>
      <c r="F43" s="24"/>
      <c r="G43" s="839"/>
      <c r="H43" s="839"/>
      <c r="I43" s="839"/>
      <c r="J43" s="839"/>
      <c r="K43" s="839"/>
      <c r="L43" s="839"/>
      <c r="M43" s="839"/>
      <c r="N43" s="839"/>
      <c r="O43" s="24"/>
      <c r="P43" s="24"/>
      <c r="Q43" s="24"/>
      <c r="R43" s="24"/>
      <c r="S43" s="24"/>
      <c r="T43" s="52"/>
    </row>
    <row r="44" spans="2:20" ht="26.1" customHeight="1">
      <c r="B44" s="51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52"/>
    </row>
    <row r="45" spans="2:20" ht="26.1" customHeight="1">
      <c r="B45" s="51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52"/>
    </row>
    <row r="46" spans="2:20" ht="26.1" customHeight="1">
      <c r="B46" s="51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52"/>
    </row>
    <row r="47" spans="2:20" ht="26.1" customHeight="1">
      <c r="B47" s="5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52"/>
    </row>
    <row r="48" spans="2:20" ht="26.1" customHeight="1">
      <c r="B48" s="51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52"/>
    </row>
    <row r="49" spans="2:20" ht="26.1" customHeight="1">
      <c r="B49" s="51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52"/>
    </row>
    <row r="50" spans="2:20" ht="26.1" customHeight="1">
      <c r="B50" s="13"/>
      <c r="C50" s="9"/>
      <c r="D50" s="9"/>
      <c r="E50" s="9"/>
      <c r="F50" s="9"/>
      <c r="G50" s="827" t="s">
        <v>167</v>
      </c>
      <c r="H50" s="827"/>
      <c r="I50" s="827"/>
      <c r="J50" s="827"/>
      <c r="K50" s="827"/>
      <c r="L50" s="827"/>
      <c r="M50" s="827"/>
      <c r="N50" s="827"/>
      <c r="O50" s="9"/>
      <c r="P50" s="9"/>
      <c r="Q50" s="9"/>
      <c r="R50" s="9"/>
      <c r="S50" s="9"/>
      <c r="T50" s="21"/>
    </row>
    <row r="51" spans="2:20" ht="26.1" customHeight="1">
      <c r="B51" s="13"/>
      <c r="C51" s="41"/>
      <c r="D51" s="41"/>
      <c r="E51" s="41"/>
      <c r="F51" s="41"/>
      <c r="G51" s="827"/>
      <c r="H51" s="827"/>
      <c r="I51" s="827"/>
      <c r="J51" s="827"/>
      <c r="K51" s="827"/>
      <c r="L51" s="827"/>
      <c r="M51" s="827"/>
      <c r="N51" s="827"/>
      <c r="O51" s="41"/>
      <c r="P51" s="41"/>
      <c r="Q51" s="41"/>
      <c r="R51" s="9"/>
      <c r="S51" s="9"/>
      <c r="T51" s="21"/>
    </row>
    <row r="52" spans="2:20" ht="26.1" customHeight="1">
      <c r="B52" s="13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21"/>
    </row>
    <row r="53" spans="2:20" ht="26.1" customHeight="1" thickBot="1">
      <c r="B53" s="32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34"/>
    </row>
    <row r="54" spans="2:20" ht="9.9" customHeight="1" thickTop="1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</row>
    <row r="55" spans="2:20" ht="9.9" customHeight="1" thickBot="1">
      <c r="B55" s="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9"/>
    </row>
    <row r="56" spans="2:20" ht="26.1" customHeight="1" thickTop="1">
      <c r="B56" s="36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38"/>
    </row>
    <row r="57" spans="2:20" ht="26.1" customHeight="1">
      <c r="B57" s="13"/>
      <c r="C57" s="35"/>
      <c r="D57" s="43"/>
      <c r="E57" s="43"/>
      <c r="F57" s="822" t="s">
        <v>168</v>
      </c>
      <c r="G57" s="822"/>
      <c r="H57" s="822"/>
      <c r="I57" s="822"/>
      <c r="J57" s="822"/>
      <c r="K57" s="822"/>
      <c r="L57" s="822"/>
      <c r="M57" s="822"/>
      <c r="N57" s="822"/>
      <c r="O57" s="822"/>
      <c r="P57" s="822"/>
      <c r="Q57" s="43"/>
      <c r="R57" s="43"/>
      <c r="S57" s="43"/>
      <c r="T57" s="21"/>
    </row>
    <row r="58" spans="2:20" ht="26.1" customHeight="1">
      <c r="B58" s="13"/>
      <c r="C58" s="20"/>
      <c r="D58" s="20"/>
      <c r="E58" s="20"/>
      <c r="F58" s="822"/>
      <c r="G58" s="822"/>
      <c r="H58" s="822"/>
      <c r="I58" s="822"/>
      <c r="J58" s="822"/>
      <c r="K58" s="822"/>
      <c r="L58" s="822"/>
      <c r="M58" s="822"/>
      <c r="N58" s="822"/>
      <c r="O58" s="822"/>
      <c r="P58" s="822"/>
      <c r="Q58" s="20"/>
      <c r="R58" s="20"/>
      <c r="S58" s="20"/>
      <c r="T58" s="21"/>
    </row>
    <row r="59" spans="2:20" ht="26.1" customHeight="1">
      <c r="B59" s="13"/>
      <c r="C59" s="20"/>
      <c r="D59" s="20"/>
      <c r="E59" s="20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20"/>
      <c r="R59" s="20"/>
      <c r="S59" s="20"/>
      <c r="T59" s="21"/>
    </row>
    <row r="60" spans="2:20" ht="26.1" customHeight="1">
      <c r="B60" s="13"/>
      <c r="C60" s="46" t="s">
        <v>169</v>
      </c>
      <c r="D60" s="28" t="s">
        <v>310</v>
      </c>
      <c r="E60" s="28"/>
      <c r="F60" s="6" t="str">
        <f>+B9</f>
        <v>하노2리 농어촌도로 210호선 기본설계용역 설계서</v>
      </c>
      <c r="G60" s="44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21"/>
    </row>
    <row r="61" spans="2:20" ht="26.1" customHeight="1">
      <c r="B61" s="13"/>
      <c r="C61" s="46" t="s">
        <v>52</v>
      </c>
      <c r="D61" s="28" t="s">
        <v>170</v>
      </c>
      <c r="E61" s="28"/>
      <c r="F61" s="6" t="str">
        <f>F13</f>
        <v>원남면 하노2리  일원</v>
      </c>
      <c r="G61" s="44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21"/>
    </row>
    <row r="62" spans="2:20" ht="26.1" customHeight="1">
      <c r="B62" s="13"/>
      <c r="C62" s="46" t="s">
        <v>60</v>
      </c>
      <c r="D62" s="28" t="s">
        <v>171</v>
      </c>
      <c r="E62" s="28"/>
      <c r="F62" s="6" t="str">
        <f>F15</f>
        <v>농어촌도로 정비 L=0.85km</v>
      </c>
      <c r="G62" s="44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21"/>
    </row>
    <row r="63" spans="2:20" ht="26.1" customHeight="1">
      <c r="B63" s="13"/>
      <c r="C63" s="46" t="s">
        <v>325</v>
      </c>
      <c r="D63" s="6" t="s">
        <v>62</v>
      </c>
      <c r="E63" s="6"/>
      <c r="F63" s="6" t="s">
        <v>63</v>
      </c>
      <c r="G63" s="44"/>
      <c r="H63" s="6"/>
      <c r="I63" s="6"/>
      <c r="J63" s="6"/>
      <c r="K63" s="6"/>
      <c r="L63" s="24"/>
      <c r="M63" s="6"/>
      <c r="N63" s="6"/>
      <c r="O63" s="6"/>
      <c r="P63" s="6"/>
      <c r="Q63" s="6"/>
      <c r="R63" s="6"/>
      <c r="S63" s="6"/>
      <c r="T63" s="21"/>
    </row>
    <row r="64" spans="2:20" ht="26.1" customHeight="1">
      <c r="B64" s="13"/>
      <c r="C64" s="46" t="s">
        <v>172</v>
      </c>
      <c r="D64" s="6" t="s">
        <v>64</v>
      </c>
      <c r="E64" s="6"/>
      <c r="F64" s="6" t="str">
        <f>"다음의 예정표에 의거 착수일로 부터 "&amp;기초자료입력!B7&amp;"일 이내에 준공키로 함."</f>
        <v>다음의 예정표에 의거 착수일로 부터 90일 이내에 준공키로 함.</v>
      </c>
      <c r="G64" s="6"/>
      <c r="H64" s="6"/>
      <c r="I64" s="6"/>
      <c r="J64" s="6"/>
      <c r="K64" s="7"/>
      <c r="L64" s="120"/>
      <c r="M64" s="120"/>
      <c r="N64" s="6"/>
      <c r="O64" s="6"/>
      <c r="P64" s="6"/>
      <c r="Q64" s="6"/>
      <c r="R64" s="6"/>
      <c r="S64" s="6"/>
      <c r="T64" s="21"/>
    </row>
    <row r="65" spans="2:20" ht="26.1" customHeight="1">
      <c r="B65" s="13"/>
      <c r="C65" s="46"/>
      <c r="D65" s="6"/>
      <c r="E65" s="6"/>
      <c r="F65" s="6"/>
      <c r="G65" s="6"/>
      <c r="H65" s="6"/>
      <c r="I65" s="6"/>
      <c r="J65" s="6"/>
      <c r="K65" s="7"/>
      <c r="L65" s="120"/>
      <c r="M65" s="120"/>
      <c r="N65" s="6"/>
      <c r="O65" s="6"/>
      <c r="P65" s="6"/>
      <c r="Q65" s="6"/>
      <c r="R65" s="6"/>
      <c r="S65" s="6"/>
      <c r="T65" s="21"/>
    </row>
    <row r="66" spans="2:20" ht="26.1" customHeight="1" thickBot="1">
      <c r="B66" s="13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1"/>
    </row>
    <row r="67" spans="2:20" ht="26.1" customHeight="1">
      <c r="B67" s="13"/>
      <c r="C67" s="829" t="s">
        <v>173</v>
      </c>
      <c r="D67" s="830"/>
      <c r="E67" s="830"/>
      <c r="F67" s="831"/>
      <c r="G67" s="801">
        <v>5</v>
      </c>
      <c r="H67" s="801">
        <f t="shared" ref="H67:O67" si="0">G67</f>
        <v>5</v>
      </c>
      <c r="I67" s="801">
        <f t="shared" si="0"/>
        <v>5</v>
      </c>
      <c r="J67" s="801">
        <f t="shared" si="0"/>
        <v>5</v>
      </c>
      <c r="K67" s="801">
        <f t="shared" si="0"/>
        <v>5</v>
      </c>
      <c r="L67" s="801">
        <f t="shared" si="0"/>
        <v>5</v>
      </c>
      <c r="M67" s="801">
        <f t="shared" si="0"/>
        <v>5</v>
      </c>
      <c r="N67" s="801">
        <f t="shared" si="0"/>
        <v>5</v>
      </c>
      <c r="O67" s="801">
        <f t="shared" si="0"/>
        <v>5</v>
      </c>
      <c r="P67" s="801"/>
      <c r="Q67" s="801"/>
      <c r="R67" s="803" t="s">
        <v>174</v>
      </c>
      <c r="S67" s="804"/>
      <c r="T67" s="21"/>
    </row>
    <row r="68" spans="2:20" ht="26.1" customHeight="1" thickBot="1">
      <c r="B68" s="13"/>
      <c r="C68" s="832"/>
      <c r="D68" s="833"/>
      <c r="E68" s="833"/>
      <c r="F68" s="834"/>
      <c r="G68" s="802"/>
      <c r="H68" s="802"/>
      <c r="I68" s="802"/>
      <c r="J68" s="802"/>
      <c r="K68" s="802"/>
      <c r="L68" s="802"/>
      <c r="M68" s="802"/>
      <c r="N68" s="802"/>
      <c r="O68" s="802"/>
      <c r="P68" s="802"/>
      <c r="Q68" s="802"/>
      <c r="R68" s="805"/>
      <c r="S68" s="806"/>
      <c r="T68" s="21"/>
    </row>
    <row r="69" spans="2:20" ht="26.1" customHeight="1" thickTop="1">
      <c r="B69" s="13"/>
      <c r="C69" s="840" t="s">
        <v>175</v>
      </c>
      <c r="D69" s="841"/>
      <c r="E69" s="841"/>
      <c r="F69" s="842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807"/>
      <c r="S69" s="808"/>
      <c r="T69" s="21"/>
    </row>
    <row r="70" spans="2:20" ht="26.1" customHeight="1">
      <c r="B70" s="13"/>
      <c r="C70" s="798"/>
      <c r="D70" s="799"/>
      <c r="E70" s="799"/>
      <c r="F70" s="800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809"/>
      <c r="S70" s="810"/>
      <c r="T70" s="21"/>
    </row>
    <row r="71" spans="2:20" ht="26.1" customHeight="1">
      <c r="B71" s="13"/>
      <c r="C71" s="795" t="s">
        <v>307</v>
      </c>
      <c r="D71" s="796"/>
      <c r="E71" s="796"/>
      <c r="F71" s="797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811"/>
      <c r="S71" s="812"/>
      <c r="T71" s="21"/>
    </row>
    <row r="72" spans="2:20" ht="26.1" customHeight="1">
      <c r="B72" s="13"/>
      <c r="C72" s="798"/>
      <c r="D72" s="799"/>
      <c r="E72" s="799"/>
      <c r="F72" s="800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809"/>
      <c r="S72" s="810"/>
      <c r="T72" s="21"/>
    </row>
    <row r="73" spans="2:20" ht="26.1" customHeight="1">
      <c r="B73" s="13"/>
      <c r="C73" s="795" t="s">
        <v>308</v>
      </c>
      <c r="D73" s="796"/>
      <c r="E73" s="796"/>
      <c r="F73" s="797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811"/>
      <c r="S73" s="812"/>
      <c r="T73" s="21"/>
    </row>
    <row r="74" spans="2:20" ht="26.1" customHeight="1">
      <c r="B74" s="13"/>
      <c r="C74" s="798"/>
      <c r="D74" s="799"/>
      <c r="E74" s="799"/>
      <c r="F74" s="800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809"/>
      <c r="S74" s="810"/>
      <c r="T74" s="21"/>
    </row>
    <row r="75" spans="2:20" ht="26.1" customHeight="1">
      <c r="B75" s="13"/>
      <c r="C75" s="795" t="s">
        <v>309</v>
      </c>
      <c r="D75" s="796"/>
      <c r="E75" s="796"/>
      <c r="F75" s="79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811"/>
      <c r="S75" s="812"/>
      <c r="T75" s="21"/>
    </row>
    <row r="76" spans="2:20" ht="26.1" customHeight="1">
      <c r="B76" s="13"/>
      <c r="C76" s="798"/>
      <c r="D76" s="799"/>
      <c r="E76" s="799"/>
      <c r="F76" s="800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809"/>
      <c r="S76" s="810"/>
      <c r="T76" s="21"/>
    </row>
    <row r="77" spans="2:20" ht="26.1" customHeight="1">
      <c r="B77" s="13"/>
      <c r="C77" s="795" t="s">
        <v>59</v>
      </c>
      <c r="D77" s="796"/>
      <c r="E77" s="796"/>
      <c r="F77" s="79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811"/>
      <c r="S77" s="812"/>
      <c r="T77" s="21"/>
    </row>
    <row r="78" spans="2:20" ht="26.1" customHeight="1" thickBot="1">
      <c r="B78" s="13"/>
      <c r="C78" s="835"/>
      <c r="D78" s="836"/>
      <c r="E78" s="836"/>
      <c r="F78" s="837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825"/>
      <c r="S78" s="826"/>
      <c r="T78" s="21"/>
    </row>
    <row r="79" spans="2:20" ht="26.1" customHeight="1" thickBot="1">
      <c r="B79" s="32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34"/>
    </row>
    <row r="80" spans="2:20" ht="9.9" customHeight="1" thickTop="1"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</row>
  </sheetData>
  <mergeCells count="49">
    <mergeCell ref="L3:M5"/>
    <mergeCell ref="L2:M2"/>
    <mergeCell ref="B2:K2"/>
    <mergeCell ref="B3:K5"/>
    <mergeCell ref="R2:T2"/>
    <mergeCell ref="R3:T5"/>
    <mergeCell ref="P3:Q5"/>
    <mergeCell ref="P2:Q2"/>
    <mergeCell ref="N3:O5"/>
    <mergeCell ref="N2:O2"/>
    <mergeCell ref="R77:S78"/>
    <mergeCell ref="G50:N51"/>
    <mergeCell ref="C30:E30"/>
    <mergeCell ref="C67:F68"/>
    <mergeCell ref="G67:G68"/>
    <mergeCell ref="H67:H68"/>
    <mergeCell ref="I67:I68"/>
    <mergeCell ref="J67:J68"/>
    <mergeCell ref="K67:K68"/>
    <mergeCell ref="L67:L68"/>
    <mergeCell ref="C77:F78"/>
    <mergeCell ref="G42:N43"/>
    <mergeCell ref="C71:F72"/>
    <mergeCell ref="C69:F70"/>
    <mergeCell ref="C75:F76"/>
    <mergeCell ref="F57:P58"/>
    <mergeCell ref="C7:E7"/>
    <mergeCell ref="B9:T10"/>
    <mergeCell ref="R73:S74"/>
    <mergeCell ref="R75:S76"/>
    <mergeCell ref="F21:M21"/>
    <mergeCell ref="O21:Q21"/>
    <mergeCell ref="C12:D12"/>
    <mergeCell ref="B34:T35"/>
    <mergeCell ref="O23:Q23"/>
    <mergeCell ref="F23:M23"/>
    <mergeCell ref="M67:M68"/>
    <mergeCell ref="AH15:AI15"/>
    <mergeCell ref="AH16:AI16"/>
    <mergeCell ref="C73:F74"/>
    <mergeCell ref="P67:P68"/>
    <mergeCell ref="Q67:Q68"/>
    <mergeCell ref="R67:S68"/>
    <mergeCell ref="R69:S70"/>
    <mergeCell ref="R71:S72"/>
    <mergeCell ref="N67:N68"/>
    <mergeCell ref="O67:O68"/>
    <mergeCell ref="AE17:AF17"/>
    <mergeCell ref="AE18:AF18"/>
  </mergeCells>
  <phoneticPr fontId="1" type="noConversion"/>
  <pageMargins left="0.70866141732283472" right="0.34" top="0.70866141732283472" bottom="0.39370078740157483" header="0.31496062992125984" footer="0.31496062992125984"/>
  <pageSetup paperSize="9" scale="76" orientation="landscape" r:id="rId1"/>
  <headerFooter alignWithMargins="0"/>
  <rowBreaks count="2" manualBreakCount="2">
    <brk id="26" max="20" man="1"/>
    <brk id="53" max="2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53"/>
  <sheetViews>
    <sheetView view="pageBreakPreview" zoomScaleNormal="100" zoomScaleSheetLayoutView="100" workbookViewId="0">
      <pane ySplit="3" topLeftCell="A4" activePane="bottomLeft" state="frozen"/>
      <selection pane="bottomLeft" activeCell="M26" sqref="M26"/>
    </sheetView>
  </sheetViews>
  <sheetFormatPr defaultColWidth="13.69921875" defaultRowHeight="15.6"/>
  <cols>
    <col min="1" max="1" width="3.8984375" style="67" customWidth="1"/>
    <col min="2" max="2" width="15.69921875" style="67" customWidth="1"/>
    <col min="3" max="3" width="8.59765625" style="67" customWidth="1"/>
    <col min="4" max="4" width="7.09765625" style="67" customWidth="1"/>
    <col min="5" max="5" width="4.5" style="67" customWidth="1"/>
    <col min="6" max="7" width="10.69921875" style="67" customWidth="1"/>
    <col min="8" max="8" width="9.69921875" style="67" customWidth="1"/>
    <col min="9" max="9" width="10.69921875" style="67" customWidth="1"/>
    <col min="10" max="10" width="9.69921875" style="67" customWidth="1"/>
    <col min="11" max="11" width="10.69921875" style="67" customWidth="1"/>
    <col min="12" max="12" width="9.69921875" style="67" customWidth="1"/>
    <col min="13" max="13" width="10.69921875" style="67" customWidth="1"/>
    <col min="14" max="14" width="4.69921875" style="67" customWidth="1"/>
    <col min="15" max="15" width="4" style="67" customWidth="1"/>
    <col min="16" max="253" width="9" style="67" customWidth="1"/>
    <col min="254" max="254" width="5" style="67" customWidth="1"/>
    <col min="255" max="255" width="15.5" style="67" customWidth="1"/>
    <col min="256" max="16384" width="13.69921875" style="67"/>
  </cols>
  <sheetData>
    <row r="1" spans="1:16" ht="30">
      <c r="A1" s="871" t="s">
        <v>306</v>
      </c>
      <c r="B1" s="871"/>
      <c r="C1" s="871"/>
      <c r="D1" s="871"/>
      <c r="E1" s="871"/>
      <c r="F1" s="871"/>
      <c r="G1" s="871"/>
      <c r="H1" s="871"/>
      <c r="I1" s="871"/>
      <c r="J1" s="871"/>
      <c r="K1" s="871"/>
      <c r="L1" s="871"/>
      <c r="M1" s="871"/>
      <c r="N1" s="871"/>
    </row>
    <row r="2" spans="1:16" ht="20.100000000000001" customHeight="1">
      <c r="A2" s="872" t="s">
        <v>263</v>
      </c>
      <c r="B2" s="873"/>
      <c r="C2" s="869" t="s">
        <v>45</v>
      </c>
      <c r="D2" s="869" t="s">
        <v>46</v>
      </c>
      <c r="E2" s="869" t="s">
        <v>47</v>
      </c>
      <c r="F2" s="869" t="s">
        <v>48</v>
      </c>
      <c r="G2" s="870"/>
      <c r="H2" s="869" t="s">
        <v>49</v>
      </c>
      <c r="I2" s="870"/>
      <c r="J2" s="869" t="s">
        <v>50</v>
      </c>
      <c r="K2" s="870"/>
      <c r="L2" s="869" t="s">
        <v>51</v>
      </c>
      <c r="M2" s="870"/>
      <c r="N2" s="869" t="s">
        <v>264</v>
      </c>
    </row>
    <row r="3" spans="1:16" ht="20.100000000000001" customHeight="1">
      <c r="A3" s="874"/>
      <c r="B3" s="875"/>
      <c r="C3" s="870"/>
      <c r="D3" s="870"/>
      <c r="E3" s="876"/>
      <c r="F3" s="546" t="s">
        <v>54</v>
      </c>
      <c r="G3" s="546" t="s">
        <v>55</v>
      </c>
      <c r="H3" s="546" t="s">
        <v>54</v>
      </c>
      <c r="I3" s="546" t="s">
        <v>55</v>
      </c>
      <c r="J3" s="546" t="s">
        <v>54</v>
      </c>
      <c r="K3" s="546" t="s">
        <v>55</v>
      </c>
      <c r="L3" s="546" t="s">
        <v>54</v>
      </c>
      <c r="M3" s="546" t="s">
        <v>55</v>
      </c>
      <c r="N3" s="870"/>
    </row>
    <row r="4" spans="1:16" ht="20.100000000000001" customHeight="1">
      <c r="A4" s="114" t="s">
        <v>327</v>
      </c>
      <c r="B4" s="115" t="s">
        <v>328</v>
      </c>
      <c r="C4" s="116"/>
      <c r="D4" s="117">
        <v>1</v>
      </c>
      <c r="E4" s="118" t="s">
        <v>329</v>
      </c>
      <c r="F4" s="117"/>
      <c r="G4" s="117">
        <f t="shared" ref="G4:G9" si="0">SUM(I4,K4,M4)</f>
        <v>3213000</v>
      </c>
      <c r="H4" s="117"/>
      <c r="I4" s="117"/>
      <c r="J4" s="119"/>
      <c r="K4" s="117"/>
      <c r="L4" s="117"/>
      <c r="M4" s="117">
        <f>내역서!M26</f>
        <v>3213000</v>
      </c>
      <c r="N4" s="145"/>
    </row>
    <row r="5" spans="1:16" ht="20.100000000000001" customHeight="1">
      <c r="A5" s="114" t="s">
        <v>330</v>
      </c>
      <c r="B5" s="115" t="s">
        <v>331</v>
      </c>
      <c r="C5" s="116"/>
      <c r="D5" s="117">
        <v>1</v>
      </c>
      <c r="E5" s="118" t="s">
        <v>329</v>
      </c>
      <c r="F5" s="117"/>
      <c r="G5" s="117">
        <f t="shared" si="0"/>
        <v>6873579</v>
      </c>
      <c r="H5" s="117"/>
      <c r="I5" s="117">
        <f>내역서!I27</f>
        <v>6873579</v>
      </c>
      <c r="J5" s="119"/>
      <c r="K5" s="117"/>
      <c r="L5" s="117"/>
      <c r="M5" s="117"/>
      <c r="N5" s="145"/>
    </row>
    <row r="6" spans="1:16" ht="20.100000000000001" customHeight="1">
      <c r="A6" s="114" t="s">
        <v>1492</v>
      </c>
      <c r="B6" s="115" t="s">
        <v>332</v>
      </c>
      <c r="C6" s="118" t="s">
        <v>976</v>
      </c>
      <c r="D6" s="117">
        <v>1</v>
      </c>
      <c r="E6" s="118" t="s">
        <v>329</v>
      </c>
      <c r="F6" s="117"/>
      <c r="G6" s="117">
        <f t="shared" si="0"/>
        <v>0</v>
      </c>
      <c r="H6" s="117"/>
      <c r="I6" s="117">
        <f>내역서!I31</f>
        <v>0</v>
      </c>
      <c r="J6" s="119"/>
      <c r="K6" s="117">
        <f>내역서!K31</f>
        <v>0</v>
      </c>
      <c r="L6" s="117"/>
      <c r="M6" s="117">
        <f>내역서!M31</f>
        <v>0</v>
      </c>
      <c r="N6" s="145"/>
    </row>
    <row r="7" spans="1:16" ht="20.100000000000001" customHeight="1">
      <c r="A7" s="114" t="s">
        <v>1493</v>
      </c>
      <c r="B7" s="115" t="s">
        <v>333</v>
      </c>
      <c r="C7" s="697">
        <f>D35/100</f>
        <v>1.1000000000000001</v>
      </c>
      <c r="D7" s="117">
        <v>1</v>
      </c>
      <c r="E7" s="118" t="s">
        <v>329</v>
      </c>
      <c r="F7" s="117"/>
      <c r="G7" s="117">
        <f t="shared" si="0"/>
        <v>7560936</v>
      </c>
      <c r="H7" s="117"/>
      <c r="I7" s="117"/>
      <c r="J7" s="119"/>
      <c r="K7" s="117"/>
      <c r="L7" s="117"/>
      <c r="M7" s="117">
        <f>내역서!M35</f>
        <v>7560936</v>
      </c>
      <c r="N7" s="145"/>
    </row>
    <row r="8" spans="1:16" ht="20.100000000000001" customHeight="1">
      <c r="A8" s="114" t="s">
        <v>1494</v>
      </c>
      <c r="B8" s="115" t="s">
        <v>334</v>
      </c>
      <c r="C8" s="697">
        <f>D36/100</f>
        <v>0.2</v>
      </c>
      <c r="D8" s="117">
        <v>1</v>
      </c>
      <c r="E8" s="118" t="s">
        <v>329</v>
      </c>
      <c r="F8" s="117"/>
      <c r="G8" s="117">
        <f t="shared" si="0"/>
        <v>2886903</v>
      </c>
      <c r="H8" s="117"/>
      <c r="I8" s="117"/>
      <c r="J8" s="119"/>
      <c r="K8" s="117"/>
      <c r="L8" s="117"/>
      <c r="M8" s="117">
        <f>내역서!M36</f>
        <v>2886903</v>
      </c>
      <c r="N8" s="145"/>
    </row>
    <row r="9" spans="1:16" ht="20.100000000000001" customHeight="1">
      <c r="A9" s="867" t="s">
        <v>335</v>
      </c>
      <c r="B9" s="868"/>
      <c r="C9" s="146"/>
      <c r="D9" s="147"/>
      <c r="E9" s="148"/>
      <c r="F9" s="147"/>
      <c r="G9" s="117">
        <f t="shared" si="0"/>
        <v>20534418</v>
      </c>
      <c r="H9" s="147"/>
      <c r="I9" s="147">
        <f>SUM(I4:I8)</f>
        <v>6873579</v>
      </c>
      <c r="J9" s="149"/>
      <c r="K9" s="147">
        <f>SUM(K4:K8)</f>
        <v>0</v>
      </c>
      <c r="L9" s="147"/>
      <c r="M9" s="147">
        <f>SUM(M4:M8)</f>
        <v>13660839</v>
      </c>
      <c r="N9" s="150"/>
    </row>
    <row r="10" spans="1:16" ht="20.100000000000001" customHeight="1">
      <c r="A10" s="114" t="s">
        <v>1495</v>
      </c>
      <c r="B10" s="115" t="s">
        <v>336</v>
      </c>
      <c r="C10" s="116"/>
      <c r="D10" s="151">
        <f>손해배상공제!D13+손해배상공제!F13*손해배상공제!H13/365</f>
        <v>0.86499999999999999</v>
      </c>
      <c r="E10" s="118" t="s">
        <v>337</v>
      </c>
      <c r="F10" s="117"/>
      <c r="G10" s="117">
        <f>손해배상공제!J18</f>
        <v>177622</v>
      </c>
      <c r="H10" s="117"/>
      <c r="I10" s="117"/>
      <c r="J10" s="119"/>
      <c r="K10" s="117"/>
      <c r="L10" s="117"/>
      <c r="M10" s="117">
        <f>손해배상공제!J18</f>
        <v>177622</v>
      </c>
      <c r="N10" s="145"/>
    </row>
    <row r="11" spans="1:16" ht="20.100000000000001" customHeight="1">
      <c r="A11" s="114" t="s">
        <v>1496</v>
      </c>
      <c r="B11" s="115" t="s">
        <v>338</v>
      </c>
      <c r="C11" s="116"/>
      <c r="D11" s="117">
        <v>1</v>
      </c>
      <c r="E11" s="118" t="s">
        <v>341</v>
      </c>
      <c r="F11" s="117"/>
      <c r="G11" s="117">
        <f>SUM(I11,K11,M11)</f>
        <v>20712040</v>
      </c>
      <c r="H11" s="117"/>
      <c r="I11" s="117">
        <f>SUM(I9:I10)</f>
        <v>6873579</v>
      </c>
      <c r="J11" s="119"/>
      <c r="K11" s="117">
        <f>SUM(K9:K10)</f>
        <v>0</v>
      </c>
      <c r="L11" s="117"/>
      <c r="M11" s="117">
        <f>SUM(M9:M10)</f>
        <v>13838461</v>
      </c>
      <c r="N11" s="145"/>
    </row>
    <row r="12" spans="1:16" ht="20.100000000000001" customHeight="1">
      <c r="A12" s="152"/>
      <c r="B12" s="115" t="s">
        <v>339</v>
      </c>
      <c r="C12" s="116"/>
      <c r="D12" s="117">
        <v>10</v>
      </c>
      <c r="E12" s="118" t="s">
        <v>53</v>
      </c>
      <c r="F12" s="117"/>
      <c r="G12" s="117">
        <f>INT(G11*0.1)</f>
        <v>2071204</v>
      </c>
      <c r="H12" s="117"/>
      <c r="I12" s="117"/>
      <c r="J12" s="119"/>
      <c r="K12" s="117"/>
      <c r="L12" s="117"/>
      <c r="M12" s="117"/>
      <c r="N12" s="145"/>
    </row>
    <row r="13" spans="1:16" ht="20.100000000000001" customHeight="1">
      <c r="A13" s="867" t="s">
        <v>340</v>
      </c>
      <c r="B13" s="868"/>
      <c r="C13" s="116"/>
      <c r="D13" s="117"/>
      <c r="E13" s="118"/>
      <c r="F13" s="117"/>
      <c r="G13" s="147">
        <f>SUM(G11:G12)</f>
        <v>22783244</v>
      </c>
      <c r="H13" s="117"/>
      <c r="I13" s="117"/>
      <c r="J13" s="119"/>
      <c r="K13" s="117"/>
      <c r="L13" s="117"/>
      <c r="M13" s="117"/>
      <c r="N13" s="145"/>
    </row>
    <row r="14" spans="1:16" ht="20.100000000000001" customHeight="1">
      <c r="A14" s="152"/>
      <c r="B14" s="115" t="s">
        <v>342</v>
      </c>
      <c r="C14" s="116"/>
      <c r="D14" s="117"/>
      <c r="E14" s="118"/>
      <c r="F14" s="117"/>
      <c r="G14" s="117">
        <f>ROUNDDOWN(G13,-4)</f>
        <v>22780000</v>
      </c>
      <c r="H14" s="117"/>
      <c r="I14" s="117"/>
      <c r="J14" s="119"/>
      <c r="K14" s="117"/>
      <c r="L14" s="145"/>
      <c r="M14" s="145"/>
      <c r="N14" s="145"/>
    </row>
    <row r="15" spans="1:16" ht="20.100000000000001" customHeight="1">
      <c r="A15" s="152"/>
      <c r="B15" s="115" t="s">
        <v>1561</v>
      </c>
      <c r="C15" s="116"/>
      <c r="D15" s="117">
        <v>93</v>
      </c>
      <c r="E15" s="118" t="s">
        <v>303</v>
      </c>
      <c r="F15" s="117"/>
      <c r="G15" s="117">
        <f>ROUNDDOWN(P15,-3)</f>
        <v>21185000</v>
      </c>
      <c r="H15" s="117"/>
      <c r="I15" s="117"/>
      <c r="J15" s="119"/>
      <c r="K15" s="117"/>
      <c r="L15" s="145"/>
      <c r="M15" s="145"/>
      <c r="N15" s="145"/>
      <c r="P15" s="67">
        <f>G14*D15/100</f>
        <v>21185400</v>
      </c>
    </row>
    <row r="16" spans="1:16" ht="20.100000000000001" customHeight="1">
      <c r="A16" s="152"/>
      <c r="B16" s="115"/>
      <c r="C16" s="116"/>
      <c r="D16" s="157"/>
      <c r="E16" s="118"/>
      <c r="F16" s="117"/>
      <c r="G16" s="117"/>
      <c r="H16" s="117"/>
      <c r="I16" s="117"/>
      <c r="J16" s="119"/>
      <c r="K16" s="117"/>
      <c r="L16" s="145"/>
      <c r="M16" s="145"/>
      <c r="N16" s="145"/>
    </row>
    <row r="17" spans="1:14" ht="20.100000000000001" customHeight="1">
      <c r="A17" s="152"/>
      <c r="B17" s="115"/>
      <c r="C17" s="116"/>
      <c r="D17" s="157"/>
      <c r="E17" s="118"/>
      <c r="F17" s="117"/>
      <c r="G17" s="117"/>
      <c r="H17" s="117"/>
      <c r="I17" s="117"/>
      <c r="J17" s="119"/>
      <c r="K17" s="117"/>
      <c r="L17" s="145"/>
      <c r="M17" s="145"/>
      <c r="N17" s="145"/>
    </row>
    <row r="18" spans="1:14" ht="20.100000000000001" customHeight="1">
      <c r="A18" s="152"/>
      <c r="B18" s="115"/>
      <c r="C18" s="116"/>
      <c r="D18" s="157"/>
      <c r="E18" s="118"/>
      <c r="F18" s="117"/>
      <c r="G18" s="117"/>
      <c r="H18" s="117"/>
      <c r="I18" s="117"/>
      <c r="J18" s="119"/>
      <c r="K18" s="117"/>
      <c r="L18" s="145"/>
      <c r="M18" s="145"/>
      <c r="N18" s="145"/>
    </row>
    <row r="19" spans="1:14" ht="20.100000000000001" customHeight="1">
      <c r="A19" s="152"/>
      <c r="B19" s="115"/>
      <c r="C19" s="116"/>
      <c r="D19" s="157"/>
      <c r="E19" s="118"/>
      <c r="F19" s="117"/>
      <c r="G19" s="117"/>
      <c r="H19" s="117"/>
      <c r="I19" s="117"/>
      <c r="J19" s="119"/>
      <c r="K19" s="117"/>
      <c r="L19" s="145"/>
      <c r="M19" s="145"/>
      <c r="N19" s="145"/>
    </row>
    <row r="20" spans="1:14" ht="20.100000000000001" customHeight="1">
      <c r="A20" s="152"/>
      <c r="B20" s="115"/>
      <c r="C20" s="116"/>
      <c r="D20" s="157"/>
      <c r="E20" s="118"/>
      <c r="F20" s="117"/>
      <c r="G20" s="117"/>
      <c r="H20" s="117"/>
      <c r="I20" s="117"/>
      <c r="J20" s="119"/>
      <c r="K20" s="117"/>
      <c r="L20" s="145"/>
      <c r="M20" s="145"/>
      <c r="N20" s="145"/>
    </row>
    <row r="21" spans="1:14" ht="20.100000000000001" customHeight="1">
      <c r="A21" s="152"/>
      <c r="B21" s="115"/>
      <c r="C21" s="116"/>
      <c r="D21" s="157"/>
      <c r="E21" s="118"/>
      <c r="F21" s="117"/>
      <c r="G21" s="117"/>
      <c r="H21" s="117"/>
      <c r="I21" s="117"/>
      <c r="J21" s="119"/>
      <c r="K21" s="117"/>
      <c r="L21" s="145"/>
      <c r="M21" s="145"/>
      <c r="N21" s="145"/>
    </row>
    <row r="22" spans="1:14" ht="20.100000000000001" customHeight="1">
      <c r="A22" s="152"/>
      <c r="B22" s="115"/>
      <c r="C22" s="116"/>
      <c r="D22" s="157"/>
      <c r="E22" s="118"/>
      <c r="F22" s="117"/>
      <c r="G22" s="117"/>
      <c r="H22" s="117"/>
      <c r="I22" s="117"/>
      <c r="J22" s="119"/>
      <c r="K22" s="117"/>
      <c r="L22" s="145"/>
      <c r="M22" s="145"/>
      <c r="N22" s="145"/>
    </row>
    <row r="23" spans="1:14" ht="20.100000000000001" customHeight="1">
      <c r="A23" s="152"/>
      <c r="B23" s="115"/>
      <c r="C23" s="116"/>
      <c r="D23" s="157"/>
      <c r="E23" s="118"/>
      <c r="F23" s="117"/>
      <c r="G23" s="117"/>
      <c r="H23" s="117"/>
      <c r="I23" s="117"/>
      <c r="J23" s="119"/>
      <c r="K23" s="117"/>
      <c r="L23" s="145"/>
      <c r="M23" s="145"/>
      <c r="N23" s="145"/>
    </row>
    <row r="24" spans="1:14" ht="20.100000000000001" customHeight="1">
      <c r="A24" s="152"/>
      <c r="B24" s="115"/>
      <c r="C24" s="116"/>
      <c r="D24" s="157"/>
      <c r="E24" s="118"/>
      <c r="F24" s="117"/>
      <c r="G24" s="117"/>
      <c r="H24" s="117"/>
      <c r="I24" s="117"/>
      <c r="J24" s="119"/>
      <c r="K24" s="117"/>
      <c r="L24" s="145"/>
      <c r="M24" s="145"/>
      <c r="N24" s="145"/>
    </row>
    <row r="25" spans="1:14" ht="20.100000000000001" customHeight="1">
      <c r="A25" s="152"/>
      <c r="B25" s="115"/>
      <c r="C25" s="116"/>
      <c r="D25" s="157"/>
      <c r="E25" s="118"/>
      <c r="F25" s="117"/>
      <c r="G25" s="117"/>
      <c r="H25" s="117"/>
      <c r="I25" s="117"/>
      <c r="J25" s="119"/>
      <c r="K25" s="117"/>
      <c r="L25" s="145"/>
      <c r="M25" s="145"/>
      <c r="N25" s="145"/>
    </row>
    <row r="26" spans="1:14" ht="20.100000000000001" customHeight="1">
      <c r="A26" s="114" t="s">
        <v>293</v>
      </c>
      <c r="B26" s="115" t="s">
        <v>294</v>
      </c>
      <c r="C26" s="116"/>
      <c r="D26" s="117">
        <v>1</v>
      </c>
      <c r="E26" s="118" t="s">
        <v>295</v>
      </c>
      <c r="F26" s="117"/>
      <c r="G26" s="117">
        <f>SUM(I26,K26,M26)</f>
        <v>3213000</v>
      </c>
      <c r="H26" s="117"/>
      <c r="I26" s="117"/>
      <c r="J26" s="119"/>
      <c r="K26" s="117"/>
      <c r="L26" s="117"/>
      <c r="M26" s="117">
        <f>사업대가!AA35</f>
        <v>3213000</v>
      </c>
      <c r="N26" s="129"/>
    </row>
    <row r="27" spans="1:14" ht="20.100000000000001" customHeight="1">
      <c r="A27" s="114" t="s">
        <v>296</v>
      </c>
      <c r="B27" s="115" t="s">
        <v>297</v>
      </c>
      <c r="C27" s="116"/>
      <c r="D27" s="117">
        <v>1</v>
      </c>
      <c r="E27" s="118" t="s">
        <v>298</v>
      </c>
      <c r="F27" s="117"/>
      <c r="G27" s="117">
        <f>SUM(I27,K27,M27)</f>
        <v>6873579</v>
      </c>
      <c r="H27" s="117"/>
      <c r="I27" s="117">
        <f>I28</f>
        <v>6873579</v>
      </c>
      <c r="J27" s="119"/>
      <c r="K27" s="117"/>
      <c r="L27" s="117"/>
      <c r="M27" s="117"/>
      <c r="N27" s="129"/>
    </row>
    <row r="28" spans="1:14" ht="20.100000000000001" customHeight="1">
      <c r="A28" s="83" t="s">
        <v>270</v>
      </c>
      <c r="B28" s="69" t="s">
        <v>271</v>
      </c>
      <c r="C28" s="66"/>
      <c r="D28" s="68">
        <v>1</v>
      </c>
      <c r="E28" s="71" t="s">
        <v>269</v>
      </c>
      <c r="F28" s="68"/>
      <c r="G28" s="68">
        <f>SUM(I28,K28,M28)</f>
        <v>6873579</v>
      </c>
      <c r="H28" s="68"/>
      <c r="I28" s="68">
        <f>I29</f>
        <v>6873579</v>
      </c>
      <c r="J28" s="90"/>
      <c r="K28" s="68"/>
      <c r="L28" s="68"/>
      <c r="M28" s="68"/>
      <c r="N28" s="130"/>
    </row>
    <row r="29" spans="1:14" ht="20.100000000000001" customHeight="1">
      <c r="A29" s="70"/>
      <c r="B29" s="69" t="s">
        <v>1540</v>
      </c>
      <c r="C29" s="728"/>
      <c r="D29" s="491">
        <v>1</v>
      </c>
      <c r="E29" s="71" t="s">
        <v>262</v>
      </c>
      <c r="F29" s="68">
        <f>SUM(H29,J29,L29)</f>
        <v>6873579</v>
      </c>
      <c r="G29" s="68">
        <f>SUM(I29,K29,M29)</f>
        <v>6873579</v>
      </c>
      <c r="H29" s="90">
        <f>일위대가!I19</f>
        <v>6873579</v>
      </c>
      <c r="I29" s="68">
        <f>H29</f>
        <v>6873579</v>
      </c>
      <c r="J29" s="90"/>
      <c r="K29" s="68"/>
      <c r="L29" s="68"/>
      <c r="M29" s="68"/>
      <c r="N29" s="130"/>
    </row>
    <row r="30" spans="1:14" ht="20.100000000000001" customHeight="1">
      <c r="A30" s="83"/>
      <c r="B30" s="69"/>
      <c r="C30" s="66"/>
      <c r="D30" s="68"/>
      <c r="E30" s="71"/>
      <c r="F30" s="68"/>
      <c r="G30" s="68"/>
      <c r="H30" s="68"/>
      <c r="I30" s="68"/>
      <c r="J30" s="90"/>
      <c r="K30" s="68"/>
      <c r="L30" s="68"/>
      <c r="M30" s="68"/>
      <c r="N30" s="130"/>
    </row>
    <row r="31" spans="1:14" ht="20.100000000000001" customHeight="1">
      <c r="A31" s="114" t="s">
        <v>1492</v>
      </c>
      <c r="B31" s="115" t="s">
        <v>299</v>
      </c>
      <c r="C31" s="116"/>
      <c r="D31" s="117"/>
      <c r="E31" s="118"/>
      <c r="F31" s="117"/>
      <c r="G31" s="117">
        <f t="shared" ref="G31:G36" si="1">SUM(I31,K31,M31)</f>
        <v>0</v>
      </c>
      <c r="H31" s="117"/>
      <c r="I31" s="117">
        <f>I32+I33+I34</f>
        <v>0</v>
      </c>
      <c r="J31" s="119"/>
      <c r="K31" s="117">
        <f>K32+K33+K34</f>
        <v>0</v>
      </c>
      <c r="L31" s="117"/>
      <c r="M31" s="117">
        <f>M32+M33+M34</f>
        <v>0</v>
      </c>
      <c r="N31" s="129"/>
    </row>
    <row r="32" spans="1:14" ht="20.100000000000001" customHeight="1">
      <c r="A32" s="83" t="s">
        <v>270</v>
      </c>
      <c r="B32" s="69" t="s">
        <v>214</v>
      </c>
      <c r="C32" s="66"/>
      <c r="D32" s="68">
        <v>0</v>
      </c>
      <c r="E32" s="71" t="s">
        <v>286</v>
      </c>
      <c r="F32" s="68">
        <f>SUM(H32,J32,L32)</f>
        <v>2901481</v>
      </c>
      <c r="G32" s="68">
        <f t="shared" si="1"/>
        <v>0</v>
      </c>
      <c r="H32" s="68">
        <f>일위대가!I93</f>
        <v>2901481</v>
      </c>
      <c r="I32" s="68">
        <f>D32*H32</f>
        <v>0</v>
      </c>
      <c r="J32" s="90"/>
      <c r="K32" s="68"/>
      <c r="L32" s="68"/>
      <c r="M32" s="68"/>
      <c r="N32" s="130"/>
    </row>
    <row r="33" spans="1:14" ht="20.100000000000001" customHeight="1">
      <c r="A33" s="83" t="s">
        <v>1541</v>
      </c>
      <c r="B33" s="688" t="s">
        <v>1543</v>
      </c>
      <c r="C33" s="489"/>
      <c r="D33" s="68">
        <v>0</v>
      </c>
      <c r="E33" s="490" t="s">
        <v>1544</v>
      </c>
      <c r="F33" s="491">
        <f>SUM(H33,J33,L33)</f>
        <v>269198</v>
      </c>
      <c r="G33" s="491">
        <f t="shared" si="1"/>
        <v>0</v>
      </c>
      <c r="H33" s="492">
        <f>일위대가!I136</f>
        <v>260113</v>
      </c>
      <c r="I33" s="491">
        <f>D33*H33</f>
        <v>0</v>
      </c>
      <c r="J33" s="492">
        <f>일위대가!K136</f>
        <v>7854</v>
      </c>
      <c r="K33" s="491">
        <f>D33*J33</f>
        <v>0</v>
      </c>
      <c r="L33" s="491">
        <f>일위대가!M136</f>
        <v>1231</v>
      </c>
      <c r="M33" s="68">
        <f>D33*L33</f>
        <v>0</v>
      </c>
      <c r="N33" s="493"/>
    </row>
    <row r="34" spans="1:14" ht="20.100000000000001" customHeight="1">
      <c r="A34" s="83" t="s">
        <v>1545</v>
      </c>
      <c r="B34" s="688" t="s">
        <v>1546</v>
      </c>
      <c r="C34" s="489"/>
      <c r="D34" s="491">
        <v>0</v>
      </c>
      <c r="E34" s="490" t="s">
        <v>1547</v>
      </c>
      <c r="F34" s="491">
        <f>SUM(H34,J34,L34)</f>
        <v>271700</v>
      </c>
      <c r="G34" s="491">
        <f t="shared" si="1"/>
        <v>0</v>
      </c>
      <c r="H34" s="492"/>
      <c r="I34" s="491"/>
      <c r="J34" s="492"/>
      <c r="K34" s="491"/>
      <c r="L34" s="491">
        <f>일위대가!M145</f>
        <v>271700</v>
      </c>
      <c r="M34" s="491">
        <f>D34*L34</f>
        <v>0</v>
      </c>
      <c r="N34" s="493"/>
    </row>
    <row r="35" spans="1:14" s="127" customFormat="1" ht="20.100000000000001" customHeight="1">
      <c r="A35" s="114" t="s">
        <v>1493</v>
      </c>
      <c r="B35" s="115" t="s">
        <v>302</v>
      </c>
      <c r="C35" s="118"/>
      <c r="D35" s="117">
        <v>110</v>
      </c>
      <c r="E35" s="118" t="s">
        <v>303</v>
      </c>
      <c r="F35" s="117">
        <f>SUM(H35,J35,L35)</f>
        <v>6873579</v>
      </c>
      <c r="G35" s="117">
        <f t="shared" si="1"/>
        <v>7560936</v>
      </c>
      <c r="H35" s="117"/>
      <c r="I35" s="117"/>
      <c r="J35" s="119"/>
      <c r="K35" s="117"/>
      <c r="L35" s="117">
        <f>I27+I31</f>
        <v>6873579</v>
      </c>
      <c r="M35" s="117">
        <f>TRUNC(D35*L35/100,0)</f>
        <v>7560936</v>
      </c>
      <c r="N35" s="129"/>
    </row>
    <row r="36" spans="1:14" s="127" customFormat="1" ht="20.100000000000001" customHeight="1">
      <c r="A36" s="114" t="s">
        <v>1494</v>
      </c>
      <c r="B36" s="115" t="s">
        <v>304</v>
      </c>
      <c r="C36" s="118"/>
      <c r="D36" s="117">
        <v>20</v>
      </c>
      <c r="E36" s="118" t="s">
        <v>303</v>
      </c>
      <c r="F36" s="117">
        <f>SUM(H36,J36,L36)</f>
        <v>14434515</v>
      </c>
      <c r="G36" s="117">
        <f t="shared" si="1"/>
        <v>2886903</v>
      </c>
      <c r="H36" s="117"/>
      <c r="I36" s="117"/>
      <c r="J36" s="119"/>
      <c r="K36" s="117"/>
      <c r="L36" s="117">
        <f>G35+I27+I31</f>
        <v>14434515</v>
      </c>
      <c r="M36" s="117">
        <f>TRUNC(L36*D36/100,0)</f>
        <v>2886903</v>
      </c>
      <c r="N36" s="129"/>
    </row>
    <row r="37" spans="1:14" s="127" customFormat="1" ht="20.100000000000001" customHeight="1">
      <c r="A37" s="114"/>
      <c r="B37" s="115"/>
      <c r="C37" s="118"/>
      <c r="D37" s="117"/>
      <c r="E37" s="118"/>
      <c r="F37" s="117"/>
      <c r="G37" s="117"/>
      <c r="H37" s="117"/>
      <c r="I37" s="117"/>
      <c r="J37" s="119"/>
      <c r="K37" s="117"/>
      <c r="L37" s="117"/>
      <c r="M37" s="117"/>
      <c r="N37" s="129"/>
    </row>
    <row r="38" spans="1:14" s="127" customFormat="1" ht="20.100000000000001" customHeight="1">
      <c r="A38" s="114"/>
      <c r="B38" s="115"/>
      <c r="C38" s="118"/>
      <c r="D38" s="117"/>
      <c r="E38" s="118"/>
      <c r="F38" s="117"/>
      <c r="G38" s="117"/>
      <c r="H38" s="117"/>
      <c r="I38" s="117"/>
      <c r="J38" s="119"/>
      <c r="K38" s="117"/>
      <c r="L38" s="117"/>
      <c r="M38" s="117"/>
      <c r="N38" s="129"/>
    </row>
    <row r="39" spans="1:14" s="127" customFormat="1" ht="20.100000000000001" customHeight="1">
      <c r="A39" s="114"/>
      <c r="B39" s="115"/>
      <c r="C39" s="118"/>
      <c r="D39" s="117"/>
      <c r="E39" s="118"/>
      <c r="F39" s="117"/>
      <c r="G39" s="117"/>
      <c r="H39" s="117"/>
      <c r="I39" s="117"/>
      <c r="J39" s="119"/>
      <c r="K39" s="117"/>
      <c r="L39" s="117"/>
      <c r="M39" s="117"/>
      <c r="N39" s="129"/>
    </row>
    <row r="40" spans="1:14" s="127" customFormat="1" ht="20.100000000000001" customHeight="1">
      <c r="A40" s="114"/>
      <c r="B40" s="115"/>
      <c r="C40" s="118"/>
      <c r="D40" s="117"/>
      <c r="E40" s="118"/>
      <c r="F40" s="117"/>
      <c r="G40" s="117"/>
      <c r="H40" s="117"/>
      <c r="I40" s="117"/>
      <c r="J40" s="119"/>
      <c r="K40" s="117"/>
      <c r="L40" s="117"/>
      <c r="M40" s="117"/>
      <c r="N40" s="129"/>
    </row>
    <row r="41" spans="1:14" s="127" customFormat="1" ht="20.100000000000001" customHeight="1">
      <c r="A41" s="114"/>
      <c r="B41" s="115"/>
      <c r="C41" s="118"/>
      <c r="D41" s="117"/>
      <c r="E41" s="118"/>
      <c r="F41" s="117"/>
      <c r="G41" s="117"/>
      <c r="H41" s="117"/>
      <c r="I41" s="117"/>
      <c r="J41" s="119"/>
      <c r="K41" s="117"/>
      <c r="L41" s="117"/>
      <c r="M41" s="117"/>
      <c r="N41" s="129"/>
    </row>
    <row r="42" spans="1:14" s="127" customFormat="1" ht="20.100000000000001" customHeight="1">
      <c r="A42" s="114"/>
      <c r="B42" s="115"/>
      <c r="C42" s="118"/>
      <c r="D42" s="117"/>
      <c r="E42" s="118"/>
      <c r="F42" s="117"/>
      <c r="G42" s="117"/>
      <c r="H42" s="117"/>
      <c r="I42" s="117"/>
      <c r="J42" s="119"/>
      <c r="K42" s="117"/>
      <c r="L42" s="117"/>
      <c r="M42" s="117"/>
      <c r="N42" s="129"/>
    </row>
    <row r="43" spans="1:14" s="127" customFormat="1" ht="20.100000000000001" customHeight="1">
      <c r="A43" s="114"/>
      <c r="B43" s="115"/>
      <c r="C43" s="118"/>
      <c r="D43" s="117"/>
      <c r="E43" s="118"/>
      <c r="F43" s="117"/>
      <c r="G43" s="117"/>
      <c r="H43" s="117"/>
      <c r="I43" s="117"/>
      <c r="J43" s="119"/>
      <c r="K43" s="117"/>
      <c r="L43" s="117"/>
      <c r="M43" s="117"/>
      <c r="N43" s="129"/>
    </row>
    <row r="44" spans="1:14" s="127" customFormat="1" ht="20.100000000000001" customHeight="1">
      <c r="A44" s="114"/>
      <c r="B44" s="115"/>
      <c r="C44" s="118"/>
      <c r="D44" s="117"/>
      <c r="E44" s="118"/>
      <c r="F44" s="117"/>
      <c r="G44" s="117"/>
      <c r="H44" s="117"/>
      <c r="I44" s="117"/>
      <c r="J44" s="119"/>
      <c r="K44" s="117"/>
      <c r="L44" s="117"/>
      <c r="M44" s="117"/>
      <c r="N44" s="129"/>
    </row>
    <row r="45" spans="1:14" s="127" customFormat="1" ht="20.100000000000001" customHeight="1">
      <c r="A45" s="114"/>
      <c r="B45" s="115"/>
      <c r="C45" s="118"/>
      <c r="D45" s="117"/>
      <c r="E45" s="118"/>
      <c r="F45" s="117"/>
      <c r="G45" s="117"/>
      <c r="H45" s="117"/>
      <c r="I45" s="117"/>
      <c r="J45" s="119"/>
      <c r="K45" s="117"/>
      <c r="L45" s="117"/>
      <c r="M45" s="117"/>
      <c r="N45" s="129"/>
    </row>
    <row r="46" spans="1:14" s="127" customFormat="1" ht="20.100000000000001" customHeight="1">
      <c r="A46" s="114"/>
      <c r="B46" s="115"/>
      <c r="C46" s="118"/>
      <c r="D46" s="117"/>
      <c r="E46" s="118"/>
      <c r="F46" s="117"/>
      <c r="G46" s="117"/>
      <c r="H46" s="117"/>
      <c r="I46" s="117"/>
      <c r="J46" s="119"/>
      <c r="K46" s="117"/>
      <c r="L46" s="117"/>
      <c r="M46" s="117"/>
      <c r="N46" s="129"/>
    </row>
    <row r="47" spans="1:14" s="127" customFormat="1" ht="20.100000000000001" customHeight="1">
      <c r="A47" s="114"/>
      <c r="B47" s="115"/>
      <c r="C47" s="118"/>
      <c r="D47" s="117"/>
      <c r="E47" s="118"/>
      <c r="F47" s="117"/>
      <c r="G47" s="117"/>
      <c r="H47" s="117"/>
      <c r="I47" s="117"/>
      <c r="J47" s="119"/>
      <c r="K47" s="117"/>
      <c r="L47" s="117"/>
      <c r="M47" s="117"/>
      <c r="N47" s="129"/>
    </row>
    <row r="48" spans="1:14" s="127" customFormat="1" ht="20.100000000000001" customHeight="1">
      <c r="A48" s="158"/>
      <c r="B48" s="159"/>
      <c r="C48" s="160"/>
      <c r="D48" s="161"/>
      <c r="E48" s="160"/>
      <c r="F48" s="161"/>
      <c r="G48" s="161"/>
      <c r="H48" s="161"/>
      <c r="I48" s="161"/>
      <c r="J48" s="162"/>
      <c r="K48" s="161"/>
      <c r="L48" s="161"/>
      <c r="M48" s="161"/>
      <c r="N48" s="163"/>
    </row>
    <row r="49" spans="1:14" s="127" customFormat="1" ht="20.100000000000001" customHeight="1">
      <c r="A49" s="158"/>
      <c r="B49" s="159"/>
      <c r="C49" s="160"/>
      <c r="D49" s="161"/>
      <c r="E49" s="160"/>
      <c r="F49" s="161"/>
      <c r="G49" s="161"/>
      <c r="H49" s="161"/>
      <c r="I49" s="161"/>
      <c r="J49" s="162"/>
      <c r="K49" s="161"/>
      <c r="L49" s="161"/>
      <c r="M49" s="161"/>
      <c r="N49" s="163"/>
    </row>
    <row r="50" spans="1:14" s="127" customFormat="1" ht="20.100000000000001" customHeight="1">
      <c r="A50" s="158"/>
      <c r="B50" s="159"/>
      <c r="C50" s="160"/>
      <c r="D50" s="161"/>
      <c r="E50" s="160"/>
      <c r="F50" s="161"/>
      <c r="G50" s="161"/>
      <c r="H50" s="161"/>
      <c r="I50" s="161"/>
      <c r="J50" s="162"/>
      <c r="K50" s="161"/>
      <c r="L50" s="161"/>
      <c r="M50" s="161"/>
      <c r="N50" s="163"/>
    </row>
    <row r="51" spans="1:14" s="127" customFormat="1" ht="20.100000000000001" customHeight="1">
      <c r="A51" s="158"/>
      <c r="B51" s="159"/>
      <c r="C51" s="160"/>
      <c r="D51" s="161"/>
      <c r="E51" s="160"/>
      <c r="F51" s="161"/>
      <c r="G51" s="161"/>
      <c r="H51" s="161"/>
      <c r="I51" s="161"/>
      <c r="J51" s="162"/>
      <c r="K51" s="161"/>
      <c r="L51" s="161"/>
      <c r="M51" s="161"/>
      <c r="N51" s="163"/>
    </row>
    <row r="52" spans="1:14" s="127" customFormat="1" ht="20.100000000000001" customHeight="1">
      <c r="A52" s="158"/>
      <c r="B52" s="159"/>
      <c r="C52" s="160"/>
      <c r="D52" s="161"/>
      <c r="E52" s="160"/>
      <c r="F52" s="161"/>
      <c r="G52" s="161"/>
      <c r="H52" s="161"/>
      <c r="I52" s="161"/>
      <c r="J52" s="162"/>
      <c r="K52" s="161"/>
      <c r="L52" s="161"/>
      <c r="M52" s="161"/>
      <c r="N52" s="163"/>
    </row>
    <row r="53" spans="1:14" s="127" customFormat="1" ht="20.100000000000001" customHeight="1">
      <c r="A53" s="158"/>
      <c r="B53" s="159"/>
      <c r="C53" s="160"/>
      <c r="D53" s="161"/>
      <c r="E53" s="160"/>
      <c r="F53" s="161"/>
      <c r="G53" s="161"/>
      <c r="H53" s="161"/>
      <c r="I53" s="161"/>
      <c r="J53" s="162"/>
      <c r="K53" s="161"/>
      <c r="L53" s="161"/>
      <c r="M53" s="161"/>
      <c r="N53" s="163"/>
    </row>
  </sheetData>
  <mergeCells count="12">
    <mergeCell ref="A13:B13"/>
    <mergeCell ref="A9:B9"/>
    <mergeCell ref="L2:M2"/>
    <mergeCell ref="N2:N3"/>
    <mergeCell ref="A1:N1"/>
    <mergeCell ref="A2:B3"/>
    <mergeCell ref="C2:C3"/>
    <mergeCell ref="D2:D3"/>
    <mergeCell ref="E2:E3"/>
    <mergeCell ref="F2:G2"/>
    <mergeCell ref="H2:I2"/>
    <mergeCell ref="J2:K2"/>
  </mergeCells>
  <phoneticPr fontId="1" type="noConversion"/>
  <pageMargins left="0.47244094488188981" right="0.31496062992125984" top="0.59055118110236227" bottom="0.31496062992125984" header="0.31496062992125984" footer="0.31496062992125984"/>
  <pageSetup paperSize="9" fitToWidth="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BQ89"/>
  <sheetViews>
    <sheetView view="pageBreakPreview" topLeftCell="D1" zoomScale="115" zoomScaleNormal="115" zoomScaleSheetLayoutView="115" workbookViewId="0">
      <selection activeCell="R20" sqref="R20:T20"/>
    </sheetView>
  </sheetViews>
  <sheetFormatPr defaultColWidth="10" defaultRowHeight="13.2"/>
  <cols>
    <col min="1" max="1" width="0" style="1" hidden="1" customWidth="1"/>
    <col min="2" max="3" width="10.69921875" style="1" hidden="1" customWidth="1"/>
    <col min="4" max="4" width="2.19921875" style="1" customWidth="1"/>
    <col min="5" max="5" width="0.8984375" style="1" customWidth="1"/>
    <col min="6" max="55" width="2.59765625" style="1" customWidth="1"/>
    <col min="56" max="66" width="10.69921875" style="81" customWidth="1"/>
    <col min="67" max="69" width="2.59765625" style="81" customWidth="1"/>
    <col min="70" max="123" width="2.59765625" style="1" customWidth="1"/>
    <col min="124" max="16384" width="10" style="1"/>
  </cols>
  <sheetData>
    <row r="1" spans="5:60" ht="25.2">
      <c r="E1" s="927" t="s">
        <v>979</v>
      </c>
      <c r="F1" s="928"/>
      <c r="G1" s="928"/>
      <c r="H1" s="928"/>
      <c r="I1" s="928"/>
      <c r="J1" s="928"/>
      <c r="K1" s="928"/>
      <c r="L1" s="928"/>
      <c r="M1" s="928"/>
      <c r="N1" s="928"/>
      <c r="O1" s="928"/>
      <c r="P1" s="928"/>
      <c r="Q1" s="928"/>
      <c r="R1" s="928"/>
      <c r="S1" s="928"/>
      <c r="T1" s="928"/>
      <c r="U1" s="928"/>
      <c r="V1" s="928"/>
      <c r="W1" s="928"/>
      <c r="X1" s="928"/>
      <c r="Y1" s="928"/>
      <c r="Z1" s="928"/>
      <c r="AA1" s="928"/>
      <c r="AB1" s="928"/>
      <c r="AC1" s="928"/>
      <c r="AD1" s="928"/>
      <c r="AE1" s="928"/>
      <c r="AF1" s="928"/>
      <c r="AG1" s="928"/>
      <c r="AH1" s="928"/>
      <c r="AI1" s="928"/>
      <c r="AJ1" s="928"/>
      <c r="AK1" s="928"/>
      <c r="AL1" s="928"/>
      <c r="AM1" s="928"/>
      <c r="AN1" s="928"/>
      <c r="AO1" s="928"/>
      <c r="AP1" s="928"/>
      <c r="AQ1" s="928"/>
      <c r="AR1" s="928"/>
      <c r="AS1" s="928"/>
      <c r="AT1" s="928"/>
      <c r="AU1" s="928"/>
      <c r="AV1" s="928"/>
      <c r="AW1" s="928"/>
      <c r="AX1" s="928"/>
      <c r="AY1" s="928"/>
      <c r="AZ1" s="928"/>
      <c r="BA1" s="929"/>
      <c r="BD1" s="113" t="s">
        <v>375</v>
      </c>
    </row>
    <row r="2" spans="5:60" ht="12" customHeight="1">
      <c r="E2" s="132"/>
      <c r="F2" s="3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121"/>
      <c r="AZ2" s="121"/>
      <c r="BA2" s="133"/>
    </row>
    <row r="3" spans="5:60" ht="12" customHeight="1">
      <c r="E3" s="132"/>
      <c r="F3" s="77" t="s">
        <v>261</v>
      </c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121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121"/>
      <c r="AZ3" s="121"/>
      <c r="BA3" s="133"/>
      <c r="BC3" s="185" t="s">
        <v>293</v>
      </c>
      <c r="BD3" s="179" t="s">
        <v>365</v>
      </c>
      <c r="BE3" s="182">
        <v>9</v>
      </c>
      <c r="BF3" s="182" t="s">
        <v>373</v>
      </c>
      <c r="BG3" s="182"/>
    </row>
    <row r="4" spans="5:60" ht="12" customHeight="1">
      <c r="E4" s="132"/>
      <c r="F4" s="77"/>
      <c r="G4" s="78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121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121"/>
      <c r="AZ4" s="121"/>
      <c r="BA4" s="133"/>
      <c r="BC4" s="186" t="s">
        <v>52</v>
      </c>
      <c r="BD4" s="180" t="s">
        <v>366</v>
      </c>
      <c r="BE4" s="183">
        <v>7</v>
      </c>
      <c r="BF4" s="183" t="s">
        <v>373</v>
      </c>
      <c r="BG4" s="183"/>
    </row>
    <row r="5" spans="5:60" ht="12" customHeight="1">
      <c r="E5" s="132"/>
      <c r="F5" s="79"/>
      <c r="G5" s="325"/>
      <c r="H5" s="743"/>
      <c r="I5" s="743"/>
      <c r="J5" s="743"/>
      <c r="K5" s="743"/>
      <c r="L5" s="743"/>
      <c r="M5" s="743"/>
      <c r="N5" s="326"/>
      <c r="O5" s="326"/>
      <c r="P5" s="326"/>
      <c r="Q5" s="326"/>
      <c r="R5" s="326"/>
      <c r="S5" s="326"/>
      <c r="T5" s="326"/>
      <c r="U5" s="326"/>
      <c r="V5" s="878">
        <v>850</v>
      </c>
      <c r="W5" s="878"/>
      <c r="X5" s="878"/>
      <c r="Y5" s="879" t="s">
        <v>1551</v>
      </c>
      <c r="Z5" s="879"/>
      <c r="AA5" s="879"/>
      <c r="AB5" s="878">
        <v>10</v>
      </c>
      <c r="AC5" s="878"/>
      <c r="AD5" s="878"/>
      <c r="AE5" s="745" t="s">
        <v>1552</v>
      </c>
      <c r="AF5" s="327"/>
      <c r="AG5" s="732"/>
      <c r="AH5" s="732" t="s">
        <v>622</v>
      </c>
      <c r="AI5" s="880">
        <f t="shared" ref="AI5:AI12" si="0">V5*AB5/10000</f>
        <v>0.85</v>
      </c>
      <c r="AJ5" s="880"/>
      <c r="AK5" s="880"/>
      <c r="AL5" s="880"/>
      <c r="AM5" s="880"/>
      <c r="AN5" s="742" t="s">
        <v>1514</v>
      </c>
      <c r="AO5" s="328"/>
      <c r="AP5" s="732" t="s">
        <v>622</v>
      </c>
      <c r="AQ5" s="881">
        <f t="shared" ref="AQ5:AQ6" si="1">AI5*100000</f>
        <v>85000</v>
      </c>
      <c r="AR5" s="881"/>
      <c r="AS5" s="881"/>
      <c r="AT5" s="881"/>
      <c r="AU5" s="881"/>
      <c r="AV5" s="735" t="s">
        <v>578</v>
      </c>
      <c r="AW5" s="328"/>
      <c r="AX5" s="3"/>
      <c r="AY5" s="121"/>
      <c r="AZ5" s="121"/>
      <c r="BA5" s="133"/>
      <c r="BC5" s="186" t="s">
        <v>60</v>
      </c>
      <c r="BD5" s="181" t="s">
        <v>367</v>
      </c>
      <c r="BE5" s="184">
        <v>15</v>
      </c>
      <c r="BF5" s="184" t="s">
        <v>370</v>
      </c>
      <c r="BG5" s="183"/>
    </row>
    <row r="6" spans="5:60" ht="12" customHeight="1">
      <c r="E6" s="132"/>
      <c r="F6" s="79"/>
      <c r="G6" s="325"/>
      <c r="H6" s="743"/>
      <c r="I6" s="743"/>
      <c r="J6" s="743"/>
      <c r="K6" s="743"/>
      <c r="L6" s="743"/>
      <c r="M6" s="743"/>
      <c r="N6" s="326"/>
      <c r="O6" s="326"/>
      <c r="P6" s="326"/>
      <c r="Q6" s="326"/>
      <c r="R6" s="326"/>
      <c r="S6" s="326"/>
      <c r="T6" s="326"/>
      <c r="U6" s="326"/>
      <c r="V6" s="878"/>
      <c r="W6" s="878"/>
      <c r="X6" s="878"/>
      <c r="Y6" s="879" t="s">
        <v>1551</v>
      </c>
      <c r="Z6" s="879"/>
      <c r="AA6" s="879"/>
      <c r="AB6" s="878"/>
      <c r="AC6" s="878"/>
      <c r="AD6" s="878"/>
      <c r="AE6" s="742" t="s">
        <v>1552</v>
      </c>
      <c r="AF6" s="327"/>
      <c r="AG6" s="732"/>
      <c r="AH6" s="732" t="s">
        <v>622</v>
      </c>
      <c r="AI6" s="880">
        <f t="shared" si="0"/>
        <v>0</v>
      </c>
      <c r="AJ6" s="880"/>
      <c r="AK6" s="880"/>
      <c r="AL6" s="880"/>
      <c r="AM6" s="880"/>
      <c r="AN6" s="742" t="s">
        <v>1514</v>
      </c>
      <c r="AO6" s="328"/>
      <c r="AP6" s="732" t="s">
        <v>622</v>
      </c>
      <c r="AQ6" s="881">
        <f t="shared" si="1"/>
        <v>0</v>
      </c>
      <c r="AR6" s="881"/>
      <c r="AS6" s="881"/>
      <c r="AT6" s="881"/>
      <c r="AU6" s="881"/>
      <c r="AV6" s="735" t="s">
        <v>578</v>
      </c>
      <c r="AW6" s="328"/>
      <c r="AX6" s="3"/>
      <c r="AY6" s="121"/>
      <c r="AZ6" s="121"/>
      <c r="BA6" s="133"/>
      <c r="BC6" s="186" t="s">
        <v>61</v>
      </c>
      <c r="BD6" s="181" t="s">
        <v>374</v>
      </c>
      <c r="BE6" s="184">
        <v>200</v>
      </c>
      <c r="BF6" s="184" t="s">
        <v>370</v>
      </c>
      <c r="BG6" s="183" t="s">
        <v>393</v>
      </c>
    </row>
    <row r="7" spans="5:60" ht="12" customHeight="1">
      <c r="E7" s="132"/>
      <c r="F7" s="79"/>
      <c r="G7" s="325"/>
      <c r="H7" s="743"/>
      <c r="I7" s="743"/>
      <c r="J7" s="743"/>
      <c r="K7" s="743"/>
      <c r="L7" s="743"/>
      <c r="M7" s="743"/>
      <c r="N7" s="326"/>
      <c r="O7" s="326"/>
      <c r="P7" s="326"/>
      <c r="Q7" s="326"/>
      <c r="R7" s="326"/>
      <c r="S7" s="326"/>
      <c r="T7" s="326"/>
      <c r="U7" s="326"/>
      <c r="V7" s="878"/>
      <c r="W7" s="878"/>
      <c r="X7" s="878"/>
      <c r="Y7" s="879" t="s">
        <v>1551</v>
      </c>
      <c r="Z7" s="879"/>
      <c r="AA7" s="879"/>
      <c r="AB7" s="878"/>
      <c r="AC7" s="878"/>
      <c r="AD7" s="878"/>
      <c r="AE7" s="742" t="s">
        <v>1552</v>
      </c>
      <c r="AF7" s="327"/>
      <c r="AG7" s="732"/>
      <c r="AH7" s="732" t="s">
        <v>1513</v>
      </c>
      <c r="AI7" s="880">
        <f t="shared" si="0"/>
        <v>0</v>
      </c>
      <c r="AJ7" s="880"/>
      <c r="AK7" s="880"/>
      <c r="AL7" s="880"/>
      <c r="AM7" s="880"/>
      <c r="AN7" s="742" t="s">
        <v>1514</v>
      </c>
      <c r="AO7" s="328"/>
      <c r="AP7" s="732" t="s">
        <v>1513</v>
      </c>
      <c r="AQ7" s="881">
        <f>AI7*100000</f>
        <v>0</v>
      </c>
      <c r="AR7" s="881"/>
      <c r="AS7" s="881"/>
      <c r="AT7" s="881"/>
      <c r="AU7" s="881"/>
      <c r="AV7" s="735" t="s">
        <v>578</v>
      </c>
      <c r="AW7" s="328"/>
      <c r="AX7" s="3"/>
      <c r="AY7" s="121"/>
      <c r="AZ7" s="121"/>
      <c r="BA7" s="133"/>
      <c r="BC7" s="186" t="s">
        <v>326</v>
      </c>
      <c r="BD7" s="181" t="s">
        <v>376</v>
      </c>
      <c r="BE7" s="184">
        <v>80</v>
      </c>
      <c r="BF7" s="184" t="s">
        <v>370</v>
      </c>
      <c r="BG7" s="183" t="s">
        <v>394</v>
      </c>
    </row>
    <row r="8" spans="5:60" ht="12" customHeight="1">
      <c r="E8" s="132"/>
      <c r="F8" s="79"/>
      <c r="G8" s="325"/>
      <c r="H8" s="736"/>
      <c r="I8" s="736"/>
      <c r="J8" s="736"/>
      <c r="K8" s="736"/>
      <c r="L8" s="736"/>
      <c r="M8" s="736"/>
      <c r="N8" s="326"/>
      <c r="O8" s="326"/>
      <c r="P8" s="326"/>
      <c r="Q8" s="326"/>
      <c r="R8" s="326"/>
      <c r="S8" s="326"/>
      <c r="T8" s="326"/>
      <c r="U8" s="326"/>
      <c r="V8" s="878"/>
      <c r="W8" s="878"/>
      <c r="X8" s="878"/>
      <c r="Y8" s="879" t="s">
        <v>1551</v>
      </c>
      <c r="Z8" s="879"/>
      <c r="AA8" s="879"/>
      <c r="AB8" s="878"/>
      <c r="AC8" s="878"/>
      <c r="AD8" s="878"/>
      <c r="AE8" s="737" t="s">
        <v>1553</v>
      </c>
      <c r="AF8" s="327"/>
      <c r="AG8" s="732"/>
      <c r="AH8" s="732" t="s">
        <v>622</v>
      </c>
      <c r="AI8" s="880">
        <f t="shared" si="0"/>
        <v>0</v>
      </c>
      <c r="AJ8" s="880"/>
      <c r="AK8" s="880"/>
      <c r="AL8" s="880"/>
      <c r="AM8" s="880"/>
      <c r="AN8" s="737" t="s">
        <v>1514</v>
      </c>
      <c r="AO8" s="328"/>
      <c r="AP8" s="732" t="s">
        <v>622</v>
      </c>
      <c r="AQ8" s="881">
        <f t="shared" ref="AQ8" si="2">AI8*100000</f>
        <v>0</v>
      </c>
      <c r="AR8" s="881"/>
      <c r="AS8" s="881"/>
      <c r="AT8" s="881"/>
      <c r="AU8" s="881"/>
      <c r="AV8" s="735" t="s">
        <v>578</v>
      </c>
      <c r="AW8" s="328"/>
      <c r="AX8" s="3"/>
      <c r="AY8" s="121"/>
      <c r="AZ8" s="121"/>
      <c r="BA8" s="133"/>
      <c r="BC8" s="186"/>
      <c r="BD8" s="181"/>
      <c r="BE8" s="184"/>
      <c r="BF8" s="184"/>
      <c r="BG8" s="183"/>
    </row>
    <row r="9" spans="5:60" ht="12" customHeight="1">
      <c r="E9" s="132"/>
      <c r="F9" s="79"/>
      <c r="G9" s="325"/>
      <c r="H9" s="736"/>
      <c r="I9" s="736"/>
      <c r="J9" s="736"/>
      <c r="K9" s="736"/>
      <c r="L9" s="736"/>
      <c r="M9" s="736"/>
      <c r="N9" s="326"/>
      <c r="O9" s="326"/>
      <c r="P9" s="326"/>
      <c r="Q9" s="326"/>
      <c r="R9" s="326"/>
      <c r="S9" s="326"/>
      <c r="T9" s="326"/>
      <c r="U9" s="326"/>
      <c r="V9" s="878"/>
      <c r="W9" s="878"/>
      <c r="X9" s="878"/>
      <c r="Y9" s="879" t="s">
        <v>1551</v>
      </c>
      <c r="Z9" s="879"/>
      <c r="AA9" s="879"/>
      <c r="AB9" s="878"/>
      <c r="AC9" s="878"/>
      <c r="AD9" s="878"/>
      <c r="AE9" s="750" t="s">
        <v>1553</v>
      </c>
      <c r="AF9" s="327"/>
      <c r="AG9" s="732"/>
      <c r="AH9" s="732" t="s">
        <v>622</v>
      </c>
      <c r="AI9" s="880">
        <f t="shared" si="0"/>
        <v>0</v>
      </c>
      <c r="AJ9" s="880"/>
      <c r="AK9" s="880"/>
      <c r="AL9" s="880"/>
      <c r="AM9" s="880"/>
      <c r="AN9" s="745" t="s">
        <v>1514</v>
      </c>
      <c r="AO9" s="328"/>
      <c r="AP9" s="732" t="s">
        <v>622</v>
      </c>
      <c r="AQ9" s="881">
        <f t="shared" ref="AQ9" si="3">AI9*100000</f>
        <v>0</v>
      </c>
      <c r="AR9" s="881"/>
      <c r="AS9" s="881"/>
      <c r="AT9" s="881"/>
      <c r="AU9" s="881"/>
      <c r="AV9" s="735" t="s">
        <v>578</v>
      </c>
      <c r="AW9" s="328"/>
      <c r="AX9" s="3"/>
      <c r="AY9" s="121"/>
      <c r="AZ9" s="121"/>
      <c r="BA9" s="133"/>
      <c r="BC9" s="186" t="s">
        <v>371</v>
      </c>
      <c r="BD9" s="181" t="s">
        <v>368</v>
      </c>
      <c r="BE9" s="184">
        <v>7</v>
      </c>
      <c r="BF9" s="183" t="s">
        <v>369</v>
      </c>
      <c r="BG9" s="183"/>
    </row>
    <row r="10" spans="5:60" ht="12" customHeight="1">
      <c r="E10" s="132"/>
      <c r="F10" s="79"/>
      <c r="G10" s="325"/>
      <c r="H10" s="743"/>
      <c r="I10" s="743"/>
      <c r="J10" s="743"/>
      <c r="K10" s="743"/>
      <c r="L10" s="743"/>
      <c r="M10" s="743"/>
      <c r="N10" s="326"/>
      <c r="O10" s="326"/>
      <c r="P10" s="326"/>
      <c r="Q10" s="326"/>
      <c r="R10" s="326"/>
      <c r="S10" s="326"/>
      <c r="T10" s="326"/>
      <c r="U10" s="326"/>
      <c r="V10" s="878"/>
      <c r="W10" s="878"/>
      <c r="X10" s="878"/>
      <c r="Y10" s="879" t="s">
        <v>1551</v>
      </c>
      <c r="Z10" s="879"/>
      <c r="AA10" s="879"/>
      <c r="AB10" s="878"/>
      <c r="AC10" s="878"/>
      <c r="AD10" s="878"/>
      <c r="AE10" s="744" t="s">
        <v>1552</v>
      </c>
      <c r="AF10" s="327"/>
      <c r="AG10" s="732"/>
      <c r="AH10" s="732" t="s">
        <v>1513</v>
      </c>
      <c r="AI10" s="880">
        <f t="shared" si="0"/>
        <v>0</v>
      </c>
      <c r="AJ10" s="880"/>
      <c r="AK10" s="880"/>
      <c r="AL10" s="880"/>
      <c r="AM10" s="880"/>
      <c r="AN10" s="742" t="s">
        <v>1514</v>
      </c>
      <c r="AO10" s="328"/>
      <c r="AP10" s="732" t="s">
        <v>1513</v>
      </c>
      <c r="AQ10" s="881">
        <f>AI10*100000</f>
        <v>0</v>
      </c>
      <c r="AR10" s="881"/>
      <c r="AS10" s="881"/>
      <c r="AT10" s="881"/>
      <c r="AU10" s="881"/>
      <c r="AV10" s="735" t="s">
        <v>578</v>
      </c>
      <c r="AW10" s="328"/>
      <c r="AX10" s="3"/>
      <c r="AY10" s="121"/>
      <c r="AZ10" s="121"/>
      <c r="BA10" s="133"/>
      <c r="BC10" s="186"/>
      <c r="BD10" s="181"/>
      <c r="BE10" s="184"/>
      <c r="BF10" s="183"/>
      <c r="BG10" s="183"/>
    </row>
    <row r="11" spans="5:60" ht="12" customHeight="1">
      <c r="E11" s="132"/>
      <c r="F11" s="79"/>
      <c r="G11" s="325"/>
      <c r="H11" s="743"/>
      <c r="I11" s="743"/>
      <c r="J11" s="743"/>
      <c r="K11" s="743"/>
      <c r="L11" s="743"/>
      <c r="M11" s="743"/>
      <c r="N11" s="326"/>
      <c r="O11" s="326"/>
      <c r="P11" s="326"/>
      <c r="Q11" s="326"/>
      <c r="R11" s="326"/>
      <c r="S11" s="326"/>
      <c r="T11" s="326"/>
      <c r="U11" s="326"/>
      <c r="V11" s="878"/>
      <c r="W11" s="878"/>
      <c r="X11" s="878"/>
      <c r="Y11" s="879" t="s">
        <v>1551</v>
      </c>
      <c r="Z11" s="879"/>
      <c r="AA11" s="879"/>
      <c r="AB11" s="878"/>
      <c r="AC11" s="878"/>
      <c r="AD11" s="878"/>
      <c r="AE11" s="742" t="s">
        <v>1552</v>
      </c>
      <c r="AF11" s="327"/>
      <c r="AG11" s="732"/>
      <c r="AH11" s="732" t="s">
        <v>1513</v>
      </c>
      <c r="AI11" s="880">
        <f t="shared" si="0"/>
        <v>0</v>
      </c>
      <c r="AJ11" s="880"/>
      <c r="AK11" s="880"/>
      <c r="AL11" s="880"/>
      <c r="AM11" s="880"/>
      <c r="AN11" s="742" t="s">
        <v>1514</v>
      </c>
      <c r="AO11" s="328"/>
      <c r="AP11" s="732" t="s">
        <v>1513</v>
      </c>
      <c r="AQ11" s="881">
        <f>AI11*100000</f>
        <v>0</v>
      </c>
      <c r="AR11" s="881"/>
      <c r="AS11" s="881"/>
      <c r="AT11" s="881"/>
      <c r="AU11" s="881"/>
      <c r="AV11" s="735" t="s">
        <v>578</v>
      </c>
      <c r="AW11" s="328"/>
      <c r="AX11" s="3"/>
      <c r="AY11" s="121"/>
      <c r="AZ11" s="121"/>
      <c r="BA11" s="133"/>
      <c r="BC11" s="738"/>
      <c r="BD11" s="739"/>
      <c r="BE11" s="740"/>
      <c r="BF11" s="741"/>
      <c r="BG11" s="741"/>
    </row>
    <row r="12" spans="5:60" ht="12" customHeight="1">
      <c r="E12" s="132"/>
      <c r="F12" s="77"/>
      <c r="G12" s="325"/>
      <c r="H12" s="743"/>
      <c r="I12" s="743"/>
      <c r="J12" s="743"/>
      <c r="K12" s="743"/>
      <c r="L12" s="743"/>
      <c r="M12" s="743"/>
      <c r="N12" s="326"/>
      <c r="O12" s="326"/>
      <c r="P12" s="326"/>
      <c r="Q12" s="326"/>
      <c r="R12" s="326"/>
      <c r="S12" s="326"/>
      <c r="T12" s="326"/>
      <c r="U12" s="326"/>
      <c r="V12" s="878"/>
      <c r="W12" s="878"/>
      <c r="X12" s="878"/>
      <c r="Y12" s="879" t="s">
        <v>1551</v>
      </c>
      <c r="Z12" s="879"/>
      <c r="AA12" s="879"/>
      <c r="AB12" s="878"/>
      <c r="AC12" s="878"/>
      <c r="AD12" s="878"/>
      <c r="AE12" s="742" t="s">
        <v>1552</v>
      </c>
      <c r="AF12" s="327"/>
      <c r="AG12" s="732"/>
      <c r="AH12" s="732" t="s">
        <v>622</v>
      </c>
      <c r="AI12" s="880">
        <f t="shared" si="0"/>
        <v>0</v>
      </c>
      <c r="AJ12" s="880"/>
      <c r="AK12" s="880"/>
      <c r="AL12" s="880"/>
      <c r="AM12" s="880"/>
      <c r="AN12" s="742" t="s">
        <v>1514</v>
      </c>
      <c r="AO12" s="328"/>
      <c r="AP12" s="732" t="s">
        <v>622</v>
      </c>
      <c r="AQ12" s="881">
        <f t="shared" ref="AQ12" si="4">AI12*100000</f>
        <v>0</v>
      </c>
      <c r="AR12" s="881"/>
      <c r="AS12" s="881"/>
      <c r="AT12" s="881"/>
      <c r="AU12" s="881"/>
      <c r="AV12" s="735" t="s">
        <v>578</v>
      </c>
      <c r="AW12" s="328"/>
      <c r="AX12" s="3"/>
      <c r="AY12" s="121"/>
      <c r="AZ12" s="121"/>
      <c r="BA12" s="133"/>
      <c r="BD12" s="304"/>
      <c r="BE12" s="304"/>
      <c r="BF12" s="304"/>
    </row>
    <row r="13" spans="5:60" ht="12" customHeight="1">
      <c r="E13" s="13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877" t="s">
        <v>579</v>
      </c>
      <c r="AJ13" s="877"/>
      <c r="AK13" s="877"/>
      <c r="AL13" s="877"/>
      <c r="AM13" s="732" t="s">
        <v>44</v>
      </c>
      <c r="AN13" s="881">
        <f>SUM(AQ5:AU12)</f>
        <v>85000</v>
      </c>
      <c r="AO13" s="881"/>
      <c r="AP13" s="881"/>
      <c r="AQ13" s="881"/>
      <c r="AR13" s="881"/>
      <c r="AS13" s="881"/>
      <c r="AT13" s="881"/>
      <c r="AU13" s="881"/>
      <c r="AV13" s="737" t="s">
        <v>578</v>
      </c>
      <c r="AW13" s="335"/>
      <c r="AX13" s="3"/>
      <c r="AY13" s="121"/>
      <c r="AZ13" s="121"/>
      <c r="BA13" s="133"/>
      <c r="BD13" s="81" t="s">
        <v>364</v>
      </c>
    </row>
    <row r="14" spans="5:60" ht="12" customHeight="1">
      <c r="E14" s="132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936"/>
      <c r="AJ14" s="936"/>
      <c r="AK14" s="936"/>
      <c r="AL14" s="936"/>
      <c r="AM14" s="936"/>
      <c r="AN14" s="936"/>
      <c r="AO14" s="936"/>
      <c r="AP14" s="936"/>
      <c r="AQ14" s="936"/>
      <c r="AR14" s="936"/>
      <c r="AS14" s="936"/>
      <c r="AT14" s="936"/>
      <c r="AU14" s="937"/>
      <c r="AV14" s="937"/>
      <c r="AW14" s="937"/>
      <c r="AX14" s="3"/>
      <c r="AY14" s="121"/>
      <c r="AZ14" s="121"/>
      <c r="BA14" s="133"/>
      <c r="BD14" s="81" t="s">
        <v>291</v>
      </c>
      <c r="BH14" s="110" t="s">
        <v>292</v>
      </c>
    </row>
    <row r="15" spans="5:60" ht="12" customHeight="1">
      <c r="E15" s="132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938"/>
      <c r="AJ15" s="938"/>
      <c r="AK15" s="938"/>
      <c r="AL15" s="938"/>
      <c r="AM15" s="938"/>
      <c r="AN15" s="938"/>
      <c r="AO15" s="938"/>
      <c r="AP15" s="938"/>
      <c r="AQ15" s="938"/>
      <c r="AR15" s="938"/>
      <c r="AS15" s="938"/>
      <c r="AT15" s="938"/>
      <c r="AU15" s="917"/>
      <c r="AV15" s="917"/>
      <c r="AW15" s="917"/>
      <c r="AX15" s="3"/>
      <c r="AY15" s="121"/>
      <c r="AZ15" s="121"/>
      <c r="BA15" s="133"/>
      <c r="BD15" s="301" t="s">
        <v>73</v>
      </c>
      <c r="BE15" s="302" t="s">
        <v>606</v>
      </c>
      <c r="BF15" s="302" t="s">
        <v>74</v>
      </c>
      <c r="BG15" s="302" t="s">
        <v>75</v>
      </c>
      <c r="BH15" s="303" t="s">
        <v>76</v>
      </c>
    </row>
    <row r="16" spans="5:60" ht="12" customHeight="1">
      <c r="E16" s="13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AI16" s="938"/>
      <c r="AJ16" s="938"/>
      <c r="AK16" s="938"/>
      <c r="AL16" s="938"/>
      <c r="AM16" s="938"/>
      <c r="AN16" s="938"/>
      <c r="AO16" s="938"/>
      <c r="AP16" s="938"/>
      <c r="AQ16" s="938"/>
      <c r="AR16" s="938"/>
      <c r="AS16" s="938"/>
      <c r="AT16" s="938"/>
      <c r="AU16" s="917"/>
      <c r="AV16" s="917"/>
      <c r="AW16" s="917"/>
      <c r="AX16" s="3"/>
      <c r="AY16" s="121"/>
      <c r="AZ16" s="121"/>
      <c r="BA16" s="133"/>
      <c r="BD16" s="299" t="s">
        <v>77</v>
      </c>
      <c r="BE16" s="300" t="s">
        <v>78</v>
      </c>
      <c r="BF16" s="104">
        <v>261</v>
      </c>
      <c r="BG16" s="104">
        <v>338</v>
      </c>
      <c r="BH16" s="105">
        <v>537</v>
      </c>
    </row>
    <row r="17" spans="1:60" ht="12" customHeight="1">
      <c r="E17" s="13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I17" s="701"/>
      <c r="AJ17" s="701"/>
      <c r="AK17" s="701"/>
      <c r="AL17" s="701"/>
      <c r="AM17" s="701"/>
      <c r="AN17" s="701"/>
      <c r="AO17" s="701"/>
      <c r="AP17" s="701"/>
      <c r="AQ17" s="701"/>
      <c r="AR17" s="701"/>
      <c r="AS17" s="701"/>
      <c r="AT17" s="701"/>
      <c r="AU17" s="917"/>
      <c r="AV17" s="917"/>
      <c r="AW17" s="917"/>
      <c r="AX17" s="3"/>
      <c r="AY17" s="121"/>
      <c r="AZ17" s="121"/>
      <c r="BA17" s="133"/>
      <c r="BD17" s="299" t="s">
        <v>79</v>
      </c>
      <c r="BE17" s="300" t="s">
        <v>80</v>
      </c>
      <c r="BF17" s="99">
        <v>9177</v>
      </c>
      <c r="BG17" s="99">
        <v>16926</v>
      </c>
      <c r="BH17" s="106">
        <v>28573</v>
      </c>
    </row>
    <row r="18" spans="1:60" ht="12" customHeight="1">
      <c r="E18" s="132"/>
      <c r="F18" s="901" t="s">
        <v>607</v>
      </c>
      <c r="G18" s="902"/>
      <c r="H18" s="902"/>
      <c r="I18" s="905" t="s">
        <v>608</v>
      </c>
      <c r="J18" s="905"/>
      <c r="K18" s="905"/>
      <c r="L18" s="905"/>
      <c r="M18" s="905"/>
      <c r="N18" s="905"/>
      <c r="O18" s="905"/>
      <c r="P18" s="905"/>
      <c r="Q18" s="905"/>
      <c r="R18" s="905"/>
      <c r="S18" s="905"/>
      <c r="T18" s="906"/>
      <c r="U18" s="82"/>
      <c r="V18" s="121" t="s">
        <v>609</v>
      </c>
      <c r="W18" s="121"/>
      <c r="X18" s="121"/>
      <c r="AW18" s="121"/>
      <c r="AX18" s="121"/>
      <c r="AY18" s="121"/>
      <c r="AZ18" s="121"/>
      <c r="BA18" s="133"/>
      <c r="BD18" s="299" t="s">
        <v>81</v>
      </c>
      <c r="BE18" s="300" t="s">
        <v>80</v>
      </c>
      <c r="BF18" s="99">
        <v>43470</v>
      </c>
      <c r="BG18" s="99">
        <v>67182</v>
      </c>
      <c r="BH18" s="106">
        <v>100168</v>
      </c>
    </row>
    <row r="19" spans="1:60" ht="12" customHeight="1">
      <c r="E19" s="132"/>
      <c r="F19" s="903"/>
      <c r="G19" s="904"/>
      <c r="H19" s="904"/>
      <c r="I19" s="907" t="s">
        <v>610</v>
      </c>
      <c r="J19" s="907"/>
      <c r="K19" s="907"/>
      <c r="L19" s="907" t="s">
        <v>611</v>
      </c>
      <c r="M19" s="907"/>
      <c r="N19" s="907"/>
      <c r="O19" s="907" t="s">
        <v>612</v>
      </c>
      <c r="P19" s="907"/>
      <c r="Q19" s="907"/>
      <c r="R19" s="907" t="s">
        <v>613</v>
      </c>
      <c r="S19" s="907"/>
      <c r="T19" s="908"/>
      <c r="U19" s="121"/>
      <c r="V19" s="121"/>
      <c r="Y19" s="296"/>
      <c r="Z19" s="296"/>
      <c r="AA19" s="296"/>
      <c r="AB19" s="296"/>
      <c r="AC19" s="296" t="s">
        <v>614</v>
      </c>
      <c r="AD19" s="296" t="s">
        <v>615</v>
      </c>
      <c r="AE19" s="296" t="s">
        <v>616</v>
      </c>
      <c r="AF19" s="296" t="s">
        <v>617</v>
      </c>
      <c r="AG19" s="296" t="s">
        <v>618</v>
      </c>
      <c r="AH19" s="296" t="s">
        <v>614</v>
      </c>
      <c r="AI19" s="296" t="s">
        <v>619</v>
      </c>
      <c r="AJ19" s="296" t="s">
        <v>616</v>
      </c>
      <c r="AK19" s="296" t="s">
        <v>620</v>
      </c>
      <c r="AL19" s="296" t="s">
        <v>618</v>
      </c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296"/>
      <c r="AZ19" s="296"/>
      <c r="BA19" s="134"/>
      <c r="BD19" s="299" t="s">
        <v>82</v>
      </c>
      <c r="BE19" s="300" t="s">
        <v>80</v>
      </c>
      <c r="BF19" s="99">
        <v>49859</v>
      </c>
      <c r="BG19" s="99">
        <v>76616</v>
      </c>
      <c r="BH19" s="106">
        <v>167269</v>
      </c>
    </row>
    <row r="20" spans="1:60" ht="12" customHeight="1">
      <c r="A20" s="1">
        <f>F20*100000</f>
        <v>50000</v>
      </c>
      <c r="B20" s="1">
        <f t="shared" ref="B20:B36" si="5">IF($AR$23&lt;A20,"",A20)</f>
        <v>50000</v>
      </c>
      <c r="C20" s="1">
        <f t="shared" ref="C20:C35" si="6">IF($AR$23&lt;A20,"",A21)</f>
        <v>100000</v>
      </c>
      <c r="E20" s="132"/>
      <c r="F20" s="899">
        <v>0.5</v>
      </c>
      <c r="G20" s="900"/>
      <c r="H20" s="900"/>
      <c r="I20" s="887">
        <v>3.78</v>
      </c>
      <c r="J20" s="887"/>
      <c r="K20" s="887"/>
      <c r="L20" s="887">
        <v>6.16</v>
      </c>
      <c r="M20" s="887"/>
      <c r="N20" s="887"/>
      <c r="O20" s="887">
        <v>3.02</v>
      </c>
      <c r="P20" s="887"/>
      <c r="Q20" s="887"/>
      <c r="R20" s="892">
        <f t="shared" ref="R20:R36" si="7">SUM(I20:O20)</f>
        <v>12.959999999999999</v>
      </c>
      <c r="S20" s="892"/>
      <c r="T20" s="893"/>
      <c r="U20" s="121"/>
      <c r="V20" s="121"/>
      <c r="W20" s="121"/>
      <c r="Y20" s="296" t="s">
        <v>621</v>
      </c>
      <c r="Z20" s="296" t="s">
        <v>622</v>
      </c>
      <c r="AA20" s="296" t="s">
        <v>619</v>
      </c>
      <c r="AB20" s="296" t="s">
        <v>616</v>
      </c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898"/>
      <c r="AO20" s="898"/>
      <c r="AP20" s="296"/>
      <c r="AQ20" s="898"/>
      <c r="AR20" s="898"/>
      <c r="AS20" s="898"/>
      <c r="AT20" s="898"/>
      <c r="AU20" s="296"/>
      <c r="AV20" s="296"/>
      <c r="AW20" s="296"/>
      <c r="AX20" s="296"/>
      <c r="AY20" s="296"/>
      <c r="AZ20" s="296"/>
      <c r="BA20" s="134"/>
      <c r="BD20" s="299" t="s">
        <v>83</v>
      </c>
      <c r="BE20" s="300" t="s">
        <v>80</v>
      </c>
      <c r="BF20" s="99">
        <v>11070</v>
      </c>
      <c r="BG20" s="99">
        <v>14274</v>
      </c>
      <c r="BH20" s="106">
        <v>18924</v>
      </c>
    </row>
    <row r="21" spans="1:60" ht="12" customHeight="1">
      <c r="A21" s="1">
        <f t="shared" ref="A21:A36" si="8">F21*100000</f>
        <v>100000</v>
      </c>
      <c r="B21" s="1" t="str">
        <f t="shared" si="5"/>
        <v/>
      </c>
      <c r="C21" s="1" t="str">
        <f t="shared" si="6"/>
        <v/>
      </c>
      <c r="E21" s="132"/>
      <c r="F21" s="885">
        <v>1</v>
      </c>
      <c r="G21" s="886"/>
      <c r="H21" s="886"/>
      <c r="I21" s="887">
        <v>3.78</v>
      </c>
      <c r="J21" s="887"/>
      <c r="K21" s="887"/>
      <c r="L21" s="887">
        <v>6.16</v>
      </c>
      <c r="M21" s="887"/>
      <c r="N21" s="887"/>
      <c r="O21" s="887">
        <v>2.85</v>
      </c>
      <c r="P21" s="887"/>
      <c r="Q21" s="887"/>
      <c r="R21" s="892">
        <f t="shared" si="7"/>
        <v>12.79</v>
      </c>
      <c r="S21" s="892"/>
      <c r="T21" s="893"/>
      <c r="U21" s="121"/>
      <c r="V21" s="121"/>
      <c r="W21" s="121"/>
      <c r="Y21" s="296"/>
      <c r="Z21" s="296"/>
      <c r="AA21" s="296"/>
      <c r="AB21" s="296"/>
      <c r="AC21" s="296"/>
      <c r="AD21" s="296"/>
      <c r="AE21" s="296"/>
      <c r="AF21" s="296" t="s">
        <v>623</v>
      </c>
      <c r="AG21" s="296" t="s">
        <v>616</v>
      </c>
      <c r="AH21" s="296" t="s">
        <v>617</v>
      </c>
      <c r="AI21" s="296"/>
      <c r="AJ21" s="296"/>
      <c r="AK21" s="296"/>
      <c r="AL21" s="296"/>
      <c r="AM21" s="296"/>
      <c r="AU21" s="121"/>
      <c r="AV21" s="121"/>
      <c r="AW21" s="121"/>
      <c r="AX21" s="121"/>
      <c r="AY21" s="121"/>
      <c r="AZ21" s="296"/>
      <c r="BA21" s="134"/>
      <c r="BD21" s="299" t="s">
        <v>84</v>
      </c>
      <c r="BE21" s="300" t="s">
        <v>80</v>
      </c>
      <c r="BF21" s="99">
        <v>12739</v>
      </c>
      <c r="BG21" s="99">
        <v>14691</v>
      </c>
      <c r="BH21" s="106">
        <v>18081</v>
      </c>
    </row>
    <row r="22" spans="1:60" ht="12" customHeight="1">
      <c r="A22" s="1">
        <f t="shared" si="8"/>
        <v>200000</v>
      </c>
      <c r="B22" s="1" t="str">
        <f t="shared" si="5"/>
        <v/>
      </c>
      <c r="C22" s="1" t="str">
        <f t="shared" si="6"/>
        <v/>
      </c>
      <c r="E22" s="132"/>
      <c r="F22" s="885">
        <v>2</v>
      </c>
      <c r="G22" s="886"/>
      <c r="H22" s="886"/>
      <c r="I22" s="887">
        <v>3.78</v>
      </c>
      <c r="J22" s="887"/>
      <c r="K22" s="887"/>
      <c r="L22" s="887">
        <v>6.16</v>
      </c>
      <c r="M22" s="887"/>
      <c r="N22" s="887"/>
      <c r="O22" s="887">
        <v>2.2599999999999998</v>
      </c>
      <c r="P22" s="887"/>
      <c r="Q22" s="887"/>
      <c r="R22" s="892">
        <f t="shared" si="7"/>
        <v>12.2</v>
      </c>
      <c r="S22" s="892"/>
      <c r="T22" s="893"/>
      <c r="U22" s="121"/>
      <c r="V22" s="121"/>
      <c r="W22" s="121"/>
      <c r="AI22" s="296" t="s">
        <v>621</v>
      </c>
      <c r="AJ22" s="296" t="s">
        <v>622</v>
      </c>
      <c r="AK22" s="924" t="s">
        <v>624</v>
      </c>
      <c r="AL22" s="924"/>
      <c r="AM22" s="924"/>
      <c r="AN22" s="924"/>
      <c r="AO22" s="924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296"/>
      <c r="BA22" s="134"/>
      <c r="BB22" s="2"/>
      <c r="BD22" s="299" t="s">
        <v>85</v>
      </c>
      <c r="BE22" s="300" t="s">
        <v>80</v>
      </c>
      <c r="BF22" s="99">
        <v>10320</v>
      </c>
      <c r="BG22" s="99">
        <v>10320</v>
      </c>
      <c r="BH22" s="106">
        <v>10320</v>
      </c>
    </row>
    <row r="23" spans="1:60" ht="12" customHeight="1">
      <c r="A23" s="1">
        <f t="shared" si="8"/>
        <v>300000</v>
      </c>
      <c r="B23" s="1" t="str">
        <f t="shared" si="5"/>
        <v/>
      </c>
      <c r="C23" s="1" t="str">
        <f t="shared" si="6"/>
        <v/>
      </c>
      <c r="E23" s="132"/>
      <c r="F23" s="885">
        <v>3</v>
      </c>
      <c r="G23" s="886"/>
      <c r="H23" s="886"/>
      <c r="I23" s="887">
        <v>3.78</v>
      </c>
      <c r="J23" s="887"/>
      <c r="K23" s="887"/>
      <c r="L23" s="887">
        <v>6.16</v>
      </c>
      <c r="M23" s="887"/>
      <c r="N23" s="887"/>
      <c r="O23" s="887">
        <v>2.06</v>
      </c>
      <c r="P23" s="887"/>
      <c r="Q23" s="887"/>
      <c r="R23" s="892">
        <f t="shared" si="7"/>
        <v>12</v>
      </c>
      <c r="S23" s="892"/>
      <c r="T23" s="893"/>
      <c r="U23" s="121"/>
      <c r="V23" s="121"/>
      <c r="W23" s="121"/>
      <c r="X23" s="296"/>
      <c r="Y23" s="296"/>
      <c r="Z23" s="296"/>
      <c r="AA23" s="296"/>
      <c r="AB23" s="296"/>
      <c r="AC23" s="296"/>
      <c r="AD23" s="296"/>
      <c r="AE23" s="296"/>
      <c r="AF23" s="296"/>
      <c r="AI23" s="296" t="s">
        <v>615</v>
      </c>
      <c r="AJ23" s="296" t="s">
        <v>622</v>
      </c>
      <c r="AK23" s="924" t="s">
        <v>625</v>
      </c>
      <c r="AL23" s="924"/>
      <c r="AM23" s="924"/>
      <c r="AN23" s="924"/>
      <c r="AO23" s="924"/>
      <c r="AP23" s="296" t="s">
        <v>615</v>
      </c>
      <c r="AQ23" s="296" t="s">
        <v>622</v>
      </c>
      <c r="AR23" s="925">
        <f>AN13</f>
        <v>85000</v>
      </c>
      <c r="AS23" s="925"/>
      <c r="AT23" s="925"/>
      <c r="AU23" s="925"/>
      <c r="AV23" s="925"/>
      <c r="AW23" s="925"/>
      <c r="AX23" s="925"/>
      <c r="AY23" s="925"/>
      <c r="AZ23" s="143" t="s">
        <v>626</v>
      </c>
      <c r="BA23" s="134"/>
      <c r="BB23" s="2"/>
      <c r="BD23" s="299" t="s">
        <v>86</v>
      </c>
      <c r="BE23" s="300" t="s">
        <v>80</v>
      </c>
      <c r="BF23" s="99">
        <v>57397</v>
      </c>
      <c r="BG23" s="99">
        <v>57397</v>
      </c>
      <c r="BH23" s="106">
        <v>57397</v>
      </c>
    </row>
    <row r="24" spans="1:60" ht="12" customHeight="1">
      <c r="A24" s="1">
        <f t="shared" si="8"/>
        <v>500000</v>
      </c>
      <c r="B24" s="1" t="str">
        <f t="shared" si="5"/>
        <v/>
      </c>
      <c r="C24" s="1" t="str">
        <f t="shared" si="6"/>
        <v/>
      </c>
      <c r="E24" s="132"/>
      <c r="F24" s="885">
        <v>5</v>
      </c>
      <c r="G24" s="886"/>
      <c r="H24" s="886"/>
      <c r="I24" s="887">
        <v>3.78</v>
      </c>
      <c r="J24" s="887"/>
      <c r="K24" s="887"/>
      <c r="L24" s="887">
        <v>6.16</v>
      </c>
      <c r="M24" s="887"/>
      <c r="N24" s="887"/>
      <c r="O24" s="887">
        <v>1.89</v>
      </c>
      <c r="P24" s="887"/>
      <c r="Q24" s="887"/>
      <c r="R24" s="892">
        <f t="shared" si="7"/>
        <v>11.83</v>
      </c>
      <c r="S24" s="892"/>
      <c r="T24" s="893"/>
      <c r="U24" s="121"/>
      <c r="V24" s="121"/>
      <c r="W24" s="121"/>
      <c r="X24" s="296"/>
      <c r="Y24" s="296"/>
      <c r="AF24" s="296"/>
      <c r="AI24" s="296" t="s">
        <v>623</v>
      </c>
      <c r="AJ24" s="296" t="s">
        <v>622</v>
      </c>
      <c r="AK24" s="924" t="s">
        <v>627</v>
      </c>
      <c r="AL24" s="924"/>
      <c r="AM24" s="924"/>
      <c r="AN24" s="924"/>
      <c r="AO24" s="924"/>
      <c r="AP24" s="296" t="s">
        <v>623</v>
      </c>
      <c r="AQ24" s="296" t="s">
        <v>622</v>
      </c>
      <c r="AR24" s="925">
        <f>C37</f>
        <v>100000</v>
      </c>
      <c r="AS24" s="925"/>
      <c r="AT24" s="925"/>
      <c r="AU24" s="925"/>
      <c r="AV24" s="925"/>
      <c r="AW24" s="925"/>
      <c r="AX24" s="925"/>
      <c r="AY24" s="925"/>
      <c r="AZ24" s="143" t="s">
        <v>626</v>
      </c>
      <c r="BA24" s="134"/>
      <c r="BB24" s="2"/>
      <c r="BD24" s="299" t="s">
        <v>87</v>
      </c>
      <c r="BE24" s="300" t="s">
        <v>80</v>
      </c>
      <c r="BF24" s="99">
        <v>38400</v>
      </c>
      <c r="BG24" s="99">
        <v>60596</v>
      </c>
      <c r="BH24" s="106">
        <v>97696</v>
      </c>
    </row>
    <row r="25" spans="1:60" ht="12" customHeight="1">
      <c r="A25" s="1">
        <f t="shared" si="8"/>
        <v>1000000</v>
      </c>
      <c r="B25" s="1" t="str">
        <f t="shared" si="5"/>
        <v/>
      </c>
      <c r="C25" s="1" t="str">
        <f t="shared" si="6"/>
        <v/>
      </c>
      <c r="E25" s="132"/>
      <c r="F25" s="885">
        <v>10</v>
      </c>
      <c r="G25" s="886"/>
      <c r="H25" s="886"/>
      <c r="I25" s="887">
        <v>3.78</v>
      </c>
      <c r="J25" s="887"/>
      <c r="K25" s="887"/>
      <c r="L25" s="887">
        <v>6.16</v>
      </c>
      <c r="M25" s="887"/>
      <c r="N25" s="887"/>
      <c r="O25" s="887">
        <v>1.66</v>
      </c>
      <c r="P25" s="887"/>
      <c r="Q25" s="887"/>
      <c r="R25" s="892">
        <f t="shared" si="7"/>
        <v>11.6</v>
      </c>
      <c r="S25" s="892"/>
      <c r="T25" s="893"/>
      <c r="U25" s="121"/>
      <c r="V25" s="121"/>
      <c r="W25" s="121"/>
      <c r="X25" s="296"/>
      <c r="Y25" s="296"/>
      <c r="AF25" s="296"/>
      <c r="AI25" s="296" t="s">
        <v>617</v>
      </c>
      <c r="AJ25" s="296" t="s">
        <v>622</v>
      </c>
      <c r="AK25" s="924" t="s">
        <v>628</v>
      </c>
      <c r="AL25" s="924"/>
      <c r="AM25" s="924"/>
      <c r="AN25" s="924"/>
      <c r="AO25" s="924"/>
      <c r="AP25" s="296" t="s">
        <v>617</v>
      </c>
      <c r="AQ25" s="296" t="s">
        <v>622</v>
      </c>
      <c r="AR25" s="925">
        <f>B37</f>
        <v>50000</v>
      </c>
      <c r="AS25" s="925"/>
      <c r="AT25" s="925"/>
      <c r="AU25" s="925"/>
      <c r="AV25" s="925"/>
      <c r="AW25" s="925"/>
      <c r="AX25" s="925"/>
      <c r="AY25" s="925"/>
      <c r="AZ25" s="143" t="s">
        <v>626</v>
      </c>
      <c r="BA25" s="134"/>
      <c r="BB25" s="2"/>
      <c r="BD25" s="297" t="s">
        <v>88</v>
      </c>
      <c r="BE25" s="298" t="s">
        <v>80</v>
      </c>
      <c r="BF25" s="100">
        <v>12120</v>
      </c>
      <c r="BG25" s="100">
        <v>17397</v>
      </c>
      <c r="BH25" s="107">
        <v>30402</v>
      </c>
    </row>
    <row r="26" spans="1:60" ht="12" customHeight="1">
      <c r="A26" s="1">
        <f t="shared" si="8"/>
        <v>2000000</v>
      </c>
      <c r="B26" s="1" t="str">
        <f t="shared" si="5"/>
        <v/>
      </c>
      <c r="C26" s="1" t="str">
        <f t="shared" si="6"/>
        <v/>
      </c>
      <c r="E26" s="132"/>
      <c r="F26" s="885">
        <v>20</v>
      </c>
      <c r="G26" s="886"/>
      <c r="H26" s="886"/>
      <c r="I26" s="887">
        <v>3.33</v>
      </c>
      <c r="J26" s="887"/>
      <c r="K26" s="887"/>
      <c r="L26" s="887">
        <v>5.47</v>
      </c>
      <c r="M26" s="887"/>
      <c r="N26" s="887"/>
      <c r="O26" s="887">
        <v>1.53</v>
      </c>
      <c r="P26" s="887"/>
      <c r="Q26" s="887"/>
      <c r="R26" s="892">
        <f t="shared" si="7"/>
        <v>10.33</v>
      </c>
      <c r="S26" s="892"/>
      <c r="T26" s="893"/>
      <c r="U26" s="121"/>
      <c r="V26" s="121"/>
      <c r="W26" s="121"/>
      <c r="X26" s="296"/>
      <c r="Y26" s="296"/>
      <c r="AF26" s="296"/>
      <c r="AI26" s="296" t="s">
        <v>629</v>
      </c>
      <c r="AJ26" s="296" t="s">
        <v>630</v>
      </c>
      <c r="AK26" s="924" t="s">
        <v>631</v>
      </c>
      <c r="AL26" s="924"/>
      <c r="AM26" s="924"/>
      <c r="AN26" s="924"/>
      <c r="AO26" s="924"/>
      <c r="AP26" s="296" t="s">
        <v>629</v>
      </c>
      <c r="AQ26" s="296" t="s">
        <v>630</v>
      </c>
      <c r="AR26" s="926">
        <f>VLOOKUP(AR25/100000,엔지니어링요율,요율구분계수,0)</f>
        <v>3.78</v>
      </c>
      <c r="AS26" s="926"/>
      <c r="AT26" s="926"/>
      <c r="AU26" s="926"/>
      <c r="AV26" s="926"/>
      <c r="AW26" s="926"/>
      <c r="AX26" s="926"/>
      <c r="AY26" s="926"/>
      <c r="AZ26" s="296"/>
      <c r="BA26" s="134"/>
      <c r="BB26" s="2"/>
      <c r="BD26" s="76" t="s">
        <v>632</v>
      </c>
      <c r="BE26" s="76"/>
      <c r="BF26" s="76"/>
      <c r="BG26" s="76"/>
      <c r="BH26" s="76"/>
    </row>
    <row r="27" spans="1:60" ht="12" customHeight="1">
      <c r="A27" s="1">
        <f t="shared" si="8"/>
        <v>3000000</v>
      </c>
      <c r="B27" s="1" t="str">
        <f t="shared" si="5"/>
        <v/>
      </c>
      <c r="C27" s="1" t="str">
        <f t="shared" si="6"/>
        <v/>
      </c>
      <c r="E27" s="132"/>
      <c r="F27" s="885">
        <v>30</v>
      </c>
      <c r="G27" s="886"/>
      <c r="H27" s="886"/>
      <c r="I27" s="887">
        <v>3.1</v>
      </c>
      <c r="J27" s="887"/>
      <c r="K27" s="887"/>
      <c r="L27" s="887">
        <v>5.0999999999999996</v>
      </c>
      <c r="M27" s="887"/>
      <c r="N27" s="887"/>
      <c r="O27" s="887">
        <v>1.48</v>
      </c>
      <c r="P27" s="887"/>
      <c r="Q27" s="887"/>
      <c r="R27" s="892">
        <f t="shared" si="7"/>
        <v>9.68</v>
      </c>
      <c r="S27" s="892"/>
      <c r="T27" s="893"/>
      <c r="U27" s="121"/>
      <c r="V27" s="121"/>
      <c r="W27" s="121"/>
      <c r="X27" s="296"/>
      <c r="Y27" s="296"/>
      <c r="Z27" s="296"/>
      <c r="AA27" s="296"/>
      <c r="AB27" s="296"/>
      <c r="AC27" s="296"/>
      <c r="AD27" s="296"/>
      <c r="AE27" s="296"/>
      <c r="AF27" s="296"/>
      <c r="AI27" s="296" t="s">
        <v>633</v>
      </c>
      <c r="AJ27" s="296" t="s">
        <v>630</v>
      </c>
      <c r="AK27" s="924" t="s">
        <v>634</v>
      </c>
      <c r="AL27" s="924"/>
      <c r="AM27" s="924"/>
      <c r="AN27" s="924"/>
      <c r="AO27" s="924"/>
      <c r="AP27" s="296" t="s">
        <v>633</v>
      </c>
      <c r="AQ27" s="296" t="s">
        <v>630</v>
      </c>
      <c r="AR27" s="926">
        <f>VLOOKUP(AR24/100000,엔지니어링요율,요율구분계수,0)</f>
        <v>3.78</v>
      </c>
      <c r="AS27" s="926"/>
      <c r="AT27" s="926"/>
      <c r="AU27" s="926"/>
      <c r="AV27" s="926"/>
      <c r="AW27" s="926"/>
      <c r="AX27" s="926"/>
      <c r="AY27" s="926"/>
      <c r="AZ27" s="296"/>
      <c r="BA27" s="134"/>
      <c r="BB27" s="2"/>
    </row>
    <row r="28" spans="1:60" ht="12" customHeight="1">
      <c r="A28" s="1">
        <f t="shared" si="8"/>
        <v>5000000</v>
      </c>
      <c r="B28" s="1" t="str">
        <f t="shared" si="5"/>
        <v/>
      </c>
      <c r="C28" s="1" t="str">
        <f t="shared" si="6"/>
        <v/>
      </c>
      <c r="E28" s="132"/>
      <c r="F28" s="885">
        <v>50</v>
      </c>
      <c r="G28" s="886"/>
      <c r="H28" s="886"/>
      <c r="I28" s="887">
        <v>2.82</v>
      </c>
      <c r="J28" s="887"/>
      <c r="K28" s="887"/>
      <c r="L28" s="887">
        <v>4.67</v>
      </c>
      <c r="M28" s="887"/>
      <c r="N28" s="887"/>
      <c r="O28" s="887">
        <v>1.45</v>
      </c>
      <c r="P28" s="887"/>
      <c r="Q28" s="887"/>
      <c r="R28" s="892">
        <f t="shared" si="7"/>
        <v>8.94</v>
      </c>
      <c r="S28" s="892"/>
      <c r="T28" s="893"/>
      <c r="U28" s="121"/>
      <c r="V28" s="121"/>
      <c r="W28" s="121"/>
      <c r="X28" s="121"/>
      <c r="Y28" s="121"/>
      <c r="Z28" s="121"/>
      <c r="AA28" s="296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296"/>
      <c r="BA28" s="134"/>
      <c r="BB28" s="2"/>
      <c r="BD28" s="76" t="s">
        <v>635</v>
      </c>
      <c r="BE28" s="76"/>
      <c r="BF28" s="76"/>
      <c r="BG28" s="112" t="s">
        <v>636</v>
      </c>
    </row>
    <row r="29" spans="1:60" ht="12" customHeight="1">
      <c r="A29" s="1">
        <f t="shared" si="8"/>
        <v>10000000</v>
      </c>
      <c r="B29" s="1" t="str">
        <f t="shared" si="5"/>
        <v/>
      </c>
      <c r="C29" s="1" t="str">
        <f t="shared" si="6"/>
        <v/>
      </c>
      <c r="E29" s="132"/>
      <c r="F29" s="885">
        <v>100</v>
      </c>
      <c r="G29" s="886"/>
      <c r="H29" s="886"/>
      <c r="I29" s="887">
        <v>2.4900000000000002</v>
      </c>
      <c r="J29" s="887"/>
      <c r="K29" s="887"/>
      <c r="L29" s="887">
        <v>4.1500000000000004</v>
      </c>
      <c r="M29" s="887"/>
      <c r="N29" s="887"/>
      <c r="O29" s="887">
        <v>1.41</v>
      </c>
      <c r="P29" s="887"/>
      <c r="Q29" s="887"/>
      <c r="R29" s="892">
        <f t="shared" si="7"/>
        <v>8.0500000000000007</v>
      </c>
      <c r="S29" s="892"/>
      <c r="T29" s="893"/>
      <c r="U29" s="121"/>
      <c r="V29" s="121"/>
      <c r="W29" s="121"/>
      <c r="X29" s="296"/>
      <c r="AD29" s="296"/>
      <c r="AE29" s="296" t="s">
        <v>637</v>
      </c>
      <c r="AF29" s="894">
        <f>AR23</f>
        <v>85000</v>
      </c>
      <c r="AG29" s="894"/>
      <c r="AH29" s="894"/>
      <c r="AI29" s="894"/>
      <c r="AJ29" s="894"/>
      <c r="AK29" s="296" t="s">
        <v>638</v>
      </c>
      <c r="AL29" s="894">
        <f>AR25</f>
        <v>50000</v>
      </c>
      <c r="AM29" s="894"/>
      <c r="AN29" s="894"/>
      <c r="AO29" s="894"/>
      <c r="AP29" s="894"/>
      <c r="AQ29" s="296" t="s">
        <v>639</v>
      </c>
      <c r="AR29" s="296" t="s">
        <v>637</v>
      </c>
      <c r="AS29" s="923">
        <f>AR26</f>
        <v>3.78</v>
      </c>
      <c r="AT29" s="923"/>
      <c r="AU29" s="923"/>
      <c r="AV29" s="296" t="s">
        <v>638</v>
      </c>
      <c r="AW29" s="923">
        <f>AR27</f>
        <v>3.78</v>
      </c>
      <c r="AX29" s="923"/>
      <c r="AY29" s="923"/>
      <c r="AZ29" s="296" t="s">
        <v>639</v>
      </c>
      <c r="BA29" s="133"/>
      <c r="BB29" s="2"/>
      <c r="BD29" s="920" t="s">
        <v>640</v>
      </c>
      <c r="BE29" s="931" t="s">
        <v>89</v>
      </c>
      <c r="BF29" s="932"/>
      <c r="BG29" s="933"/>
    </row>
    <row r="30" spans="1:60" ht="12" customHeight="1">
      <c r="A30" s="1">
        <f t="shared" si="8"/>
        <v>20000000</v>
      </c>
      <c r="B30" s="1" t="str">
        <f t="shared" si="5"/>
        <v/>
      </c>
      <c r="C30" s="1" t="str">
        <f t="shared" si="6"/>
        <v/>
      </c>
      <c r="E30" s="132"/>
      <c r="F30" s="885">
        <v>200</v>
      </c>
      <c r="G30" s="886"/>
      <c r="H30" s="886"/>
      <c r="I30" s="887">
        <v>2.2000000000000002</v>
      </c>
      <c r="J30" s="887"/>
      <c r="K30" s="887"/>
      <c r="L30" s="887">
        <v>3.68</v>
      </c>
      <c r="M30" s="887"/>
      <c r="N30" s="887"/>
      <c r="O30" s="887">
        <v>1.37</v>
      </c>
      <c r="P30" s="887"/>
      <c r="Q30" s="887"/>
      <c r="R30" s="892">
        <f t="shared" si="7"/>
        <v>7.2500000000000009</v>
      </c>
      <c r="S30" s="892"/>
      <c r="T30" s="893"/>
      <c r="U30" s="121"/>
      <c r="V30" s="121"/>
      <c r="W30" s="121"/>
      <c r="X30" s="304"/>
      <c r="Y30" s="295" t="s">
        <v>641</v>
      </c>
      <c r="Z30" s="295" t="s">
        <v>630</v>
      </c>
      <c r="AA30" s="888">
        <f>AR26</f>
        <v>3.78</v>
      </c>
      <c r="AB30" s="888"/>
      <c r="AC30" s="888"/>
      <c r="AD30" s="296" t="s">
        <v>638</v>
      </c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133"/>
      <c r="BB30" s="2"/>
      <c r="BD30" s="930"/>
      <c r="BE30" s="108" t="s">
        <v>90</v>
      </c>
      <c r="BF30" s="108" t="s">
        <v>91</v>
      </c>
      <c r="BG30" s="109" t="s">
        <v>92</v>
      </c>
    </row>
    <row r="31" spans="1:60" ht="12" customHeight="1">
      <c r="A31" s="1">
        <f t="shared" si="8"/>
        <v>30000000</v>
      </c>
      <c r="B31" s="1" t="str">
        <f t="shared" si="5"/>
        <v/>
      </c>
      <c r="C31" s="1" t="str">
        <f t="shared" si="6"/>
        <v/>
      </c>
      <c r="E31" s="132"/>
      <c r="F31" s="885">
        <v>300</v>
      </c>
      <c r="G31" s="886"/>
      <c r="H31" s="886"/>
      <c r="I31" s="887">
        <v>2.04</v>
      </c>
      <c r="J31" s="887"/>
      <c r="K31" s="887"/>
      <c r="L31" s="887">
        <v>3.43</v>
      </c>
      <c r="M31" s="887"/>
      <c r="N31" s="887"/>
      <c r="O31" s="887">
        <v>1.35</v>
      </c>
      <c r="P31" s="887"/>
      <c r="Q31" s="887"/>
      <c r="R31" s="892">
        <f t="shared" si="7"/>
        <v>6.82</v>
      </c>
      <c r="S31" s="892"/>
      <c r="T31" s="893"/>
      <c r="U31" s="121"/>
      <c r="V31" s="121"/>
      <c r="W31" s="121"/>
      <c r="X31" s="296"/>
      <c r="Y31" s="295"/>
      <c r="Z31" s="295"/>
      <c r="AA31" s="295"/>
      <c r="AB31" s="295"/>
      <c r="AC31" s="295"/>
      <c r="AD31" s="296"/>
      <c r="AE31" s="296"/>
      <c r="AF31" s="296"/>
      <c r="AG31" s="296"/>
      <c r="AH31" s="296"/>
      <c r="AI31" s="296"/>
      <c r="AJ31" s="296"/>
      <c r="AK31" s="296"/>
      <c r="AL31" s="894">
        <f>AR24</f>
        <v>100000</v>
      </c>
      <c r="AM31" s="894"/>
      <c r="AN31" s="894"/>
      <c r="AO31" s="894"/>
      <c r="AP31" s="894"/>
      <c r="AQ31" s="296" t="s">
        <v>638</v>
      </c>
      <c r="AR31" s="894">
        <f>AR25</f>
        <v>50000</v>
      </c>
      <c r="AS31" s="894"/>
      <c r="AT31" s="894"/>
      <c r="AU31" s="894"/>
      <c r="AV31" s="894"/>
      <c r="AW31" s="296"/>
      <c r="AX31" s="296"/>
      <c r="AY31" s="296"/>
      <c r="AZ31" s="296"/>
      <c r="BA31" s="133"/>
      <c r="BB31" s="2"/>
      <c r="BD31" s="299" t="s">
        <v>93</v>
      </c>
      <c r="BE31" s="99">
        <v>201604</v>
      </c>
      <c r="BF31" s="99">
        <v>159626</v>
      </c>
      <c r="BG31" s="106">
        <v>138037</v>
      </c>
    </row>
    <row r="32" spans="1:60" ht="12" customHeight="1">
      <c r="A32" s="1">
        <f t="shared" si="8"/>
        <v>50000000</v>
      </c>
      <c r="B32" s="1" t="str">
        <f t="shared" si="5"/>
        <v/>
      </c>
      <c r="C32" s="1" t="str">
        <f t="shared" si="6"/>
        <v/>
      </c>
      <c r="E32" s="132"/>
      <c r="F32" s="885">
        <v>500</v>
      </c>
      <c r="G32" s="886"/>
      <c r="H32" s="886"/>
      <c r="I32" s="887">
        <v>1.86</v>
      </c>
      <c r="J32" s="887"/>
      <c r="K32" s="887"/>
      <c r="L32" s="887">
        <v>3.15</v>
      </c>
      <c r="M32" s="887"/>
      <c r="N32" s="887"/>
      <c r="O32" s="887">
        <v>1.33</v>
      </c>
      <c r="P32" s="887"/>
      <c r="Q32" s="887"/>
      <c r="R32" s="892">
        <f t="shared" si="7"/>
        <v>6.34</v>
      </c>
      <c r="S32" s="892"/>
      <c r="T32" s="893"/>
      <c r="U32" s="121"/>
      <c r="W32" s="296"/>
      <c r="X32" s="296"/>
      <c r="Y32" s="295" t="s">
        <v>642</v>
      </c>
      <c r="Z32" s="295" t="s">
        <v>643</v>
      </c>
      <c r="AA32" s="884">
        <f>IF(AR24=50000,AA30,IF(AR25=500000000,AA30,TRUNC(AA30-((AF29-AL29)*(AS29-AW29)/(AL31-AR31)),3)))</f>
        <v>3.78</v>
      </c>
      <c r="AB32" s="884"/>
      <c r="AC32" s="884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T32" s="296"/>
      <c r="AU32" s="296"/>
      <c r="AV32" s="296"/>
      <c r="AW32" s="296"/>
      <c r="AX32" s="296"/>
      <c r="AY32" s="296"/>
      <c r="AZ32" s="296"/>
      <c r="BA32" s="133"/>
      <c r="BD32" s="299" t="s">
        <v>94</v>
      </c>
      <c r="BE32" s="99">
        <v>177986</v>
      </c>
      <c r="BF32" s="99">
        <v>135281</v>
      </c>
      <c r="BG32" s="106">
        <v>113144</v>
      </c>
    </row>
    <row r="33" spans="1:59" ht="12" customHeight="1">
      <c r="A33" s="1">
        <f t="shared" si="8"/>
        <v>100000000</v>
      </c>
      <c r="B33" s="1" t="str">
        <f t="shared" si="5"/>
        <v/>
      </c>
      <c r="C33" s="1" t="str">
        <f t="shared" si="6"/>
        <v/>
      </c>
      <c r="E33" s="132"/>
      <c r="F33" s="885">
        <v>1000</v>
      </c>
      <c r="G33" s="886"/>
      <c r="H33" s="886"/>
      <c r="I33" s="887">
        <v>1.64</v>
      </c>
      <c r="J33" s="887"/>
      <c r="K33" s="887"/>
      <c r="L33" s="887">
        <v>2.79</v>
      </c>
      <c r="M33" s="887"/>
      <c r="N33" s="887"/>
      <c r="O33" s="887">
        <v>1.3</v>
      </c>
      <c r="P33" s="887"/>
      <c r="Q33" s="887"/>
      <c r="R33" s="892">
        <f t="shared" si="7"/>
        <v>5.7299999999999995</v>
      </c>
      <c r="S33" s="892"/>
      <c r="T33" s="893"/>
      <c r="U33" s="121"/>
      <c r="V33" s="896" t="s">
        <v>644</v>
      </c>
      <c r="W33" s="896"/>
      <c r="X33" s="896"/>
      <c r="Y33" s="896"/>
      <c r="Z33" s="296" t="s">
        <v>643</v>
      </c>
      <c r="AA33" s="897">
        <f>AN13</f>
        <v>85000</v>
      </c>
      <c r="AB33" s="898"/>
      <c r="AC33" s="898"/>
      <c r="AD33" s="898"/>
      <c r="AE33" s="898"/>
      <c r="AF33" s="898"/>
      <c r="AG33" s="121" t="s">
        <v>645</v>
      </c>
      <c r="AI33" s="296" t="s">
        <v>646</v>
      </c>
      <c r="AJ33" s="922">
        <f>AA32</f>
        <v>3.78</v>
      </c>
      <c r="AK33" s="898"/>
      <c r="AL33" s="898"/>
      <c r="AM33" s="296" t="s">
        <v>647</v>
      </c>
      <c r="AN33" s="898">
        <v>100</v>
      </c>
      <c r="AO33" s="898"/>
      <c r="AP33" s="121" t="s">
        <v>646</v>
      </c>
      <c r="AQ33" s="898">
        <v>1</v>
      </c>
      <c r="AR33" s="898"/>
      <c r="AS33" s="121" t="s">
        <v>646</v>
      </c>
      <c r="AT33" s="921">
        <v>1000</v>
      </c>
      <c r="AU33" s="921"/>
      <c r="AV33" s="921"/>
      <c r="AW33" s="121" t="s">
        <v>648</v>
      </c>
      <c r="AX33" s="121"/>
      <c r="AY33" s="121"/>
      <c r="AZ33" s="121"/>
      <c r="BA33" s="133"/>
      <c r="BD33" s="299" t="s">
        <v>95</v>
      </c>
      <c r="BE33" s="99">
        <v>192900</v>
      </c>
      <c r="BF33" s="99">
        <v>149677</v>
      </c>
      <c r="BG33" s="106">
        <v>127153</v>
      </c>
    </row>
    <row r="34" spans="1:59" ht="12" customHeight="1">
      <c r="A34" s="1">
        <f t="shared" si="8"/>
        <v>200000000</v>
      </c>
      <c r="B34" s="1" t="str">
        <f t="shared" si="5"/>
        <v/>
      </c>
      <c r="C34" s="1" t="str">
        <f t="shared" si="6"/>
        <v/>
      </c>
      <c r="E34" s="132"/>
      <c r="F34" s="885">
        <v>2000</v>
      </c>
      <c r="G34" s="886"/>
      <c r="H34" s="886"/>
      <c r="I34" s="887">
        <v>1.45</v>
      </c>
      <c r="J34" s="887"/>
      <c r="K34" s="887"/>
      <c r="L34" s="887">
        <v>2.48</v>
      </c>
      <c r="M34" s="887"/>
      <c r="N34" s="887"/>
      <c r="O34" s="887">
        <v>1.28</v>
      </c>
      <c r="P34" s="887"/>
      <c r="Q34" s="887"/>
      <c r="R34" s="892">
        <f t="shared" si="7"/>
        <v>5.21</v>
      </c>
      <c r="S34" s="892"/>
      <c r="T34" s="893"/>
      <c r="U34" s="121"/>
      <c r="W34" s="121"/>
      <c r="X34" s="121"/>
      <c r="Y34" s="121"/>
      <c r="Z34" s="296" t="s">
        <v>643</v>
      </c>
      <c r="AA34" s="895">
        <f>(AA33*AJ33)/AN33*AQ33*AT33</f>
        <v>3213000</v>
      </c>
      <c r="AB34" s="895"/>
      <c r="AC34" s="895"/>
      <c r="AD34" s="895"/>
      <c r="AE34" s="895"/>
      <c r="AF34" s="895"/>
      <c r="AG34" s="121" t="s">
        <v>649</v>
      </c>
      <c r="AI34" s="296" t="s">
        <v>646</v>
      </c>
      <c r="AJ34" s="934">
        <f>기초자료입력!B10</f>
        <v>1</v>
      </c>
      <c r="AK34" s="934"/>
      <c r="AL34" s="934"/>
      <c r="AM34" s="296"/>
      <c r="AN34" s="121"/>
      <c r="AO34" s="121"/>
      <c r="AP34" s="121"/>
      <c r="AQ34" s="121"/>
      <c r="AR34" s="121"/>
      <c r="AU34" s="121"/>
      <c r="AV34" s="121"/>
      <c r="AW34" s="121"/>
      <c r="AX34" s="121"/>
      <c r="AY34" s="121"/>
      <c r="AZ34" s="121"/>
      <c r="BA34" s="133"/>
      <c r="BD34" s="299" t="s">
        <v>96</v>
      </c>
      <c r="BE34" s="99">
        <v>242509</v>
      </c>
      <c r="BF34" s="99">
        <v>197702</v>
      </c>
      <c r="BG34" s="106">
        <v>174262</v>
      </c>
    </row>
    <row r="35" spans="1:59" ht="12" customHeight="1">
      <c r="A35" s="1">
        <f t="shared" si="8"/>
        <v>300000000</v>
      </c>
      <c r="B35" s="1" t="str">
        <f t="shared" si="5"/>
        <v/>
      </c>
      <c r="C35" s="1" t="str">
        <f t="shared" si="6"/>
        <v/>
      </c>
      <c r="E35" s="132"/>
      <c r="F35" s="885">
        <v>3000</v>
      </c>
      <c r="G35" s="886"/>
      <c r="H35" s="886"/>
      <c r="I35" s="887">
        <v>1.35</v>
      </c>
      <c r="J35" s="887"/>
      <c r="K35" s="887"/>
      <c r="L35" s="887">
        <v>2.31</v>
      </c>
      <c r="M35" s="887"/>
      <c r="N35" s="887"/>
      <c r="O35" s="887">
        <v>1.25</v>
      </c>
      <c r="P35" s="887"/>
      <c r="Q35" s="887"/>
      <c r="R35" s="892">
        <f t="shared" si="7"/>
        <v>4.91</v>
      </c>
      <c r="S35" s="892"/>
      <c r="T35" s="893"/>
      <c r="U35" s="121"/>
      <c r="W35" s="121"/>
      <c r="X35" s="121"/>
      <c r="Y35" s="121"/>
      <c r="Z35" s="296" t="s">
        <v>643</v>
      </c>
      <c r="AA35" s="935">
        <f>TRUNC(AA34*AJ34,0)</f>
        <v>3213000</v>
      </c>
      <c r="AB35" s="935"/>
      <c r="AC35" s="935"/>
      <c r="AD35" s="935"/>
      <c r="AE35" s="935"/>
      <c r="AF35" s="935"/>
      <c r="AG35" s="121" t="s">
        <v>649</v>
      </c>
      <c r="AI35" s="296"/>
      <c r="AJ35" s="921"/>
      <c r="AK35" s="921"/>
      <c r="AL35" s="921"/>
      <c r="AM35" s="296"/>
      <c r="AN35" s="121"/>
      <c r="AO35" s="121"/>
      <c r="AP35" s="121"/>
      <c r="AQ35" s="121"/>
      <c r="AR35" s="121"/>
      <c r="AT35" s="121"/>
      <c r="AU35" s="121"/>
      <c r="AV35" s="121"/>
      <c r="AW35" s="121"/>
      <c r="AX35" s="121"/>
      <c r="AY35" s="296"/>
      <c r="AZ35" s="296"/>
      <c r="BA35" s="134"/>
      <c r="BD35" s="299" t="s">
        <v>97</v>
      </c>
      <c r="BE35" s="99">
        <v>261462</v>
      </c>
      <c r="BF35" s="99">
        <v>215084</v>
      </c>
      <c r="BG35" s="106">
        <v>190726</v>
      </c>
    </row>
    <row r="36" spans="1:59" ht="12" customHeight="1">
      <c r="A36" s="1">
        <f t="shared" si="8"/>
        <v>500000000</v>
      </c>
      <c r="B36" s="1" t="str">
        <f t="shared" si="5"/>
        <v/>
      </c>
      <c r="C36" s="1" t="str">
        <f>IF($AR$23&lt;A36,"",A36)</f>
        <v/>
      </c>
      <c r="E36" s="132"/>
      <c r="F36" s="882">
        <v>5000</v>
      </c>
      <c r="G36" s="883"/>
      <c r="H36" s="883"/>
      <c r="I36" s="889">
        <v>1.23</v>
      </c>
      <c r="J36" s="889"/>
      <c r="K36" s="889"/>
      <c r="L36" s="889">
        <v>2.12</v>
      </c>
      <c r="M36" s="889"/>
      <c r="N36" s="889"/>
      <c r="O36" s="889">
        <v>1.23</v>
      </c>
      <c r="P36" s="889"/>
      <c r="Q36" s="889"/>
      <c r="R36" s="890">
        <f t="shared" si="7"/>
        <v>4.58</v>
      </c>
      <c r="S36" s="890"/>
      <c r="T36" s="89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U36" s="121"/>
      <c r="AV36" s="121"/>
      <c r="AW36" s="121"/>
      <c r="AX36" s="121"/>
      <c r="AY36" s="296"/>
      <c r="AZ36" s="296"/>
      <c r="BA36" s="134"/>
      <c r="BD36" s="299" t="s">
        <v>98</v>
      </c>
      <c r="BE36" s="99">
        <v>300888</v>
      </c>
      <c r="BF36" s="99">
        <v>252441</v>
      </c>
      <c r="BG36" s="106">
        <v>227187</v>
      </c>
    </row>
    <row r="37" spans="1:59" ht="12" customHeight="1">
      <c r="B37" s="1">
        <f>IF(SUM(B20:B36)=0,50000,MAX(B20:B36))</f>
        <v>50000</v>
      </c>
      <c r="C37" s="1">
        <f>IF(SUM(C20:C36)=0,50000,MAX(C20:C36))</f>
        <v>100000</v>
      </c>
      <c r="E37" s="132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U37" s="121"/>
      <c r="AV37" s="121"/>
      <c r="AW37" s="121"/>
      <c r="AX37" s="121"/>
      <c r="AY37" s="121"/>
      <c r="AZ37" s="121"/>
      <c r="BA37" s="133"/>
      <c r="BD37" s="299" t="s">
        <v>99</v>
      </c>
      <c r="BE37" s="99">
        <v>338009</v>
      </c>
      <c r="BF37" s="99">
        <v>288040</v>
      </c>
      <c r="BG37" s="106">
        <v>261588</v>
      </c>
    </row>
    <row r="38" spans="1:59" ht="12" customHeight="1">
      <c r="E38" s="132"/>
      <c r="F38" s="121"/>
      <c r="G38" s="4"/>
      <c r="H38" s="4"/>
      <c r="I38" s="4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53"/>
      <c r="Y38" s="153"/>
      <c r="Z38" s="153"/>
      <c r="AA38" s="155"/>
      <c r="AB38" s="155"/>
      <c r="AC38" s="154"/>
      <c r="AD38" s="153"/>
      <c r="AE38" s="4"/>
      <c r="AF38" s="4"/>
      <c r="AG38" s="121"/>
      <c r="AH38" s="121"/>
      <c r="AI38" s="121"/>
      <c r="AJ38" s="4"/>
      <c r="AU38" s="121"/>
      <c r="AV38" s="121"/>
      <c r="AW38" s="121"/>
      <c r="AX38" s="121"/>
      <c r="AY38" s="121"/>
      <c r="AZ38" s="121"/>
      <c r="BA38" s="133"/>
      <c r="BB38" s="2"/>
      <c r="BD38" s="299" t="s">
        <v>100</v>
      </c>
      <c r="BE38" s="99">
        <v>471390</v>
      </c>
      <c r="BF38" s="99">
        <v>419990</v>
      </c>
      <c r="BG38" s="106">
        <v>392113</v>
      </c>
    </row>
    <row r="39" spans="1:59" ht="12" customHeight="1">
      <c r="E39" s="132"/>
      <c r="F39" s="121"/>
      <c r="G39" s="4"/>
      <c r="H39" s="4"/>
      <c r="I39" s="4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53"/>
      <c r="Y39" s="154"/>
      <c r="Z39" s="153"/>
      <c r="AA39" s="155"/>
      <c r="AB39" s="155"/>
      <c r="AC39" s="154"/>
      <c r="AD39" s="154"/>
      <c r="AE39" s="121"/>
      <c r="AF39" s="121"/>
      <c r="AG39" s="121"/>
      <c r="AH39" s="121"/>
      <c r="AI39" s="121"/>
      <c r="AJ39" s="4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33"/>
      <c r="BB39" s="2"/>
      <c r="BD39" s="299" t="s">
        <v>101</v>
      </c>
      <c r="BE39" s="99">
        <v>536714</v>
      </c>
      <c r="BF39" s="99">
        <v>483563</v>
      </c>
      <c r="BG39" s="106">
        <v>454104</v>
      </c>
    </row>
    <row r="40" spans="1:59" ht="12" customHeight="1">
      <c r="E40" s="132"/>
      <c r="F40" s="121"/>
      <c r="G40" s="4"/>
      <c r="H40" s="4"/>
      <c r="I40" s="4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55"/>
      <c r="Y40" s="155"/>
      <c r="Z40" s="154"/>
      <c r="AA40" s="153"/>
      <c r="AB40" s="153"/>
      <c r="AC40" s="153"/>
      <c r="AD40" s="153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33"/>
      <c r="BD40" s="299" t="s">
        <v>102</v>
      </c>
      <c r="BE40" s="99">
        <v>561205</v>
      </c>
      <c r="BF40" s="99">
        <v>506658</v>
      </c>
      <c r="BG40" s="106">
        <v>475529</v>
      </c>
    </row>
    <row r="41" spans="1:59" ht="12" customHeight="1">
      <c r="E41" s="132"/>
      <c r="F41" s="121"/>
      <c r="G41" s="4"/>
      <c r="H41" s="4"/>
      <c r="I41" s="4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55"/>
      <c r="Y41" s="155"/>
      <c r="Z41" s="154"/>
      <c r="AA41" s="153"/>
      <c r="AB41" s="153"/>
      <c r="AC41" s="153"/>
      <c r="AD41" s="153"/>
      <c r="AE41" s="121"/>
      <c r="AF41" s="121"/>
      <c r="AG41" s="4"/>
      <c r="AH41" s="4"/>
      <c r="AI41" s="4"/>
      <c r="AJ41" s="4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33"/>
      <c r="BD41" s="299" t="s">
        <v>103</v>
      </c>
      <c r="BE41" s="99">
        <v>618007</v>
      </c>
      <c r="BF41" s="99">
        <v>562108</v>
      </c>
      <c r="BG41" s="106">
        <v>529164</v>
      </c>
    </row>
    <row r="42" spans="1:59" ht="12" customHeight="1" thickBot="1">
      <c r="E42" s="135"/>
      <c r="F42" s="136"/>
      <c r="G42" s="136"/>
      <c r="H42" s="136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8"/>
      <c r="V42" s="138"/>
      <c r="W42" s="136"/>
      <c r="X42" s="136"/>
      <c r="Y42" s="136"/>
      <c r="Z42" s="136"/>
      <c r="AA42" s="136"/>
      <c r="AB42" s="137"/>
      <c r="AC42" s="137"/>
      <c r="AD42" s="137"/>
      <c r="AE42" s="137"/>
      <c r="AF42" s="137"/>
      <c r="AG42" s="136"/>
      <c r="AH42" s="136"/>
      <c r="AI42" s="136"/>
      <c r="AJ42" s="136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9"/>
      <c r="BD42" s="297" t="s">
        <v>104</v>
      </c>
      <c r="BE42" s="100">
        <v>714006</v>
      </c>
      <c r="BF42" s="100">
        <v>654989</v>
      </c>
      <c r="BG42" s="107">
        <v>617996</v>
      </c>
    </row>
    <row r="43" spans="1:59">
      <c r="BD43" s="76" t="s">
        <v>650</v>
      </c>
      <c r="BE43" s="76"/>
      <c r="BF43" s="76"/>
      <c r="BG43" s="76"/>
    </row>
    <row r="44" spans="1:59">
      <c r="BD44" s="76" t="s">
        <v>651</v>
      </c>
      <c r="BE44" s="76"/>
      <c r="BF44" s="76"/>
      <c r="BG44" s="76"/>
    </row>
    <row r="45" spans="1:59">
      <c r="BD45" s="76" t="s">
        <v>652</v>
      </c>
      <c r="BE45" s="76"/>
      <c r="BF45" s="76"/>
      <c r="BG45" s="76"/>
    </row>
    <row r="47" spans="1:59">
      <c r="BD47" s="76" t="s">
        <v>653</v>
      </c>
      <c r="BE47" s="76"/>
      <c r="BG47" s="111" t="s">
        <v>654</v>
      </c>
    </row>
    <row r="48" spans="1:59">
      <c r="BD48" s="301" t="s">
        <v>655</v>
      </c>
      <c r="BE48" s="302" t="s">
        <v>105</v>
      </c>
      <c r="BF48" s="915" t="s">
        <v>656</v>
      </c>
      <c r="BG48" s="916"/>
    </row>
    <row r="49" spans="56:66">
      <c r="BD49" s="299" t="s">
        <v>106</v>
      </c>
      <c r="BE49" s="99">
        <v>55806</v>
      </c>
      <c r="BF49" s="909">
        <v>515092</v>
      </c>
      <c r="BG49" s="910"/>
    </row>
    <row r="50" spans="56:66">
      <c r="BD50" s="299" t="s">
        <v>107</v>
      </c>
      <c r="BE50" s="99">
        <v>75117</v>
      </c>
      <c r="BF50" s="909">
        <v>534408</v>
      </c>
      <c r="BG50" s="910"/>
    </row>
    <row r="51" spans="56:66">
      <c r="BD51" s="299" t="s">
        <v>109</v>
      </c>
      <c r="BE51" s="99">
        <v>113254</v>
      </c>
      <c r="BF51" s="909">
        <v>572540</v>
      </c>
      <c r="BG51" s="910"/>
      <c r="BH51" s="76"/>
      <c r="BI51" s="76"/>
    </row>
    <row r="52" spans="56:66">
      <c r="BD52" s="299" t="s">
        <v>110</v>
      </c>
      <c r="BE52" s="99">
        <v>159061</v>
      </c>
      <c r="BF52" s="909">
        <v>618350</v>
      </c>
      <c r="BG52" s="910"/>
    </row>
    <row r="53" spans="56:66">
      <c r="BD53" s="299" t="s">
        <v>111</v>
      </c>
      <c r="BE53" s="99">
        <v>178602</v>
      </c>
      <c r="BF53" s="909">
        <v>637891</v>
      </c>
      <c r="BG53" s="910"/>
      <c r="BM53" s="1"/>
      <c r="BN53" s="1"/>
    </row>
    <row r="54" spans="56:66">
      <c r="BD54" s="299" t="s">
        <v>93</v>
      </c>
      <c r="BE54" s="99">
        <v>473781</v>
      </c>
      <c r="BF54" s="909">
        <v>933068</v>
      </c>
      <c r="BG54" s="910"/>
      <c r="BH54" s="1"/>
      <c r="BI54" s="1"/>
      <c r="BJ54" s="1"/>
      <c r="BK54" s="1"/>
      <c r="BL54" s="1"/>
      <c r="BM54" s="1"/>
      <c r="BN54" s="1"/>
    </row>
    <row r="55" spans="56:66">
      <c r="BD55" s="299" t="s">
        <v>108</v>
      </c>
      <c r="BE55" s="99">
        <v>506221</v>
      </c>
      <c r="BF55" s="909">
        <v>965508</v>
      </c>
      <c r="BG55" s="910"/>
      <c r="BH55" s="1"/>
      <c r="BI55" s="1"/>
      <c r="BJ55" s="1"/>
      <c r="BK55" s="1"/>
      <c r="BL55" s="1"/>
      <c r="BM55" s="1"/>
      <c r="BN55" s="1"/>
    </row>
    <row r="56" spans="56:66">
      <c r="BD56" s="299" t="s">
        <v>95</v>
      </c>
      <c r="BE56" s="99">
        <v>556557</v>
      </c>
      <c r="BF56" s="909">
        <v>1015844</v>
      </c>
      <c r="BG56" s="910"/>
      <c r="BH56" s="1"/>
      <c r="BI56" s="1"/>
      <c r="BJ56" s="1"/>
      <c r="BK56" s="1"/>
      <c r="BL56" s="1"/>
      <c r="BM56" s="1"/>
      <c r="BN56" s="1"/>
    </row>
    <row r="57" spans="56:66">
      <c r="BD57" s="299" t="s">
        <v>96</v>
      </c>
      <c r="BE57" s="99">
        <v>1150853</v>
      </c>
      <c r="BF57" s="909">
        <v>1610139</v>
      </c>
      <c r="BG57" s="910"/>
      <c r="BH57" s="1"/>
      <c r="BI57" s="1"/>
      <c r="BJ57" s="1"/>
      <c r="BK57" s="1"/>
      <c r="BL57" s="1"/>
      <c r="BM57" s="1"/>
      <c r="BN57" s="1"/>
    </row>
    <row r="58" spans="56:66">
      <c r="BD58" s="297" t="s">
        <v>97</v>
      </c>
      <c r="BE58" s="100">
        <v>1328342</v>
      </c>
      <c r="BF58" s="911">
        <v>1787626</v>
      </c>
      <c r="BG58" s="912"/>
      <c r="BH58" s="1"/>
      <c r="BI58" s="1"/>
      <c r="BJ58" s="1"/>
      <c r="BK58" s="1"/>
      <c r="BL58" s="1"/>
      <c r="BM58" s="1"/>
      <c r="BN58" s="1"/>
    </row>
    <row r="59" spans="56:66">
      <c r="BD59" s="98" t="s">
        <v>657</v>
      </c>
      <c r="BH59" s="1"/>
      <c r="BI59" s="1"/>
      <c r="BJ59" s="1"/>
      <c r="BK59" s="1"/>
      <c r="BL59" s="1"/>
      <c r="BM59" s="1"/>
      <c r="BN59" s="1"/>
    </row>
    <row r="60" spans="56:66">
      <c r="BD60" s="1"/>
      <c r="BE60" s="1"/>
      <c r="BF60" s="1"/>
      <c r="BG60" s="1"/>
      <c r="BH60" s="1"/>
      <c r="BI60" s="1"/>
      <c r="BJ60" s="1"/>
      <c r="BK60" s="1"/>
      <c r="BL60" s="1"/>
    </row>
    <row r="61" spans="56:66">
      <c r="BD61" s="76" t="s">
        <v>658</v>
      </c>
      <c r="BE61" s="76"/>
      <c r="BF61" s="76"/>
      <c r="BG61" s="112" t="s">
        <v>659</v>
      </c>
    </row>
    <row r="62" spans="56:66">
      <c r="BD62" s="920" t="s">
        <v>660</v>
      </c>
      <c r="BE62" s="915" t="s">
        <v>89</v>
      </c>
      <c r="BF62" s="915"/>
      <c r="BG62" s="916"/>
      <c r="BI62" s="57"/>
    </row>
    <row r="63" spans="56:66">
      <c r="BD63" s="930"/>
      <c r="BE63" s="108" t="s">
        <v>90</v>
      </c>
      <c r="BF63" s="108" t="s">
        <v>91</v>
      </c>
      <c r="BG63" s="109" t="s">
        <v>92</v>
      </c>
      <c r="BI63" s="57"/>
    </row>
    <row r="64" spans="56:66">
      <c r="BD64" s="299">
        <v>15</v>
      </c>
      <c r="BE64" s="99">
        <v>112433</v>
      </c>
      <c r="BF64" s="99">
        <v>96909</v>
      </c>
      <c r="BG64" s="106">
        <v>85157</v>
      </c>
      <c r="BI64" s="57"/>
    </row>
    <row r="65" spans="56:61">
      <c r="BD65" s="299">
        <v>20</v>
      </c>
      <c r="BE65" s="99">
        <v>114999</v>
      </c>
      <c r="BF65" s="99">
        <v>103523</v>
      </c>
      <c r="BG65" s="106">
        <v>87613</v>
      </c>
      <c r="BI65" s="57"/>
    </row>
    <row r="66" spans="56:61">
      <c r="BD66" s="299">
        <v>25</v>
      </c>
      <c r="BE66" s="99">
        <v>128355</v>
      </c>
      <c r="BF66" s="99">
        <v>120884</v>
      </c>
      <c r="BG66" s="106">
        <v>100790</v>
      </c>
      <c r="BI66" s="57"/>
    </row>
    <row r="67" spans="56:61">
      <c r="BD67" s="299">
        <v>32</v>
      </c>
      <c r="BE67" s="99">
        <v>123019</v>
      </c>
      <c r="BF67" s="99">
        <v>119634</v>
      </c>
      <c r="BG67" s="106">
        <v>95365</v>
      </c>
      <c r="BI67" s="57"/>
    </row>
    <row r="68" spans="56:61">
      <c r="BD68" s="299">
        <v>40</v>
      </c>
      <c r="BE68" s="99">
        <v>135522</v>
      </c>
      <c r="BF68" s="99">
        <v>136056</v>
      </c>
      <c r="BG68" s="106">
        <v>107563</v>
      </c>
      <c r="BI68" s="57"/>
    </row>
    <row r="69" spans="56:61">
      <c r="BD69" s="299">
        <v>50</v>
      </c>
      <c r="BE69" s="99">
        <v>201604</v>
      </c>
      <c r="BF69" s="99">
        <v>159626</v>
      </c>
      <c r="BG69" s="106">
        <v>138037</v>
      </c>
      <c r="BI69" s="57"/>
    </row>
    <row r="70" spans="56:61">
      <c r="BD70" s="299">
        <v>80</v>
      </c>
      <c r="BE70" s="99">
        <v>177986</v>
      </c>
      <c r="BF70" s="99">
        <v>135281</v>
      </c>
      <c r="BG70" s="106">
        <v>113144</v>
      </c>
      <c r="BI70" s="76"/>
    </row>
    <row r="71" spans="56:61">
      <c r="BD71" s="299">
        <v>100</v>
      </c>
      <c r="BE71" s="99">
        <v>192900</v>
      </c>
      <c r="BF71" s="99">
        <v>149677</v>
      </c>
      <c r="BG71" s="106">
        <v>127153</v>
      </c>
      <c r="BI71" s="76"/>
    </row>
    <row r="72" spans="56:61">
      <c r="BD72" s="297">
        <v>150</v>
      </c>
      <c r="BE72" s="100">
        <v>230872</v>
      </c>
      <c r="BF72" s="100">
        <v>186064</v>
      </c>
      <c r="BG72" s="107">
        <v>162627</v>
      </c>
      <c r="BI72" s="76"/>
    </row>
    <row r="73" spans="56:61">
      <c r="BD73" s="76" t="s">
        <v>661</v>
      </c>
      <c r="BE73" s="76"/>
      <c r="BF73" s="76"/>
      <c r="BG73" s="76"/>
      <c r="BI73" s="76"/>
    </row>
    <row r="74" spans="56:61">
      <c r="BD74" s="81" t="s">
        <v>662</v>
      </c>
      <c r="BH74" s="76"/>
      <c r="BI74" s="76"/>
    </row>
    <row r="76" spans="56:61">
      <c r="BD76" s="76" t="s">
        <v>663</v>
      </c>
      <c r="BE76" s="76"/>
      <c r="BF76" s="76"/>
      <c r="BG76" s="76"/>
      <c r="BH76" s="76"/>
      <c r="BI76" s="111" t="s">
        <v>664</v>
      </c>
    </row>
    <row r="77" spans="56:61">
      <c r="BD77" s="920" t="s">
        <v>73</v>
      </c>
      <c r="BE77" s="915"/>
      <c r="BF77" s="302" t="s">
        <v>112</v>
      </c>
      <c r="BG77" s="302" t="s">
        <v>47</v>
      </c>
      <c r="BH77" s="302" t="s">
        <v>113</v>
      </c>
      <c r="BI77" s="303" t="s">
        <v>114</v>
      </c>
    </row>
    <row r="78" spans="56:61">
      <c r="BD78" s="913" t="s">
        <v>115</v>
      </c>
      <c r="BE78" s="914"/>
      <c r="BF78" s="300" t="s">
        <v>116</v>
      </c>
      <c r="BG78" s="300" t="s">
        <v>117</v>
      </c>
      <c r="BH78" s="99">
        <v>916000</v>
      </c>
      <c r="BI78" s="101"/>
    </row>
    <row r="79" spans="56:61">
      <c r="BD79" s="913" t="s">
        <v>118</v>
      </c>
      <c r="BE79" s="914"/>
      <c r="BF79" s="300" t="s">
        <v>119</v>
      </c>
      <c r="BG79" s="300" t="s">
        <v>117</v>
      </c>
      <c r="BH79" s="99">
        <v>100000</v>
      </c>
      <c r="BI79" s="101"/>
    </row>
    <row r="80" spans="56:61">
      <c r="BD80" s="913"/>
      <c r="BE80" s="914"/>
      <c r="BF80" s="300" t="s">
        <v>120</v>
      </c>
      <c r="BG80" s="300" t="s">
        <v>117</v>
      </c>
      <c r="BH80" s="99">
        <v>150000</v>
      </c>
      <c r="BI80" s="101"/>
    </row>
    <row r="81" spans="56:61">
      <c r="BD81" s="913"/>
      <c r="BE81" s="914"/>
      <c r="BF81" s="300" t="s">
        <v>121</v>
      </c>
      <c r="BG81" s="300" t="s">
        <v>117</v>
      </c>
      <c r="BH81" s="99">
        <v>350000</v>
      </c>
      <c r="BI81" s="101"/>
    </row>
    <row r="82" spans="56:61">
      <c r="BD82" s="913" t="s">
        <v>122</v>
      </c>
      <c r="BE82" s="914"/>
      <c r="BF82" s="300" t="s">
        <v>123</v>
      </c>
      <c r="BG82" s="300" t="s">
        <v>124</v>
      </c>
      <c r="BH82" s="99">
        <v>100000</v>
      </c>
      <c r="BI82" s="101" t="s">
        <v>125</v>
      </c>
    </row>
    <row r="83" spans="56:61">
      <c r="BD83" s="913"/>
      <c r="BE83" s="914"/>
      <c r="BF83" s="300" t="s">
        <v>126</v>
      </c>
      <c r="BG83" s="300" t="s">
        <v>124</v>
      </c>
      <c r="BH83" s="99">
        <v>350000</v>
      </c>
      <c r="BI83" s="101" t="s">
        <v>124</v>
      </c>
    </row>
    <row r="84" spans="56:61">
      <c r="BD84" s="913" t="s">
        <v>127</v>
      </c>
      <c r="BE84" s="914"/>
      <c r="BF84" s="300" t="s">
        <v>128</v>
      </c>
      <c r="BG84" s="300" t="s">
        <v>124</v>
      </c>
      <c r="BH84" s="99">
        <v>380000</v>
      </c>
      <c r="BI84" s="102"/>
    </row>
    <row r="85" spans="56:61">
      <c r="BD85" s="913" t="s">
        <v>129</v>
      </c>
      <c r="BE85" s="914"/>
      <c r="BF85" s="300"/>
      <c r="BG85" s="300" t="s">
        <v>130</v>
      </c>
      <c r="BH85" s="99">
        <v>12000</v>
      </c>
      <c r="BI85" s="101" t="s">
        <v>124</v>
      </c>
    </row>
    <row r="86" spans="56:61">
      <c r="BD86" s="913"/>
      <c r="BE86" s="914"/>
      <c r="BF86" s="300"/>
      <c r="BG86" s="300"/>
      <c r="BH86" s="99"/>
      <c r="BI86" s="101" t="s">
        <v>131</v>
      </c>
    </row>
    <row r="87" spans="56:61">
      <c r="BD87" s="913" t="s">
        <v>132</v>
      </c>
      <c r="BE87" s="914"/>
      <c r="BF87" s="300" t="s">
        <v>116</v>
      </c>
      <c r="BG87" s="300" t="s">
        <v>130</v>
      </c>
      <c r="BH87" s="99">
        <v>13000</v>
      </c>
      <c r="BI87" s="101"/>
    </row>
    <row r="88" spans="56:61">
      <c r="BD88" s="918" t="s">
        <v>133</v>
      </c>
      <c r="BE88" s="919"/>
      <c r="BF88" s="298" t="s">
        <v>116</v>
      </c>
      <c r="BG88" s="298" t="s">
        <v>130</v>
      </c>
      <c r="BH88" s="100">
        <v>5000</v>
      </c>
      <c r="BI88" s="103"/>
    </row>
    <row r="89" spans="56:61">
      <c r="BD89" s="76" t="s">
        <v>665</v>
      </c>
      <c r="BE89" s="76"/>
      <c r="BF89" s="76"/>
      <c r="BG89" s="76"/>
      <c r="BH89" s="76"/>
      <c r="BI89" s="76"/>
    </row>
  </sheetData>
  <mergeCells count="195">
    <mergeCell ref="AQ20:AT20"/>
    <mergeCell ref="AR23:AY23"/>
    <mergeCell ref="AR24:AY24"/>
    <mergeCell ref="AK22:AO22"/>
    <mergeCell ref="AN20:AO20"/>
    <mergeCell ref="BD82:BE83"/>
    <mergeCell ref="BD84:BE84"/>
    <mergeCell ref="BD85:BE86"/>
    <mergeCell ref="E1:BA1"/>
    <mergeCell ref="BD29:BD30"/>
    <mergeCell ref="BD62:BD63"/>
    <mergeCell ref="BE62:BG62"/>
    <mergeCell ref="BE29:BG29"/>
    <mergeCell ref="AJ34:AL34"/>
    <mergeCell ref="AA35:AF35"/>
    <mergeCell ref="AJ35:AL35"/>
    <mergeCell ref="AR27:AY27"/>
    <mergeCell ref="AF29:AJ29"/>
    <mergeCell ref="AU17:AW17"/>
    <mergeCell ref="AI14:AT14"/>
    <mergeCell ref="AU14:AW14"/>
    <mergeCell ref="AI15:AT15"/>
    <mergeCell ref="AU15:AW15"/>
    <mergeCell ref="AI16:AT16"/>
    <mergeCell ref="AU16:AW16"/>
    <mergeCell ref="AN13:AU13"/>
    <mergeCell ref="F31:H31"/>
    <mergeCell ref="BD88:BE88"/>
    <mergeCell ref="BD87:BE87"/>
    <mergeCell ref="BD77:BE77"/>
    <mergeCell ref="AT33:AV33"/>
    <mergeCell ref="AJ33:AL33"/>
    <mergeCell ref="AW29:AY29"/>
    <mergeCell ref="AK23:AO23"/>
    <mergeCell ref="AK24:AO24"/>
    <mergeCell ref="AK25:AO25"/>
    <mergeCell ref="AK26:AO26"/>
    <mergeCell ref="AK27:AO27"/>
    <mergeCell ref="AN33:AO33"/>
    <mergeCell ref="AQ33:AR33"/>
    <mergeCell ref="AR25:AY25"/>
    <mergeCell ref="AR26:AY26"/>
    <mergeCell ref="AL29:AP29"/>
    <mergeCell ref="AS29:AU29"/>
    <mergeCell ref="F23:H23"/>
    <mergeCell ref="I23:K23"/>
    <mergeCell ref="L23:N23"/>
    <mergeCell ref="O23:Q23"/>
    <mergeCell ref="BF54:BG54"/>
    <mergeCell ref="BF55:BG55"/>
    <mergeCell ref="BF56:BG56"/>
    <mergeCell ref="BF57:BG57"/>
    <mergeCell ref="BF58:BG58"/>
    <mergeCell ref="BD79:BE81"/>
    <mergeCell ref="BD78:BE78"/>
    <mergeCell ref="BF48:BG48"/>
    <mergeCell ref="BF49:BG49"/>
    <mergeCell ref="BF50:BG50"/>
    <mergeCell ref="BF51:BG51"/>
    <mergeCell ref="BF52:BG52"/>
    <mergeCell ref="BF53:BG53"/>
    <mergeCell ref="R23:T23"/>
    <mergeCell ref="F22:H22"/>
    <mergeCell ref="I22:K22"/>
    <mergeCell ref="L22:N22"/>
    <mergeCell ref="F29:H29"/>
    <mergeCell ref="I29:K29"/>
    <mergeCell ref="L29:N29"/>
    <mergeCell ref="O29:Q29"/>
    <mergeCell ref="R29:T29"/>
    <mergeCell ref="F28:H28"/>
    <mergeCell ref="I28:K28"/>
    <mergeCell ref="L28:N28"/>
    <mergeCell ref="O28:Q28"/>
    <mergeCell ref="R28:T28"/>
    <mergeCell ref="I26:K26"/>
    <mergeCell ref="L26:N26"/>
    <mergeCell ref="O26:Q26"/>
    <mergeCell ref="R26:T26"/>
    <mergeCell ref="F20:H20"/>
    <mergeCell ref="I20:K20"/>
    <mergeCell ref="L20:N20"/>
    <mergeCell ref="O20:Q20"/>
    <mergeCell ref="R20:T20"/>
    <mergeCell ref="F21:H21"/>
    <mergeCell ref="I21:K21"/>
    <mergeCell ref="L21:N21"/>
    <mergeCell ref="F18:H19"/>
    <mergeCell ref="I18:T18"/>
    <mergeCell ref="R19:T19"/>
    <mergeCell ref="O19:Q19"/>
    <mergeCell ref="L19:N19"/>
    <mergeCell ref="I19:K19"/>
    <mergeCell ref="AA34:AF34"/>
    <mergeCell ref="V33:Y33"/>
    <mergeCell ref="O21:Q21"/>
    <mergeCell ref="R21:T21"/>
    <mergeCell ref="AA33:AF33"/>
    <mergeCell ref="O22:Q22"/>
    <mergeCell ref="R22:T22"/>
    <mergeCell ref="R32:T32"/>
    <mergeCell ref="F25:H25"/>
    <mergeCell ref="I25:K25"/>
    <mergeCell ref="L25:N25"/>
    <mergeCell ref="O25:Q25"/>
    <mergeCell ref="R25:T25"/>
    <mergeCell ref="F24:H24"/>
    <mergeCell ref="I24:K24"/>
    <mergeCell ref="L24:N24"/>
    <mergeCell ref="O24:Q24"/>
    <mergeCell ref="R24:T24"/>
    <mergeCell ref="F27:H27"/>
    <mergeCell ref="I27:K27"/>
    <mergeCell ref="L27:N27"/>
    <mergeCell ref="O27:Q27"/>
    <mergeCell ref="R27:T27"/>
    <mergeCell ref="F26:H26"/>
    <mergeCell ref="I31:K31"/>
    <mergeCell ref="L31:N31"/>
    <mergeCell ref="O31:Q31"/>
    <mergeCell ref="R31:T31"/>
    <mergeCell ref="I32:K32"/>
    <mergeCell ref="L32:N32"/>
    <mergeCell ref="AL31:AP31"/>
    <mergeCell ref="AR31:AV31"/>
    <mergeCell ref="R30:T30"/>
    <mergeCell ref="I30:K30"/>
    <mergeCell ref="L30:N30"/>
    <mergeCell ref="O30:Q30"/>
    <mergeCell ref="O32:Q32"/>
    <mergeCell ref="F36:H36"/>
    <mergeCell ref="AA32:AC32"/>
    <mergeCell ref="F34:H34"/>
    <mergeCell ref="I34:K34"/>
    <mergeCell ref="L34:N34"/>
    <mergeCell ref="O34:Q34"/>
    <mergeCell ref="F32:H32"/>
    <mergeCell ref="AA30:AC30"/>
    <mergeCell ref="F30:H30"/>
    <mergeCell ref="I36:K36"/>
    <mergeCell ref="L36:N36"/>
    <mergeCell ref="O36:Q36"/>
    <mergeCell ref="R36:T36"/>
    <mergeCell ref="F33:H33"/>
    <mergeCell ref="I33:K33"/>
    <mergeCell ref="L33:N33"/>
    <mergeCell ref="O33:Q33"/>
    <mergeCell ref="R33:T33"/>
    <mergeCell ref="R34:T34"/>
    <mergeCell ref="F35:H35"/>
    <mergeCell ref="I35:K35"/>
    <mergeCell ref="L35:N35"/>
    <mergeCell ref="O35:Q35"/>
    <mergeCell ref="R35:T35"/>
    <mergeCell ref="AQ5:AU5"/>
    <mergeCell ref="AQ6:AU6"/>
    <mergeCell ref="AQ7:AU7"/>
    <mergeCell ref="AQ9:AU9"/>
    <mergeCell ref="AQ10:AU10"/>
    <mergeCell ref="Y10:AA10"/>
    <mergeCell ref="AB10:AD10"/>
    <mergeCell ref="AI10:AM10"/>
    <mergeCell ref="V6:X6"/>
    <mergeCell ref="Y6:AA6"/>
    <mergeCell ref="AB6:AD6"/>
    <mergeCell ref="AI6:AM6"/>
    <mergeCell ref="AQ12:AU12"/>
    <mergeCell ref="V7:X7"/>
    <mergeCell ref="Y7:AA7"/>
    <mergeCell ref="AB7:AD7"/>
    <mergeCell ref="AI7:AM7"/>
    <mergeCell ref="V9:X9"/>
    <mergeCell ref="Y9:AA9"/>
    <mergeCell ref="AB9:AD9"/>
    <mergeCell ref="AI9:AM9"/>
    <mergeCell ref="V10:X10"/>
    <mergeCell ref="AQ8:AU8"/>
    <mergeCell ref="AQ11:AU11"/>
    <mergeCell ref="AI13:AL13"/>
    <mergeCell ref="V12:X12"/>
    <mergeCell ref="Y12:AA12"/>
    <mergeCell ref="AB12:AD12"/>
    <mergeCell ref="AI12:AM12"/>
    <mergeCell ref="V5:X5"/>
    <mergeCell ref="AB5:AD5"/>
    <mergeCell ref="Y5:AA5"/>
    <mergeCell ref="AI5:AM5"/>
    <mergeCell ref="V8:X8"/>
    <mergeCell ref="Y8:AA8"/>
    <mergeCell ref="AB8:AD8"/>
    <mergeCell ref="AI8:AM8"/>
    <mergeCell ref="V11:X11"/>
    <mergeCell ref="Y11:AA11"/>
    <mergeCell ref="AB11:AD11"/>
    <mergeCell ref="AI11:AM11"/>
  </mergeCells>
  <phoneticPr fontId="1" type="noConversion"/>
  <pageMargins left="0.47244094488188981" right="0.31496062992125984" top="0.59055118110236227" bottom="0.31496062992125984" header="0.31496062992125984" footer="0.31496062992125984"/>
  <pageSetup paperSize="9" orientation="landscape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G152"/>
  <sheetViews>
    <sheetView zoomScale="130" zoomScaleNormal="13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" defaultRowHeight="13.2"/>
  <cols>
    <col min="1" max="1" width="3" style="95" customWidth="1"/>
    <col min="2" max="2" width="11.59765625" style="58" customWidth="1"/>
    <col min="3" max="3" width="13.5" style="58" customWidth="1"/>
    <col min="4" max="4" width="5.3984375" style="61" customWidth="1"/>
    <col min="5" max="5" width="4.19921875" style="80" customWidth="1"/>
    <col min="6" max="6" width="8.3984375" style="80" bestFit="1" customWidth="1"/>
    <col min="7" max="7" width="9.3984375" style="62" customWidth="1"/>
    <col min="8" max="8" width="8.5" style="62" customWidth="1"/>
    <col min="9" max="9" width="9.3984375" style="62" customWidth="1"/>
    <col min="10" max="10" width="8.5" style="62" customWidth="1"/>
    <col min="11" max="11" width="9.3984375" style="62" customWidth="1"/>
    <col min="12" max="12" width="8.5" style="62" customWidth="1"/>
    <col min="13" max="13" width="9.3984375" style="62" customWidth="1"/>
    <col min="14" max="14" width="21.59765625" style="58" customWidth="1"/>
    <col min="15" max="15" width="4.3984375" style="58" customWidth="1"/>
    <col min="16" max="33" width="4.3984375" style="193" customWidth="1"/>
    <col min="34" max="41" width="4.3984375" style="58" customWidth="1"/>
    <col min="42" max="16384" width="9" style="58"/>
  </cols>
  <sheetData>
    <row r="1" spans="1:14" ht="25.2">
      <c r="B1" s="960" t="s">
        <v>267</v>
      </c>
      <c r="C1" s="960"/>
      <c r="D1" s="960"/>
      <c r="E1" s="960"/>
      <c r="F1" s="960"/>
      <c r="G1" s="960"/>
      <c r="H1" s="960"/>
      <c r="I1" s="960"/>
      <c r="J1" s="960"/>
      <c r="K1" s="960"/>
      <c r="L1" s="960"/>
      <c r="M1" s="960"/>
      <c r="N1" s="960"/>
    </row>
    <row r="2" spans="1:14">
      <c r="B2" s="961" t="s">
        <v>58</v>
      </c>
      <c r="C2" s="963" t="s">
        <v>201</v>
      </c>
      <c r="D2" s="965" t="s">
        <v>389</v>
      </c>
      <c r="E2" s="967" t="s">
        <v>154</v>
      </c>
      <c r="F2" s="969" t="s">
        <v>160</v>
      </c>
      <c r="G2" s="969"/>
      <c r="H2" s="544" t="s">
        <v>157</v>
      </c>
      <c r="I2" s="544"/>
      <c r="J2" s="544" t="s">
        <v>158</v>
      </c>
      <c r="K2" s="544"/>
      <c r="L2" s="544" t="s">
        <v>159</v>
      </c>
      <c r="M2" s="544"/>
      <c r="N2" s="958" t="s">
        <v>153</v>
      </c>
    </row>
    <row r="3" spans="1:14">
      <c r="B3" s="962"/>
      <c r="C3" s="964"/>
      <c r="D3" s="966"/>
      <c r="E3" s="968"/>
      <c r="F3" s="545" t="s">
        <v>155</v>
      </c>
      <c r="G3" s="545" t="s">
        <v>156</v>
      </c>
      <c r="H3" s="545" t="s">
        <v>155</v>
      </c>
      <c r="I3" s="545" t="s">
        <v>156</v>
      </c>
      <c r="J3" s="545" t="s">
        <v>155</v>
      </c>
      <c r="K3" s="545" t="s">
        <v>156</v>
      </c>
      <c r="L3" s="545" t="s">
        <v>155</v>
      </c>
      <c r="M3" s="545" t="s">
        <v>156</v>
      </c>
      <c r="N3" s="959"/>
    </row>
    <row r="4" spans="1:14">
      <c r="A4" s="95">
        <v>1</v>
      </c>
      <c r="B4" s="123" t="s">
        <v>667</v>
      </c>
      <c r="C4" s="85"/>
      <c r="D4" s="351"/>
      <c r="E4" s="87"/>
      <c r="F4" s="88"/>
      <c r="G4" s="89">
        <f>SUM(G5:G10)</f>
        <v>18463707</v>
      </c>
      <c r="H4" s="86"/>
      <c r="I4" s="89">
        <f>SUM(I5:I10)</f>
        <v>18463707</v>
      </c>
      <c r="J4" s="86"/>
      <c r="K4" s="86"/>
      <c r="L4" s="86"/>
      <c r="M4" s="84"/>
      <c r="N4" s="191"/>
    </row>
    <row r="5" spans="1:14">
      <c r="B5" s="602" t="s">
        <v>276</v>
      </c>
      <c r="C5" s="85"/>
      <c r="D5" s="351">
        <f>지형현황측량!AB5</f>
        <v>0.62</v>
      </c>
      <c r="E5" s="87" t="s">
        <v>282</v>
      </c>
      <c r="F5" s="88">
        <f t="shared" ref="F5:G10" si="0">SUM(H5,J5,L5)</f>
        <v>236324</v>
      </c>
      <c r="G5" s="88">
        <f t="shared" si="0"/>
        <v>146520</v>
      </c>
      <c r="H5" s="86">
        <f>측특급기술자</f>
        <v>236324</v>
      </c>
      <c r="I5" s="86">
        <f t="shared" ref="I5:I10" si="1">TRUNC(D5*H5,0)</f>
        <v>146520</v>
      </c>
      <c r="J5" s="86"/>
      <c r="K5" s="86"/>
      <c r="L5" s="86"/>
      <c r="M5" s="84"/>
      <c r="N5" s="191"/>
    </row>
    <row r="6" spans="1:14">
      <c r="B6" s="602" t="s">
        <v>277</v>
      </c>
      <c r="C6" s="85"/>
      <c r="D6" s="351">
        <f>지형현황측량!AB6</f>
        <v>19.28</v>
      </c>
      <c r="E6" s="87" t="s">
        <v>282</v>
      </c>
      <c r="F6" s="88">
        <f t="shared" si="0"/>
        <v>212851</v>
      </c>
      <c r="G6" s="88">
        <f t="shared" si="0"/>
        <v>4103767</v>
      </c>
      <c r="H6" s="86">
        <f>측고급기술자</f>
        <v>212851</v>
      </c>
      <c r="I6" s="86">
        <f t="shared" si="1"/>
        <v>4103767</v>
      </c>
      <c r="J6" s="86"/>
      <c r="K6" s="86"/>
      <c r="L6" s="86"/>
      <c r="M6" s="84"/>
      <c r="N6" s="191"/>
    </row>
    <row r="7" spans="1:14">
      <c r="B7" s="602" t="s">
        <v>278</v>
      </c>
      <c r="C7" s="85"/>
      <c r="D7" s="351">
        <f>지형현황측량!AB7</f>
        <v>28.07</v>
      </c>
      <c r="E7" s="87" t="s">
        <v>282</v>
      </c>
      <c r="F7" s="88">
        <f t="shared" si="0"/>
        <v>183152</v>
      </c>
      <c r="G7" s="88">
        <f t="shared" si="0"/>
        <v>5141076</v>
      </c>
      <c r="H7" s="91">
        <f>측중급기술자</f>
        <v>183152</v>
      </c>
      <c r="I7" s="86">
        <f t="shared" si="1"/>
        <v>5141076</v>
      </c>
      <c r="J7" s="86"/>
      <c r="K7" s="86"/>
      <c r="L7" s="86"/>
      <c r="M7" s="84"/>
      <c r="N7" s="191"/>
    </row>
    <row r="8" spans="1:14">
      <c r="B8" s="602" t="s">
        <v>279</v>
      </c>
      <c r="C8" s="85"/>
      <c r="D8" s="351">
        <f>지형현황측량!AB8</f>
        <v>28.58</v>
      </c>
      <c r="E8" s="87" t="s">
        <v>282</v>
      </c>
      <c r="F8" s="88">
        <f t="shared" si="0"/>
        <v>155203</v>
      </c>
      <c r="G8" s="88">
        <f t="shared" si="0"/>
        <v>4435701</v>
      </c>
      <c r="H8" s="91">
        <f>측초급기술자</f>
        <v>155203</v>
      </c>
      <c r="I8" s="86">
        <f t="shared" si="1"/>
        <v>4435701</v>
      </c>
      <c r="J8" s="86"/>
      <c r="K8" s="86"/>
      <c r="L8" s="86"/>
      <c r="M8" s="84"/>
      <c r="N8" s="191"/>
    </row>
    <row r="9" spans="1:14">
      <c r="B9" s="602" t="s">
        <v>280</v>
      </c>
      <c r="C9" s="85"/>
      <c r="D9" s="351">
        <f>지형현황측량!AB9</f>
        <v>29.47</v>
      </c>
      <c r="E9" s="87" t="s">
        <v>282</v>
      </c>
      <c r="F9" s="88">
        <f t="shared" si="0"/>
        <v>132560</v>
      </c>
      <c r="G9" s="88">
        <f t="shared" si="0"/>
        <v>3906543</v>
      </c>
      <c r="H9" s="91">
        <f>측초급기능사</f>
        <v>132560</v>
      </c>
      <c r="I9" s="86">
        <f t="shared" si="1"/>
        <v>3906543</v>
      </c>
      <c r="J9" s="86"/>
      <c r="K9" s="86"/>
      <c r="L9" s="86"/>
      <c r="M9" s="84"/>
      <c r="N9" s="191"/>
    </row>
    <row r="10" spans="1:14">
      <c r="B10" s="602" t="s">
        <v>281</v>
      </c>
      <c r="C10" s="85"/>
      <c r="D10" s="351">
        <f>지형현황측량!AB10</f>
        <v>7.15</v>
      </c>
      <c r="E10" s="87" t="s">
        <v>282</v>
      </c>
      <c r="F10" s="88">
        <f t="shared" si="0"/>
        <v>102112</v>
      </c>
      <c r="G10" s="88">
        <f t="shared" si="0"/>
        <v>730100</v>
      </c>
      <c r="H10" s="91">
        <f>측부</f>
        <v>102112</v>
      </c>
      <c r="I10" s="86">
        <f t="shared" si="1"/>
        <v>730100</v>
      </c>
      <c r="J10" s="86"/>
      <c r="K10" s="86"/>
      <c r="L10" s="86"/>
      <c r="M10" s="84"/>
      <c r="N10" s="191"/>
    </row>
    <row r="11" spans="1:14">
      <c r="B11" s="602"/>
      <c r="C11" s="85"/>
      <c r="D11" s="351"/>
      <c r="E11" s="87"/>
      <c r="F11" s="88"/>
      <c r="G11" s="88"/>
      <c r="H11" s="86"/>
      <c r="I11" s="86"/>
      <c r="J11" s="86"/>
      <c r="K11" s="86"/>
      <c r="L11" s="86"/>
      <c r="M11" s="84"/>
      <c r="N11" s="191"/>
    </row>
    <row r="12" spans="1:14">
      <c r="A12" s="95">
        <v>2</v>
      </c>
      <c r="B12" s="603" t="s">
        <v>284</v>
      </c>
      <c r="C12" s="85"/>
      <c r="D12" s="351"/>
      <c r="E12" s="87"/>
      <c r="F12" s="88"/>
      <c r="G12" s="89">
        <f>SUM(G13:G17)</f>
        <v>4095226</v>
      </c>
      <c r="H12" s="86"/>
      <c r="I12" s="89">
        <f>SUM(I13:I17)</f>
        <v>4095226</v>
      </c>
      <c r="J12" s="86"/>
      <c r="K12" s="86"/>
      <c r="L12" s="86"/>
      <c r="M12" s="84"/>
      <c r="N12" s="191"/>
    </row>
    <row r="13" spans="1:14">
      <c r="B13" s="602" t="s">
        <v>277</v>
      </c>
      <c r="C13" s="85"/>
      <c r="D13" s="351">
        <f>하천측량!P13</f>
        <v>0.96</v>
      </c>
      <c r="E13" s="87" t="s">
        <v>282</v>
      </c>
      <c r="F13" s="88">
        <f t="shared" ref="F13:G17" si="2">SUM(H13,J13,L13)</f>
        <v>212851</v>
      </c>
      <c r="G13" s="88">
        <f t="shared" si="2"/>
        <v>204336</v>
      </c>
      <c r="H13" s="86">
        <f>측고급기술자</f>
        <v>212851</v>
      </c>
      <c r="I13" s="86">
        <f>TRUNC(D13*H13,0)</f>
        <v>204336</v>
      </c>
      <c r="J13" s="86"/>
      <c r="K13" s="86"/>
      <c r="L13" s="86"/>
      <c r="M13" s="84"/>
      <c r="N13" s="191"/>
    </row>
    <row r="14" spans="1:14">
      <c r="B14" s="602" t="s">
        <v>278</v>
      </c>
      <c r="C14" s="85"/>
      <c r="D14" s="351">
        <f>하천측량!P14</f>
        <v>5.8</v>
      </c>
      <c r="E14" s="87" t="s">
        <v>282</v>
      </c>
      <c r="F14" s="88">
        <f t="shared" si="2"/>
        <v>183152</v>
      </c>
      <c r="G14" s="88">
        <f t="shared" si="2"/>
        <v>1062281</v>
      </c>
      <c r="H14" s="91">
        <f>측중급기술자</f>
        <v>183152</v>
      </c>
      <c r="I14" s="86">
        <f>TRUNC(D14*H14,0)</f>
        <v>1062281</v>
      </c>
      <c r="J14" s="86"/>
      <c r="K14" s="86"/>
      <c r="L14" s="86"/>
      <c r="M14" s="84"/>
      <c r="N14" s="191"/>
    </row>
    <row r="15" spans="1:14">
      <c r="B15" s="602" t="s">
        <v>279</v>
      </c>
      <c r="C15" s="85"/>
      <c r="D15" s="351">
        <f>하천측량!P15</f>
        <v>5.8</v>
      </c>
      <c r="E15" s="87" t="s">
        <v>282</v>
      </c>
      <c r="F15" s="88">
        <f t="shared" si="2"/>
        <v>155203</v>
      </c>
      <c r="G15" s="88">
        <f t="shared" si="2"/>
        <v>900177</v>
      </c>
      <c r="H15" s="91">
        <f>측초급기술자</f>
        <v>155203</v>
      </c>
      <c r="I15" s="86">
        <f>TRUNC(D15*H15,0)</f>
        <v>900177</v>
      </c>
      <c r="J15" s="86"/>
      <c r="K15" s="86"/>
      <c r="L15" s="86"/>
      <c r="M15" s="84"/>
      <c r="N15" s="191"/>
    </row>
    <row r="16" spans="1:14">
      <c r="B16" s="602" t="s">
        <v>280</v>
      </c>
      <c r="C16" s="85"/>
      <c r="D16" s="351">
        <f>하천측량!P16</f>
        <v>8</v>
      </c>
      <c r="E16" s="87" t="s">
        <v>282</v>
      </c>
      <c r="F16" s="88">
        <f t="shared" si="2"/>
        <v>132560</v>
      </c>
      <c r="G16" s="88">
        <f t="shared" si="2"/>
        <v>1060480</v>
      </c>
      <c r="H16" s="91">
        <f>측초급기능사</f>
        <v>132560</v>
      </c>
      <c r="I16" s="86">
        <f>TRUNC(D16*H16,0)</f>
        <v>1060480</v>
      </c>
      <c r="J16" s="86"/>
      <c r="K16" s="86"/>
      <c r="L16" s="86"/>
      <c r="M16" s="84"/>
      <c r="N16" s="191"/>
    </row>
    <row r="17" spans="1:14">
      <c r="B17" s="602" t="s">
        <v>281</v>
      </c>
      <c r="C17" s="85"/>
      <c r="D17" s="351">
        <f>하천측량!P17</f>
        <v>8.5</v>
      </c>
      <c r="E17" s="87" t="s">
        <v>282</v>
      </c>
      <c r="F17" s="88">
        <f t="shared" si="2"/>
        <v>102112</v>
      </c>
      <c r="G17" s="88">
        <f t="shared" si="2"/>
        <v>867952</v>
      </c>
      <c r="H17" s="91">
        <f>측부</f>
        <v>102112</v>
      </c>
      <c r="I17" s="86">
        <f>TRUNC(D17*H17,0)</f>
        <v>867952</v>
      </c>
      <c r="J17" s="86"/>
      <c r="K17" s="86"/>
      <c r="L17" s="86"/>
      <c r="M17" s="84"/>
      <c r="N17" s="191"/>
    </row>
    <row r="18" spans="1:14">
      <c r="B18" s="602"/>
      <c r="C18" s="85"/>
      <c r="D18" s="351"/>
      <c r="E18" s="87"/>
      <c r="F18" s="88"/>
      <c r="G18" s="88"/>
      <c r="H18" s="86"/>
      <c r="I18" s="86"/>
      <c r="J18" s="86"/>
      <c r="K18" s="86"/>
      <c r="L18" s="86"/>
      <c r="M18" s="84"/>
      <c r="N18" s="191"/>
    </row>
    <row r="19" spans="1:14">
      <c r="A19" s="95">
        <v>3</v>
      </c>
      <c r="B19" s="603" t="s">
        <v>288</v>
      </c>
      <c r="C19" s="85"/>
      <c r="D19" s="351"/>
      <c r="E19" s="87"/>
      <c r="F19" s="88"/>
      <c r="G19" s="89">
        <f>SUM(G20:G24)</f>
        <v>6873579</v>
      </c>
      <c r="H19" s="86"/>
      <c r="I19" s="89">
        <f>SUM(I20:I24)</f>
        <v>6873579</v>
      </c>
      <c r="J19" s="86"/>
      <c r="K19" s="86"/>
      <c r="L19" s="86"/>
      <c r="M19" s="84"/>
      <c r="N19" s="191"/>
    </row>
    <row r="20" spans="1:14">
      <c r="B20" s="602" t="s">
        <v>277</v>
      </c>
      <c r="C20" s="85"/>
      <c r="D20" s="734">
        <f>노선측량!V10</f>
        <v>0</v>
      </c>
      <c r="E20" s="87" t="s">
        <v>282</v>
      </c>
      <c r="F20" s="88">
        <f t="shared" ref="F20:G24" si="3">SUM(H20,J20,L20)</f>
        <v>212851</v>
      </c>
      <c r="G20" s="88">
        <f t="shared" si="3"/>
        <v>0</v>
      </c>
      <c r="H20" s="86">
        <f>측고급기술자</f>
        <v>212851</v>
      </c>
      <c r="I20" s="86">
        <f>TRUNC(D20*H20,0)</f>
        <v>0</v>
      </c>
      <c r="J20" s="86"/>
      <c r="K20" s="86"/>
      <c r="L20" s="86"/>
      <c r="M20" s="84"/>
      <c r="N20" s="191"/>
    </row>
    <row r="21" spans="1:14">
      <c r="B21" s="602" t="s">
        <v>278</v>
      </c>
      <c r="C21" s="85"/>
      <c r="D21" s="734">
        <f>노선측량!V11</f>
        <v>11.39</v>
      </c>
      <c r="E21" s="87" t="s">
        <v>282</v>
      </c>
      <c r="F21" s="88">
        <f t="shared" si="3"/>
        <v>183152</v>
      </c>
      <c r="G21" s="88">
        <f t="shared" si="3"/>
        <v>2086101</v>
      </c>
      <c r="H21" s="91">
        <f>측중급기술자</f>
        <v>183152</v>
      </c>
      <c r="I21" s="86">
        <f>TRUNC(D21*H21,0)</f>
        <v>2086101</v>
      </c>
      <c r="J21" s="86"/>
      <c r="K21" s="86"/>
      <c r="L21" s="86"/>
      <c r="M21" s="84"/>
      <c r="N21" s="191"/>
    </row>
    <row r="22" spans="1:14">
      <c r="B22" s="602" t="s">
        <v>279</v>
      </c>
      <c r="C22" s="85"/>
      <c r="D22" s="734">
        <f>노선측량!V12</f>
        <v>11.39</v>
      </c>
      <c r="E22" s="87" t="s">
        <v>282</v>
      </c>
      <c r="F22" s="88">
        <f t="shared" si="3"/>
        <v>155203</v>
      </c>
      <c r="G22" s="88">
        <f t="shared" si="3"/>
        <v>1767762</v>
      </c>
      <c r="H22" s="91">
        <f>측초급기술자</f>
        <v>155203</v>
      </c>
      <c r="I22" s="86">
        <f>TRUNC(D22*H22,0)</f>
        <v>1767762</v>
      </c>
      <c r="J22" s="86"/>
      <c r="K22" s="86"/>
      <c r="L22" s="86"/>
      <c r="M22" s="84"/>
      <c r="N22" s="191"/>
    </row>
    <row r="23" spans="1:14">
      <c r="B23" s="602" t="s">
        <v>280</v>
      </c>
      <c r="C23" s="85"/>
      <c r="D23" s="734">
        <f>노선측량!V13</f>
        <v>22.78</v>
      </c>
      <c r="E23" s="87" t="s">
        <v>282</v>
      </c>
      <c r="F23" s="88">
        <f t="shared" si="3"/>
        <v>132560</v>
      </c>
      <c r="G23" s="88">
        <f t="shared" si="3"/>
        <v>3019716</v>
      </c>
      <c r="H23" s="91">
        <f>측초급기능사</f>
        <v>132560</v>
      </c>
      <c r="I23" s="86">
        <f>TRUNC(D23*H23,0)</f>
        <v>3019716</v>
      </c>
      <c r="J23" s="86"/>
      <c r="K23" s="86"/>
      <c r="L23" s="86"/>
      <c r="M23" s="84"/>
      <c r="N23" s="191"/>
    </row>
    <row r="24" spans="1:14">
      <c r="B24" s="602" t="s">
        <v>281</v>
      </c>
      <c r="C24" s="85"/>
      <c r="D24" s="351">
        <f>노선측량!V14</f>
        <v>0</v>
      </c>
      <c r="E24" s="87" t="s">
        <v>282</v>
      </c>
      <c r="F24" s="88">
        <f t="shared" si="3"/>
        <v>102112</v>
      </c>
      <c r="G24" s="88">
        <f t="shared" si="3"/>
        <v>0</v>
      </c>
      <c r="H24" s="91">
        <f>측부</f>
        <v>102112</v>
      </c>
      <c r="I24" s="86">
        <f>TRUNC(D24*H24,0)</f>
        <v>0</v>
      </c>
      <c r="J24" s="86"/>
      <c r="K24" s="86"/>
      <c r="L24" s="86"/>
      <c r="M24" s="84"/>
      <c r="N24" s="191"/>
    </row>
    <row r="25" spans="1:14">
      <c r="B25" s="602"/>
      <c r="C25" s="85"/>
      <c r="D25" s="351"/>
      <c r="E25" s="87"/>
      <c r="F25" s="88"/>
      <c r="G25" s="88"/>
      <c r="H25" s="86"/>
      <c r="I25" s="86"/>
      <c r="J25" s="86"/>
      <c r="K25" s="86"/>
      <c r="L25" s="86"/>
      <c r="M25" s="84"/>
      <c r="N25" s="191"/>
    </row>
    <row r="26" spans="1:14">
      <c r="A26" s="95">
        <v>4</v>
      </c>
      <c r="B26" s="603" t="s">
        <v>289</v>
      </c>
      <c r="C26" s="85"/>
      <c r="D26" s="351"/>
      <c r="E26" s="87"/>
      <c r="F26" s="88"/>
      <c r="G26" s="89">
        <f>SUM(G27:G31)</f>
        <v>5989390</v>
      </c>
      <c r="H26" s="86"/>
      <c r="I26" s="89">
        <f>SUM(I27:I31)</f>
        <v>5989390</v>
      </c>
      <c r="J26" s="86"/>
      <c r="K26" s="86"/>
      <c r="L26" s="86"/>
      <c r="M26" s="84"/>
      <c r="N26" s="191"/>
    </row>
    <row r="27" spans="1:14">
      <c r="B27" s="602" t="s">
        <v>277</v>
      </c>
      <c r="C27" s="85"/>
      <c r="D27" s="351">
        <f>시가지측량!T10</f>
        <v>4.09</v>
      </c>
      <c r="E27" s="87" t="s">
        <v>282</v>
      </c>
      <c r="F27" s="88">
        <f t="shared" ref="F27:G31" si="4">SUM(H27,J27,L27)</f>
        <v>212851</v>
      </c>
      <c r="G27" s="88">
        <f t="shared" si="4"/>
        <v>870560</v>
      </c>
      <c r="H27" s="86">
        <f>측고급기술자</f>
        <v>212851</v>
      </c>
      <c r="I27" s="86">
        <f>TRUNC(D27*H27,0)</f>
        <v>870560</v>
      </c>
      <c r="J27" s="86"/>
      <c r="K27" s="86"/>
      <c r="L27" s="86"/>
      <c r="M27" s="84"/>
      <c r="N27" s="191"/>
    </row>
    <row r="28" spans="1:14">
      <c r="B28" s="602" t="s">
        <v>278</v>
      </c>
      <c r="C28" s="85"/>
      <c r="D28" s="351">
        <f>시가지측량!T11</f>
        <v>6.45</v>
      </c>
      <c r="E28" s="87" t="s">
        <v>282</v>
      </c>
      <c r="F28" s="88">
        <f t="shared" si="4"/>
        <v>183152</v>
      </c>
      <c r="G28" s="88">
        <f t="shared" si="4"/>
        <v>1181330</v>
      </c>
      <c r="H28" s="91">
        <f>측중급기술자</f>
        <v>183152</v>
      </c>
      <c r="I28" s="86">
        <f>TRUNC(D28*H28,0)</f>
        <v>1181330</v>
      </c>
      <c r="J28" s="86"/>
      <c r="K28" s="86"/>
      <c r="L28" s="86"/>
      <c r="M28" s="84"/>
      <c r="N28" s="191"/>
    </row>
    <row r="29" spans="1:14">
      <c r="B29" s="602" t="s">
        <v>279</v>
      </c>
      <c r="C29" s="85"/>
      <c r="D29" s="351">
        <f>시가지측량!T12</f>
        <v>25.37</v>
      </c>
      <c r="E29" s="87" t="s">
        <v>282</v>
      </c>
      <c r="F29" s="88">
        <f t="shared" si="4"/>
        <v>155203</v>
      </c>
      <c r="G29" s="88">
        <f t="shared" si="4"/>
        <v>3937500</v>
      </c>
      <c r="H29" s="91">
        <f>측초급기술자</f>
        <v>155203</v>
      </c>
      <c r="I29" s="86">
        <f>TRUNC(D29*H29,0)</f>
        <v>3937500</v>
      </c>
      <c r="J29" s="86"/>
      <c r="K29" s="86"/>
      <c r="L29" s="86"/>
      <c r="M29" s="84"/>
      <c r="N29" s="191"/>
    </row>
    <row r="30" spans="1:14">
      <c r="B30" s="602" t="s">
        <v>280</v>
      </c>
      <c r="C30" s="85"/>
      <c r="D30" s="351">
        <f>시가지측량!T13</f>
        <v>0</v>
      </c>
      <c r="E30" s="87" t="s">
        <v>282</v>
      </c>
      <c r="F30" s="88">
        <f t="shared" si="4"/>
        <v>132560</v>
      </c>
      <c r="G30" s="88">
        <f t="shared" si="4"/>
        <v>0</v>
      </c>
      <c r="H30" s="91">
        <f>측초급기능사</f>
        <v>132560</v>
      </c>
      <c r="I30" s="86">
        <f>TRUNC(D30*H30,0)</f>
        <v>0</v>
      </c>
      <c r="J30" s="86"/>
      <c r="K30" s="86"/>
      <c r="L30" s="86"/>
      <c r="M30" s="84"/>
      <c r="N30" s="191"/>
    </row>
    <row r="31" spans="1:14">
      <c r="B31" s="602" t="s">
        <v>281</v>
      </c>
      <c r="C31" s="85"/>
      <c r="D31" s="351">
        <f>시가지측량!T14</f>
        <v>0</v>
      </c>
      <c r="E31" s="87" t="s">
        <v>282</v>
      </c>
      <c r="F31" s="88">
        <f t="shared" si="4"/>
        <v>102112</v>
      </c>
      <c r="G31" s="88">
        <f t="shared" si="4"/>
        <v>0</v>
      </c>
      <c r="H31" s="91">
        <f>측부</f>
        <v>102112</v>
      </c>
      <c r="I31" s="86">
        <f>TRUNC(D31*H31,0)</f>
        <v>0</v>
      </c>
      <c r="J31" s="86"/>
      <c r="K31" s="86"/>
      <c r="L31" s="86"/>
      <c r="M31" s="84"/>
      <c r="N31" s="191"/>
    </row>
    <row r="32" spans="1:14">
      <c r="B32" s="602"/>
      <c r="C32" s="85"/>
      <c r="D32" s="351"/>
      <c r="E32" s="87"/>
      <c r="F32" s="88"/>
      <c r="G32" s="88"/>
      <c r="H32" s="86"/>
      <c r="I32" s="86"/>
      <c r="J32" s="86"/>
      <c r="K32" s="86"/>
      <c r="L32" s="86"/>
      <c r="M32" s="84"/>
      <c r="N32" s="191"/>
    </row>
    <row r="33" spans="1:33">
      <c r="A33" s="95">
        <v>5</v>
      </c>
      <c r="B33" s="603" t="s">
        <v>290</v>
      </c>
      <c r="C33" s="85"/>
      <c r="D33" s="351"/>
      <c r="E33" s="87"/>
      <c r="F33" s="88"/>
      <c r="G33" s="89">
        <f>SUM(G34:G38)</f>
        <v>5042401</v>
      </c>
      <c r="H33" s="86"/>
      <c r="I33" s="89">
        <f>SUM(I34:I38)</f>
        <v>5042401</v>
      </c>
      <c r="J33" s="86"/>
      <c r="K33" s="86"/>
      <c r="L33" s="86"/>
      <c r="M33" s="84"/>
      <c r="N33" s="191"/>
    </row>
    <row r="34" spans="1:33">
      <c r="B34" s="602" t="s">
        <v>277</v>
      </c>
      <c r="C34" s="85"/>
      <c r="D34" s="351">
        <f>수도노선측량!P10</f>
        <v>2</v>
      </c>
      <c r="E34" s="87" t="s">
        <v>282</v>
      </c>
      <c r="F34" s="88">
        <f t="shared" ref="F34:G38" si="5">SUM(H34,J34,L34)</f>
        <v>212851</v>
      </c>
      <c r="G34" s="88">
        <f t="shared" si="5"/>
        <v>425702</v>
      </c>
      <c r="H34" s="86">
        <f>측고급기술자</f>
        <v>212851</v>
      </c>
      <c r="I34" s="86">
        <f>TRUNC(D34*H34,0)</f>
        <v>425702</v>
      </c>
      <c r="J34" s="86"/>
      <c r="K34" s="86"/>
      <c r="L34" s="86"/>
      <c r="M34" s="84"/>
      <c r="N34" s="191"/>
    </row>
    <row r="35" spans="1:33">
      <c r="B35" s="602" t="s">
        <v>278</v>
      </c>
      <c r="C35" s="85"/>
      <c r="D35" s="351">
        <f>수도노선측량!P11</f>
        <v>6</v>
      </c>
      <c r="E35" s="87" t="s">
        <v>282</v>
      </c>
      <c r="F35" s="88">
        <f t="shared" si="5"/>
        <v>183152</v>
      </c>
      <c r="G35" s="88">
        <f t="shared" si="5"/>
        <v>1098912</v>
      </c>
      <c r="H35" s="91">
        <f>측중급기술자</f>
        <v>183152</v>
      </c>
      <c r="I35" s="86">
        <f>TRUNC(D35*H35,0)</f>
        <v>1098912</v>
      </c>
      <c r="J35" s="86"/>
      <c r="K35" s="86"/>
      <c r="L35" s="86"/>
      <c r="M35" s="84"/>
      <c r="N35" s="191"/>
    </row>
    <row r="36" spans="1:33">
      <c r="B36" s="602" t="s">
        <v>279</v>
      </c>
      <c r="C36" s="85"/>
      <c r="D36" s="351">
        <f>수도노선측량!P12</f>
        <v>9</v>
      </c>
      <c r="E36" s="87" t="s">
        <v>282</v>
      </c>
      <c r="F36" s="88">
        <f t="shared" si="5"/>
        <v>155203</v>
      </c>
      <c r="G36" s="88">
        <f t="shared" si="5"/>
        <v>1396827</v>
      </c>
      <c r="H36" s="91">
        <f>측초급기술자</f>
        <v>155203</v>
      </c>
      <c r="I36" s="86">
        <f>TRUNC(D36*H36,0)</f>
        <v>1396827</v>
      </c>
      <c r="J36" s="86"/>
      <c r="K36" s="86"/>
      <c r="L36" s="86"/>
      <c r="M36" s="84"/>
      <c r="N36" s="191"/>
    </row>
    <row r="37" spans="1:33">
      <c r="B37" s="602" t="s">
        <v>280</v>
      </c>
      <c r="C37" s="85"/>
      <c r="D37" s="351">
        <f>수도노선측량!P13</f>
        <v>16</v>
      </c>
      <c r="E37" s="87" t="s">
        <v>282</v>
      </c>
      <c r="F37" s="88">
        <f t="shared" si="5"/>
        <v>132560</v>
      </c>
      <c r="G37" s="88">
        <f t="shared" si="5"/>
        <v>2120960</v>
      </c>
      <c r="H37" s="91">
        <f>측초급기능사</f>
        <v>132560</v>
      </c>
      <c r="I37" s="86">
        <f>TRUNC(D37*H37,0)</f>
        <v>2120960</v>
      </c>
      <c r="J37" s="86"/>
      <c r="K37" s="86"/>
      <c r="L37" s="86"/>
      <c r="M37" s="84"/>
      <c r="N37" s="191"/>
    </row>
    <row r="38" spans="1:33">
      <c r="B38" s="602" t="s">
        <v>281</v>
      </c>
      <c r="C38" s="85"/>
      <c r="D38" s="351">
        <f>수도노선측량!P14</f>
        <v>0</v>
      </c>
      <c r="E38" s="87" t="s">
        <v>282</v>
      </c>
      <c r="F38" s="88">
        <f t="shared" si="5"/>
        <v>102112</v>
      </c>
      <c r="G38" s="88">
        <f t="shared" si="5"/>
        <v>0</v>
      </c>
      <c r="H38" s="91">
        <f>측부</f>
        <v>102112</v>
      </c>
      <c r="I38" s="86">
        <f>TRUNC(D38*H38,0)</f>
        <v>0</v>
      </c>
      <c r="J38" s="86"/>
      <c r="K38" s="86"/>
      <c r="L38" s="86"/>
      <c r="M38" s="84"/>
      <c r="N38" s="191"/>
    </row>
    <row r="39" spans="1:33">
      <c r="B39" s="602"/>
      <c r="C39" s="85"/>
      <c r="D39" s="351"/>
      <c r="E39" s="87"/>
      <c r="F39" s="88"/>
      <c r="G39" s="88"/>
      <c r="H39" s="86"/>
      <c r="I39" s="86"/>
      <c r="J39" s="86"/>
      <c r="K39" s="86"/>
      <c r="L39" s="86"/>
      <c r="M39" s="84"/>
      <c r="N39" s="191"/>
    </row>
    <row r="40" spans="1:33">
      <c r="A40" s="95">
        <v>6</v>
      </c>
      <c r="B40" s="603" t="s">
        <v>285</v>
      </c>
      <c r="C40" s="85"/>
      <c r="D40" s="351"/>
      <c r="E40" s="87"/>
      <c r="F40" s="88"/>
      <c r="G40" s="89">
        <f>SUM(G41:G45)</f>
        <v>1003342</v>
      </c>
      <c r="H40" s="86"/>
      <c r="I40" s="89">
        <f>SUM(I41:I45)</f>
        <v>1003342</v>
      </c>
      <c r="J40" s="86"/>
      <c r="K40" s="86"/>
      <c r="L40" s="86"/>
      <c r="M40" s="84"/>
      <c r="N40" s="191"/>
    </row>
    <row r="41" spans="1:33">
      <c r="B41" s="602" t="s">
        <v>277</v>
      </c>
      <c r="C41" s="85"/>
      <c r="D41" s="351">
        <f>용지측량!T15</f>
        <v>0.54</v>
      </c>
      <c r="E41" s="87" t="s">
        <v>282</v>
      </c>
      <c r="F41" s="88">
        <f t="shared" ref="F41:G44" si="6">SUM(H41,J41,L41)</f>
        <v>212851</v>
      </c>
      <c r="G41" s="88">
        <f t="shared" si="6"/>
        <v>114939</v>
      </c>
      <c r="H41" s="86">
        <f>측고급기술자</f>
        <v>212851</v>
      </c>
      <c r="I41" s="86">
        <f>TRUNC(D41*H41,0)</f>
        <v>114939</v>
      </c>
      <c r="J41" s="86"/>
      <c r="K41" s="86"/>
      <c r="L41" s="86"/>
      <c r="M41" s="84"/>
      <c r="N41" s="191"/>
    </row>
    <row r="42" spans="1:33">
      <c r="B42" s="602" t="s">
        <v>278</v>
      </c>
      <c r="C42" s="85"/>
      <c r="D42" s="351">
        <f>용지측량!T16</f>
        <v>1.8</v>
      </c>
      <c r="E42" s="87" t="s">
        <v>282</v>
      </c>
      <c r="F42" s="88">
        <f t="shared" si="6"/>
        <v>183152</v>
      </c>
      <c r="G42" s="88">
        <f t="shared" si="6"/>
        <v>329673</v>
      </c>
      <c r="H42" s="91">
        <f>측중급기술자</f>
        <v>183152</v>
      </c>
      <c r="I42" s="86">
        <f>TRUNC(D42*H42,0)</f>
        <v>329673</v>
      </c>
      <c r="J42" s="86"/>
      <c r="K42" s="86"/>
      <c r="L42" s="86"/>
      <c r="M42" s="84"/>
      <c r="N42" s="191"/>
    </row>
    <row r="43" spans="1:33">
      <c r="B43" s="602" t="s">
        <v>279</v>
      </c>
      <c r="C43" s="85"/>
      <c r="D43" s="351">
        <f>용지측량!T17</f>
        <v>3.6</v>
      </c>
      <c r="E43" s="87" t="s">
        <v>282</v>
      </c>
      <c r="F43" s="88">
        <f t="shared" si="6"/>
        <v>155203</v>
      </c>
      <c r="G43" s="88">
        <f t="shared" si="6"/>
        <v>558730</v>
      </c>
      <c r="H43" s="91">
        <f>측초급기술자</f>
        <v>155203</v>
      </c>
      <c r="I43" s="86">
        <f>TRUNC(D43*H43,0)</f>
        <v>558730</v>
      </c>
      <c r="J43" s="86"/>
      <c r="K43" s="86"/>
      <c r="L43" s="86"/>
      <c r="M43" s="84"/>
      <c r="N43" s="191"/>
    </row>
    <row r="44" spans="1:33">
      <c r="B44" s="602" t="s">
        <v>280</v>
      </c>
      <c r="C44" s="85"/>
      <c r="D44" s="351">
        <f>용지측량!T18</f>
        <v>0</v>
      </c>
      <c r="E44" s="87" t="s">
        <v>282</v>
      </c>
      <c r="F44" s="88">
        <f t="shared" si="6"/>
        <v>132560</v>
      </c>
      <c r="G44" s="88">
        <f t="shared" si="6"/>
        <v>0</v>
      </c>
      <c r="H44" s="91">
        <f>측초급기능사</f>
        <v>132560</v>
      </c>
      <c r="I44" s="86">
        <f>TRUNC(D44*H44,0)</f>
        <v>0</v>
      </c>
      <c r="J44" s="86"/>
      <c r="K44" s="86"/>
      <c r="L44" s="86"/>
      <c r="M44" s="84"/>
      <c r="N44" s="191"/>
    </row>
    <row r="45" spans="1:33">
      <c r="B45" s="602"/>
      <c r="C45" s="85"/>
      <c r="D45" s="351"/>
      <c r="E45" s="87"/>
      <c r="F45" s="88"/>
      <c r="G45" s="88"/>
      <c r="H45" s="91"/>
      <c r="I45" s="86"/>
      <c r="J45" s="86"/>
      <c r="K45" s="86"/>
      <c r="L45" s="86"/>
      <c r="M45" s="84"/>
      <c r="N45" s="191"/>
    </row>
    <row r="46" spans="1:33" s="60" customFormat="1">
      <c r="A46" s="97">
        <v>7</v>
      </c>
      <c r="B46" s="604" t="s">
        <v>685</v>
      </c>
      <c r="C46" s="124" t="s">
        <v>686</v>
      </c>
      <c r="D46" s="352"/>
      <c r="E46" s="391" t="s">
        <v>687</v>
      </c>
      <c r="F46" s="124"/>
      <c r="G46" s="125">
        <f>SUM(I46,K46,M46)</f>
        <v>3226736</v>
      </c>
      <c r="H46" s="124"/>
      <c r="I46" s="125">
        <f>SUM(I47:I60)</f>
        <v>2786303</v>
      </c>
      <c r="J46" s="124"/>
      <c r="K46" s="125">
        <f>SUM(K47:K60)</f>
        <v>440433</v>
      </c>
      <c r="L46" s="126"/>
      <c r="M46" s="125"/>
      <c r="N46" s="188"/>
      <c r="O46" s="59"/>
      <c r="P46" s="194"/>
      <c r="Q46" s="194"/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</row>
    <row r="47" spans="1:33" s="60" customFormat="1">
      <c r="A47" s="97"/>
      <c r="B47" s="605" t="s">
        <v>392</v>
      </c>
      <c r="C47" s="65"/>
      <c r="D47" s="353">
        <v>1</v>
      </c>
      <c r="E47" s="65" t="s">
        <v>391</v>
      </c>
      <c r="F47" s="88">
        <f>SUM(H47,J47,L47)</f>
        <v>174955</v>
      </c>
      <c r="G47" s="88">
        <f>SUM(I47,K47,M47)</f>
        <v>174955</v>
      </c>
      <c r="H47" s="64">
        <f>보링공</f>
        <v>174955</v>
      </c>
      <c r="I47" s="64">
        <f>TRUNC(H47*D47,0)</f>
        <v>174955</v>
      </c>
      <c r="J47" s="64"/>
      <c r="K47" s="64"/>
      <c r="L47" s="64"/>
      <c r="M47" s="64"/>
      <c r="N47" s="196" t="s">
        <v>390</v>
      </c>
      <c r="P47" s="194"/>
      <c r="Q47" s="194"/>
      <c r="R47" s="193"/>
      <c r="S47" s="194"/>
      <c r="T47" s="194"/>
      <c r="U47" s="194"/>
      <c r="V47" s="194"/>
      <c r="W47" s="194"/>
      <c r="X47" s="194"/>
      <c r="Y47" s="194"/>
      <c r="Z47" s="194"/>
      <c r="AA47" s="194"/>
      <c r="AB47" s="194"/>
      <c r="AC47" s="194"/>
      <c r="AD47" s="194"/>
      <c r="AE47" s="194"/>
      <c r="AF47" s="194"/>
      <c r="AG47" s="194"/>
    </row>
    <row r="48" spans="1:33" s="60" customFormat="1">
      <c r="A48" s="97"/>
      <c r="B48" s="605" t="s">
        <v>151</v>
      </c>
      <c r="C48" s="65"/>
      <c r="D48" s="353">
        <v>1</v>
      </c>
      <c r="E48" s="65" t="s">
        <v>391</v>
      </c>
      <c r="F48" s="88">
        <f>SUM(H48,J48,L48)</f>
        <v>166063</v>
      </c>
      <c r="G48" s="88">
        <f>SUM(I48,K48,M48)</f>
        <v>166063</v>
      </c>
      <c r="H48" s="64">
        <f>특별인부</f>
        <v>166063</v>
      </c>
      <c r="I48" s="64">
        <f>TRUNC(H48*D48,0)</f>
        <v>166063</v>
      </c>
      <c r="J48" s="64"/>
      <c r="K48" s="64"/>
      <c r="L48" s="64"/>
      <c r="M48" s="64"/>
      <c r="N48" s="196" t="s">
        <v>390</v>
      </c>
      <c r="P48" s="957" t="s">
        <v>1012</v>
      </c>
      <c r="Q48" s="957"/>
      <c r="R48" s="957"/>
      <c r="S48" s="957"/>
      <c r="T48" s="957"/>
      <c r="U48" s="957"/>
      <c r="V48" s="957"/>
      <c r="W48" s="957"/>
      <c r="X48" s="957"/>
      <c r="Y48" s="957"/>
      <c r="Z48" s="194"/>
      <c r="AA48" s="194"/>
      <c r="AB48" s="194"/>
      <c r="AC48" s="194"/>
      <c r="AD48" s="194"/>
      <c r="AE48" s="194"/>
      <c r="AF48" s="194"/>
      <c r="AG48" s="194"/>
    </row>
    <row r="49" spans="1:33" s="60" customFormat="1">
      <c r="A49" s="97"/>
      <c r="B49" s="605" t="s">
        <v>152</v>
      </c>
      <c r="C49" s="65"/>
      <c r="D49" s="353">
        <v>1</v>
      </c>
      <c r="E49" s="65" t="s">
        <v>391</v>
      </c>
      <c r="F49" s="88">
        <f>SUM(H49,J49,L49)</f>
        <v>138290</v>
      </c>
      <c r="G49" s="88">
        <f>SUM(I49,K49,M49)</f>
        <v>138290</v>
      </c>
      <c r="H49" s="64">
        <f>보통인부</f>
        <v>138290</v>
      </c>
      <c r="I49" s="64">
        <f>TRUNC(H49*D49,0)</f>
        <v>138290</v>
      </c>
      <c r="J49" s="64"/>
      <c r="K49" s="64"/>
      <c r="L49" s="64"/>
      <c r="M49" s="64"/>
      <c r="N49" s="196" t="s">
        <v>390</v>
      </c>
      <c r="P49" s="945" t="s">
        <v>1007</v>
      </c>
      <c r="Q49" s="946"/>
      <c r="R49" s="947" t="s">
        <v>1009</v>
      </c>
      <c r="S49" s="948"/>
      <c r="T49" s="949" t="s">
        <v>1010</v>
      </c>
      <c r="U49" s="950"/>
      <c r="V49" s="950"/>
      <c r="W49" s="950"/>
      <c r="X49" s="950"/>
      <c r="Y49" s="946"/>
      <c r="Z49" s="194"/>
      <c r="AA49" s="194"/>
      <c r="AB49" s="194"/>
      <c r="AC49" s="194"/>
      <c r="AD49" s="194"/>
      <c r="AE49" s="194"/>
      <c r="AF49" s="194"/>
      <c r="AG49" s="194"/>
    </row>
    <row r="50" spans="1:33" s="60" customFormat="1">
      <c r="A50" s="97"/>
      <c r="B50" s="605" t="s">
        <v>138</v>
      </c>
      <c r="C50" s="65" t="s">
        <v>377</v>
      </c>
      <c r="D50" s="354">
        <f>지반조사입력!B4</f>
        <v>3</v>
      </c>
      <c r="E50" s="65" t="s">
        <v>134</v>
      </c>
      <c r="F50" s="88">
        <f t="shared" ref="F50:F60" si="7">SUM(H50,J50,L50)</f>
        <v>98235</v>
      </c>
      <c r="G50" s="88">
        <f t="shared" ref="G50:G60" si="8">SUM(I50,K50,M50)</f>
        <v>294705</v>
      </c>
      <c r="H50" s="64">
        <v>95640</v>
      </c>
      <c r="I50" s="64">
        <f t="shared" ref="I50:I60" si="9">TRUNC(H50*D50,0)</f>
        <v>286920</v>
      </c>
      <c r="J50" s="64">
        <v>2595</v>
      </c>
      <c r="K50" s="64">
        <f t="shared" ref="K50:K60" si="10">TRUNC(J50*D50,0)</f>
        <v>7785</v>
      </c>
      <c r="L50" s="64"/>
      <c r="M50" s="64"/>
      <c r="N50" s="192" t="s">
        <v>386</v>
      </c>
      <c r="O50" s="59"/>
      <c r="P50" s="951" t="s">
        <v>1008</v>
      </c>
      <c r="Q50" s="952"/>
      <c r="R50" s="953">
        <f>SUM(D50:D53)+IF(D54=0,0,1)</f>
        <v>9</v>
      </c>
      <c r="S50" s="954"/>
      <c r="T50" s="955" t="s">
        <v>1011</v>
      </c>
      <c r="U50" s="956"/>
      <c r="V50" s="956"/>
      <c r="W50" s="956"/>
      <c r="X50" s="956"/>
      <c r="Y50" s="952"/>
      <c r="Z50" s="194"/>
      <c r="AA50" s="194"/>
      <c r="AB50" s="194"/>
      <c r="AC50" s="194"/>
      <c r="AD50" s="194"/>
      <c r="AE50" s="194"/>
      <c r="AF50" s="194"/>
      <c r="AG50" s="194"/>
    </row>
    <row r="51" spans="1:33" s="60" customFormat="1">
      <c r="A51" s="97"/>
      <c r="B51" s="605" t="s">
        <v>138</v>
      </c>
      <c r="C51" s="65" t="s">
        <v>378</v>
      </c>
      <c r="D51" s="354">
        <f>지반조사입력!B5</f>
        <v>2</v>
      </c>
      <c r="E51" s="65" t="s">
        <v>134</v>
      </c>
      <c r="F51" s="88">
        <f t="shared" si="7"/>
        <v>116491</v>
      </c>
      <c r="G51" s="88">
        <f t="shared" si="8"/>
        <v>232982</v>
      </c>
      <c r="H51" s="64">
        <v>110216</v>
      </c>
      <c r="I51" s="64">
        <f t="shared" si="9"/>
        <v>220432</v>
      </c>
      <c r="J51" s="64">
        <v>6275</v>
      </c>
      <c r="K51" s="64">
        <f t="shared" si="10"/>
        <v>12550</v>
      </c>
      <c r="L51" s="64"/>
      <c r="M51" s="64"/>
      <c r="N51" s="192" t="s">
        <v>386</v>
      </c>
      <c r="O51" s="59"/>
      <c r="P51" s="939" t="s">
        <v>1014</v>
      </c>
      <c r="Q51" s="940"/>
      <c r="R51" s="941">
        <f>INT(R50/1)</f>
        <v>9</v>
      </c>
      <c r="S51" s="942"/>
      <c r="T51" s="943" t="s">
        <v>1013</v>
      </c>
      <c r="U51" s="944"/>
      <c r="V51" s="944"/>
      <c r="W51" s="944"/>
      <c r="X51" s="944"/>
      <c r="Y51" s="940"/>
      <c r="Z51" s="194"/>
      <c r="AA51" s="194"/>
      <c r="AB51" s="194"/>
      <c r="AC51" s="194"/>
      <c r="AD51" s="194"/>
      <c r="AE51" s="194"/>
      <c r="AF51" s="194"/>
      <c r="AG51" s="194"/>
    </row>
    <row r="52" spans="1:33" s="60" customFormat="1">
      <c r="A52" s="97"/>
      <c r="B52" s="605" t="s">
        <v>138</v>
      </c>
      <c r="C52" s="65" t="s">
        <v>379</v>
      </c>
      <c r="D52" s="354">
        <f>지반조사입력!B6</f>
        <v>3</v>
      </c>
      <c r="E52" s="65" t="s">
        <v>134</v>
      </c>
      <c r="F52" s="88">
        <f t="shared" si="7"/>
        <v>239902</v>
      </c>
      <c r="G52" s="88">
        <f t="shared" si="8"/>
        <v>719706</v>
      </c>
      <c r="H52" s="64">
        <v>220552</v>
      </c>
      <c r="I52" s="64">
        <f t="shared" si="9"/>
        <v>661656</v>
      </c>
      <c r="J52" s="64">
        <v>19350</v>
      </c>
      <c r="K52" s="64">
        <f t="shared" si="10"/>
        <v>58050</v>
      </c>
      <c r="L52" s="64"/>
      <c r="M52" s="64"/>
      <c r="N52" s="192" t="s">
        <v>386</v>
      </c>
      <c r="O52" s="59"/>
      <c r="P52" s="194"/>
      <c r="Q52" s="194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</row>
    <row r="53" spans="1:33" s="60" customFormat="1">
      <c r="A53" s="97"/>
      <c r="B53" s="605" t="s">
        <v>138</v>
      </c>
      <c r="C53" s="65" t="s">
        <v>380</v>
      </c>
      <c r="D53" s="354">
        <f>지반조사입력!B7</f>
        <v>0</v>
      </c>
      <c r="E53" s="65" t="s">
        <v>134</v>
      </c>
      <c r="F53" s="88">
        <f t="shared" si="7"/>
        <v>411475</v>
      </c>
      <c r="G53" s="88">
        <f t="shared" si="8"/>
        <v>0</v>
      </c>
      <c r="H53" s="64">
        <v>308575</v>
      </c>
      <c r="I53" s="64">
        <f t="shared" si="9"/>
        <v>0</v>
      </c>
      <c r="J53" s="64">
        <v>102900</v>
      </c>
      <c r="K53" s="64">
        <f t="shared" si="10"/>
        <v>0</v>
      </c>
      <c r="L53" s="64"/>
      <c r="M53" s="64"/>
      <c r="N53" s="192" t="s">
        <v>386</v>
      </c>
      <c r="O53" s="59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</row>
    <row r="54" spans="1:33" s="60" customFormat="1">
      <c r="A54" s="97"/>
      <c r="B54" s="605" t="s">
        <v>138</v>
      </c>
      <c r="C54" s="65" t="s">
        <v>381</v>
      </c>
      <c r="D54" s="354">
        <f>지반조사입력!B8</f>
        <v>2</v>
      </c>
      <c r="E54" s="65" t="s">
        <v>134</v>
      </c>
      <c r="F54" s="88">
        <f t="shared" si="7"/>
        <v>120940</v>
      </c>
      <c r="G54" s="88">
        <f t="shared" si="8"/>
        <v>241880</v>
      </c>
      <c r="H54" s="64">
        <v>98240</v>
      </c>
      <c r="I54" s="64">
        <f t="shared" si="9"/>
        <v>196480</v>
      </c>
      <c r="J54" s="64">
        <v>22700</v>
      </c>
      <c r="K54" s="64">
        <f t="shared" si="10"/>
        <v>45400</v>
      </c>
      <c r="L54" s="64"/>
      <c r="M54" s="64"/>
      <c r="N54" s="192" t="s">
        <v>386</v>
      </c>
      <c r="O54" s="59"/>
      <c r="P54" s="194"/>
      <c r="Q54" s="194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</row>
    <row r="55" spans="1:33" s="60" customFormat="1">
      <c r="A55" s="97"/>
      <c r="B55" s="605" t="s">
        <v>138</v>
      </c>
      <c r="C55" s="65" t="s">
        <v>382</v>
      </c>
      <c r="D55" s="354">
        <f>지반조사입력!B9</f>
        <v>1</v>
      </c>
      <c r="E55" s="65" t="s">
        <v>134</v>
      </c>
      <c r="F55" s="88">
        <f t="shared" si="7"/>
        <v>131535</v>
      </c>
      <c r="G55" s="88">
        <f t="shared" si="8"/>
        <v>131535</v>
      </c>
      <c r="H55" s="64">
        <v>103535</v>
      </c>
      <c r="I55" s="64">
        <f t="shared" si="9"/>
        <v>103535</v>
      </c>
      <c r="J55" s="64">
        <v>28000</v>
      </c>
      <c r="K55" s="64">
        <f t="shared" si="10"/>
        <v>28000</v>
      </c>
      <c r="L55" s="64"/>
      <c r="M55" s="64"/>
      <c r="N55" s="192" t="s">
        <v>386</v>
      </c>
      <c r="O55" s="59"/>
      <c r="P55" s="194"/>
      <c r="Q55" s="194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4"/>
      <c r="AC55" s="194"/>
      <c r="AD55" s="194"/>
      <c r="AE55" s="194"/>
      <c r="AF55" s="194"/>
      <c r="AG55" s="194"/>
    </row>
    <row r="56" spans="1:33" s="60" customFormat="1">
      <c r="A56" s="97"/>
      <c r="B56" s="605" t="s">
        <v>138</v>
      </c>
      <c r="C56" s="65" t="s">
        <v>383</v>
      </c>
      <c r="D56" s="354">
        <f>지반조사입력!B10</f>
        <v>0</v>
      </c>
      <c r="E56" s="65" t="s">
        <v>134</v>
      </c>
      <c r="F56" s="88">
        <f t="shared" si="7"/>
        <v>142535</v>
      </c>
      <c r="G56" s="88">
        <f t="shared" si="8"/>
        <v>0</v>
      </c>
      <c r="H56" s="64">
        <v>114535</v>
      </c>
      <c r="I56" s="64">
        <f t="shared" si="9"/>
        <v>0</v>
      </c>
      <c r="J56" s="64">
        <v>28000</v>
      </c>
      <c r="K56" s="64">
        <f t="shared" si="10"/>
        <v>0</v>
      </c>
      <c r="L56" s="64"/>
      <c r="M56" s="64"/>
      <c r="N56" s="192" t="s">
        <v>386</v>
      </c>
      <c r="O56" s="59"/>
      <c r="P56" s="194"/>
      <c r="Q56" s="194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194"/>
    </row>
    <row r="57" spans="1:33" s="60" customFormat="1">
      <c r="A57" s="97"/>
      <c r="B57" s="605" t="s">
        <v>138</v>
      </c>
      <c r="C57" s="65" t="s">
        <v>384</v>
      </c>
      <c r="D57" s="354">
        <f>지반조사입력!B11</f>
        <v>0</v>
      </c>
      <c r="E57" s="65" t="s">
        <v>134</v>
      </c>
      <c r="F57" s="88">
        <f>SUM(H57,J57,L57)</f>
        <v>220280</v>
      </c>
      <c r="G57" s="88">
        <f t="shared" si="8"/>
        <v>0</v>
      </c>
      <c r="H57" s="64">
        <v>186700</v>
      </c>
      <c r="I57" s="64">
        <f t="shared" si="9"/>
        <v>0</v>
      </c>
      <c r="J57" s="64">
        <v>33580</v>
      </c>
      <c r="K57" s="64">
        <f t="shared" si="10"/>
        <v>0</v>
      </c>
      <c r="L57" s="64"/>
      <c r="M57" s="64"/>
      <c r="N57" s="192" t="s">
        <v>386</v>
      </c>
      <c r="O57" s="59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</row>
    <row r="58" spans="1:33" s="60" customFormat="1">
      <c r="A58" s="97"/>
      <c r="B58" s="605" t="s">
        <v>138</v>
      </c>
      <c r="C58" s="65" t="s">
        <v>385</v>
      </c>
      <c r="D58" s="354">
        <f>지반조사입력!B12</f>
        <v>0</v>
      </c>
      <c r="E58" s="65" t="s">
        <v>134</v>
      </c>
      <c r="F58" s="88">
        <f>SUM(H58,J58,L58)</f>
        <v>254211</v>
      </c>
      <c r="G58" s="88">
        <f t="shared" si="8"/>
        <v>0</v>
      </c>
      <c r="H58" s="64">
        <v>212991</v>
      </c>
      <c r="I58" s="64">
        <f t="shared" si="9"/>
        <v>0</v>
      </c>
      <c r="J58" s="64">
        <v>41220</v>
      </c>
      <c r="K58" s="64"/>
      <c r="L58" s="64"/>
      <c r="M58" s="64"/>
      <c r="N58" s="192" t="s">
        <v>386</v>
      </c>
      <c r="O58" s="59"/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194"/>
      <c r="AA58" s="194"/>
      <c r="AB58" s="194"/>
      <c r="AC58" s="194"/>
      <c r="AD58" s="194"/>
      <c r="AE58" s="194"/>
      <c r="AF58" s="194"/>
      <c r="AG58" s="194"/>
    </row>
    <row r="59" spans="1:33" s="60" customFormat="1">
      <c r="A59" s="97"/>
      <c r="B59" s="605" t="s">
        <v>135</v>
      </c>
      <c r="C59" s="65"/>
      <c r="D59" s="353">
        <f>R51</f>
        <v>9</v>
      </c>
      <c r="E59" s="65" t="s">
        <v>136</v>
      </c>
      <c r="F59" s="88">
        <f t="shared" si="7"/>
        <v>28305</v>
      </c>
      <c r="G59" s="88">
        <f t="shared" si="8"/>
        <v>254745</v>
      </c>
      <c r="H59" s="64">
        <v>20728</v>
      </c>
      <c r="I59" s="64">
        <f t="shared" si="9"/>
        <v>186552</v>
      </c>
      <c r="J59" s="64">
        <v>7577</v>
      </c>
      <c r="K59" s="64">
        <f t="shared" si="10"/>
        <v>68193</v>
      </c>
      <c r="L59" s="64"/>
      <c r="M59" s="64"/>
      <c r="N59" s="192" t="s">
        <v>386</v>
      </c>
      <c r="O59" s="59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</row>
    <row r="60" spans="1:33" s="60" customFormat="1">
      <c r="A60" s="97"/>
      <c r="B60" s="605" t="s">
        <v>139</v>
      </c>
      <c r="C60" s="65"/>
      <c r="D60" s="353">
        <f>D59</f>
        <v>9</v>
      </c>
      <c r="E60" s="65" t="s">
        <v>136</v>
      </c>
      <c r="F60" s="88">
        <f t="shared" si="7"/>
        <v>96875</v>
      </c>
      <c r="G60" s="88">
        <f t="shared" si="8"/>
        <v>871875</v>
      </c>
      <c r="H60" s="64">
        <v>72380</v>
      </c>
      <c r="I60" s="64">
        <f t="shared" si="9"/>
        <v>651420</v>
      </c>
      <c r="J60" s="64">
        <v>24495</v>
      </c>
      <c r="K60" s="64">
        <f t="shared" si="10"/>
        <v>220455</v>
      </c>
      <c r="L60" s="64"/>
      <c r="M60" s="64"/>
      <c r="N60" s="192" t="s">
        <v>386</v>
      </c>
      <c r="O60" s="59"/>
      <c r="P60" s="194"/>
      <c r="Q60" s="194"/>
      <c r="R60" s="194"/>
      <c r="S60" s="194"/>
      <c r="T60" s="194"/>
      <c r="U60" s="194"/>
      <c r="V60" s="194"/>
      <c r="W60" s="194"/>
      <c r="X60" s="194"/>
      <c r="Y60" s="194"/>
      <c r="Z60" s="194"/>
      <c r="AA60" s="194"/>
      <c r="AB60" s="194"/>
      <c r="AC60" s="194"/>
      <c r="AD60" s="194"/>
      <c r="AE60" s="194"/>
      <c r="AF60" s="194"/>
      <c r="AG60" s="194"/>
    </row>
    <row r="61" spans="1:33" s="60" customFormat="1">
      <c r="A61" s="97"/>
      <c r="B61" s="605"/>
      <c r="C61" s="65"/>
      <c r="D61" s="353"/>
      <c r="E61" s="65"/>
      <c r="F61" s="64"/>
      <c r="G61" s="64"/>
      <c r="H61" s="64"/>
      <c r="I61" s="64"/>
      <c r="J61" s="64"/>
      <c r="K61" s="64"/>
      <c r="L61" s="64"/>
      <c r="M61" s="64"/>
      <c r="N61" s="189"/>
      <c r="O61" s="59"/>
      <c r="P61" s="194"/>
      <c r="Q61" s="194"/>
      <c r="R61" s="194"/>
      <c r="S61" s="194"/>
      <c r="T61" s="194"/>
      <c r="U61" s="194"/>
      <c r="V61" s="194"/>
      <c r="W61" s="194"/>
      <c r="X61" s="194"/>
      <c r="Y61" s="194"/>
      <c r="Z61" s="194"/>
      <c r="AA61" s="194"/>
      <c r="AB61" s="194"/>
      <c r="AC61" s="194"/>
      <c r="AD61" s="194"/>
      <c r="AE61" s="194"/>
      <c r="AF61" s="194"/>
      <c r="AG61" s="194"/>
    </row>
    <row r="62" spans="1:33" s="60" customFormat="1">
      <c r="A62" s="97">
        <v>8</v>
      </c>
      <c r="B62" s="604" t="s">
        <v>685</v>
      </c>
      <c r="C62" s="124" t="s">
        <v>688</v>
      </c>
      <c r="D62" s="352"/>
      <c r="E62" s="391" t="s">
        <v>687</v>
      </c>
      <c r="F62" s="124"/>
      <c r="G62" s="125">
        <f>SUM(I62,K62,M62)</f>
        <v>2529264</v>
      </c>
      <c r="H62" s="124"/>
      <c r="I62" s="125">
        <f>SUM(I63:I76)</f>
        <v>2299492</v>
      </c>
      <c r="J62" s="124"/>
      <c r="K62" s="125">
        <f>SUM(K63:K76)</f>
        <v>229772</v>
      </c>
      <c r="L62" s="126"/>
      <c r="M62" s="125"/>
      <c r="N62" s="189"/>
      <c r="O62" s="59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</row>
    <row r="63" spans="1:33" s="60" customFormat="1">
      <c r="A63" s="97"/>
      <c r="B63" s="605" t="s">
        <v>392</v>
      </c>
      <c r="C63" s="65"/>
      <c r="D63" s="353">
        <v>1</v>
      </c>
      <c r="E63" s="65" t="s">
        <v>391</v>
      </c>
      <c r="F63" s="88">
        <f t="shared" ref="F63:F72" si="11">SUM(H63,J63,L63)</f>
        <v>174955</v>
      </c>
      <c r="G63" s="88">
        <f t="shared" ref="G63:G76" si="12">SUM(I63,K63,M63)</f>
        <v>174955</v>
      </c>
      <c r="H63" s="64">
        <f>보링공</f>
        <v>174955</v>
      </c>
      <c r="I63" s="64">
        <f>TRUNC(H63*D63,0)</f>
        <v>174955</v>
      </c>
      <c r="J63" s="64"/>
      <c r="K63" s="64"/>
      <c r="L63" s="64"/>
      <c r="M63" s="64"/>
      <c r="N63" s="196" t="s">
        <v>390</v>
      </c>
      <c r="P63" s="194"/>
      <c r="Q63" s="194"/>
      <c r="R63" s="193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</row>
    <row r="64" spans="1:33" s="60" customFormat="1">
      <c r="A64" s="97"/>
      <c r="B64" s="605" t="s">
        <v>151</v>
      </c>
      <c r="C64" s="65"/>
      <c r="D64" s="353">
        <v>1</v>
      </c>
      <c r="E64" s="65" t="s">
        <v>391</v>
      </c>
      <c r="F64" s="88">
        <f t="shared" si="11"/>
        <v>166063</v>
      </c>
      <c r="G64" s="88">
        <f t="shared" si="12"/>
        <v>166063</v>
      </c>
      <c r="H64" s="64">
        <f>특별인부</f>
        <v>166063</v>
      </c>
      <c r="I64" s="64">
        <f>TRUNC(H64*D64,0)</f>
        <v>166063</v>
      </c>
      <c r="J64" s="64"/>
      <c r="K64" s="64"/>
      <c r="L64" s="64"/>
      <c r="M64" s="64"/>
      <c r="N64" s="196" t="s">
        <v>390</v>
      </c>
      <c r="P64" s="957" t="s">
        <v>1012</v>
      </c>
      <c r="Q64" s="957"/>
      <c r="R64" s="957"/>
      <c r="S64" s="957"/>
      <c r="T64" s="957"/>
      <c r="U64" s="957"/>
      <c r="V64" s="957"/>
      <c r="W64" s="957"/>
      <c r="X64" s="957"/>
      <c r="Y64" s="957"/>
      <c r="Z64" s="194"/>
      <c r="AA64" s="194"/>
      <c r="AB64" s="194"/>
      <c r="AC64" s="194"/>
      <c r="AD64" s="194"/>
      <c r="AE64" s="194"/>
      <c r="AF64" s="194"/>
      <c r="AG64" s="194"/>
    </row>
    <row r="65" spans="1:33" s="60" customFormat="1">
      <c r="A65" s="97"/>
      <c r="B65" s="605" t="s">
        <v>152</v>
      </c>
      <c r="C65" s="65"/>
      <c r="D65" s="353">
        <v>1</v>
      </c>
      <c r="E65" s="65" t="s">
        <v>391</v>
      </c>
      <c r="F65" s="88">
        <f t="shared" si="11"/>
        <v>138290</v>
      </c>
      <c r="G65" s="88">
        <f t="shared" si="12"/>
        <v>138290</v>
      </c>
      <c r="H65" s="64">
        <f>보통인부</f>
        <v>138290</v>
      </c>
      <c r="I65" s="64">
        <f>TRUNC(H65*D65,0)</f>
        <v>138290</v>
      </c>
      <c r="J65" s="64"/>
      <c r="K65" s="64"/>
      <c r="L65" s="64"/>
      <c r="M65" s="64"/>
      <c r="N65" s="196" t="s">
        <v>390</v>
      </c>
      <c r="P65" s="945" t="s">
        <v>1007</v>
      </c>
      <c r="Q65" s="946"/>
      <c r="R65" s="947" t="s">
        <v>1009</v>
      </c>
      <c r="S65" s="948"/>
      <c r="T65" s="949" t="s">
        <v>1010</v>
      </c>
      <c r="U65" s="950"/>
      <c r="V65" s="950"/>
      <c r="W65" s="950"/>
      <c r="X65" s="950"/>
      <c r="Y65" s="946"/>
      <c r="Z65" s="194"/>
      <c r="AA65" s="194"/>
      <c r="AB65" s="194"/>
      <c r="AC65" s="194"/>
      <c r="AD65" s="194"/>
      <c r="AE65" s="194"/>
      <c r="AF65" s="194"/>
      <c r="AG65" s="194"/>
    </row>
    <row r="66" spans="1:33" s="60" customFormat="1">
      <c r="A66" s="97"/>
      <c r="B66" s="605" t="s">
        <v>138</v>
      </c>
      <c r="C66" s="65" t="s">
        <v>377</v>
      </c>
      <c r="D66" s="354">
        <f>지반조사입력!B4</f>
        <v>3</v>
      </c>
      <c r="E66" s="65" t="s">
        <v>134</v>
      </c>
      <c r="F66" s="88">
        <f t="shared" si="11"/>
        <v>116091</v>
      </c>
      <c r="G66" s="88">
        <f t="shared" si="12"/>
        <v>348273</v>
      </c>
      <c r="H66" s="64">
        <v>112816</v>
      </c>
      <c r="I66" s="64">
        <f t="shared" ref="I66:I76" si="13">TRUNC(H66*D66,0)</f>
        <v>338448</v>
      </c>
      <c r="J66" s="64">
        <v>3275</v>
      </c>
      <c r="K66" s="64">
        <f t="shared" ref="K66:K73" si="14">TRUNC(J66*D66,0)</f>
        <v>9825</v>
      </c>
      <c r="L66" s="64"/>
      <c r="M66" s="64"/>
      <c r="N66" s="192" t="s">
        <v>386</v>
      </c>
      <c r="O66" s="59"/>
      <c r="P66" s="951" t="s">
        <v>1008</v>
      </c>
      <c r="Q66" s="952"/>
      <c r="R66" s="953">
        <f>SUM(D66:D69)+IF(D70=0,0,1)</f>
        <v>9</v>
      </c>
      <c r="S66" s="954"/>
      <c r="T66" s="955" t="s">
        <v>1011</v>
      </c>
      <c r="U66" s="956"/>
      <c r="V66" s="956"/>
      <c r="W66" s="956"/>
      <c r="X66" s="956"/>
      <c r="Y66" s="952"/>
      <c r="Z66" s="194"/>
      <c r="AA66" s="194"/>
      <c r="AB66" s="194"/>
      <c r="AC66" s="194"/>
      <c r="AD66" s="194"/>
      <c r="AE66" s="194"/>
      <c r="AF66" s="194"/>
      <c r="AG66" s="194"/>
    </row>
    <row r="67" spans="1:33" s="60" customFormat="1">
      <c r="A67" s="97"/>
      <c r="B67" s="605" t="s">
        <v>138</v>
      </c>
      <c r="C67" s="65" t="s">
        <v>378</v>
      </c>
      <c r="D67" s="354">
        <f>지반조사입력!B5</f>
        <v>2</v>
      </c>
      <c r="E67" s="65" t="s">
        <v>134</v>
      </c>
      <c r="F67" s="88">
        <f t="shared" si="11"/>
        <v>137988</v>
      </c>
      <c r="G67" s="88">
        <f t="shared" si="12"/>
        <v>275976</v>
      </c>
      <c r="H67" s="64">
        <v>130088</v>
      </c>
      <c r="I67" s="64">
        <f t="shared" si="13"/>
        <v>260176</v>
      </c>
      <c r="J67" s="64">
        <v>7900</v>
      </c>
      <c r="K67" s="64">
        <f t="shared" si="14"/>
        <v>15800</v>
      </c>
      <c r="L67" s="64"/>
      <c r="M67" s="64"/>
      <c r="N67" s="192" t="s">
        <v>386</v>
      </c>
      <c r="O67" s="59"/>
      <c r="P67" s="939" t="s">
        <v>1014</v>
      </c>
      <c r="Q67" s="940"/>
      <c r="R67" s="941">
        <f>INT(R66/1)</f>
        <v>9</v>
      </c>
      <c r="S67" s="942"/>
      <c r="T67" s="943" t="s">
        <v>1013</v>
      </c>
      <c r="U67" s="944"/>
      <c r="V67" s="944"/>
      <c r="W67" s="944"/>
      <c r="X67" s="944"/>
      <c r="Y67" s="940"/>
      <c r="Z67" s="194"/>
      <c r="AA67" s="194"/>
      <c r="AB67" s="194"/>
      <c r="AC67" s="194"/>
      <c r="AD67" s="194"/>
      <c r="AE67" s="194"/>
      <c r="AF67" s="194"/>
      <c r="AG67" s="194"/>
    </row>
    <row r="68" spans="1:33" s="60" customFormat="1">
      <c r="A68" s="97"/>
      <c r="B68" s="605" t="s">
        <v>138</v>
      </c>
      <c r="C68" s="65" t="s">
        <v>379</v>
      </c>
      <c r="D68" s="354">
        <f>지반조사입력!B6</f>
        <v>3</v>
      </c>
      <c r="E68" s="65" t="s">
        <v>134</v>
      </c>
      <c r="F68" s="88">
        <f t="shared" si="11"/>
        <v>282744</v>
      </c>
      <c r="G68" s="88">
        <f t="shared" si="12"/>
        <v>848232</v>
      </c>
      <c r="H68" s="64">
        <v>257744</v>
      </c>
      <c r="I68" s="64">
        <f t="shared" si="13"/>
        <v>773232</v>
      </c>
      <c r="J68" s="64">
        <v>25000</v>
      </c>
      <c r="K68" s="64">
        <f t="shared" si="14"/>
        <v>75000</v>
      </c>
      <c r="L68" s="64"/>
      <c r="M68" s="64"/>
      <c r="N68" s="192" t="s">
        <v>386</v>
      </c>
      <c r="O68" s="59"/>
      <c r="P68" s="194"/>
      <c r="Q68" s="194"/>
      <c r="R68" s="194"/>
      <c r="S68" s="194"/>
      <c r="T68" s="194"/>
      <c r="U68" s="194"/>
      <c r="V68" s="194"/>
      <c r="W68" s="194"/>
      <c r="X68" s="194"/>
      <c r="Y68" s="194"/>
      <c r="Z68" s="194"/>
      <c r="AA68" s="194"/>
      <c r="AB68" s="194"/>
      <c r="AC68" s="194"/>
      <c r="AD68" s="194"/>
      <c r="AE68" s="194"/>
      <c r="AF68" s="194"/>
      <c r="AG68" s="194"/>
    </row>
    <row r="69" spans="1:33" s="60" customFormat="1">
      <c r="A69" s="97"/>
      <c r="B69" s="605" t="s">
        <v>138</v>
      </c>
      <c r="C69" s="65" t="s">
        <v>380</v>
      </c>
      <c r="D69" s="354">
        <f>지반조사입력!B7</f>
        <v>0</v>
      </c>
      <c r="E69" s="65" t="s">
        <v>134</v>
      </c>
      <c r="F69" s="88">
        <f t="shared" si="11"/>
        <v>500323</v>
      </c>
      <c r="G69" s="88">
        <f t="shared" si="12"/>
        <v>0</v>
      </c>
      <c r="H69" s="64">
        <v>362923</v>
      </c>
      <c r="I69" s="64">
        <f t="shared" si="13"/>
        <v>0</v>
      </c>
      <c r="J69" s="64">
        <v>137400</v>
      </c>
      <c r="K69" s="64">
        <f t="shared" si="14"/>
        <v>0</v>
      </c>
      <c r="L69" s="64"/>
      <c r="M69" s="64"/>
      <c r="N69" s="192" t="s">
        <v>386</v>
      </c>
      <c r="O69" s="59"/>
      <c r="P69" s="194"/>
      <c r="Q69" s="194"/>
      <c r="R69" s="194"/>
      <c r="S69" s="194"/>
      <c r="T69" s="194"/>
      <c r="U69" s="194"/>
      <c r="V69" s="194"/>
      <c r="W69" s="194"/>
      <c r="X69" s="194"/>
      <c r="Y69" s="194"/>
      <c r="Z69" s="194"/>
      <c r="AA69" s="194"/>
      <c r="AB69" s="194"/>
      <c r="AC69" s="194"/>
      <c r="AD69" s="194"/>
      <c r="AE69" s="194"/>
      <c r="AF69" s="194"/>
      <c r="AG69" s="194"/>
    </row>
    <row r="70" spans="1:33" s="60" customFormat="1">
      <c r="A70" s="97"/>
      <c r="B70" s="605" t="s">
        <v>138</v>
      </c>
      <c r="C70" s="65" t="s">
        <v>381</v>
      </c>
      <c r="D70" s="354">
        <f>지반조사입력!B8</f>
        <v>2</v>
      </c>
      <c r="E70" s="65" t="s">
        <v>134</v>
      </c>
      <c r="F70" s="88">
        <f t="shared" si="11"/>
        <v>145512</v>
      </c>
      <c r="G70" s="88">
        <f t="shared" si="12"/>
        <v>291024</v>
      </c>
      <c r="H70" s="64">
        <v>115512</v>
      </c>
      <c r="I70" s="64">
        <f t="shared" si="13"/>
        <v>231024</v>
      </c>
      <c r="J70" s="64">
        <v>30000</v>
      </c>
      <c r="K70" s="64">
        <f t="shared" si="14"/>
        <v>60000</v>
      </c>
      <c r="L70" s="64"/>
      <c r="M70" s="64"/>
      <c r="N70" s="192" t="s">
        <v>386</v>
      </c>
      <c r="O70" s="59"/>
      <c r="P70" s="194"/>
      <c r="Q70" s="194"/>
      <c r="R70" s="194"/>
      <c r="S70" s="194"/>
      <c r="T70" s="194"/>
      <c r="U70" s="194"/>
      <c r="V70" s="194"/>
      <c r="W70" s="194"/>
      <c r="X70" s="194"/>
      <c r="Y70" s="194"/>
      <c r="Z70" s="194"/>
      <c r="AA70" s="194"/>
      <c r="AB70" s="194"/>
      <c r="AC70" s="194"/>
      <c r="AD70" s="194"/>
      <c r="AE70" s="194"/>
      <c r="AF70" s="194"/>
      <c r="AG70" s="194"/>
    </row>
    <row r="71" spans="1:33" s="60" customFormat="1">
      <c r="A71" s="97"/>
      <c r="B71" s="605" t="s">
        <v>138</v>
      </c>
      <c r="C71" s="65" t="s">
        <v>382</v>
      </c>
      <c r="D71" s="354">
        <f>지반조사입력!B9</f>
        <v>1</v>
      </c>
      <c r="E71" s="65" t="s">
        <v>134</v>
      </c>
      <c r="F71" s="88">
        <f t="shared" si="11"/>
        <v>161271</v>
      </c>
      <c r="G71" s="88">
        <f t="shared" si="12"/>
        <v>161271</v>
      </c>
      <c r="H71" s="64">
        <v>124196</v>
      </c>
      <c r="I71" s="64">
        <f t="shared" si="13"/>
        <v>124196</v>
      </c>
      <c r="J71" s="64">
        <v>37075</v>
      </c>
      <c r="K71" s="64">
        <f t="shared" si="14"/>
        <v>37075</v>
      </c>
      <c r="L71" s="64"/>
      <c r="M71" s="64"/>
      <c r="N71" s="192" t="s">
        <v>386</v>
      </c>
      <c r="O71" s="59"/>
      <c r="P71" s="194"/>
      <c r="Q71" s="194"/>
      <c r="R71" s="194"/>
      <c r="S71" s="194"/>
      <c r="T71" s="194"/>
      <c r="U71" s="194"/>
      <c r="V71" s="194"/>
      <c r="W71" s="194"/>
      <c r="X71" s="194"/>
      <c r="Y71" s="194"/>
      <c r="Z71" s="194"/>
      <c r="AA71" s="194"/>
      <c r="AB71" s="194"/>
      <c r="AC71" s="194"/>
      <c r="AD71" s="194"/>
      <c r="AE71" s="194"/>
      <c r="AF71" s="194"/>
      <c r="AG71" s="194"/>
    </row>
    <row r="72" spans="1:33" s="60" customFormat="1">
      <c r="A72" s="97"/>
      <c r="B72" s="605" t="s">
        <v>138</v>
      </c>
      <c r="C72" s="65" t="s">
        <v>383</v>
      </c>
      <c r="D72" s="354">
        <f>지반조사입력!B10</f>
        <v>0</v>
      </c>
      <c r="E72" s="65" t="s">
        <v>134</v>
      </c>
      <c r="F72" s="88">
        <f t="shared" si="11"/>
        <v>172174</v>
      </c>
      <c r="G72" s="88">
        <f t="shared" si="12"/>
        <v>0</v>
      </c>
      <c r="H72" s="64">
        <v>135099</v>
      </c>
      <c r="I72" s="64">
        <f t="shared" si="13"/>
        <v>0</v>
      </c>
      <c r="J72" s="64">
        <v>37075</v>
      </c>
      <c r="K72" s="64">
        <f t="shared" si="14"/>
        <v>0</v>
      </c>
      <c r="L72" s="64"/>
      <c r="M72" s="64"/>
      <c r="N72" s="192" t="s">
        <v>386</v>
      </c>
      <c r="O72" s="59"/>
      <c r="P72" s="194"/>
      <c r="Q72" s="194"/>
      <c r="R72" s="194"/>
      <c r="S72" s="194"/>
      <c r="T72" s="194"/>
      <c r="U72" s="194"/>
      <c r="V72" s="194"/>
      <c r="W72" s="194"/>
      <c r="X72" s="194"/>
      <c r="Y72" s="194"/>
      <c r="Z72" s="194"/>
      <c r="AA72" s="194"/>
      <c r="AB72" s="194"/>
      <c r="AC72" s="194"/>
      <c r="AD72" s="194"/>
      <c r="AE72" s="194"/>
      <c r="AF72" s="194"/>
      <c r="AG72" s="194"/>
    </row>
    <row r="73" spans="1:33" s="60" customFormat="1">
      <c r="A73" s="97"/>
      <c r="B73" s="605" t="s">
        <v>138</v>
      </c>
      <c r="C73" s="65" t="s">
        <v>384</v>
      </c>
      <c r="D73" s="354">
        <f>지반조사입력!B11</f>
        <v>0</v>
      </c>
      <c r="E73" s="65" t="s">
        <v>134</v>
      </c>
      <c r="F73" s="88">
        <f>SUM(H73,J73,L73)</f>
        <v>262025</v>
      </c>
      <c r="G73" s="88">
        <f t="shared" si="12"/>
        <v>0</v>
      </c>
      <c r="H73" s="64">
        <v>218645</v>
      </c>
      <c r="I73" s="64">
        <f t="shared" si="13"/>
        <v>0</v>
      </c>
      <c r="J73" s="64">
        <v>43380</v>
      </c>
      <c r="K73" s="64">
        <f t="shared" si="14"/>
        <v>0</v>
      </c>
      <c r="L73" s="64"/>
      <c r="M73" s="64"/>
      <c r="N73" s="192" t="s">
        <v>386</v>
      </c>
      <c r="O73" s="59"/>
      <c r="P73" s="194"/>
      <c r="Q73" s="194"/>
      <c r="R73" s="194"/>
      <c r="S73" s="194"/>
      <c r="T73" s="194"/>
      <c r="U73" s="194"/>
      <c r="V73" s="194"/>
      <c r="W73" s="194"/>
      <c r="X73" s="194"/>
      <c r="Y73" s="194"/>
      <c r="Z73" s="194"/>
      <c r="AA73" s="194"/>
      <c r="AB73" s="194"/>
      <c r="AC73" s="194"/>
      <c r="AD73" s="194"/>
      <c r="AE73" s="194"/>
      <c r="AF73" s="194"/>
      <c r="AG73" s="194"/>
    </row>
    <row r="74" spans="1:33" s="60" customFormat="1">
      <c r="A74" s="97"/>
      <c r="B74" s="605" t="s">
        <v>138</v>
      </c>
      <c r="C74" s="65" t="s">
        <v>385</v>
      </c>
      <c r="D74" s="354">
        <f>지반조사입력!B12</f>
        <v>0</v>
      </c>
      <c r="E74" s="65" t="s">
        <v>134</v>
      </c>
      <c r="F74" s="88">
        <f>SUM(H74,J74,L74)</f>
        <v>305101</v>
      </c>
      <c r="G74" s="88">
        <f t="shared" si="12"/>
        <v>0</v>
      </c>
      <c r="H74" s="64">
        <v>251781</v>
      </c>
      <c r="I74" s="64">
        <f t="shared" si="13"/>
        <v>0</v>
      </c>
      <c r="J74" s="64">
        <v>53320</v>
      </c>
      <c r="K74" s="64"/>
      <c r="L74" s="64"/>
      <c r="M74" s="64"/>
      <c r="N74" s="192" t="s">
        <v>386</v>
      </c>
      <c r="O74" s="59"/>
      <c r="P74" s="194"/>
      <c r="Q74" s="194"/>
      <c r="R74" s="194"/>
      <c r="S74" s="194"/>
      <c r="T74" s="194"/>
      <c r="U74" s="194"/>
      <c r="V74" s="194"/>
      <c r="W74" s="194"/>
      <c r="X74" s="194"/>
      <c r="Y74" s="194"/>
      <c r="Z74" s="194"/>
      <c r="AA74" s="194"/>
      <c r="AB74" s="194"/>
      <c r="AC74" s="194"/>
      <c r="AD74" s="194"/>
      <c r="AE74" s="194"/>
      <c r="AF74" s="194"/>
      <c r="AG74" s="194"/>
    </row>
    <row r="75" spans="1:33" s="60" customFormat="1">
      <c r="A75" s="97"/>
      <c r="B75" s="605" t="s">
        <v>135</v>
      </c>
      <c r="C75" s="65"/>
      <c r="D75" s="353">
        <v>1</v>
      </c>
      <c r="E75" s="65" t="s">
        <v>136</v>
      </c>
      <c r="F75" s="88">
        <f>SUM(H75,J75,L75)</f>
        <v>28305</v>
      </c>
      <c r="G75" s="88">
        <f t="shared" si="12"/>
        <v>28305</v>
      </c>
      <c r="H75" s="64">
        <v>20728</v>
      </c>
      <c r="I75" s="64">
        <f t="shared" si="13"/>
        <v>20728</v>
      </c>
      <c r="J75" s="64">
        <v>7577</v>
      </c>
      <c r="K75" s="64">
        <f>TRUNC(J75*D75,0)</f>
        <v>7577</v>
      </c>
      <c r="L75" s="64"/>
      <c r="M75" s="64"/>
      <c r="N75" s="192" t="s">
        <v>386</v>
      </c>
      <c r="O75" s="59"/>
      <c r="P75" s="194"/>
      <c r="Q75" s="194"/>
      <c r="R75" s="194"/>
      <c r="S75" s="194"/>
      <c r="T75" s="194"/>
      <c r="U75" s="194"/>
      <c r="V75" s="194"/>
      <c r="W75" s="194"/>
      <c r="X75" s="194"/>
      <c r="Y75" s="194"/>
      <c r="Z75" s="194"/>
      <c r="AA75" s="194"/>
      <c r="AB75" s="194"/>
      <c r="AC75" s="194"/>
      <c r="AD75" s="194"/>
      <c r="AE75" s="194"/>
      <c r="AF75" s="194"/>
      <c r="AG75" s="194"/>
    </row>
    <row r="76" spans="1:33" s="60" customFormat="1">
      <c r="A76" s="97"/>
      <c r="B76" s="605" t="s">
        <v>139</v>
      </c>
      <c r="C76" s="65"/>
      <c r="D76" s="353">
        <f>D75</f>
        <v>1</v>
      </c>
      <c r="E76" s="65" t="s">
        <v>136</v>
      </c>
      <c r="F76" s="88">
        <f>SUM(H76,J76,L76)</f>
        <v>96875</v>
      </c>
      <c r="G76" s="88">
        <f t="shared" si="12"/>
        <v>96875</v>
      </c>
      <c r="H76" s="64">
        <v>72380</v>
      </c>
      <c r="I76" s="64">
        <f t="shared" si="13"/>
        <v>72380</v>
      </c>
      <c r="J76" s="64">
        <v>24495</v>
      </c>
      <c r="K76" s="64">
        <f>TRUNC(J76*D76,0)</f>
        <v>24495</v>
      </c>
      <c r="L76" s="64"/>
      <c r="M76" s="64"/>
      <c r="N76" s="192" t="s">
        <v>386</v>
      </c>
      <c r="O76" s="59"/>
      <c r="P76" s="194"/>
      <c r="Q76" s="194"/>
      <c r="R76" s="194"/>
      <c r="S76" s="194"/>
      <c r="T76" s="194"/>
      <c r="U76" s="194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  <c r="AF76" s="194"/>
      <c r="AG76" s="194"/>
    </row>
    <row r="77" spans="1:33" s="60" customFormat="1">
      <c r="A77" s="97"/>
      <c r="B77" s="605"/>
      <c r="C77" s="65"/>
      <c r="D77" s="353"/>
      <c r="E77" s="65"/>
      <c r="F77" s="88"/>
      <c r="G77" s="88"/>
      <c r="H77" s="64"/>
      <c r="I77" s="64"/>
      <c r="J77" s="64"/>
      <c r="K77" s="64"/>
      <c r="L77" s="64"/>
      <c r="M77" s="64"/>
      <c r="N77" s="189"/>
      <c r="O77" s="59"/>
      <c r="P77" s="194"/>
      <c r="Q77" s="194"/>
      <c r="R77" s="194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  <c r="AF77" s="194"/>
      <c r="AG77" s="194"/>
    </row>
    <row r="78" spans="1:33" s="60" customFormat="1">
      <c r="A78" s="97">
        <v>9</v>
      </c>
      <c r="B78" s="603" t="s">
        <v>675</v>
      </c>
      <c r="C78" s="63"/>
      <c r="D78" s="355"/>
      <c r="E78" s="63"/>
      <c r="F78" s="63"/>
      <c r="G78" s="125">
        <f>SUM(I78,K78,M78)</f>
        <v>90120</v>
      </c>
      <c r="H78" s="63"/>
      <c r="I78" s="89"/>
      <c r="J78" s="63"/>
      <c r="K78" s="89"/>
      <c r="L78" s="64"/>
      <c r="M78" s="89">
        <f>SUM(M79:M79)</f>
        <v>90120</v>
      </c>
      <c r="N78" s="189"/>
      <c r="O78" s="59"/>
      <c r="P78" s="194"/>
      <c r="Q78" s="194"/>
      <c r="R78" s="194"/>
      <c r="S78" s="194"/>
      <c r="T78" s="194"/>
      <c r="U78" s="194"/>
      <c r="V78" s="194"/>
      <c r="W78" s="194"/>
      <c r="X78" s="194"/>
      <c r="Y78" s="194"/>
      <c r="Z78" s="194"/>
      <c r="AA78" s="194"/>
      <c r="AB78" s="194"/>
      <c r="AC78" s="194"/>
      <c r="AD78" s="194"/>
      <c r="AE78" s="194"/>
      <c r="AF78" s="194"/>
      <c r="AG78" s="194"/>
    </row>
    <row r="79" spans="1:33" s="60" customFormat="1">
      <c r="A79" s="97"/>
      <c r="B79" s="605" t="s">
        <v>140</v>
      </c>
      <c r="C79" s="65"/>
      <c r="D79" s="353">
        <v>1</v>
      </c>
      <c r="E79" s="65" t="s">
        <v>136</v>
      </c>
      <c r="F79" s="88">
        <f>SUM(H79,J79,L79)</f>
        <v>90120</v>
      </c>
      <c r="G79" s="88">
        <f>SUM(I79,K79,M79)</f>
        <v>90120</v>
      </c>
      <c r="H79" s="64"/>
      <c r="I79" s="64"/>
      <c r="J79" s="64"/>
      <c r="K79" s="64"/>
      <c r="L79" s="64">
        <v>90120</v>
      </c>
      <c r="M79" s="64">
        <f>TRUNC(L79*D79,0)</f>
        <v>90120</v>
      </c>
      <c r="N79" s="189"/>
      <c r="O79" s="59"/>
      <c r="P79" s="194"/>
      <c r="Q79" s="194"/>
      <c r="R79" s="194"/>
      <c r="S79" s="194"/>
      <c r="T79" s="194"/>
      <c r="U79" s="194"/>
      <c r="V79" s="194"/>
      <c r="W79" s="194"/>
      <c r="X79" s="194"/>
      <c r="Y79" s="194"/>
      <c r="Z79" s="194"/>
      <c r="AA79" s="194"/>
      <c r="AB79" s="194"/>
      <c r="AC79" s="194"/>
      <c r="AD79" s="194"/>
      <c r="AE79" s="194"/>
      <c r="AF79" s="194"/>
      <c r="AG79" s="194"/>
    </row>
    <row r="80" spans="1:33" s="60" customFormat="1">
      <c r="A80" s="97"/>
      <c r="B80" s="605"/>
      <c r="C80" s="65"/>
      <c r="D80" s="353"/>
      <c r="E80" s="65"/>
      <c r="F80" s="64"/>
      <c r="G80" s="64"/>
      <c r="H80" s="64"/>
      <c r="I80" s="64"/>
      <c r="J80" s="64"/>
      <c r="K80" s="64"/>
      <c r="L80" s="64"/>
      <c r="M80" s="64"/>
      <c r="N80" s="189"/>
      <c r="O80" s="59"/>
      <c r="AD80" s="194"/>
      <c r="AE80" s="194"/>
      <c r="AF80" s="194"/>
      <c r="AG80" s="194"/>
    </row>
    <row r="81" spans="1:33" s="60" customFormat="1">
      <c r="A81" s="97">
        <v>10</v>
      </c>
      <c r="B81" s="603" t="s">
        <v>283</v>
      </c>
      <c r="C81" s="63"/>
      <c r="D81" s="355"/>
      <c r="E81" s="63"/>
      <c r="F81" s="63"/>
      <c r="G81" s="125">
        <f>SUM(I81,K81,M81)</f>
        <v>3888500</v>
      </c>
      <c r="H81" s="63"/>
      <c r="I81" s="63"/>
      <c r="J81" s="63"/>
      <c r="K81" s="63"/>
      <c r="L81" s="64"/>
      <c r="M81" s="89">
        <f>SUM(M82:M91)</f>
        <v>3888500</v>
      </c>
      <c r="N81" s="189"/>
      <c r="O81" s="59"/>
      <c r="AD81" s="194"/>
      <c r="AE81" s="194"/>
      <c r="AF81" s="194"/>
      <c r="AG81" s="194"/>
    </row>
    <row r="82" spans="1:33" s="60" customFormat="1">
      <c r="A82" s="97"/>
      <c r="B82" s="605" t="s">
        <v>141</v>
      </c>
      <c r="C82" s="65"/>
      <c r="D82" s="353">
        <f>지반조사입력!M22</f>
        <v>5</v>
      </c>
      <c r="E82" s="65" t="s">
        <v>137</v>
      </c>
      <c r="F82" s="88">
        <f>SUM(H82,J82,L82)</f>
        <v>12000</v>
      </c>
      <c r="G82" s="88">
        <f>SUM(I82,K82,M82)</f>
        <v>60000</v>
      </c>
      <c r="H82" s="64"/>
      <c r="I82" s="64"/>
      <c r="J82" s="64"/>
      <c r="K82" s="64"/>
      <c r="L82" s="187">
        <f>지반조사입력!C22</f>
        <v>12000</v>
      </c>
      <c r="M82" s="64">
        <f t="shared" ref="M82:M90" si="15">TRUNC(L82*D82,0)</f>
        <v>60000</v>
      </c>
      <c r="N82" s="192" t="s">
        <v>1539</v>
      </c>
      <c r="O82" s="59"/>
      <c r="AD82" s="194"/>
      <c r="AE82" s="194"/>
      <c r="AF82" s="194"/>
      <c r="AG82" s="194"/>
    </row>
    <row r="83" spans="1:33" s="60" customFormat="1">
      <c r="A83" s="97"/>
      <c r="B83" s="605" t="s">
        <v>387</v>
      </c>
      <c r="C83" s="65"/>
      <c r="D83" s="353">
        <f>지반조사입력!M23</f>
        <v>5</v>
      </c>
      <c r="E83" s="65" t="s">
        <v>137</v>
      </c>
      <c r="F83" s="88">
        <f t="shared" ref="F83:F91" si="16">SUM(H83,J83,L83)</f>
        <v>20000</v>
      </c>
      <c r="G83" s="88">
        <f t="shared" ref="G83:G90" si="17">SUM(I83,K83,M83)</f>
        <v>100000</v>
      </c>
      <c r="H83" s="64"/>
      <c r="I83" s="64"/>
      <c r="J83" s="64"/>
      <c r="K83" s="64"/>
      <c r="L83" s="187">
        <f>지반조사입력!C23</f>
        <v>20000</v>
      </c>
      <c r="M83" s="64">
        <f t="shared" si="15"/>
        <v>100000</v>
      </c>
      <c r="N83" s="192" t="s">
        <v>1539</v>
      </c>
      <c r="O83" s="59"/>
      <c r="AD83" s="194"/>
      <c r="AE83" s="194"/>
      <c r="AF83" s="194"/>
      <c r="AG83" s="194"/>
    </row>
    <row r="84" spans="1:33" s="60" customFormat="1">
      <c r="A84" s="97"/>
      <c r="B84" s="605" t="s">
        <v>142</v>
      </c>
      <c r="C84" s="65"/>
      <c r="D84" s="353">
        <f>지반조사입력!M24</f>
        <v>5</v>
      </c>
      <c r="E84" s="65" t="s">
        <v>137</v>
      </c>
      <c r="F84" s="88">
        <f t="shared" si="16"/>
        <v>130000</v>
      </c>
      <c r="G84" s="88">
        <f t="shared" si="17"/>
        <v>650000</v>
      </c>
      <c r="H84" s="64"/>
      <c r="I84" s="64"/>
      <c r="J84" s="64"/>
      <c r="K84" s="64"/>
      <c r="L84" s="187">
        <f>지반조사입력!C24</f>
        <v>130000</v>
      </c>
      <c r="M84" s="64">
        <f t="shared" si="15"/>
        <v>650000</v>
      </c>
      <c r="N84" s="192" t="s">
        <v>1539</v>
      </c>
      <c r="O84" s="59"/>
      <c r="AD84" s="194"/>
      <c r="AE84" s="194"/>
      <c r="AF84" s="194"/>
      <c r="AG84" s="194"/>
    </row>
    <row r="85" spans="1:33" s="60" customFormat="1">
      <c r="A85" s="97"/>
      <c r="B85" s="605" t="s">
        <v>143</v>
      </c>
      <c r="C85" s="65"/>
      <c r="D85" s="353">
        <f>지반조사입력!M25</f>
        <v>5</v>
      </c>
      <c r="E85" s="65" t="s">
        <v>137</v>
      </c>
      <c r="F85" s="88">
        <f t="shared" si="16"/>
        <v>40000</v>
      </c>
      <c r="G85" s="88">
        <f t="shared" si="17"/>
        <v>200000</v>
      </c>
      <c r="H85" s="64"/>
      <c r="I85" s="64"/>
      <c r="J85" s="64"/>
      <c r="K85" s="64"/>
      <c r="L85" s="187">
        <f>지반조사입력!C25</f>
        <v>40000</v>
      </c>
      <c r="M85" s="64">
        <f t="shared" si="15"/>
        <v>200000</v>
      </c>
      <c r="N85" s="192" t="s">
        <v>1539</v>
      </c>
      <c r="O85" s="59"/>
      <c r="AD85" s="194"/>
      <c r="AE85" s="194"/>
      <c r="AF85" s="194"/>
      <c r="AG85" s="194"/>
    </row>
    <row r="86" spans="1:33" s="60" customFormat="1">
      <c r="A86" s="97"/>
      <c r="B86" s="605" t="s">
        <v>144</v>
      </c>
      <c r="C86" s="65"/>
      <c r="D86" s="353">
        <f>지반조사입력!M26</f>
        <v>5</v>
      </c>
      <c r="E86" s="65" t="s">
        <v>137</v>
      </c>
      <c r="F86" s="88">
        <f t="shared" si="16"/>
        <v>30000</v>
      </c>
      <c r="G86" s="88">
        <f t="shared" si="17"/>
        <v>150000</v>
      </c>
      <c r="H86" s="64"/>
      <c r="I86" s="64"/>
      <c r="J86" s="64"/>
      <c r="K86" s="64"/>
      <c r="L86" s="187">
        <f>지반조사입력!C26</f>
        <v>30000</v>
      </c>
      <c r="M86" s="64">
        <f t="shared" si="15"/>
        <v>150000</v>
      </c>
      <c r="N86" s="192" t="s">
        <v>1539</v>
      </c>
      <c r="O86" s="59"/>
      <c r="AD86" s="194"/>
      <c r="AE86" s="194"/>
      <c r="AF86" s="194"/>
      <c r="AG86" s="194"/>
    </row>
    <row r="87" spans="1:33" s="60" customFormat="1">
      <c r="A87" s="97"/>
      <c r="B87" s="605" t="s">
        <v>388</v>
      </c>
      <c r="C87" s="65"/>
      <c r="D87" s="353">
        <f>지반조사입력!M28</f>
        <v>5</v>
      </c>
      <c r="E87" s="65" t="s">
        <v>137</v>
      </c>
      <c r="F87" s="88">
        <f>SUM(H87,J87,L87)</f>
        <v>150000</v>
      </c>
      <c r="G87" s="88">
        <f t="shared" si="17"/>
        <v>750000</v>
      </c>
      <c r="H87" s="64"/>
      <c r="I87" s="64"/>
      <c r="J87" s="64"/>
      <c r="K87" s="64"/>
      <c r="L87" s="187">
        <f>지반조사입력!C28</f>
        <v>150000</v>
      </c>
      <c r="M87" s="64">
        <f>TRUNC(L87*D87,0)</f>
        <v>750000</v>
      </c>
      <c r="N87" s="192" t="s">
        <v>1539</v>
      </c>
      <c r="O87" s="59"/>
      <c r="AD87" s="194"/>
      <c r="AE87" s="194"/>
      <c r="AF87" s="194"/>
      <c r="AG87" s="194"/>
    </row>
    <row r="88" spans="1:33" s="60" customFormat="1">
      <c r="A88" s="97"/>
      <c r="B88" s="605" t="s">
        <v>145</v>
      </c>
      <c r="C88" s="65"/>
      <c r="D88" s="353">
        <f>지반조사입력!M29</f>
        <v>5</v>
      </c>
      <c r="E88" s="65" t="s">
        <v>137</v>
      </c>
      <c r="F88" s="88">
        <f>SUM(H88,J88,L88)</f>
        <v>110000</v>
      </c>
      <c r="G88" s="88">
        <f t="shared" si="17"/>
        <v>550000</v>
      </c>
      <c r="H88" s="64"/>
      <c r="I88" s="64"/>
      <c r="J88" s="64"/>
      <c r="K88" s="64"/>
      <c r="L88" s="187">
        <f>지반조사입력!C29</f>
        <v>110000</v>
      </c>
      <c r="M88" s="64">
        <f>TRUNC(L88*D88,0)</f>
        <v>550000</v>
      </c>
      <c r="N88" s="192" t="s">
        <v>1539</v>
      </c>
      <c r="O88" s="59"/>
      <c r="AD88" s="194"/>
      <c r="AE88" s="194"/>
      <c r="AF88" s="194"/>
      <c r="AG88" s="194"/>
    </row>
    <row r="89" spans="1:33" s="60" customFormat="1">
      <c r="A89" s="97"/>
      <c r="B89" s="605" t="s">
        <v>146</v>
      </c>
      <c r="C89" s="65"/>
      <c r="D89" s="353">
        <f>지반조사입력!M30</f>
        <v>5</v>
      </c>
      <c r="E89" s="65" t="s">
        <v>137</v>
      </c>
      <c r="F89" s="88">
        <f>SUM(H89,J89,L89)</f>
        <v>200000</v>
      </c>
      <c r="G89" s="88">
        <f t="shared" si="17"/>
        <v>1000000</v>
      </c>
      <c r="H89" s="64"/>
      <c r="I89" s="64"/>
      <c r="J89" s="64"/>
      <c r="K89" s="64"/>
      <c r="L89" s="187">
        <f>지반조사입력!C30</f>
        <v>200000</v>
      </c>
      <c r="M89" s="64">
        <f>TRUNC(L89*D89,0)</f>
        <v>1000000</v>
      </c>
      <c r="N89" s="192" t="s">
        <v>1539</v>
      </c>
      <c r="O89" s="59"/>
      <c r="AD89" s="194"/>
      <c r="AE89" s="194"/>
      <c r="AF89" s="194"/>
      <c r="AG89" s="194"/>
    </row>
    <row r="90" spans="1:33" s="60" customFormat="1">
      <c r="A90" s="97"/>
      <c r="B90" s="605" t="s">
        <v>147</v>
      </c>
      <c r="C90" s="65"/>
      <c r="D90" s="353">
        <f>지반조사입력!M27</f>
        <v>5</v>
      </c>
      <c r="E90" s="65" t="s">
        <v>137</v>
      </c>
      <c r="F90" s="88">
        <f t="shared" si="16"/>
        <v>15000</v>
      </c>
      <c r="G90" s="88">
        <f t="shared" si="17"/>
        <v>75000</v>
      </c>
      <c r="H90" s="64"/>
      <c r="I90" s="64"/>
      <c r="J90" s="64"/>
      <c r="K90" s="64"/>
      <c r="L90" s="187">
        <f>지반조사입력!C27</f>
        <v>15000</v>
      </c>
      <c r="M90" s="64">
        <f t="shared" si="15"/>
        <v>75000</v>
      </c>
      <c r="N90" s="192" t="s">
        <v>1539</v>
      </c>
      <c r="O90" s="59"/>
      <c r="AD90" s="194"/>
      <c r="AE90" s="194"/>
      <c r="AF90" s="194"/>
      <c r="AG90" s="194"/>
    </row>
    <row r="91" spans="1:33" s="60" customFormat="1">
      <c r="A91" s="97"/>
      <c r="B91" s="605" t="s">
        <v>148</v>
      </c>
      <c r="C91" s="65" t="s">
        <v>149</v>
      </c>
      <c r="D91" s="353">
        <v>10</v>
      </c>
      <c r="E91" s="65" t="s">
        <v>150</v>
      </c>
      <c r="F91" s="88">
        <f t="shared" si="16"/>
        <v>3535000</v>
      </c>
      <c r="G91" s="88">
        <f>SUM(I91,K91,M91)</f>
        <v>353500</v>
      </c>
      <c r="H91" s="64"/>
      <c r="I91" s="64"/>
      <c r="J91" s="64"/>
      <c r="K91" s="64"/>
      <c r="L91" s="64">
        <f>SUM(M82:M90)</f>
        <v>3535000</v>
      </c>
      <c r="M91" s="64">
        <f>TRUNC(L91*D91/100,0)</f>
        <v>353500</v>
      </c>
      <c r="N91" s="189"/>
      <c r="O91" s="59"/>
      <c r="AD91" s="194"/>
      <c r="AE91" s="194"/>
      <c r="AF91" s="194"/>
      <c r="AG91" s="194"/>
    </row>
    <row r="92" spans="1:33" s="60" customFormat="1">
      <c r="A92" s="97"/>
      <c r="B92" s="605"/>
      <c r="C92" s="65"/>
      <c r="D92" s="353"/>
      <c r="E92" s="65"/>
      <c r="F92" s="64"/>
      <c r="G92" s="64"/>
      <c r="H92" s="64"/>
      <c r="I92" s="64"/>
      <c r="J92" s="64"/>
      <c r="K92" s="64"/>
      <c r="L92" s="64"/>
      <c r="M92" s="64"/>
      <c r="N92" s="189"/>
      <c r="O92" s="59"/>
      <c r="P92" s="194"/>
      <c r="Q92" s="194"/>
      <c r="R92" s="193"/>
      <c r="S92" s="194"/>
      <c r="T92" s="194"/>
      <c r="U92" s="194"/>
      <c r="V92" s="194"/>
      <c r="W92" s="194"/>
      <c r="X92" s="194"/>
      <c r="Y92" s="194"/>
      <c r="Z92" s="194"/>
      <c r="AA92" s="194"/>
      <c r="AB92" s="194"/>
      <c r="AC92" s="194"/>
      <c r="AD92" s="194"/>
      <c r="AE92" s="194"/>
      <c r="AF92" s="194"/>
      <c r="AG92" s="194"/>
    </row>
    <row r="93" spans="1:33" s="95" customFormat="1">
      <c r="A93" s="95">
        <v>11</v>
      </c>
      <c r="B93" s="606" t="s">
        <v>1499</v>
      </c>
      <c r="C93" s="92"/>
      <c r="D93" s="356"/>
      <c r="E93" s="92"/>
      <c r="F93" s="92"/>
      <c r="G93" s="125">
        <f>SUM(I93,K93,M93)</f>
        <v>2901481</v>
      </c>
      <c r="H93" s="93"/>
      <c r="I93" s="89">
        <f>SUM(I94:I99)</f>
        <v>2901481</v>
      </c>
      <c r="J93" s="93"/>
      <c r="K93" s="89"/>
      <c r="L93" s="93"/>
      <c r="M93" s="94"/>
      <c r="N93" s="190"/>
      <c r="P93" s="195"/>
      <c r="Q93" s="195"/>
      <c r="R93" s="195"/>
      <c r="S93" s="195"/>
      <c r="T93" s="195"/>
      <c r="U93" s="195"/>
      <c r="V93" s="195"/>
      <c r="W93" s="195"/>
      <c r="X93" s="195"/>
      <c r="Y93" s="195"/>
      <c r="Z93" s="195"/>
      <c r="AA93" s="195"/>
      <c r="AB93" s="195"/>
      <c r="AC93" s="195"/>
      <c r="AD93" s="195"/>
      <c r="AE93" s="195"/>
      <c r="AF93" s="195"/>
      <c r="AG93" s="195"/>
    </row>
    <row r="94" spans="1:33">
      <c r="B94" s="602" t="s">
        <v>65</v>
      </c>
      <c r="C94" s="85"/>
      <c r="D94" s="351">
        <f>인허가!P25</f>
        <v>0.34</v>
      </c>
      <c r="E94" s="87" t="s">
        <v>282</v>
      </c>
      <c r="F94" s="88">
        <f t="shared" ref="F94:F99" si="18">SUM(H94,J94,L94)</f>
        <v>370360</v>
      </c>
      <c r="G94" s="88">
        <f t="shared" ref="G94:G99" si="19">SUM(I94,K94,M94)</f>
        <v>125922</v>
      </c>
      <c r="H94" s="86">
        <f>엔기술사</f>
        <v>370360</v>
      </c>
      <c r="I94" s="86">
        <f t="shared" ref="I94:I99" si="20">TRUNC(D94*H94,0)</f>
        <v>125922</v>
      </c>
      <c r="J94" s="86"/>
      <c r="K94" s="86"/>
      <c r="L94" s="86"/>
      <c r="M94" s="84"/>
      <c r="N94" s="191"/>
    </row>
    <row r="95" spans="1:33">
      <c r="B95" s="602" t="s">
        <v>10</v>
      </c>
      <c r="C95" s="85"/>
      <c r="D95" s="351">
        <f>인허가!Q25</f>
        <v>0.69</v>
      </c>
      <c r="E95" s="87" t="s">
        <v>282</v>
      </c>
      <c r="F95" s="88">
        <f t="shared" si="18"/>
        <v>284468</v>
      </c>
      <c r="G95" s="88">
        <f t="shared" si="19"/>
        <v>196282</v>
      </c>
      <c r="H95" s="86">
        <f>엔특급기술자</f>
        <v>284468</v>
      </c>
      <c r="I95" s="86">
        <f t="shared" si="20"/>
        <v>196282</v>
      </c>
      <c r="J95" s="86"/>
      <c r="K95" s="86"/>
      <c r="L95" s="86"/>
      <c r="M95" s="84"/>
      <c r="N95" s="191"/>
    </row>
    <row r="96" spans="1:33">
      <c r="B96" s="602" t="s">
        <v>4</v>
      </c>
      <c r="C96" s="85"/>
      <c r="D96" s="351">
        <f>인허가!R25</f>
        <v>1.7099999999999997</v>
      </c>
      <c r="E96" s="87" t="s">
        <v>282</v>
      </c>
      <c r="F96" s="88">
        <f t="shared" si="18"/>
        <v>241113</v>
      </c>
      <c r="G96" s="88">
        <f t="shared" si="19"/>
        <v>412303</v>
      </c>
      <c r="H96" s="86">
        <f>엔고급기술자</f>
        <v>241113</v>
      </c>
      <c r="I96" s="86">
        <f t="shared" si="20"/>
        <v>412303</v>
      </c>
      <c r="J96" s="86"/>
      <c r="K96" s="86"/>
      <c r="L96" s="86"/>
      <c r="M96" s="84"/>
      <c r="N96" s="191"/>
    </row>
    <row r="97" spans="1:33">
      <c r="B97" s="602" t="s">
        <v>5</v>
      </c>
      <c r="C97" s="85"/>
      <c r="D97" s="351">
        <f>인허가!S25</f>
        <v>2.3099999999999996</v>
      </c>
      <c r="E97" s="87" t="s">
        <v>282</v>
      </c>
      <c r="F97" s="88">
        <f t="shared" si="18"/>
        <v>215194</v>
      </c>
      <c r="G97" s="88">
        <f t="shared" si="19"/>
        <v>497098</v>
      </c>
      <c r="H97" s="91">
        <f>엔중급기술자</f>
        <v>215194</v>
      </c>
      <c r="I97" s="86">
        <f t="shared" si="20"/>
        <v>497098</v>
      </c>
      <c r="J97" s="86"/>
      <c r="K97" s="86"/>
      <c r="L97" s="86"/>
      <c r="M97" s="84"/>
      <c r="N97" s="191"/>
    </row>
    <row r="98" spans="1:33">
      <c r="B98" s="602" t="s">
        <v>6</v>
      </c>
      <c r="C98" s="85"/>
      <c r="D98" s="351">
        <f>인허가!T25</f>
        <v>4.2699999999999996</v>
      </c>
      <c r="E98" s="87" t="s">
        <v>282</v>
      </c>
      <c r="F98" s="88">
        <f t="shared" si="18"/>
        <v>176241</v>
      </c>
      <c r="G98" s="88">
        <f t="shared" si="19"/>
        <v>752549</v>
      </c>
      <c r="H98" s="91">
        <f>엔초급기술자</f>
        <v>176241</v>
      </c>
      <c r="I98" s="86">
        <f t="shared" si="20"/>
        <v>752549</v>
      </c>
      <c r="J98" s="86"/>
      <c r="K98" s="86"/>
      <c r="L98" s="86"/>
      <c r="M98" s="84"/>
      <c r="N98" s="191"/>
    </row>
    <row r="99" spans="1:33">
      <c r="B99" s="602" t="s">
        <v>1501</v>
      </c>
      <c r="C99" s="85"/>
      <c r="D99" s="351">
        <f>인허가!U25</f>
        <v>5.88</v>
      </c>
      <c r="E99" s="87" t="s">
        <v>282</v>
      </c>
      <c r="F99" s="88">
        <f t="shared" si="18"/>
        <v>156008</v>
      </c>
      <c r="G99" s="88">
        <f t="shared" si="19"/>
        <v>917327</v>
      </c>
      <c r="H99" s="91">
        <f>엔초급기능사</f>
        <v>156008</v>
      </c>
      <c r="I99" s="86">
        <f t="shared" si="20"/>
        <v>917327</v>
      </c>
      <c r="J99" s="86"/>
      <c r="K99" s="86"/>
      <c r="L99" s="86"/>
      <c r="M99" s="84"/>
      <c r="N99" s="191"/>
    </row>
    <row r="100" spans="1:33">
      <c r="B100" s="607"/>
      <c r="C100" s="85"/>
      <c r="D100" s="351"/>
      <c r="E100" s="87"/>
      <c r="F100" s="88"/>
      <c r="G100" s="673"/>
      <c r="H100" s="86"/>
      <c r="I100" s="86"/>
      <c r="J100" s="86"/>
      <c r="K100" s="86"/>
      <c r="L100" s="86"/>
      <c r="M100" s="84"/>
      <c r="N100" s="191"/>
    </row>
    <row r="101" spans="1:33">
      <c r="A101" s="95">
        <v>12</v>
      </c>
      <c r="B101" s="123" t="s">
        <v>1435</v>
      </c>
      <c r="C101" s="92"/>
      <c r="D101" s="356" t="s">
        <v>1074</v>
      </c>
      <c r="E101" s="640" t="s">
        <v>1321</v>
      </c>
      <c r="F101" s="641"/>
      <c r="G101" s="125">
        <f t="shared" ref="G101:G107" si="21">SUM(I101,K101,M101)</f>
        <v>2901481</v>
      </c>
      <c r="H101" s="93"/>
      <c r="I101" s="89">
        <f>SUM(I102:I107)</f>
        <v>2901481</v>
      </c>
      <c r="J101" s="93"/>
      <c r="K101" s="93"/>
      <c r="L101" s="93"/>
      <c r="M101" s="94"/>
      <c r="N101" s="190" t="s">
        <v>1079</v>
      </c>
    </row>
    <row r="102" spans="1:33">
      <c r="B102" s="602" t="s">
        <v>65</v>
      </c>
      <c r="C102" s="85"/>
      <c r="D102" s="351">
        <f>인허가!P25</f>
        <v>0.34</v>
      </c>
      <c r="E102" s="87" t="s">
        <v>282</v>
      </c>
      <c r="F102" s="88">
        <f t="shared" ref="F102:F107" si="22">SUM(H102,J102,L102)</f>
        <v>370360</v>
      </c>
      <c r="G102" s="88">
        <f t="shared" si="21"/>
        <v>125922</v>
      </c>
      <c r="H102" s="86">
        <f>엔기술사</f>
        <v>370360</v>
      </c>
      <c r="I102" s="86">
        <f t="shared" ref="I102:I107" si="23">TRUNC(D102*H102,0)</f>
        <v>125922</v>
      </c>
      <c r="J102" s="86"/>
      <c r="K102" s="86"/>
      <c r="L102" s="86"/>
      <c r="M102" s="84"/>
      <c r="N102" s="191" t="s">
        <v>1080</v>
      </c>
    </row>
    <row r="103" spans="1:33">
      <c r="B103" s="602" t="s">
        <v>10</v>
      </c>
      <c r="C103" s="85"/>
      <c r="D103" s="351">
        <f>인허가!Q25</f>
        <v>0.69</v>
      </c>
      <c r="E103" s="87" t="s">
        <v>282</v>
      </c>
      <c r="F103" s="88">
        <f t="shared" si="22"/>
        <v>284468</v>
      </c>
      <c r="G103" s="88">
        <f t="shared" si="21"/>
        <v>196282</v>
      </c>
      <c r="H103" s="86">
        <f>엔특급기술자</f>
        <v>284468</v>
      </c>
      <c r="I103" s="86">
        <f t="shared" si="23"/>
        <v>196282</v>
      </c>
      <c r="J103" s="86"/>
      <c r="K103" s="86"/>
      <c r="L103" s="86"/>
      <c r="M103" s="84"/>
      <c r="N103" s="191" t="s">
        <v>1081</v>
      </c>
    </row>
    <row r="104" spans="1:33">
      <c r="B104" s="602" t="s">
        <v>4</v>
      </c>
      <c r="C104" s="85"/>
      <c r="D104" s="351">
        <f>인허가!R25</f>
        <v>1.7099999999999997</v>
      </c>
      <c r="E104" s="87" t="s">
        <v>282</v>
      </c>
      <c r="F104" s="88">
        <f t="shared" si="22"/>
        <v>241113</v>
      </c>
      <c r="G104" s="88">
        <f t="shared" si="21"/>
        <v>412303</v>
      </c>
      <c r="H104" s="86">
        <f>엔고급기술자</f>
        <v>241113</v>
      </c>
      <c r="I104" s="86">
        <f t="shared" si="23"/>
        <v>412303</v>
      </c>
      <c r="J104" s="86"/>
      <c r="K104" s="86"/>
      <c r="L104" s="86"/>
      <c r="M104" s="84"/>
      <c r="N104" s="191" t="s">
        <v>1082</v>
      </c>
    </row>
    <row r="105" spans="1:33">
      <c r="B105" s="602" t="s">
        <v>5</v>
      </c>
      <c r="C105" s="85"/>
      <c r="D105" s="351">
        <f>인허가!S25</f>
        <v>2.3099999999999996</v>
      </c>
      <c r="E105" s="87" t="s">
        <v>282</v>
      </c>
      <c r="F105" s="88">
        <f t="shared" si="22"/>
        <v>215194</v>
      </c>
      <c r="G105" s="88">
        <f t="shared" si="21"/>
        <v>497098</v>
      </c>
      <c r="H105" s="91">
        <f>엔중급기술자</f>
        <v>215194</v>
      </c>
      <c r="I105" s="86">
        <f t="shared" si="23"/>
        <v>497098</v>
      </c>
      <c r="J105" s="86"/>
      <c r="K105" s="86"/>
      <c r="L105" s="86"/>
      <c r="M105" s="84"/>
      <c r="N105" s="191"/>
    </row>
    <row r="106" spans="1:33">
      <c r="B106" s="602" t="s">
        <v>6</v>
      </c>
      <c r="C106" s="85"/>
      <c r="D106" s="351">
        <f>인허가!T25</f>
        <v>4.2699999999999996</v>
      </c>
      <c r="E106" s="87" t="s">
        <v>282</v>
      </c>
      <c r="F106" s="88">
        <f t="shared" si="22"/>
        <v>176241</v>
      </c>
      <c r="G106" s="88">
        <f t="shared" si="21"/>
        <v>752549</v>
      </c>
      <c r="H106" s="91">
        <f>엔초급기술자</f>
        <v>176241</v>
      </c>
      <c r="I106" s="86">
        <f t="shared" si="23"/>
        <v>752549</v>
      </c>
      <c r="J106" s="86"/>
      <c r="K106" s="86"/>
      <c r="L106" s="86"/>
      <c r="M106" s="84"/>
      <c r="N106" s="191"/>
    </row>
    <row r="107" spans="1:33">
      <c r="B107" s="602" t="s">
        <v>1501</v>
      </c>
      <c r="C107" s="85"/>
      <c r="D107" s="351">
        <f>인허가!U25</f>
        <v>5.88</v>
      </c>
      <c r="E107" s="87" t="s">
        <v>282</v>
      </c>
      <c r="F107" s="88">
        <f t="shared" si="22"/>
        <v>156008</v>
      </c>
      <c r="G107" s="88">
        <f t="shared" si="21"/>
        <v>917327</v>
      </c>
      <c r="H107" s="91">
        <f>엔초급기능사</f>
        <v>156008</v>
      </c>
      <c r="I107" s="86">
        <f t="shared" si="23"/>
        <v>917327</v>
      </c>
      <c r="J107" s="86"/>
      <c r="K107" s="86"/>
      <c r="L107" s="86"/>
      <c r="M107" s="84"/>
      <c r="N107" s="191"/>
    </row>
    <row r="108" spans="1:33">
      <c r="B108" s="602"/>
      <c r="C108" s="85"/>
      <c r="D108" s="351"/>
      <c r="E108" s="87"/>
      <c r="F108" s="88"/>
      <c r="G108" s="673"/>
      <c r="H108" s="86"/>
      <c r="I108" s="86"/>
      <c r="J108" s="86"/>
      <c r="K108" s="86"/>
      <c r="L108" s="86"/>
      <c r="M108" s="84"/>
      <c r="N108" s="191"/>
    </row>
    <row r="109" spans="1:33" s="95" customFormat="1">
      <c r="A109" s="95">
        <v>13</v>
      </c>
      <c r="B109" s="123" t="s">
        <v>1320</v>
      </c>
      <c r="C109" s="92"/>
      <c r="D109" s="356" t="s">
        <v>1074</v>
      </c>
      <c r="E109" s="640" t="s">
        <v>1321</v>
      </c>
      <c r="F109" s="641"/>
      <c r="G109" s="125">
        <f t="shared" ref="G109:G115" si="24">SUM(I109,K109,M109)</f>
        <v>2830446</v>
      </c>
      <c r="H109" s="93"/>
      <c r="I109" s="89">
        <f>SUM(I110:I115)</f>
        <v>2830446</v>
      </c>
      <c r="J109" s="93"/>
      <c r="K109" s="93"/>
      <c r="L109" s="93"/>
      <c r="M109" s="94"/>
      <c r="N109" s="190" t="s">
        <v>1079</v>
      </c>
      <c r="P109" s="195"/>
      <c r="Q109" s="195"/>
      <c r="R109" s="195"/>
      <c r="S109" s="195"/>
      <c r="T109" s="195"/>
      <c r="U109" s="195"/>
      <c r="V109" s="195"/>
      <c r="W109" s="195"/>
      <c r="X109" s="195"/>
      <c r="Y109" s="195"/>
      <c r="Z109" s="195"/>
      <c r="AA109" s="195"/>
      <c r="AB109" s="195"/>
      <c r="AC109" s="195"/>
      <c r="AD109" s="195"/>
      <c r="AE109" s="195"/>
      <c r="AF109" s="195"/>
      <c r="AG109" s="195"/>
    </row>
    <row r="110" spans="1:33">
      <c r="B110" s="602" t="s">
        <v>1077</v>
      </c>
      <c r="C110" s="85"/>
      <c r="D110" s="351">
        <f>인허가!P56</f>
        <v>0.1</v>
      </c>
      <c r="E110" s="87" t="s">
        <v>282</v>
      </c>
      <c r="F110" s="88">
        <f t="shared" ref="F110:F115" si="25">SUM(H110,J110,L110)</f>
        <v>370360</v>
      </c>
      <c r="G110" s="88">
        <f t="shared" si="24"/>
        <v>37036</v>
      </c>
      <c r="H110" s="86">
        <f>엔기술사</f>
        <v>370360</v>
      </c>
      <c r="I110" s="86">
        <f t="shared" ref="I110:I115" si="26">TRUNC(D110*H110,0)</f>
        <v>37036</v>
      </c>
      <c r="J110" s="86"/>
      <c r="K110" s="86"/>
      <c r="L110" s="86"/>
      <c r="M110" s="84"/>
      <c r="N110" s="191" t="s">
        <v>1080</v>
      </c>
    </row>
    <row r="111" spans="1:33">
      <c r="B111" s="602" t="s">
        <v>1078</v>
      </c>
      <c r="C111" s="85"/>
      <c r="D111" s="351">
        <f>인허가!Q56</f>
        <v>0.5</v>
      </c>
      <c r="E111" s="87" t="s">
        <v>282</v>
      </c>
      <c r="F111" s="88">
        <f t="shared" si="25"/>
        <v>284468</v>
      </c>
      <c r="G111" s="88">
        <f t="shared" si="24"/>
        <v>142234</v>
      </c>
      <c r="H111" s="86">
        <f>엔특급기술자</f>
        <v>284468</v>
      </c>
      <c r="I111" s="86">
        <f t="shared" si="26"/>
        <v>142234</v>
      </c>
      <c r="J111" s="86"/>
      <c r="K111" s="86"/>
      <c r="L111" s="86"/>
      <c r="M111" s="84"/>
      <c r="N111" s="191" t="s">
        <v>1081</v>
      </c>
    </row>
    <row r="112" spans="1:33">
      <c r="B112" s="602" t="s">
        <v>1075</v>
      </c>
      <c r="C112" s="85"/>
      <c r="D112" s="351">
        <f>인허가!R56</f>
        <v>1.5999999999999999</v>
      </c>
      <c r="E112" s="87" t="s">
        <v>282</v>
      </c>
      <c r="F112" s="88">
        <f t="shared" si="25"/>
        <v>241113</v>
      </c>
      <c r="G112" s="88">
        <f t="shared" si="24"/>
        <v>385780</v>
      </c>
      <c r="H112" s="86">
        <f>엔고급기술자</f>
        <v>241113</v>
      </c>
      <c r="I112" s="86">
        <f t="shared" si="26"/>
        <v>385780</v>
      </c>
      <c r="J112" s="86"/>
      <c r="K112" s="86"/>
      <c r="L112" s="86"/>
      <c r="M112" s="84"/>
      <c r="N112" s="191" t="s">
        <v>1082</v>
      </c>
    </row>
    <row r="113" spans="1:33">
      <c r="B113" s="602" t="s">
        <v>5</v>
      </c>
      <c r="C113" s="85"/>
      <c r="D113" s="351">
        <f>인허가!S56</f>
        <v>2.3000000000000003</v>
      </c>
      <c r="E113" s="87" t="s">
        <v>282</v>
      </c>
      <c r="F113" s="88">
        <f t="shared" si="25"/>
        <v>215194</v>
      </c>
      <c r="G113" s="88">
        <f t="shared" si="24"/>
        <v>494946</v>
      </c>
      <c r="H113" s="91">
        <f>엔중급기술자</f>
        <v>215194</v>
      </c>
      <c r="I113" s="86">
        <f t="shared" si="26"/>
        <v>494946</v>
      </c>
      <c r="J113" s="86"/>
      <c r="K113" s="86"/>
      <c r="L113" s="86"/>
      <c r="M113" s="84"/>
      <c r="N113" s="191"/>
    </row>
    <row r="114" spans="1:33">
      <c r="B114" s="602" t="s">
        <v>1076</v>
      </c>
      <c r="C114" s="85"/>
      <c r="D114" s="351">
        <f>인허가!T56</f>
        <v>5.0000000000000009</v>
      </c>
      <c r="E114" s="87" t="s">
        <v>282</v>
      </c>
      <c r="F114" s="88">
        <f t="shared" si="25"/>
        <v>176241</v>
      </c>
      <c r="G114" s="88">
        <f t="shared" si="24"/>
        <v>881205</v>
      </c>
      <c r="H114" s="91">
        <f>엔초급기술자</f>
        <v>176241</v>
      </c>
      <c r="I114" s="86">
        <f t="shared" si="26"/>
        <v>881205</v>
      </c>
      <c r="J114" s="86"/>
      <c r="K114" s="86"/>
      <c r="L114" s="86"/>
      <c r="M114" s="84"/>
      <c r="N114" s="191"/>
    </row>
    <row r="115" spans="1:33">
      <c r="B115" s="602" t="s">
        <v>1501</v>
      </c>
      <c r="C115" s="85"/>
      <c r="D115" s="351">
        <f>인허가!U56</f>
        <v>5.6999999999999993</v>
      </c>
      <c r="E115" s="87" t="s">
        <v>282</v>
      </c>
      <c r="F115" s="88">
        <f t="shared" si="25"/>
        <v>156008</v>
      </c>
      <c r="G115" s="88">
        <f t="shared" si="24"/>
        <v>889245</v>
      </c>
      <c r="H115" s="91">
        <f>엔초급기능사</f>
        <v>156008</v>
      </c>
      <c r="I115" s="86">
        <f t="shared" si="26"/>
        <v>889245</v>
      </c>
      <c r="J115" s="86"/>
      <c r="K115" s="86"/>
      <c r="L115" s="86"/>
      <c r="M115" s="84"/>
      <c r="N115" s="191"/>
    </row>
    <row r="116" spans="1:33">
      <c r="B116" s="602"/>
      <c r="C116" s="85"/>
      <c r="D116" s="351"/>
      <c r="E116" s="87"/>
      <c r="F116" s="88"/>
      <c r="G116" s="88"/>
      <c r="H116" s="91"/>
      <c r="I116" s="86"/>
      <c r="J116" s="86"/>
      <c r="K116" s="86"/>
      <c r="L116" s="86"/>
      <c r="M116" s="84"/>
      <c r="N116" s="191"/>
    </row>
    <row r="117" spans="1:33" s="95" customFormat="1">
      <c r="A117" s="95">
        <v>14</v>
      </c>
      <c r="B117" s="639" t="s">
        <v>1323</v>
      </c>
      <c r="C117" s="92" t="s">
        <v>1246</v>
      </c>
      <c r="D117" s="356">
        <v>1</v>
      </c>
      <c r="E117" s="640" t="s">
        <v>1247</v>
      </c>
      <c r="F117" s="641"/>
      <c r="G117" s="125">
        <f>SUM(I117,K117,M117)</f>
        <v>16565721</v>
      </c>
      <c r="H117" s="93"/>
      <c r="I117" s="89">
        <f>SUM(I118:I121)</f>
        <v>16565721</v>
      </c>
      <c r="J117" s="93"/>
      <c r="K117" s="93"/>
      <c r="L117" s="93"/>
      <c r="M117" s="94"/>
      <c r="N117" s="190"/>
      <c r="P117" s="195"/>
      <c r="Q117" s="195"/>
      <c r="R117" s="195"/>
      <c r="S117" s="195"/>
      <c r="T117" s="195"/>
      <c r="U117" s="195"/>
      <c r="V117" s="195"/>
      <c r="W117" s="195"/>
      <c r="X117" s="195"/>
      <c r="Y117" s="195"/>
      <c r="Z117" s="195"/>
      <c r="AA117" s="195"/>
      <c r="AB117" s="195"/>
      <c r="AC117" s="195"/>
      <c r="AD117" s="195"/>
      <c r="AE117" s="195"/>
      <c r="AF117" s="195"/>
      <c r="AG117" s="195"/>
    </row>
    <row r="118" spans="1:33">
      <c r="B118" s="602" t="s">
        <v>276</v>
      </c>
      <c r="C118" s="85"/>
      <c r="D118" s="351">
        <f>사전환경성검토!S63</f>
        <v>11.799999999999999</v>
      </c>
      <c r="E118" s="87" t="s">
        <v>282</v>
      </c>
      <c r="F118" s="88">
        <f>SUM(H118,J118,L118)</f>
        <v>284468</v>
      </c>
      <c r="G118" s="88">
        <f>SUM(I118,K118,M118)</f>
        <v>3356722</v>
      </c>
      <c r="H118" s="86">
        <f>엔특급기술자</f>
        <v>284468</v>
      </c>
      <c r="I118" s="86">
        <f>TRUNC(D118*H118,0)</f>
        <v>3356722</v>
      </c>
      <c r="J118" s="86"/>
      <c r="K118" s="86"/>
      <c r="L118" s="86"/>
      <c r="M118" s="84"/>
      <c r="N118" s="191"/>
    </row>
    <row r="119" spans="1:33">
      <c r="B119" s="602" t="s">
        <v>416</v>
      </c>
      <c r="C119" s="85"/>
      <c r="D119" s="351">
        <f>사전환경성검토!U63</f>
        <v>19.5</v>
      </c>
      <c r="E119" s="87" t="s">
        <v>282</v>
      </c>
      <c r="F119" s="88">
        <f>SUM(H119,J119,L119)</f>
        <v>241113</v>
      </c>
      <c r="G119" s="88">
        <f>SUM(I119,K119,M119)</f>
        <v>4701703</v>
      </c>
      <c r="H119" s="86">
        <f>엔고급기술자</f>
        <v>241113</v>
      </c>
      <c r="I119" s="86">
        <f>TRUNC(D119*H119,0)</f>
        <v>4701703</v>
      </c>
      <c r="J119" s="86"/>
      <c r="K119" s="86"/>
      <c r="L119" s="86"/>
      <c r="M119" s="84"/>
      <c r="N119" s="191"/>
    </row>
    <row r="120" spans="1:33">
      <c r="B120" s="602" t="s">
        <v>5</v>
      </c>
      <c r="C120" s="85"/>
      <c r="D120" s="351">
        <f>사전환경성검토!W63</f>
        <v>24.299999999999997</v>
      </c>
      <c r="E120" s="87" t="s">
        <v>282</v>
      </c>
      <c r="F120" s="88">
        <f>SUM(H120,J120,L120)</f>
        <v>215194</v>
      </c>
      <c r="G120" s="88">
        <f>SUM(I120,K120,M120)</f>
        <v>5229214</v>
      </c>
      <c r="H120" s="91">
        <f>엔중급기술자</f>
        <v>215194</v>
      </c>
      <c r="I120" s="86">
        <f>TRUNC(D120*H120,0)</f>
        <v>5229214</v>
      </c>
      <c r="J120" s="86"/>
      <c r="K120" s="86"/>
      <c r="L120" s="86"/>
      <c r="M120" s="84"/>
      <c r="N120" s="191"/>
    </row>
    <row r="121" spans="1:33">
      <c r="B121" s="602" t="s">
        <v>419</v>
      </c>
      <c r="C121" s="85"/>
      <c r="D121" s="351">
        <f>사전환경성검토!Y63</f>
        <v>18.599999999999998</v>
      </c>
      <c r="E121" s="87" t="s">
        <v>282</v>
      </c>
      <c r="F121" s="88">
        <f>SUM(H121,J121,L121)</f>
        <v>176241</v>
      </c>
      <c r="G121" s="88">
        <f>SUM(I121,K121,M121)</f>
        <v>3278082</v>
      </c>
      <c r="H121" s="91">
        <f>엔초급기술자</f>
        <v>176241</v>
      </c>
      <c r="I121" s="86">
        <f>TRUNC(D121*H121,0)</f>
        <v>3278082</v>
      </c>
      <c r="J121" s="86"/>
      <c r="K121" s="86"/>
      <c r="L121" s="86"/>
      <c r="M121" s="84"/>
      <c r="N121" s="191"/>
    </row>
    <row r="122" spans="1:33">
      <c r="B122" s="602"/>
      <c r="C122" s="85"/>
      <c r="D122" s="351"/>
      <c r="E122" s="87"/>
      <c r="F122" s="88"/>
      <c r="G122" s="88"/>
      <c r="H122" s="86"/>
      <c r="I122" s="86"/>
      <c r="J122" s="86"/>
      <c r="K122" s="86"/>
      <c r="L122" s="86"/>
      <c r="M122" s="84"/>
      <c r="N122" s="191"/>
    </row>
    <row r="123" spans="1:33" s="95" customFormat="1">
      <c r="A123" s="95">
        <v>15</v>
      </c>
      <c r="B123" s="639" t="s">
        <v>1245</v>
      </c>
      <c r="C123" s="92" t="s">
        <v>1248</v>
      </c>
      <c r="D123" s="356">
        <v>1</v>
      </c>
      <c r="E123" s="640" t="s">
        <v>1322</v>
      </c>
      <c r="F123" s="641"/>
      <c r="G123" s="125">
        <f>SUM(I123,K123,M123)</f>
        <v>13570123</v>
      </c>
      <c r="H123" s="93"/>
      <c r="I123" s="89">
        <f>SUM(I124:I127)</f>
        <v>13570123</v>
      </c>
      <c r="J123" s="93"/>
      <c r="K123" s="93"/>
      <c r="L123" s="93"/>
      <c r="M123" s="94"/>
      <c r="N123" s="190"/>
      <c r="P123" s="195"/>
      <c r="Q123" s="195"/>
      <c r="R123" s="195"/>
      <c r="S123" s="195"/>
      <c r="T123" s="195"/>
      <c r="U123" s="195"/>
      <c r="V123" s="195"/>
      <c r="W123" s="195"/>
      <c r="X123" s="195"/>
      <c r="Y123" s="195"/>
      <c r="Z123" s="195"/>
      <c r="AA123" s="195"/>
      <c r="AB123" s="195"/>
      <c r="AC123" s="195"/>
      <c r="AD123" s="195"/>
      <c r="AE123" s="195"/>
      <c r="AF123" s="195"/>
      <c r="AG123" s="195"/>
    </row>
    <row r="124" spans="1:33">
      <c r="B124" s="602" t="s">
        <v>276</v>
      </c>
      <c r="C124" s="85"/>
      <c r="D124" s="351">
        <f>사전환경성검토!S105</f>
        <v>6.6</v>
      </c>
      <c r="E124" s="87" t="s">
        <v>282</v>
      </c>
      <c r="F124" s="88">
        <f>SUM(H124,J124,L124)</f>
        <v>284468</v>
      </c>
      <c r="G124" s="88">
        <f>SUM(I124,K124,M124)</f>
        <v>1877488</v>
      </c>
      <c r="H124" s="86">
        <f>엔특급기술자</f>
        <v>284468</v>
      </c>
      <c r="I124" s="86">
        <f>TRUNC(D124*H124,0)</f>
        <v>1877488</v>
      </c>
      <c r="J124" s="86"/>
      <c r="K124" s="86"/>
      <c r="L124" s="86"/>
      <c r="M124" s="84"/>
      <c r="N124" s="191"/>
    </row>
    <row r="125" spans="1:33">
      <c r="B125" s="602" t="s">
        <v>416</v>
      </c>
      <c r="C125" s="85"/>
      <c r="D125" s="351">
        <f>사전환경성검토!U105</f>
        <v>15.299999999999999</v>
      </c>
      <c r="E125" s="87" t="s">
        <v>282</v>
      </c>
      <c r="F125" s="88">
        <f>SUM(H125,J125,L125)</f>
        <v>241113</v>
      </c>
      <c r="G125" s="88">
        <f>SUM(I125,K125,M125)</f>
        <v>3689028</v>
      </c>
      <c r="H125" s="86">
        <f>엔고급기술자</f>
        <v>241113</v>
      </c>
      <c r="I125" s="86">
        <f>TRUNC(D125*H125,0)</f>
        <v>3689028</v>
      </c>
      <c r="J125" s="86"/>
      <c r="K125" s="86"/>
      <c r="L125" s="86"/>
      <c r="M125" s="84"/>
      <c r="N125" s="191"/>
    </row>
    <row r="126" spans="1:33">
      <c r="B126" s="602" t="s">
        <v>5</v>
      </c>
      <c r="C126" s="85"/>
      <c r="D126" s="351">
        <f>사전환경성검토!W105</f>
        <v>26.300000000000004</v>
      </c>
      <c r="E126" s="87" t="s">
        <v>282</v>
      </c>
      <c r="F126" s="88">
        <f>SUM(H126,J126,L126)</f>
        <v>215194</v>
      </c>
      <c r="G126" s="88">
        <f>SUM(I126,K126,M126)</f>
        <v>5659602</v>
      </c>
      <c r="H126" s="91">
        <f>엔중급기술자</f>
        <v>215194</v>
      </c>
      <c r="I126" s="86">
        <f>TRUNC(D126*H126,0)</f>
        <v>5659602</v>
      </c>
      <c r="J126" s="86"/>
      <c r="K126" s="86"/>
      <c r="L126" s="86"/>
      <c r="M126" s="84"/>
      <c r="N126" s="191"/>
    </row>
    <row r="127" spans="1:33">
      <c r="B127" s="602" t="s">
        <v>419</v>
      </c>
      <c r="C127" s="85"/>
      <c r="D127" s="351">
        <f>사전환경성검토!Y105</f>
        <v>13.299999999999999</v>
      </c>
      <c r="E127" s="87" t="s">
        <v>282</v>
      </c>
      <c r="F127" s="88">
        <f>SUM(H127,J127,L127)</f>
        <v>176241</v>
      </c>
      <c r="G127" s="88">
        <f>SUM(I127,K127,M127)</f>
        <v>2344005</v>
      </c>
      <c r="H127" s="91">
        <f>엔초급기술자</f>
        <v>176241</v>
      </c>
      <c r="I127" s="86">
        <f>TRUNC(D127*H127,0)</f>
        <v>2344005</v>
      </c>
      <c r="J127" s="86"/>
      <c r="K127" s="86"/>
      <c r="L127" s="86"/>
      <c r="M127" s="84"/>
      <c r="N127" s="191"/>
    </row>
    <row r="128" spans="1:33">
      <c r="B128" s="602"/>
      <c r="C128" s="85"/>
      <c r="D128" s="351"/>
      <c r="E128" s="87"/>
      <c r="F128" s="88"/>
      <c r="G128" s="88"/>
      <c r="H128" s="86"/>
      <c r="I128" s="86"/>
      <c r="J128" s="86"/>
      <c r="K128" s="86"/>
      <c r="L128" s="86"/>
      <c r="M128" s="84"/>
      <c r="N128" s="191"/>
    </row>
    <row r="129" spans="1:14">
      <c r="A129" s="95">
        <v>16</v>
      </c>
      <c r="B129" s="632" t="s">
        <v>1280</v>
      </c>
      <c r="C129" s="85"/>
      <c r="D129" s="351"/>
      <c r="E129" s="87"/>
      <c r="F129" s="88"/>
      <c r="G129" s="125">
        <f>SUM(I129,K129,M129)</f>
        <v>5375400</v>
      </c>
      <c r="H129" s="86"/>
      <c r="I129" s="89"/>
      <c r="J129" s="86"/>
      <c r="K129" s="86"/>
      <c r="L129" s="86"/>
      <c r="M129" s="89">
        <f>SUM(M130:M134)</f>
        <v>5375400</v>
      </c>
      <c r="N129" s="191"/>
    </row>
    <row r="130" spans="1:14">
      <c r="B130" s="602" t="s">
        <v>1281</v>
      </c>
      <c r="C130" s="633" t="s">
        <v>1287</v>
      </c>
      <c r="D130" s="634">
        <v>6</v>
      </c>
      <c r="E130" s="87" t="s">
        <v>1282</v>
      </c>
      <c r="F130" s="88">
        <f t="shared" ref="F130:G134" si="27">SUM(H130,J130,L130)</f>
        <v>230200</v>
      </c>
      <c r="G130" s="88">
        <f t="shared" si="27"/>
        <v>1381200</v>
      </c>
      <c r="H130" s="86"/>
      <c r="I130" s="64"/>
      <c r="J130" s="86"/>
      <c r="K130" s="86"/>
      <c r="L130" s="86">
        <f>대기측정분석비</f>
        <v>230200</v>
      </c>
      <c r="M130" s="64">
        <f>TRUNC(D130*L130,0)</f>
        <v>1381200</v>
      </c>
      <c r="N130" s="191"/>
    </row>
    <row r="131" spans="1:14">
      <c r="B131" s="602" t="s">
        <v>1283</v>
      </c>
      <c r="C131" s="633" t="s">
        <v>1287</v>
      </c>
      <c r="D131" s="634">
        <v>6</v>
      </c>
      <c r="E131" s="87" t="s">
        <v>1282</v>
      </c>
      <c r="F131" s="88">
        <f t="shared" si="27"/>
        <v>222500</v>
      </c>
      <c r="G131" s="88">
        <f t="shared" si="27"/>
        <v>1335000</v>
      </c>
      <c r="H131" s="86"/>
      <c r="I131" s="64"/>
      <c r="J131" s="86"/>
      <c r="K131" s="86"/>
      <c r="L131" s="86">
        <f>지표수질측정분석비</f>
        <v>222500</v>
      </c>
      <c r="M131" s="64">
        <f>TRUNC(D131*L131,0)</f>
        <v>1335000</v>
      </c>
      <c r="N131" s="191"/>
    </row>
    <row r="132" spans="1:14">
      <c r="B132" s="602" t="s">
        <v>1284</v>
      </c>
      <c r="C132" s="633" t="s">
        <v>1287</v>
      </c>
      <c r="D132" s="634">
        <v>6</v>
      </c>
      <c r="E132" s="87" t="s">
        <v>1282</v>
      </c>
      <c r="F132" s="88">
        <f t="shared" si="27"/>
        <v>218800</v>
      </c>
      <c r="G132" s="88">
        <f t="shared" si="27"/>
        <v>1312800</v>
      </c>
      <c r="H132" s="86"/>
      <c r="I132" s="64"/>
      <c r="J132" s="86"/>
      <c r="K132" s="86"/>
      <c r="L132" s="86">
        <f>지하수질측정분석비</f>
        <v>218800</v>
      </c>
      <c r="M132" s="64">
        <f>TRUNC(D132*L132,0)</f>
        <v>1312800</v>
      </c>
      <c r="N132" s="191"/>
    </row>
    <row r="133" spans="1:14">
      <c r="B133" s="602" t="s">
        <v>1285</v>
      </c>
      <c r="C133" s="633" t="s">
        <v>1288</v>
      </c>
      <c r="D133" s="634">
        <v>24</v>
      </c>
      <c r="E133" s="87" t="s">
        <v>1282</v>
      </c>
      <c r="F133" s="88">
        <f t="shared" si="27"/>
        <v>37400</v>
      </c>
      <c r="G133" s="88">
        <f t="shared" si="27"/>
        <v>897600</v>
      </c>
      <c r="H133" s="86"/>
      <c r="I133" s="64"/>
      <c r="J133" s="86"/>
      <c r="K133" s="86"/>
      <c r="L133" s="86">
        <f>소음측정분석비</f>
        <v>37400</v>
      </c>
      <c r="M133" s="64">
        <f>TRUNC(D133*L133,0)</f>
        <v>897600</v>
      </c>
      <c r="N133" s="191"/>
    </row>
    <row r="134" spans="1:14">
      <c r="B134" s="602" t="s">
        <v>1286</v>
      </c>
      <c r="C134" s="633" t="s">
        <v>1289</v>
      </c>
      <c r="D134" s="634">
        <v>12</v>
      </c>
      <c r="E134" s="87" t="s">
        <v>1282</v>
      </c>
      <c r="F134" s="88">
        <f t="shared" si="27"/>
        <v>37400</v>
      </c>
      <c r="G134" s="88">
        <f t="shared" si="27"/>
        <v>448800</v>
      </c>
      <c r="H134" s="86"/>
      <c r="I134" s="64"/>
      <c r="J134" s="86"/>
      <c r="K134" s="86"/>
      <c r="L134" s="86">
        <f>진동측정분석비</f>
        <v>37400</v>
      </c>
      <c r="M134" s="64">
        <f>TRUNC(D134*L134,0)</f>
        <v>448800</v>
      </c>
      <c r="N134" s="191"/>
    </row>
    <row r="135" spans="1:14">
      <c r="B135" s="602"/>
      <c r="C135" s="85"/>
      <c r="D135" s="351"/>
      <c r="E135" s="87"/>
      <c r="F135" s="88"/>
      <c r="G135" s="88"/>
      <c r="H135" s="86"/>
      <c r="I135" s="86"/>
      <c r="J135" s="86"/>
      <c r="K135" s="86"/>
      <c r="L135" s="86"/>
      <c r="M135" s="84"/>
      <c r="N135" s="191"/>
    </row>
    <row r="136" spans="1:14">
      <c r="A136" s="95">
        <v>17</v>
      </c>
      <c r="B136" s="635" t="s">
        <v>1542</v>
      </c>
      <c r="C136" s="124"/>
      <c r="D136" s="352"/>
      <c r="E136" s="391" t="s">
        <v>1290</v>
      </c>
      <c r="F136" s="124"/>
      <c r="G136" s="125">
        <f>SUM(I136,K136,M136)</f>
        <v>269198</v>
      </c>
      <c r="H136" s="124"/>
      <c r="I136" s="125">
        <f>SUM(I137:I143)</f>
        <v>260113</v>
      </c>
      <c r="J136" s="124"/>
      <c r="K136" s="125">
        <f>SUM(K137:K143)</f>
        <v>7854</v>
      </c>
      <c r="L136" s="126"/>
      <c r="M136" s="125">
        <f>SUM(M137:M143)</f>
        <v>1231</v>
      </c>
      <c r="N136" s="191"/>
    </row>
    <row r="137" spans="1:14">
      <c r="B137" s="636" t="s">
        <v>1291</v>
      </c>
      <c r="C137" s="65" t="s">
        <v>1292</v>
      </c>
      <c r="D137" s="354">
        <v>0.13</v>
      </c>
      <c r="E137" s="65" t="s">
        <v>1293</v>
      </c>
      <c r="F137" s="88">
        <f t="shared" ref="F137:G143" si="28">SUM(H137,J137,L137)</f>
        <v>215194</v>
      </c>
      <c r="G137" s="88">
        <f t="shared" si="28"/>
        <v>27975</v>
      </c>
      <c r="H137" s="64">
        <f>엔중급기술자</f>
        <v>215194</v>
      </c>
      <c r="I137" s="64">
        <f>TRUNC(H137*D137,0)</f>
        <v>27975</v>
      </c>
      <c r="J137" s="64"/>
      <c r="K137" s="64">
        <f>TRUNC(J137*D137,0)</f>
        <v>0</v>
      </c>
      <c r="L137" s="64"/>
      <c r="M137" s="64"/>
      <c r="N137" s="191"/>
    </row>
    <row r="138" spans="1:14">
      <c r="B138" s="636" t="s">
        <v>1502</v>
      </c>
      <c r="C138" s="65" t="s">
        <v>1294</v>
      </c>
      <c r="D138" s="354">
        <v>0.38</v>
      </c>
      <c r="E138" s="65" t="s">
        <v>1295</v>
      </c>
      <c r="F138" s="88">
        <f t="shared" si="28"/>
        <v>178305</v>
      </c>
      <c r="G138" s="88">
        <f t="shared" si="28"/>
        <v>67755</v>
      </c>
      <c r="H138" s="64">
        <f>엔중급기능사</f>
        <v>178305</v>
      </c>
      <c r="I138" s="64">
        <f>TRUNC(H138*D138,0)</f>
        <v>67755</v>
      </c>
      <c r="J138" s="64"/>
      <c r="K138" s="64">
        <f>TRUNC(J138*D138,0)</f>
        <v>0</v>
      </c>
      <c r="L138" s="64"/>
      <c r="M138" s="64"/>
      <c r="N138" s="191"/>
    </row>
    <row r="139" spans="1:14">
      <c r="B139" s="636" t="s">
        <v>1503</v>
      </c>
      <c r="C139" s="65" t="s">
        <v>1296</v>
      </c>
      <c r="D139" s="354">
        <v>0.38</v>
      </c>
      <c r="E139" s="65" t="s">
        <v>1295</v>
      </c>
      <c r="F139" s="88">
        <f t="shared" si="28"/>
        <v>156008</v>
      </c>
      <c r="G139" s="88">
        <f t="shared" si="28"/>
        <v>59283</v>
      </c>
      <c r="H139" s="64">
        <f>엔초급기능사</f>
        <v>156008</v>
      </c>
      <c r="I139" s="64">
        <f>TRUNC(H139*D139,0)</f>
        <v>59283</v>
      </c>
      <c r="J139" s="64"/>
      <c r="K139" s="64">
        <f>TRUNC(J139*D139,0)</f>
        <v>0</v>
      </c>
      <c r="L139" s="64"/>
      <c r="M139" s="64"/>
      <c r="N139" s="191"/>
    </row>
    <row r="140" spans="1:14">
      <c r="B140" s="636" t="s">
        <v>1297</v>
      </c>
      <c r="C140" s="65" t="s">
        <v>1298</v>
      </c>
      <c r="D140" s="354">
        <v>0.76</v>
      </c>
      <c r="E140" s="65" t="s">
        <v>1295</v>
      </c>
      <c r="F140" s="88">
        <f t="shared" si="28"/>
        <v>138290</v>
      </c>
      <c r="G140" s="88">
        <f t="shared" si="28"/>
        <v>105100</v>
      </c>
      <c r="H140" s="64">
        <f>보통인부</f>
        <v>138290</v>
      </c>
      <c r="I140" s="64">
        <f>TRUNC(H140*D140,0)</f>
        <v>105100</v>
      </c>
      <c r="J140" s="64"/>
      <c r="K140" s="64">
        <f>TRUNC(J140*D140,0)</f>
        <v>0</v>
      </c>
      <c r="L140" s="64"/>
      <c r="M140" s="64"/>
      <c r="N140" s="191"/>
    </row>
    <row r="141" spans="1:14">
      <c r="B141" s="636" t="s">
        <v>1299</v>
      </c>
      <c r="C141" s="65" t="s">
        <v>1300</v>
      </c>
      <c r="D141" s="354">
        <v>0.08</v>
      </c>
      <c r="E141" s="65" t="s">
        <v>1301</v>
      </c>
      <c r="F141" s="88">
        <f t="shared" si="28"/>
        <v>93500</v>
      </c>
      <c r="G141" s="88">
        <f t="shared" si="28"/>
        <v>7480</v>
      </c>
      <c r="H141" s="64"/>
      <c r="I141" s="64"/>
      <c r="J141" s="637">
        <v>93500</v>
      </c>
      <c r="K141" s="64">
        <f>TRUNC(J141*D141,0)</f>
        <v>7480</v>
      </c>
      <c r="L141" s="64"/>
      <c r="M141" s="64"/>
      <c r="N141" s="191" t="s">
        <v>1307</v>
      </c>
    </row>
    <row r="142" spans="1:14">
      <c r="B142" s="636" t="s">
        <v>1302</v>
      </c>
      <c r="C142" s="65" t="s">
        <v>1303</v>
      </c>
      <c r="D142" s="354">
        <v>5</v>
      </c>
      <c r="E142" s="65" t="s">
        <v>150</v>
      </c>
      <c r="F142" s="88">
        <f t="shared" si="28"/>
        <v>7480</v>
      </c>
      <c r="G142" s="88">
        <f t="shared" si="28"/>
        <v>374</v>
      </c>
      <c r="H142" s="64"/>
      <c r="I142" s="64"/>
      <c r="J142" s="64">
        <f>K141</f>
        <v>7480</v>
      </c>
      <c r="K142" s="64">
        <f>TRUNC(J142*D142/100,0)</f>
        <v>374</v>
      </c>
      <c r="L142" s="64"/>
      <c r="M142" s="64"/>
      <c r="N142" s="191"/>
    </row>
    <row r="143" spans="1:14">
      <c r="B143" s="636" t="s">
        <v>1304</v>
      </c>
      <c r="C143" s="65" t="s">
        <v>1305</v>
      </c>
      <c r="D143" s="354">
        <v>0.38</v>
      </c>
      <c r="E143" s="65" t="s">
        <v>1306</v>
      </c>
      <c r="F143" s="88">
        <f t="shared" si="28"/>
        <v>3240</v>
      </c>
      <c r="G143" s="88">
        <f t="shared" si="28"/>
        <v>1231</v>
      </c>
      <c r="H143" s="64"/>
      <c r="I143" s="64"/>
      <c r="J143" s="64"/>
      <c r="K143" s="64">
        <f>TRUNC(J143*D143,0)</f>
        <v>0</v>
      </c>
      <c r="L143" s="637">
        <f>600000*0.0054</f>
        <v>3240</v>
      </c>
      <c r="M143" s="64">
        <f>TRUNC(D143*L143,0)</f>
        <v>1231</v>
      </c>
      <c r="N143" s="191" t="s">
        <v>1308</v>
      </c>
    </row>
    <row r="144" spans="1:14">
      <c r="B144" s="602"/>
      <c r="C144" s="85"/>
      <c r="D144" s="351"/>
      <c r="E144" s="87"/>
      <c r="F144" s="88"/>
      <c r="G144" s="88"/>
      <c r="H144" s="86"/>
      <c r="I144" s="86"/>
      <c r="J144" s="86"/>
      <c r="K144" s="86"/>
      <c r="L144" s="86"/>
      <c r="M144" s="84"/>
      <c r="N144" s="191"/>
    </row>
    <row r="145" spans="1:33" s="95" customFormat="1">
      <c r="A145" s="95">
        <v>18</v>
      </c>
      <c r="B145" s="123" t="s">
        <v>1309</v>
      </c>
      <c r="C145" s="63"/>
      <c r="D145" s="355"/>
      <c r="E145" s="638" t="s">
        <v>1282</v>
      </c>
      <c r="F145" s="63"/>
      <c r="G145" s="89">
        <f>SUM(G146:G152)</f>
        <v>271700</v>
      </c>
      <c r="H145" s="63"/>
      <c r="I145" s="63"/>
      <c r="J145" s="63"/>
      <c r="K145" s="63"/>
      <c r="L145" s="89"/>
      <c r="M145" s="89">
        <f>SUM(M146:M152)</f>
        <v>271700</v>
      </c>
      <c r="N145" s="642" t="s">
        <v>1324</v>
      </c>
      <c r="P145" s="195"/>
      <c r="Q145" s="195"/>
      <c r="R145" s="195"/>
      <c r="S145" s="195"/>
      <c r="T145" s="195"/>
      <c r="U145" s="195"/>
      <c r="V145" s="195"/>
      <c r="W145" s="195"/>
      <c r="X145" s="195"/>
      <c r="Y145" s="195"/>
      <c r="Z145" s="195"/>
      <c r="AA145" s="195"/>
      <c r="AB145" s="195"/>
      <c r="AC145" s="195"/>
      <c r="AD145" s="195"/>
      <c r="AE145" s="195"/>
      <c r="AF145" s="195"/>
      <c r="AG145" s="195"/>
    </row>
    <row r="146" spans="1:33">
      <c r="B146" s="636" t="s">
        <v>1310</v>
      </c>
      <c r="C146" s="65"/>
      <c r="D146" s="353">
        <v>1</v>
      </c>
      <c r="E146" s="65" t="s">
        <v>1311</v>
      </c>
      <c r="F146" s="88">
        <f>SUM(H146,J146,L146)</f>
        <v>12000</v>
      </c>
      <c r="G146" s="88">
        <f>SUM(I146,K146,M146)</f>
        <v>12000</v>
      </c>
      <c r="H146" s="64"/>
      <c r="I146" s="64"/>
      <c r="J146" s="64"/>
      <c r="K146" s="64"/>
      <c r="L146" s="187">
        <f>지반조사입력!C22</f>
        <v>12000</v>
      </c>
      <c r="M146" s="64">
        <f t="shared" ref="M146:M151" si="29">TRUNC(L146*D146,0)</f>
        <v>12000</v>
      </c>
      <c r="N146" s="192" t="s">
        <v>1548</v>
      </c>
    </row>
    <row r="147" spans="1:33">
      <c r="B147" s="636" t="s">
        <v>1312</v>
      </c>
      <c r="C147" s="65"/>
      <c r="D147" s="353">
        <v>1</v>
      </c>
      <c r="E147" s="65" t="s">
        <v>1311</v>
      </c>
      <c r="F147" s="88">
        <f t="shared" ref="F147:G152" si="30">SUM(H147,J147,L147)</f>
        <v>20000</v>
      </c>
      <c r="G147" s="88">
        <f t="shared" si="30"/>
        <v>20000</v>
      </c>
      <c r="H147" s="64"/>
      <c r="I147" s="64"/>
      <c r="J147" s="64"/>
      <c r="K147" s="64"/>
      <c r="L147" s="187">
        <f>지반조사입력!C23</f>
        <v>20000</v>
      </c>
      <c r="M147" s="64">
        <f t="shared" si="29"/>
        <v>20000</v>
      </c>
      <c r="N147" s="192" t="s">
        <v>1548</v>
      </c>
    </row>
    <row r="148" spans="1:33">
      <c r="B148" s="636" t="s">
        <v>1313</v>
      </c>
      <c r="C148" s="65"/>
      <c r="D148" s="353">
        <v>1</v>
      </c>
      <c r="E148" s="65" t="s">
        <v>1311</v>
      </c>
      <c r="F148" s="88">
        <f t="shared" si="30"/>
        <v>130000</v>
      </c>
      <c r="G148" s="88">
        <f t="shared" si="30"/>
        <v>130000</v>
      </c>
      <c r="H148" s="64"/>
      <c r="I148" s="64"/>
      <c r="J148" s="64"/>
      <c r="K148" s="64"/>
      <c r="L148" s="187">
        <f>지반조사입력!C24</f>
        <v>130000</v>
      </c>
      <c r="M148" s="64">
        <f t="shared" si="29"/>
        <v>130000</v>
      </c>
      <c r="N148" s="192" t="s">
        <v>1548</v>
      </c>
    </row>
    <row r="149" spans="1:33">
      <c r="B149" s="636" t="s">
        <v>1314</v>
      </c>
      <c r="C149" s="65"/>
      <c r="D149" s="353">
        <v>1</v>
      </c>
      <c r="E149" s="65" t="s">
        <v>1311</v>
      </c>
      <c r="F149" s="88">
        <f t="shared" si="30"/>
        <v>40000</v>
      </c>
      <c r="G149" s="88">
        <f t="shared" si="30"/>
        <v>40000</v>
      </c>
      <c r="H149" s="64"/>
      <c r="I149" s="64"/>
      <c r="J149" s="64"/>
      <c r="K149" s="64"/>
      <c r="L149" s="187">
        <f>지반조사입력!C25</f>
        <v>40000</v>
      </c>
      <c r="M149" s="64">
        <f t="shared" si="29"/>
        <v>40000</v>
      </c>
      <c r="N149" s="192" t="s">
        <v>1548</v>
      </c>
    </row>
    <row r="150" spans="1:33">
      <c r="B150" s="636" t="s">
        <v>1315</v>
      </c>
      <c r="C150" s="65"/>
      <c r="D150" s="353">
        <v>1</v>
      </c>
      <c r="E150" s="65" t="s">
        <v>137</v>
      </c>
      <c r="F150" s="88">
        <f t="shared" si="30"/>
        <v>30000</v>
      </c>
      <c r="G150" s="88">
        <f t="shared" si="30"/>
        <v>30000</v>
      </c>
      <c r="H150" s="64"/>
      <c r="I150" s="64"/>
      <c r="J150" s="64"/>
      <c r="K150" s="64"/>
      <c r="L150" s="187">
        <f>지반조사입력!C26</f>
        <v>30000</v>
      </c>
      <c r="M150" s="64">
        <f t="shared" si="29"/>
        <v>30000</v>
      </c>
      <c r="N150" s="192" t="s">
        <v>1548</v>
      </c>
    </row>
    <row r="151" spans="1:33">
      <c r="B151" s="636" t="s">
        <v>1316</v>
      </c>
      <c r="C151" s="65"/>
      <c r="D151" s="353">
        <v>1</v>
      </c>
      <c r="E151" s="65" t="s">
        <v>1311</v>
      </c>
      <c r="F151" s="88">
        <f t="shared" si="30"/>
        <v>15000</v>
      </c>
      <c r="G151" s="88">
        <f t="shared" si="30"/>
        <v>15000</v>
      </c>
      <c r="H151" s="64"/>
      <c r="I151" s="64"/>
      <c r="J151" s="64"/>
      <c r="K151" s="64"/>
      <c r="L151" s="187">
        <f>지반조사입력!C27</f>
        <v>15000</v>
      </c>
      <c r="M151" s="64">
        <f t="shared" si="29"/>
        <v>15000</v>
      </c>
      <c r="N151" s="192" t="s">
        <v>1548</v>
      </c>
    </row>
    <row r="152" spans="1:33">
      <c r="B152" s="636" t="s">
        <v>1317</v>
      </c>
      <c r="C152" s="65" t="s">
        <v>1318</v>
      </c>
      <c r="D152" s="353">
        <v>10</v>
      </c>
      <c r="E152" s="65" t="s">
        <v>1319</v>
      </c>
      <c r="F152" s="88">
        <f t="shared" si="30"/>
        <v>247000</v>
      </c>
      <c r="G152" s="88">
        <f t="shared" si="30"/>
        <v>24700</v>
      </c>
      <c r="H152" s="64"/>
      <c r="I152" s="64"/>
      <c r="J152" s="64"/>
      <c r="K152" s="64"/>
      <c r="L152" s="64">
        <f>SUM(M146:M151)</f>
        <v>247000</v>
      </c>
      <c r="M152" s="64">
        <f>TRUNC(L152*D152/100,0)</f>
        <v>24700</v>
      </c>
      <c r="N152" s="189"/>
    </row>
  </sheetData>
  <mergeCells count="27">
    <mergeCell ref="N2:N3"/>
    <mergeCell ref="B1:N1"/>
    <mergeCell ref="B2:B3"/>
    <mergeCell ref="C2:C3"/>
    <mergeCell ref="D2:D3"/>
    <mergeCell ref="E2:E3"/>
    <mergeCell ref="F2:G2"/>
    <mergeCell ref="P48:Y48"/>
    <mergeCell ref="P64:Y64"/>
    <mergeCell ref="P51:Q51"/>
    <mergeCell ref="P50:Q50"/>
    <mergeCell ref="P49:Q49"/>
    <mergeCell ref="R51:S51"/>
    <mergeCell ref="R50:S50"/>
    <mergeCell ref="R49:S49"/>
    <mergeCell ref="T51:Y51"/>
    <mergeCell ref="T50:Y50"/>
    <mergeCell ref="T49:Y49"/>
    <mergeCell ref="P67:Q67"/>
    <mergeCell ref="R67:S67"/>
    <mergeCell ref="T67:Y67"/>
    <mergeCell ref="P65:Q65"/>
    <mergeCell ref="R65:S65"/>
    <mergeCell ref="T65:Y65"/>
    <mergeCell ref="P66:Q66"/>
    <mergeCell ref="R66:S66"/>
    <mergeCell ref="T66:Y66"/>
  </mergeCells>
  <phoneticPr fontId="1" type="noConversion"/>
  <pageMargins left="0.47244094488188981" right="0.31496062992125984" top="0.59055118110236227" bottom="0.31496062992125984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C000"/>
  </sheetPr>
  <dimension ref="A1:W33"/>
  <sheetViews>
    <sheetView view="pageBreakPreview" zoomScaleNormal="100" zoomScaleSheetLayoutView="100" workbookViewId="0">
      <selection activeCell="L13" sqref="L13"/>
    </sheetView>
  </sheetViews>
  <sheetFormatPr defaultColWidth="9" defaultRowHeight="13.2"/>
  <cols>
    <col min="1" max="29" width="5.59765625" style="141" customWidth="1"/>
    <col min="30" max="36" width="6" style="141" customWidth="1"/>
    <col min="37" max="16384" width="9" style="141"/>
  </cols>
  <sheetData>
    <row r="1" spans="1:21" s="223" customFormat="1" ht="25.2">
      <c r="A1" s="222" t="s">
        <v>459</v>
      </c>
      <c r="D1" s="240" t="s">
        <v>461</v>
      </c>
    </row>
    <row r="2" spans="1:21" ht="19.2">
      <c r="A2" s="254" t="s">
        <v>592</v>
      </c>
      <c r="B2" s="197"/>
    </row>
    <row r="3" spans="1:21" ht="12" customHeight="1">
      <c r="A3" s="1011" t="s">
        <v>396</v>
      </c>
      <c r="B3" s="1012"/>
      <c r="C3" s="1012"/>
      <c r="D3" s="1013"/>
      <c r="E3" s="1016" t="s">
        <v>468</v>
      </c>
      <c r="F3" s="985"/>
      <c r="G3" s="985" t="s">
        <v>469</v>
      </c>
      <c r="H3" s="985"/>
      <c r="I3" s="985" t="s">
        <v>479</v>
      </c>
      <c r="J3" s="986"/>
    </row>
    <row r="4" spans="1:21" ht="12" customHeight="1">
      <c r="A4" s="1014" t="s">
        <v>467</v>
      </c>
      <c r="B4" s="1003"/>
      <c r="C4" s="995" t="s">
        <v>430</v>
      </c>
      <c r="D4" s="996"/>
      <c r="E4" s="1002" t="s">
        <v>473</v>
      </c>
      <c r="F4" s="1003"/>
      <c r="G4" s="991">
        <v>20</v>
      </c>
      <c r="H4" s="991"/>
      <c r="I4" s="987" t="s">
        <v>405</v>
      </c>
      <c r="J4" s="988"/>
    </row>
    <row r="5" spans="1:21" ht="12" customHeight="1">
      <c r="A5" s="1015"/>
      <c r="B5" s="974"/>
      <c r="C5" s="984" t="s">
        <v>431</v>
      </c>
      <c r="D5" s="994"/>
      <c r="E5" s="973" t="s">
        <v>474</v>
      </c>
      <c r="F5" s="974"/>
      <c r="G5" s="990">
        <v>15</v>
      </c>
      <c r="H5" s="990"/>
      <c r="I5" s="977" t="s">
        <v>405</v>
      </c>
      <c r="J5" s="978"/>
    </row>
    <row r="6" spans="1:21" ht="12" customHeight="1">
      <c r="A6" s="992" t="s">
        <v>13</v>
      </c>
      <c r="B6" s="993"/>
      <c r="C6" s="972" t="s">
        <v>432</v>
      </c>
      <c r="D6" s="980"/>
      <c r="E6" s="971" t="s">
        <v>472</v>
      </c>
      <c r="F6" s="972"/>
      <c r="G6" s="989">
        <v>1</v>
      </c>
      <c r="H6" s="989"/>
      <c r="I6" s="975" t="s">
        <v>405</v>
      </c>
      <c r="J6" s="976"/>
    </row>
    <row r="8" spans="1:21" ht="19.2">
      <c r="A8" s="253" t="s">
        <v>463</v>
      </c>
      <c r="Q8" s="198"/>
      <c r="R8" s="198"/>
      <c r="S8" s="199"/>
      <c r="T8" s="199"/>
      <c r="U8" s="199"/>
    </row>
    <row r="9" spans="1:21">
      <c r="A9" s="997" t="s">
        <v>396</v>
      </c>
      <c r="B9" s="998"/>
      <c r="C9" s="999"/>
      <c r="D9" s="998">
        <f>IF(하천자료제외&gt;=하천측량!$E$25,하천측량!D21,IF(하천자료제외&gt;=하천측량!$G$25,하천측량!F21,IF(하천자료제외&gt;=하천측량!$I$25,하천측량!H21,IF(하천자료제외&gt;=하천측량!$K$25,하천측량!J21,IF(하천자료제외&gt;=하천측량!$M$25,하천측량!L21,하천측량!N21)))))</f>
        <v>1</v>
      </c>
      <c r="E9" s="998"/>
      <c r="F9" s="998">
        <f>IF(하천자료제외&gt;=하천측량!$E$25,하천측량!E21,IF(하천자료제외&gt;=하천측량!$G$25,하천측량!G21,IF(하천자료제외&gt;=하천측량!$I$25,하천측량!I21,IF(하천자료제외&gt;=하천측량!$K$25,하천측량!K21,IF(하천자료제외&gt;=하천측량!$M$25,하천측량!M21,하천측량!O21)))))</f>
        <v>2</v>
      </c>
      <c r="G9" s="998"/>
      <c r="H9" s="1020">
        <f>IF(하천자료제외&gt;=하천측량!$E$25,하천측량!F21,IF(하천자료제외&gt;=하천측량!$G$25,하천측량!H21,IF(하천자료제외&gt;=하천측량!$I$25,하천측량!J21,IF(하천자료제외&gt;=하천측량!$K$25,하천측량!L21,하천측량!N21))))</f>
        <v>3</v>
      </c>
      <c r="I9" s="1020"/>
      <c r="J9" s="1020">
        <f>IF(하천자료제외&gt;=하천측량!$E$25,하천측량!G21,IF(하천자료제외&gt;=하천측량!$G$25,하천측량!I21,IF(하천자료제외&gt;=하천측량!$I$25,하천측량!K21,IF(하천자료제외&gt;=하천측량!$K$25,하천측량!M21,하천측량!O21))))</f>
        <v>4</v>
      </c>
      <c r="K9" s="1020"/>
      <c r="L9" s="1019" t="s">
        <v>433</v>
      </c>
      <c r="M9" s="1019"/>
      <c r="N9" s="998" t="s">
        <v>434</v>
      </c>
      <c r="O9" s="998"/>
      <c r="P9" s="999" t="s">
        <v>408</v>
      </c>
      <c r="Q9" s="198"/>
      <c r="R9" s="198"/>
      <c r="S9" s="199"/>
      <c r="T9" s="199"/>
      <c r="U9" s="199"/>
    </row>
    <row r="10" spans="1:21">
      <c r="A10" s="1000"/>
      <c r="B10" s="984"/>
      <c r="C10" s="994"/>
      <c r="D10" s="983">
        <f>IF(하천자료제외&gt;=하천측량!$E$25,하천측량!$D$23,IF(하천자료제외&gt;=하천측량!$G$25,하천측량!$F$23,IF(하천자료제외&gt;=하천측량!$I$25,하천측량!$H$23,IF(하천자료제외&gt;=하천측량!$K$25,하천측량!$J$23,IF(하천자료제외&gt;=하천측량!$M$25,하천측량!$L$23,하천측량!$N$23)))))</f>
        <v>50</v>
      </c>
      <c r="E10" s="983"/>
      <c r="F10" s="983"/>
      <c r="G10" s="983"/>
      <c r="H10" s="983">
        <f>IF(하천자료제외&gt;=하천측량!$E$25,하천측량!$F$23,IF(하천자료제외&gt;=하천측량!$G$25,하천측량!$H$23,IF(하천자료제외&gt;=하천측량!$I$25,하천측량!$J$23,IF(하천자료제외&gt;=하천측량!$K$25,하천측량!$L$23,하천측량!$N$23))))</f>
        <v>100</v>
      </c>
      <c r="I10" s="983"/>
      <c r="J10" s="983"/>
      <c r="K10" s="983"/>
      <c r="L10" s="974"/>
      <c r="M10" s="974"/>
      <c r="N10" s="984"/>
      <c r="O10" s="984"/>
      <c r="P10" s="994"/>
      <c r="Q10" s="198"/>
      <c r="R10" s="198"/>
      <c r="S10" s="199"/>
      <c r="T10" s="199"/>
      <c r="U10" s="199"/>
    </row>
    <row r="11" spans="1:21">
      <c r="A11" s="1000"/>
      <c r="B11" s="984"/>
      <c r="C11" s="994"/>
      <c r="D11" s="984" t="s">
        <v>426</v>
      </c>
      <c r="E11" s="984"/>
      <c r="F11" s="984" t="s">
        <v>427</v>
      </c>
      <c r="G11" s="984"/>
      <c r="H11" s="984" t="s">
        <v>426</v>
      </c>
      <c r="I11" s="984"/>
      <c r="J11" s="984" t="s">
        <v>427</v>
      </c>
      <c r="K11" s="984"/>
      <c r="L11" s="984" t="s">
        <v>426</v>
      </c>
      <c r="M11" s="984" t="s">
        <v>427</v>
      </c>
      <c r="N11" s="984" t="s">
        <v>426</v>
      </c>
      <c r="O11" s="984" t="s">
        <v>427</v>
      </c>
      <c r="P11" s="994"/>
      <c r="Q11" s="198"/>
      <c r="R11" s="198"/>
      <c r="S11" s="199"/>
      <c r="T11" s="199"/>
      <c r="U11" s="199"/>
    </row>
    <row r="12" spans="1:21">
      <c r="A12" s="1001"/>
      <c r="B12" s="972"/>
      <c r="C12" s="980"/>
      <c r="D12" s="1005">
        <f>HLOOKUP(D$9,하천횡단측량,5,0)</f>
        <v>15</v>
      </c>
      <c r="E12" s="1005"/>
      <c r="F12" s="1017">
        <f>HLOOKUP(F$9,하천횡단측량,5,0)</f>
        <v>20</v>
      </c>
      <c r="G12" s="1017"/>
      <c r="H12" s="1005">
        <f>HLOOKUP(H$9,하천횡단측량,5,0)</f>
        <v>25</v>
      </c>
      <c r="I12" s="1005"/>
      <c r="J12" s="1017">
        <f>HLOOKUP(J$9,하천횡단측량,5,0)</f>
        <v>50</v>
      </c>
      <c r="K12" s="1017"/>
      <c r="L12" s="972"/>
      <c r="M12" s="972"/>
      <c r="N12" s="972"/>
      <c r="O12" s="972"/>
      <c r="P12" s="980"/>
      <c r="Q12" s="198"/>
      <c r="R12" s="198"/>
      <c r="S12" s="199"/>
      <c r="T12" s="199"/>
      <c r="U12" s="199"/>
    </row>
    <row r="13" spans="1:21">
      <c r="A13" s="997" t="s">
        <v>416</v>
      </c>
      <c r="B13" s="998"/>
      <c r="C13" s="999"/>
      <c r="D13" s="982">
        <f>HLOOKUP(D$9,하천횡단측량,9,0)</f>
        <v>2</v>
      </c>
      <c r="E13" s="981"/>
      <c r="F13" s="981">
        <f>HLOOKUP(F$9,하천횡단측량,9,0)</f>
        <v>5</v>
      </c>
      <c r="G13" s="981"/>
      <c r="H13" s="981">
        <f>HLOOKUP(H$9,하천횡단측량,9,0)</f>
        <v>1.3</v>
      </c>
      <c r="I13" s="981"/>
      <c r="J13" s="981">
        <f>HLOOKUP(J$9,하천횡단측량,9,0)</f>
        <v>4.4000000000000004</v>
      </c>
      <c r="K13" s="981"/>
      <c r="L13" s="336">
        <f>ROUND((D13-(하천자료제외-$F$12)*(D13-H13)/($J$12-$F$12))*G6/10,2)</f>
        <v>0.2</v>
      </c>
      <c r="M13" s="336">
        <f>ROUND((F13-(하천자료제외-$F$12)*(F13-J13)/($J$12-$F$12))*G6/10,2)</f>
        <v>0.5</v>
      </c>
      <c r="N13" s="336">
        <f>P29*$G$6/10</f>
        <v>0.06</v>
      </c>
      <c r="O13" s="336">
        <f>Q29*$G$6/10</f>
        <v>0.2</v>
      </c>
      <c r="P13" s="337">
        <f>ROUND(SUM(L13:O13),2)</f>
        <v>0.96</v>
      </c>
      <c r="Q13" s="198"/>
      <c r="R13" s="198"/>
      <c r="S13" s="199"/>
      <c r="T13" s="199"/>
      <c r="U13" s="199"/>
    </row>
    <row r="14" spans="1:21">
      <c r="A14" s="1000" t="s">
        <v>417</v>
      </c>
      <c r="B14" s="984"/>
      <c r="C14" s="994"/>
      <c r="D14" s="979">
        <f>HLOOKUP(D$9,하천횡단측량,10,0)</f>
        <v>20</v>
      </c>
      <c r="E14" s="970"/>
      <c r="F14" s="970">
        <f>HLOOKUP(F$9,하천횡단측량,10,0)</f>
        <v>25</v>
      </c>
      <c r="G14" s="970"/>
      <c r="H14" s="970">
        <f>HLOOKUP(H$9,하천횡단측량,10,0)</f>
        <v>13</v>
      </c>
      <c r="I14" s="970"/>
      <c r="J14" s="970">
        <f>HLOOKUP(J$9,하천횡단측량,10,0)</f>
        <v>22</v>
      </c>
      <c r="K14" s="970"/>
      <c r="L14" s="225">
        <f>ROUND((D14-(하천자료제외-$F$12)*(D14-H14)/($J$12-$F$12))*G6/10,2)</f>
        <v>2</v>
      </c>
      <c r="M14" s="225">
        <f>ROUND((F14-(하천자료제외-$F$12)*(F14-J14)/($J$12-$F$12))*G6/10,2)</f>
        <v>2.5</v>
      </c>
      <c r="N14" s="231">
        <f t="shared" ref="N14:O17" si="0">P30*$G$6/10</f>
        <v>0.3</v>
      </c>
      <c r="O14" s="231">
        <f t="shared" si="0"/>
        <v>1</v>
      </c>
      <c r="P14" s="226">
        <f>ROUND(SUM(L14:O14),2)</f>
        <v>5.8</v>
      </c>
      <c r="Q14" s="198"/>
      <c r="R14" s="198"/>
      <c r="S14" s="199"/>
      <c r="T14" s="199"/>
      <c r="U14" s="199"/>
    </row>
    <row r="15" spans="1:21">
      <c r="A15" s="1000" t="s">
        <v>419</v>
      </c>
      <c r="B15" s="984"/>
      <c r="C15" s="994"/>
      <c r="D15" s="979">
        <f>HLOOKUP(D$9,하천횡단측량,11,0)</f>
        <v>20</v>
      </c>
      <c r="E15" s="970"/>
      <c r="F15" s="970">
        <f>HLOOKUP(F$9,하천횡단측량,11,0)</f>
        <v>25</v>
      </c>
      <c r="G15" s="970"/>
      <c r="H15" s="970">
        <f>HLOOKUP(H$9,하천횡단측량,11,0)</f>
        <v>13</v>
      </c>
      <c r="I15" s="970"/>
      <c r="J15" s="970">
        <f>HLOOKUP(J$9,하천횡단측량,11,0)</f>
        <v>22</v>
      </c>
      <c r="K15" s="970"/>
      <c r="L15" s="225">
        <f>ROUND((D15-(하천자료제외-$F$12)*(D15-H15)/($J$12-$F$12))*G6/10,2)</f>
        <v>2</v>
      </c>
      <c r="M15" s="225">
        <f>ROUND((F15-(하천자료제외-$F$12)*(F15-J15)/($J$12-$F$12))*G6/10,2)</f>
        <v>2.5</v>
      </c>
      <c r="N15" s="231">
        <f>P31*$G$6/10</f>
        <v>0.3</v>
      </c>
      <c r="O15" s="231">
        <f t="shared" si="0"/>
        <v>1</v>
      </c>
      <c r="P15" s="226">
        <f>ROUND(SUM(L15:O15),2)</f>
        <v>5.8</v>
      </c>
      <c r="Q15" s="198"/>
      <c r="R15" s="198"/>
      <c r="S15" s="199"/>
      <c r="T15" s="199"/>
      <c r="U15" s="199"/>
    </row>
    <row r="16" spans="1:21">
      <c r="A16" s="1000" t="s">
        <v>421</v>
      </c>
      <c r="B16" s="984"/>
      <c r="C16" s="994"/>
      <c r="D16" s="979">
        <f>HLOOKUP(D$9,하천횡단측량,12,0)</f>
        <v>20</v>
      </c>
      <c r="E16" s="970"/>
      <c r="F16" s="970">
        <f>HLOOKUP(F$9,하천횡단측량,12,0)</f>
        <v>50</v>
      </c>
      <c r="G16" s="970"/>
      <c r="H16" s="970">
        <f>HLOOKUP(H$9,하천횡단측량,12,0)</f>
        <v>13</v>
      </c>
      <c r="I16" s="970"/>
      <c r="J16" s="970">
        <f>HLOOKUP(J$9,하천횡단측량,12,0)</f>
        <v>44</v>
      </c>
      <c r="K16" s="970"/>
      <c r="L16" s="225">
        <f>ROUND((D16-(하천자료제외-$F$12)*(D16-H16)/($J$12-$F$12))*G6/10,2)</f>
        <v>2</v>
      </c>
      <c r="M16" s="225">
        <f>ROUND((F16-(하천자료제외-$F$12)*(F16-J16)/($J$12-$F$12))*G6/10,2)</f>
        <v>5</v>
      </c>
      <c r="N16" s="231">
        <f t="shared" si="0"/>
        <v>0</v>
      </c>
      <c r="O16" s="231">
        <f t="shared" si="0"/>
        <v>1</v>
      </c>
      <c r="P16" s="226">
        <f>ROUND(SUM(L16:O16),2)</f>
        <v>8</v>
      </c>
      <c r="Q16" s="198"/>
      <c r="R16" s="198"/>
      <c r="S16" s="199"/>
      <c r="T16" s="199"/>
      <c r="U16" s="199"/>
    </row>
    <row r="17" spans="1:23">
      <c r="A17" s="1001" t="s">
        <v>425</v>
      </c>
      <c r="B17" s="972"/>
      <c r="C17" s="980"/>
      <c r="D17" s="1007">
        <f>HLOOKUP(D$9,하천횡단측량,13,0)</f>
        <v>0</v>
      </c>
      <c r="E17" s="1006"/>
      <c r="F17" s="1006">
        <f>HLOOKUP(F$9,하천횡단측량,13,0)</f>
        <v>75</v>
      </c>
      <c r="G17" s="1006"/>
      <c r="H17" s="1006">
        <f>HLOOKUP(H$9,하천횡단측량,13,0)</f>
        <v>0</v>
      </c>
      <c r="I17" s="1006"/>
      <c r="J17" s="1006">
        <f>HLOOKUP(J$9,하천횡단측량,13,0)</f>
        <v>66</v>
      </c>
      <c r="K17" s="1006"/>
      <c r="L17" s="227">
        <f>ROUND((D17-(하천자료제외-$F$12)*(D17-H17)/($J$12-$F$12))*G6/10,2)</f>
        <v>0</v>
      </c>
      <c r="M17" s="227">
        <f>ROUND((F17-(하천자료제외-$F$12)*(F17-J17)/($J$12-$F$12))*G6/10,2)</f>
        <v>7.5</v>
      </c>
      <c r="N17" s="338">
        <f t="shared" si="0"/>
        <v>0</v>
      </c>
      <c r="O17" s="338">
        <f t="shared" si="0"/>
        <v>1</v>
      </c>
      <c r="P17" s="228">
        <f>ROUND(SUM(L17:O17),2)</f>
        <v>8.5</v>
      </c>
      <c r="Q17" s="198"/>
      <c r="R17" s="198"/>
      <c r="S17" s="199"/>
      <c r="T17" s="199"/>
      <c r="U17" s="199"/>
    </row>
    <row r="18" spans="1:23"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9"/>
      <c r="T18" s="199"/>
      <c r="U18" s="199"/>
    </row>
    <row r="19" spans="1:23" ht="19.2">
      <c r="A19" s="254" t="s">
        <v>462</v>
      </c>
      <c r="K19" s="198"/>
      <c r="L19" s="198"/>
      <c r="M19" s="198"/>
      <c r="N19" s="198"/>
      <c r="O19" s="198"/>
      <c r="P19" s="198"/>
      <c r="Q19" s="198"/>
      <c r="R19" s="198"/>
      <c r="S19" s="199"/>
      <c r="T19" s="199"/>
      <c r="U19" s="200"/>
      <c r="V19" s="200"/>
      <c r="W19" s="201"/>
    </row>
    <row r="20" spans="1:23" ht="19.2">
      <c r="A20" s="255" t="s">
        <v>465</v>
      </c>
      <c r="B20" s="200"/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</row>
    <row r="21" spans="1:23">
      <c r="A21" s="1022" t="s">
        <v>396</v>
      </c>
      <c r="B21" s="1023"/>
      <c r="C21" s="1024"/>
      <c r="D21" s="235">
        <v>1</v>
      </c>
      <c r="E21" s="235">
        <v>2</v>
      </c>
      <c r="F21" s="235">
        <v>3</v>
      </c>
      <c r="G21" s="235">
        <v>4</v>
      </c>
      <c r="H21" s="235">
        <v>5</v>
      </c>
      <c r="I21" s="235">
        <v>6</v>
      </c>
      <c r="J21" s="235">
        <v>7</v>
      </c>
      <c r="K21" s="235">
        <v>8</v>
      </c>
      <c r="L21" s="235">
        <v>9</v>
      </c>
      <c r="M21" s="235">
        <v>10</v>
      </c>
      <c r="N21" s="235">
        <v>11</v>
      </c>
      <c r="O21" s="235">
        <v>12</v>
      </c>
      <c r="P21" s="235">
        <v>13</v>
      </c>
      <c r="Q21" s="235">
        <v>14</v>
      </c>
      <c r="R21" s="236"/>
    </row>
    <row r="22" spans="1:23">
      <c r="A22" s="1009"/>
      <c r="B22" s="977"/>
      <c r="C22" s="978"/>
      <c r="D22" s="977" t="s">
        <v>435</v>
      </c>
      <c r="E22" s="977"/>
      <c r="F22" s="977"/>
      <c r="G22" s="977"/>
      <c r="H22" s="977"/>
      <c r="I22" s="977"/>
      <c r="J22" s="977"/>
      <c r="K22" s="977"/>
      <c r="L22" s="977"/>
      <c r="M22" s="977"/>
      <c r="N22" s="977"/>
      <c r="O22" s="977"/>
      <c r="P22" s="977" t="s">
        <v>434</v>
      </c>
      <c r="Q22" s="977"/>
      <c r="R22" s="978" t="s">
        <v>436</v>
      </c>
    </row>
    <row r="23" spans="1:23">
      <c r="A23" s="1009" t="s">
        <v>437</v>
      </c>
      <c r="B23" s="977"/>
      <c r="C23" s="978"/>
      <c r="D23" s="1008">
        <v>50</v>
      </c>
      <c r="E23" s="1008"/>
      <c r="F23" s="1008">
        <v>100</v>
      </c>
      <c r="G23" s="1008"/>
      <c r="H23" s="1008">
        <v>200</v>
      </c>
      <c r="I23" s="1008"/>
      <c r="J23" s="1008">
        <v>400</v>
      </c>
      <c r="K23" s="1008"/>
      <c r="L23" s="1008">
        <v>700</v>
      </c>
      <c r="M23" s="1008"/>
      <c r="N23" s="1008">
        <v>1000</v>
      </c>
      <c r="O23" s="1008"/>
      <c r="P23" s="1021">
        <v>10</v>
      </c>
      <c r="Q23" s="1021"/>
      <c r="R23" s="978"/>
    </row>
    <row r="24" spans="1:23">
      <c r="A24" s="1009" t="s">
        <v>438</v>
      </c>
      <c r="B24" s="977"/>
      <c r="C24" s="978"/>
      <c r="D24" s="202" t="s">
        <v>439</v>
      </c>
      <c r="E24" s="202" t="s">
        <v>440</v>
      </c>
      <c r="F24" s="202" t="s">
        <v>439</v>
      </c>
      <c r="G24" s="202" t="s">
        <v>440</v>
      </c>
      <c r="H24" s="202" t="s">
        <v>439</v>
      </c>
      <c r="I24" s="202" t="s">
        <v>440</v>
      </c>
      <c r="J24" s="202" t="s">
        <v>439</v>
      </c>
      <c r="K24" s="202" t="s">
        <v>440</v>
      </c>
      <c r="L24" s="202" t="s">
        <v>439</v>
      </c>
      <c r="M24" s="202" t="s">
        <v>440</v>
      </c>
      <c r="N24" s="202" t="s">
        <v>439</v>
      </c>
      <c r="O24" s="202" t="s">
        <v>440</v>
      </c>
      <c r="P24" s="1021"/>
      <c r="Q24" s="1021"/>
      <c r="R24" s="978"/>
    </row>
    <row r="25" spans="1:23">
      <c r="A25" s="1009"/>
      <c r="B25" s="977"/>
      <c r="C25" s="978"/>
      <c r="D25" s="203">
        <v>15</v>
      </c>
      <c r="E25" s="203">
        <v>20</v>
      </c>
      <c r="F25" s="203">
        <v>25</v>
      </c>
      <c r="G25" s="203">
        <v>50</v>
      </c>
      <c r="H25" s="203">
        <v>50</v>
      </c>
      <c r="I25" s="203">
        <v>100</v>
      </c>
      <c r="J25" s="203">
        <v>50</v>
      </c>
      <c r="K25" s="203">
        <v>300</v>
      </c>
      <c r="L25" s="203">
        <v>100</v>
      </c>
      <c r="M25" s="203">
        <v>500</v>
      </c>
      <c r="N25" s="203">
        <v>100</v>
      </c>
      <c r="O25" s="203">
        <v>800</v>
      </c>
      <c r="P25" s="1021"/>
      <c r="Q25" s="1021"/>
      <c r="R25" s="978"/>
    </row>
    <row r="26" spans="1:23">
      <c r="A26" s="1009" t="s">
        <v>441</v>
      </c>
      <c r="B26" s="977"/>
      <c r="C26" s="978"/>
      <c r="D26" s="1018">
        <v>25</v>
      </c>
      <c r="E26" s="1018"/>
      <c r="F26" s="1018">
        <v>50</v>
      </c>
      <c r="G26" s="1018"/>
      <c r="H26" s="1018">
        <v>100</v>
      </c>
      <c r="I26" s="1018"/>
      <c r="J26" s="1018">
        <v>200</v>
      </c>
      <c r="K26" s="1018"/>
      <c r="L26" s="1018">
        <v>200</v>
      </c>
      <c r="M26" s="1018"/>
      <c r="N26" s="1018">
        <v>200</v>
      </c>
      <c r="O26" s="1018"/>
      <c r="P26" s="1021"/>
      <c r="Q26" s="1021"/>
      <c r="R26" s="978"/>
    </row>
    <row r="27" spans="1:23">
      <c r="A27" s="1009" t="s">
        <v>442</v>
      </c>
      <c r="B27" s="977"/>
      <c r="C27" s="978"/>
      <c r="D27" s="204" t="s">
        <v>426</v>
      </c>
      <c r="E27" s="204" t="s">
        <v>427</v>
      </c>
      <c r="F27" s="204" t="s">
        <v>426</v>
      </c>
      <c r="G27" s="204" t="s">
        <v>427</v>
      </c>
      <c r="H27" s="204" t="s">
        <v>426</v>
      </c>
      <c r="I27" s="204" t="s">
        <v>427</v>
      </c>
      <c r="J27" s="204" t="s">
        <v>426</v>
      </c>
      <c r="K27" s="204" t="s">
        <v>427</v>
      </c>
      <c r="L27" s="204" t="s">
        <v>426</v>
      </c>
      <c r="M27" s="204" t="s">
        <v>427</v>
      </c>
      <c r="N27" s="204" t="s">
        <v>426</v>
      </c>
      <c r="O27" s="204" t="s">
        <v>427</v>
      </c>
      <c r="P27" s="204" t="s">
        <v>426</v>
      </c>
      <c r="Q27" s="204" t="s">
        <v>427</v>
      </c>
      <c r="R27" s="978"/>
    </row>
    <row r="28" spans="1:23">
      <c r="A28" s="1010" t="s">
        <v>443</v>
      </c>
      <c r="B28" s="975"/>
      <c r="C28" s="976"/>
      <c r="D28" s="237">
        <v>20</v>
      </c>
      <c r="E28" s="237">
        <v>25</v>
      </c>
      <c r="F28" s="237">
        <v>13.3</v>
      </c>
      <c r="G28" s="237">
        <v>22</v>
      </c>
      <c r="H28" s="237">
        <v>6.8</v>
      </c>
      <c r="I28" s="237">
        <v>25</v>
      </c>
      <c r="J28" s="237">
        <v>5.5</v>
      </c>
      <c r="K28" s="237">
        <v>20</v>
      </c>
      <c r="L28" s="237">
        <v>7.9</v>
      </c>
      <c r="M28" s="237">
        <v>27.7</v>
      </c>
      <c r="N28" s="237">
        <v>10</v>
      </c>
      <c r="O28" s="237">
        <v>35</v>
      </c>
      <c r="P28" s="237">
        <v>3</v>
      </c>
      <c r="Q28" s="237">
        <v>10</v>
      </c>
      <c r="R28" s="976"/>
    </row>
    <row r="29" spans="1:23">
      <c r="A29" s="1004" t="s">
        <v>416</v>
      </c>
      <c r="B29" s="987"/>
      <c r="C29" s="988"/>
      <c r="D29" s="232">
        <v>2</v>
      </c>
      <c r="E29" s="233">
        <v>5</v>
      </c>
      <c r="F29" s="233">
        <v>1.3</v>
      </c>
      <c r="G29" s="233">
        <v>4.4000000000000004</v>
      </c>
      <c r="H29" s="233">
        <v>0.7</v>
      </c>
      <c r="I29" s="233">
        <v>5</v>
      </c>
      <c r="J29" s="233">
        <v>0.6</v>
      </c>
      <c r="K29" s="233">
        <v>4</v>
      </c>
      <c r="L29" s="233">
        <v>0.8</v>
      </c>
      <c r="M29" s="233">
        <v>5.6</v>
      </c>
      <c r="N29" s="233">
        <v>1</v>
      </c>
      <c r="O29" s="233">
        <v>7</v>
      </c>
      <c r="P29" s="233">
        <v>0.6</v>
      </c>
      <c r="Q29" s="233">
        <v>2</v>
      </c>
      <c r="R29" s="234"/>
    </row>
    <row r="30" spans="1:23">
      <c r="A30" s="1009" t="s">
        <v>417</v>
      </c>
      <c r="B30" s="977"/>
      <c r="C30" s="978"/>
      <c r="D30" s="229">
        <v>20</v>
      </c>
      <c r="E30" s="205">
        <v>25</v>
      </c>
      <c r="F30" s="205">
        <v>13</v>
      </c>
      <c r="G30" s="205">
        <v>22</v>
      </c>
      <c r="H30" s="205">
        <v>7</v>
      </c>
      <c r="I30" s="205">
        <v>25</v>
      </c>
      <c r="J30" s="205">
        <v>5.5</v>
      </c>
      <c r="K30" s="205">
        <v>20</v>
      </c>
      <c r="L30" s="205">
        <v>8</v>
      </c>
      <c r="M30" s="205">
        <v>28</v>
      </c>
      <c r="N30" s="205">
        <v>10</v>
      </c>
      <c r="O30" s="205">
        <v>35</v>
      </c>
      <c r="P30" s="205">
        <v>3</v>
      </c>
      <c r="Q30" s="205">
        <v>10</v>
      </c>
      <c r="R30" s="206"/>
    </row>
    <row r="31" spans="1:23">
      <c r="A31" s="1009" t="s">
        <v>419</v>
      </c>
      <c r="B31" s="977"/>
      <c r="C31" s="978"/>
      <c r="D31" s="229">
        <v>20</v>
      </c>
      <c r="E31" s="205">
        <v>25</v>
      </c>
      <c r="F31" s="205">
        <v>13</v>
      </c>
      <c r="G31" s="205">
        <v>22</v>
      </c>
      <c r="H31" s="205">
        <v>7</v>
      </c>
      <c r="I31" s="205">
        <v>25</v>
      </c>
      <c r="J31" s="205">
        <v>5.5</v>
      </c>
      <c r="K31" s="205">
        <v>40</v>
      </c>
      <c r="L31" s="205">
        <v>8</v>
      </c>
      <c r="M31" s="205">
        <v>56</v>
      </c>
      <c r="N31" s="205">
        <v>10</v>
      </c>
      <c r="O31" s="205">
        <v>70</v>
      </c>
      <c r="P31" s="205">
        <v>3</v>
      </c>
      <c r="Q31" s="205">
        <v>10</v>
      </c>
      <c r="R31" s="206"/>
    </row>
    <row r="32" spans="1:23">
      <c r="A32" s="1009" t="s">
        <v>421</v>
      </c>
      <c r="B32" s="977"/>
      <c r="C32" s="978"/>
      <c r="D32" s="229">
        <v>20</v>
      </c>
      <c r="E32" s="205">
        <v>50</v>
      </c>
      <c r="F32" s="205">
        <v>13</v>
      </c>
      <c r="G32" s="205">
        <v>44</v>
      </c>
      <c r="H32" s="205">
        <v>14</v>
      </c>
      <c r="I32" s="205">
        <v>50</v>
      </c>
      <c r="J32" s="205">
        <v>11</v>
      </c>
      <c r="K32" s="205">
        <v>40</v>
      </c>
      <c r="L32" s="205">
        <v>16</v>
      </c>
      <c r="M32" s="205">
        <v>56</v>
      </c>
      <c r="N32" s="205">
        <v>20</v>
      </c>
      <c r="O32" s="205">
        <v>70</v>
      </c>
      <c r="P32" s="205">
        <v>0</v>
      </c>
      <c r="Q32" s="205">
        <v>10</v>
      </c>
      <c r="R32" s="206"/>
    </row>
    <row r="33" spans="1:18">
      <c r="A33" s="1010" t="s">
        <v>425</v>
      </c>
      <c r="B33" s="975"/>
      <c r="C33" s="976"/>
      <c r="D33" s="230">
        <v>0</v>
      </c>
      <c r="E33" s="208">
        <v>75</v>
      </c>
      <c r="F33" s="208">
        <v>0</v>
      </c>
      <c r="G33" s="208">
        <v>66</v>
      </c>
      <c r="H33" s="208">
        <v>0</v>
      </c>
      <c r="I33" s="208">
        <v>75</v>
      </c>
      <c r="J33" s="208">
        <v>0</v>
      </c>
      <c r="K33" s="208">
        <v>60</v>
      </c>
      <c r="L33" s="208">
        <v>0</v>
      </c>
      <c r="M33" s="208">
        <v>112</v>
      </c>
      <c r="N33" s="208">
        <v>0</v>
      </c>
      <c r="O33" s="208">
        <v>140</v>
      </c>
      <c r="P33" s="208">
        <v>0</v>
      </c>
      <c r="Q33" s="208">
        <v>10</v>
      </c>
      <c r="R33" s="209"/>
    </row>
  </sheetData>
  <mergeCells count="92">
    <mergeCell ref="J17:K17"/>
    <mergeCell ref="J16:K16"/>
    <mergeCell ref="P22:Q22"/>
    <mergeCell ref="R22:R28"/>
    <mergeCell ref="A28:C28"/>
    <mergeCell ref="A27:C27"/>
    <mergeCell ref="A26:C26"/>
    <mergeCell ref="A24:C25"/>
    <mergeCell ref="P23:Q26"/>
    <mergeCell ref="N26:O26"/>
    <mergeCell ref="L26:M26"/>
    <mergeCell ref="J26:K26"/>
    <mergeCell ref="H26:I26"/>
    <mergeCell ref="F26:G26"/>
    <mergeCell ref="A21:C22"/>
    <mergeCell ref="J23:K23"/>
    <mergeCell ref="F23:G23"/>
    <mergeCell ref="D26:E26"/>
    <mergeCell ref="P9:P12"/>
    <mergeCell ref="O11:O12"/>
    <mergeCell ref="N11:N12"/>
    <mergeCell ref="M11:M12"/>
    <mergeCell ref="L11:L12"/>
    <mergeCell ref="L9:M10"/>
    <mergeCell ref="N9:O10"/>
    <mergeCell ref="H9:I9"/>
    <mergeCell ref="J9:K9"/>
    <mergeCell ref="J12:K12"/>
    <mergeCell ref="J14:K14"/>
    <mergeCell ref="J13:K13"/>
    <mergeCell ref="H13:I13"/>
    <mergeCell ref="H12:I12"/>
    <mergeCell ref="A30:C30"/>
    <mergeCell ref="A31:C31"/>
    <mergeCell ref="A32:C32"/>
    <mergeCell ref="A33:C33"/>
    <mergeCell ref="A3:D3"/>
    <mergeCell ref="A4:B5"/>
    <mergeCell ref="A23:C23"/>
    <mergeCell ref="D23:E23"/>
    <mergeCell ref="E3:F3"/>
    <mergeCell ref="D10:G10"/>
    <mergeCell ref="F12:G12"/>
    <mergeCell ref="F11:G11"/>
    <mergeCell ref="F9:G9"/>
    <mergeCell ref="A17:C17"/>
    <mergeCell ref="A16:C16"/>
    <mergeCell ref="A15:C15"/>
    <mergeCell ref="A29:C29"/>
    <mergeCell ref="D12:E12"/>
    <mergeCell ref="D11:E11"/>
    <mergeCell ref="D9:E9"/>
    <mergeCell ref="F16:G16"/>
    <mergeCell ref="A14:C14"/>
    <mergeCell ref="A13:C13"/>
    <mergeCell ref="F17:G17"/>
    <mergeCell ref="D17:E17"/>
    <mergeCell ref="D16:E16"/>
    <mergeCell ref="D22:O22"/>
    <mergeCell ref="N23:O23"/>
    <mergeCell ref="L23:M23"/>
    <mergeCell ref="H23:I23"/>
    <mergeCell ref="H17:I17"/>
    <mergeCell ref="H16:I16"/>
    <mergeCell ref="A6:B6"/>
    <mergeCell ref="C5:D5"/>
    <mergeCell ref="C4:D4"/>
    <mergeCell ref="A9:C12"/>
    <mergeCell ref="E4:F4"/>
    <mergeCell ref="H11:I11"/>
    <mergeCell ref="I3:J3"/>
    <mergeCell ref="I4:J4"/>
    <mergeCell ref="G6:H6"/>
    <mergeCell ref="G5:H5"/>
    <mergeCell ref="G4:H4"/>
    <mergeCell ref="G3:H3"/>
    <mergeCell ref="H15:I15"/>
    <mergeCell ref="H14:I14"/>
    <mergeCell ref="E6:F6"/>
    <mergeCell ref="E5:F5"/>
    <mergeCell ref="I6:J6"/>
    <mergeCell ref="I5:J5"/>
    <mergeCell ref="D15:E15"/>
    <mergeCell ref="D14:E14"/>
    <mergeCell ref="C6:D6"/>
    <mergeCell ref="F15:G15"/>
    <mergeCell ref="F14:G14"/>
    <mergeCell ref="F13:G13"/>
    <mergeCell ref="D13:E13"/>
    <mergeCell ref="H10:K10"/>
    <mergeCell ref="J11:K11"/>
    <mergeCell ref="J15:K15"/>
  </mergeCells>
  <phoneticPr fontId="1" type="noConversion"/>
  <pageMargins left="0.47244094488188981" right="0.31496062992125984" top="0.59055118110236227" bottom="0.31496062992125984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C000"/>
  </sheetPr>
  <dimension ref="A1:W38"/>
  <sheetViews>
    <sheetView view="pageBreakPreview" zoomScaleNormal="100" zoomScaleSheetLayoutView="100" workbookViewId="0">
      <selection activeCell="J5" sqref="J5"/>
    </sheetView>
  </sheetViews>
  <sheetFormatPr defaultColWidth="9" defaultRowHeight="13.2"/>
  <cols>
    <col min="1" max="3" width="5.59765625" style="141" customWidth="1"/>
    <col min="4" max="22" width="5.3984375" style="141" customWidth="1"/>
    <col min="23" max="23" width="7.19921875" style="141" customWidth="1"/>
    <col min="24" max="29" width="5.59765625" style="141" customWidth="1"/>
    <col min="30" max="36" width="6" style="141" customWidth="1"/>
    <col min="37" max="16384" width="9" style="141"/>
  </cols>
  <sheetData>
    <row r="1" spans="1:23" s="223" customFormat="1" ht="25.2">
      <c r="A1" s="222" t="s">
        <v>458</v>
      </c>
      <c r="F1" s="224"/>
      <c r="G1" s="238" t="s">
        <v>460</v>
      </c>
    </row>
    <row r="2" spans="1:23" ht="19.2">
      <c r="A2" s="254" t="s">
        <v>464</v>
      </c>
      <c r="B2" s="197"/>
    </row>
    <row r="3" spans="1:23" ht="12" customHeight="1">
      <c r="A3" s="1011" t="s">
        <v>7</v>
      </c>
      <c r="B3" s="1012"/>
      <c r="C3" s="1013"/>
      <c r="D3" s="1016" t="s">
        <v>475</v>
      </c>
      <c r="E3" s="985"/>
      <c r="F3" s="985" t="s">
        <v>469</v>
      </c>
      <c r="G3" s="985"/>
      <c r="H3" s="985" t="s">
        <v>469</v>
      </c>
      <c r="I3" s="986"/>
    </row>
    <row r="4" spans="1:23">
      <c r="A4" s="1004" t="s">
        <v>203</v>
      </c>
      <c r="B4" s="987"/>
      <c r="C4" s="988"/>
      <c r="D4" s="1027" t="s">
        <v>470</v>
      </c>
      <c r="E4" s="987"/>
      <c r="F4" s="1025" t="s">
        <v>1562</v>
      </c>
      <c r="G4" s="1025"/>
      <c r="H4" s="987" t="s">
        <v>202</v>
      </c>
      <c r="I4" s="988"/>
    </row>
    <row r="5" spans="1:23">
      <c r="A5" s="1010" t="s">
        <v>12</v>
      </c>
      <c r="B5" s="975"/>
      <c r="C5" s="976"/>
      <c r="D5" s="1026" t="s">
        <v>471</v>
      </c>
      <c r="E5" s="975"/>
      <c r="F5" s="989">
        <v>0.85</v>
      </c>
      <c r="G5" s="989"/>
      <c r="H5" s="975" t="s">
        <v>42</v>
      </c>
      <c r="I5" s="976"/>
    </row>
    <row r="7" spans="1:23" ht="19.2">
      <c r="A7" s="254" t="s">
        <v>463</v>
      </c>
    </row>
    <row r="8" spans="1:23">
      <c r="A8" s="997" t="s">
        <v>7</v>
      </c>
      <c r="B8" s="998"/>
      <c r="C8" s="999"/>
      <c r="D8" s="1036" t="s">
        <v>205</v>
      </c>
      <c r="E8" s="998"/>
      <c r="F8" s="998"/>
      <c r="G8" s="998" t="s">
        <v>206</v>
      </c>
      <c r="H8" s="998"/>
      <c r="I8" s="998"/>
      <c r="J8" s="998" t="s">
        <v>207</v>
      </c>
      <c r="K8" s="998"/>
      <c r="L8" s="998"/>
      <c r="M8" s="998" t="s">
        <v>13</v>
      </c>
      <c r="N8" s="998"/>
      <c r="O8" s="998"/>
      <c r="P8" s="998" t="s">
        <v>14</v>
      </c>
      <c r="Q8" s="998"/>
      <c r="R8" s="998"/>
      <c r="S8" s="998" t="s">
        <v>208</v>
      </c>
      <c r="T8" s="998"/>
      <c r="U8" s="998"/>
      <c r="V8" s="1030" t="s">
        <v>11</v>
      </c>
    </row>
    <row r="9" spans="1:23">
      <c r="A9" s="1001"/>
      <c r="B9" s="972"/>
      <c r="C9" s="980"/>
      <c r="D9" s="542" t="s">
        <v>209</v>
      </c>
      <c r="E9" s="543" t="s">
        <v>210</v>
      </c>
      <c r="F9" s="543" t="s">
        <v>287</v>
      </c>
      <c r="G9" s="543" t="s">
        <v>209</v>
      </c>
      <c r="H9" s="543" t="s">
        <v>210</v>
      </c>
      <c r="I9" s="543" t="s">
        <v>287</v>
      </c>
      <c r="J9" s="543" t="s">
        <v>209</v>
      </c>
      <c r="K9" s="543" t="s">
        <v>210</v>
      </c>
      <c r="L9" s="543" t="s">
        <v>287</v>
      </c>
      <c r="M9" s="543" t="s">
        <v>209</v>
      </c>
      <c r="N9" s="543" t="s">
        <v>210</v>
      </c>
      <c r="O9" s="543" t="s">
        <v>287</v>
      </c>
      <c r="P9" s="543" t="s">
        <v>209</v>
      </c>
      <c r="Q9" s="543" t="s">
        <v>210</v>
      </c>
      <c r="R9" s="543" t="s">
        <v>287</v>
      </c>
      <c r="S9" s="543" t="s">
        <v>209</v>
      </c>
      <c r="T9" s="543" t="s">
        <v>210</v>
      </c>
      <c r="U9" s="543" t="s">
        <v>287</v>
      </c>
      <c r="V9" s="1031"/>
    </row>
    <row r="10" spans="1:23">
      <c r="A10" s="997" t="s">
        <v>26</v>
      </c>
      <c r="B10" s="998"/>
      <c r="C10" s="999"/>
      <c r="D10" s="339">
        <v>0</v>
      </c>
      <c r="E10" s="340">
        <f>VLOOKUP(노선지구기준,노선측량일수기준,4,0)</f>
        <v>4</v>
      </c>
      <c r="F10" s="341">
        <f>ROUND(D10*E10*$F$5,2)</f>
        <v>0</v>
      </c>
      <c r="G10" s="341">
        <f>F35+G35</f>
        <v>0</v>
      </c>
      <c r="H10" s="341">
        <f>VLOOKUP(노선지구기준,노선측량일수기준,6,0)</f>
        <v>0</v>
      </c>
      <c r="I10" s="341">
        <f>ROUND(G10*H10*$F$5,2)</f>
        <v>0</v>
      </c>
      <c r="J10" s="341">
        <f>H35+I35</f>
        <v>0</v>
      </c>
      <c r="K10" s="341">
        <f>VLOOKUP(노선지구기준,노선측량일수기준,8,0)</f>
        <v>5</v>
      </c>
      <c r="L10" s="341">
        <f>ROUND(J10*K10*$F$5,2)</f>
        <v>0</v>
      </c>
      <c r="M10" s="341">
        <f>J35+K35</f>
        <v>0</v>
      </c>
      <c r="N10" s="341">
        <v>0</v>
      </c>
      <c r="O10" s="341">
        <f>ROUND(M10*N10*$F$5,2)</f>
        <v>0</v>
      </c>
      <c r="P10" s="341">
        <f>L35+M35</f>
        <v>0</v>
      </c>
      <c r="Q10" s="341">
        <f>VLOOKUP(노선지구기준,노선측량일수기준,12,0)</f>
        <v>4</v>
      </c>
      <c r="R10" s="341">
        <v>0</v>
      </c>
      <c r="S10" s="341">
        <f>N35+O35</f>
        <v>0</v>
      </c>
      <c r="T10" s="341">
        <f>VLOOKUP(노선지구기준,노선측량일수기준,14,0)</f>
        <v>6.7</v>
      </c>
      <c r="U10" s="341">
        <f>ROUND(S10*T10*$F$5,2)</f>
        <v>0</v>
      </c>
      <c r="V10" s="342">
        <f>ROUND(SUM(F10,I10,L10,O10,R10,U10),2)</f>
        <v>0</v>
      </c>
      <c r="W10" s="733"/>
    </row>
    <row r="11" spans="1:23">
      <c r="A11" s="1000" t="s">
        <v>27</v>
      </c>
      <c r="B11" s="984"/>
      <c r="C11" s="994"/>
      <c r="D11" s="329">
        <v>0</v>
      </c>
      <c r="E11" s="331">
        <f>VLOOKUP(노선지구기준,노선측량일수기준,4,0)</f>
        <v>4</v>
      </c>
      <c r="F11" s="211">
        <f>ROUND(D11*E11*$F$5,2)</f>
        <v>0</v>
      </c>
      <c r="G11" s="243">
        <f>F36+G36</f>
        <v>0</v>
      </c>
      <c r="H11" s="211">
        <f>VLOOKUP(노선지구기준,노선측량일수기준,6,0)</f>
        <v>0</v>
      </c>
      <c r="I11" s="211">
        <f>ROUND(G11*H11*$F$5,2)</f>
        <v>0</v>
      </c>
      <c r="J11" s="243">
        <f>H36+I36</f>
        <v>0</v>
      </c>
      <c r="K11" s="211">
        <f>VLOOKUP(노선지구기준,노선측량일수기준,8,0)</f>
        <v>5</v>
      </c>
      <c r="L11" s="211">
        <f>ROUND(J11*K11*$F$5,2)</f>
        <v>0</v>
      </c>
      <c r="M11" s="243">
        <f>J36+K36</f>
        <v>1</v>
      </c>
      <c r="N11" s="211">
        <v>0</v>
      </c>
      <c r="O11" s="211">
        <f>ROUND(M11*N11*$F$5,2)</f>
        <v>0</v>
      </c>
      <c r="P11" s="243">
        <f>L36+M36</f>
        <v>1</v>
      </c>
      <c r="Q11" s="211">
        <f>VLOOKUP(노선지구기준,노선측량일수기준,12,0)</f>
        <v>4</v>
      </c>
      <c r="R11" s="211">
        <v>0</v>
      </c>
      <c r="S11" s="243">
        <f>N36+O36</f>
        <v>2</v>
      </c>
      <c r="T11" s="211">
        <f>VLOOKUP(노선지구기준,노선측량일수기준,14,0)</f>
        <v>6.7</v>
      </c>
      <c r="U11" s="211">
        <f>ROUND(S11*T11*$F$5,2)</f>
        <v>11.39</v>
      </c>
      <c r="V11" s="241">
        <f>ROUND(SUM(F11,I11,L11,O11,R11,U11),2)</f>
        <v>11.39</v>
      </c>
      <c r="W11" s="733"/>
    </row>
    <row r="12" spans="1:23">
      <c r="A12" s="1000" t="s">
        <v>28</v>
      </c>
      <c r="B12" s="984"/>
      <c r="C12" s="994"/>
      <c r="D12" s="329">
        <v>0</v>
      </c>
      <c r="E12" s="331">
        <f>VLOOKUP(노선지구기준,노선측량일수기준,4,0)</f>
        <v>4</v>
      </c>
      <c r="F12" s="211">
        <f>ROUND(D12*E12*$F$5,2)</f>
        <v>0</v>
      </c>
      <c r="G12" s="243">
        <f>F37+G37</f>
        <v>0</v>
      </c>
      <c r="H12" s="211">
        <f>VLOOKUP(노선지구기준,노선측량일수기준,6,0)</f>
        <v>0</v>
      </c>
      <c r="I12" s="211">
        <f>ROUND(G12*H12*$F$5,2)</f>
        <v>0</v>
      </c>
      <c r="J12" s="243">
        <f>H37+I37</f>
        <v>0</v>
      </c>
      <c r="K12" s="211">
        <f>VLOOKUP(노선지구기준,노선측량일수기준,8,0)</f>
        <v>5</v>
      </c>
      <c r="L12" s="211">
        <f>ROUND(J12*K12*$F$5,2)</f>
        <v>0</v>
      </c>
      <c r="M12" s="243">
        <f>J37+K37</f>
        <v>2</v>
      </c>
      <c r="N12" s="211">
        <v>0</v>
      </c>
      <c r="O12" s="211">
        <f>ROUND(M12*N12*$F$5,2)</f>
        <v>0</v>
      </c>
      <c r="P12" s="243">
        <f>L37+M37</f>
        <v>2</v>
      </c>
      <c r="Q12" s="211">
        <f>VLOOKUP(노선지구기준,노선측량일수기준,12,0)</f>
        <v>4</v>
      </c>
      <c r="R12" s="211">
        <v>0</v>
      </c>
      <c r="S12" s="243">
        <f>N37+O37</f>
        <v>2</v>
      </c>
      <c r="T12" s="211">
        <f>VLOOKUP(노선지구기준,노선측량일수기준,14,0)</f>
        <v>6.7</v>
      </c>
      <c r="U12" s="211">
        <f>ROUND(S12*T12*$F$5,2)</f>
        <v>11.39</v>
      </c>
      <c r="V12" s="241">
        <f>ROUND(SUM(F12,I12,L12,O12,R12,U12),2)</f>
        <v>11.39</v>
      </c>
      <c r="W12" s="733"/>
    </row>
    <row r="13" spans="1:23">
      <c r="A13" s="1000" t="s">
        <v>29</v>
      </c>
      <c r="B13" s="984"/>
      <c r="C13" s="994"/>
      <c r="D13" s="329">
        <f>D38+E38</f>
        <v>0</v>
      </c>
      <c r="E13" s="331">
        <f>VLOOKUP(노선지구기준,노선측량일수기준,4,0)</f>
        <v>4</v>
      </c>
      <c r="F13" s="211">
        <f>ROUND(D13*E13*$F$5,2)</f>
        <v>0</v>
      </c>
      <c r="G13" s="243">
        <f>F38+G38</f>
        <v>0</v>
      </c>
      <c r="H13" s="211">
        <f>VLOOKUP(노선지구기준,노선측량일수기준,6,0)</f>
        <v>0</v>
      </c>
      <c r="I13" s="211">
        <f>ROUND(G13*H13*$F$5,2)</f>
        <v>0</v>
      </c>
      <c r="J13" s="243">
        <f>H38+I38</f>
        <v>0</v>
      </c>
      <c r="K13" s="211">
        <f>VLOOKUP(노선지구기준,노선측량일수기준,8,0)</f>
        <v>5</v>
      </c>
      <c r="L13" s="211">
        <f>ROUND(J13*K13*$F$5,2)</f>
        <v>0</v>
      </c>
      <c r="M13" s="243">
        <f>J38+K38</f>
        <v>4</v>
      </c>
      <c r="N13" s="211">
        <v>0</v>
      </c>
      <c r="O13" s="211">
        <f>ROUND(M13*N13*$F$5,2)</f>
        <v>0</v>
      </c>
      <c r="P13" s="243">
        <f>L38+M38</f>
        <v>4</v>
      </c>
      <c r="Q13" s="211">
        <f>VLOOKUP(노선지구기준,노선측량일수기준,12,0)</f>
        <v>4</v>
      </c>
      <c r="R13" s="211">
        <v>0</v>
      </c>
      <c r="S13" s="243">
        <f>N38+O38</f>
        <v>4</v>
      </c>
      <c r="T13" s="211">
        <f>VLOOKUP(노선지구기준,노선측량일수기준,14,0)</f>
        <v>6.7</v>
      </c>
      <c r="U13" s="211">
        <f>ROUND(S13*T13*$F$5,2)</f>
        <v>22.78</v>
      </c>
      <c r="V13" s="241">
        <f>ROUND(SUM(F13,I13,L13,O13,R13,U13),2)</f>
        <v>22.78</v>
      </c>
      <c r="W13" s="733"/>
    </row>
    <row r="14" spans="1:23">
      <c r="A14" s="1001" t="s">
        <v>212</v>
      </c>
      <c r="B14" s="972"/>
      <c r="C14" s="980"/>
      <c r="D14" s="343">
        <f>D39+E39</f>
        <v>0</v>
      </c>
      <c r="E14" s="332">
        <f>VLOOKUP(노선지구기준,노선측량일수기준,4,0)</f>
        <v>4</v>
      </c>
      <c r="F14" s="212">
        <f>ROUND(D14*E14*$F$5,2)</f>
        <v>0</v>
      </c>
      <c r="G14" s="344">
        <f>F39+G39</f>
        <v>0</v>
      </c>
      <c r="H14" s="212">
        <f>VLOOKUP(노선지구기준,노선측량일수기준,6,0)</f>
        <v>0</v>
      </c>
      <c r="I14" s="212">
        <f>ROUND(G14*H14*$F$5,2)</f>
        <v>0</v>
      </c>
      <c r="J14" s="344">
        <f>H39+I39</f>
        <v>0</v>
      </c>
      <c r="K14" s="212">
        <f>VLOOKUP(노선지구기준,노선측량일수기준,8,0)</f>
        <v>5</v>
      </c>
      <c r="L14" s="212">
        <f>ROUND(J14*K14*$F$5,2)</f>
        <v>0</v>
      </c>
      <c r="M14" s="344">
        <f>J39+K39</f>
        <v>0</v>
      </c>
      <c r="N14" s="212">
        <v>0</v>
      </c>
      <c r="O14" s="212">
        <f>ROUND(M14*N14*$F$5,2)</f>
        <v>0</v>
      </c>
      <c r="P14" s="344">
        <f>L39+M39</f>
        <v>0</v>
      </c>
      <c r="Q14" s="212">
        <f>VLOOKUP(노선지구기준,노선측량일수기준,12,0)</f>
        <v>4</v>
      </c>
      <c r="R14" s="212">
        <f>ROUND(P14*Q14*$F$5,2)</f>
        <v>0</v>
      </c>
      <c r="S14" s="344">
        <f>N39+O39</f>
        <v>0</v>
      </c>
      <c r="T14" s="212">
        <f>VLOOKUP(노선지구기준,노선측량일수기준,14,0)</f>
        <v>6.7</v>
      </c>
      <c r="U14" s="212">
        <f>ROUND(S14*T14*$F$5,2)</f>
        <v>0</v>
      </c>
      <c r="V14" s="242">
        <f>ROUND(SUM(F14,I14,L14,O14,R14,U14),2)</f>
        <v>0</v>
      </c>
      <c r="W14" s="733"/>
    </row>
    <row r="16" spans="1:23" ht="19.2">
      <c r="A16" s="254" t="s">
        <v>462</v>
      </c>
    </row>
    <row r="17" spans="1:15" ht="19.2">
      <c r="A17" s="255" t="s">
        <v>466</v>
      </c>
      <c r="B17" s="214"/>
      <c r="C17" s="214"/>
      <c r="D17" s="214"/>
      <c r="E17" s="214"/>
      <c r="F17" s="214"/>
      <c r="G17" s="214"/>
      <c r="H17" s="200"/>
      <c r="I17" s="200"/>
      <c r="J17" s="200"/>
      <c r="K17" s="200"/>
      <c r="L17" s="200"/>
      <c r="M17" s="200"/>
      <c r="N17" s="200"/>
      <c r="O17" s="200"/>
    </row>
    <row r="18" spans="1:15">
      <c r="A18" s="214" t="s">
        <v>25</v>
      </c>
      <c r="B18" s="214"/>
      <c r="C18" s="214"/>
      <c r="D18" s="214"/>
      <c r="E18" s="214"/>
      <c r="F18" s="214"/>
      <c r="G18" s="214"/>
      <c r="H18" s="200"/>
      <c r="I18" s="200"/>
      <c r="J18" s="200"/>
      <c r="K18" s="200"/>
      <c r="L18" s="200"/>
      <c r="M18" s="200"/>
      <c r="N18" s="200"/>
      <c r="O18" s="200"/>
    </row>
    <row r="19" spans="1:15">
      <c r="A19" s="1035" t="s">
        <v>15</v>
      </c>
      <c r="B19" s="1033"/>
      <c r="C19" s="1034"/>
      <c r="D19" s="1032" t="s">
        <v>16</v>
      </c>
      <c r="E19" s="1033"/>
      <c r="F19" s="1033" t="s">
        <v>17</v>
      </c>
      <c r="G19" s="1033"/>
      <c r="H19" s="1033" t="s">
        <v>18</v>
      </c>
      <c r="I19" s="1033"/>
      <c r="J19" s="1033" t="s">
        <v>19</v>
      </c>
      <c r="K19" s="1033"/>
      <c r="L19" s="1033" t="s">
        <v>20</v>
      </c>
      <c r="M19" s="1033"/>
      <c r="N19" s="1033" t="s">
        <v>21</v>
      </c>
      <c r="O19" s="1034"/>
    </row>
    <row r="20" spans="1:15">
      <c r="A20" s="1004" t="s">
        <v>22</v>
      </c>
      <c r="B20" s="987"/>
      <c r="C20" s="988"/>
      <c r="D20" s="1027">
        <v>4</v>
      </c>
      <c r="E20" s="987"/>
      <c r="F20" s="1028">
        <f>2*0</f>
        <v>0</v>
      </c>
      <c r="G20" s="1028"/>
      <c r="H20" s="987">
        <v>5</v>
      </c>
      <c r="I20" s="987"/>
      <c r="J20" s="987">
        <v>2</v>
      </c>
      <c r="K20" s="987"/>
      <c r="L20" s="987">
        <v>4</v>
      </c>
      <c r="M20" s="987"/>
      <c r="N20" s="987">
        <v>6.7</v>
      </c>
      <c r="O20" s="988"/>
    </row>
    <row r="21" spans="1:15">
      <c r="A21" s="1009" t="s">
        <v>23</v>
      </c>
      <c r="B21" s="977"/>
      <c r="C21" s="978"/>
      <c r="D21" s="1037">
        <v>4</v>
      </c>
      <c r="E21" s="977"/>
      <c r="F21" s="1029">
        <f>1*0</f>
        <v>0</v>
      </c>
      <c r="G21" s="1029"/>
      <c r="H21" s="977">
        <v>4</v>
      </c>
      <c r="I21" s="977"/>
      <c r="J21" s="977">
        <v>2</v>
      </c>
      <c r="K21" s="977"/>
      <c r="L21" s="977">
        <v>4</v>
      </c>
      <c r="M21" s="977"/>
      <c r="N21" s="977">
        <v>4</v>
      </c>
      <c r="O21" s="978"/>
    </row>
    <row r="22" spans="1:15">
      <c r="A22" s="1009" t="s">
        <v>24</v>
      </c>
      <c r="B22" s="977"/>
      <c r="C22" s="978"/>
      <c r="D22" s="1037">
        <v>2</v>
      </c>
      <c r="E22" s="977"/>
      <c r="F22" s="1029">
        <f>0.5*0</f>
        <v>0</v>
      </c>
      <c r="G22" s="1029"/>
      <c r="H22" s="977">
        <v>2.5</v>
      </c>
      <c r="I22" s="977"/>
      <c r="J22" s="977">
        <v>1</v>
      </c>
      <c r="K22" s="977"/>
      <c r="L22" s="977">
        <v>2.5</v>
      </c>
      <c r="M22" s="977"/>
      <c r="N22" s="977">
        <v>3</v>
      </c>
      <c r="O22" s="978"/>
    </row>
    <row r="23" spans="1:15">
      <c r="A23" s="1010" t="s">
        <v>40</v>
      </c>
      <c r="B23" s="975"/>
      <c r="C23" s="976"/>
      <c r="D23" s="1026">
        <v>5</v>
      </c>
      <c r="E23" s="975"/>
      <c r="F23" s="1038">
        <f>2.5*0</f>
        <v>0</v>
      </c>
      <c r="G23" s="1038"/>
      <c r="H23" s="975">
        <v>6.7</v>
      </c>
      <c r="I23" s="975"/>
      <c r="J23" s="975">
        <v>3</v>
      </c>
      <c r="K23" s="975"/>
      <c r="L23" s="975">
        <v>6</v>
      </c>
      <c r="M23" s="975"/>
      <c r="N23" s="975">
        <v>5</v>
      </c>
      <c r="O23" s="976"/>
    </row>
    <row r="25" spans="1:15">
      <c r="A25" s="214" t="s">
        <v>301</v>
      </c>
      <c r="B25" s="214"/>
      <c r="C25" s="214"/>
      <c r="D25" s="214"/>
      <c r="E25" s="214"/>
      <c r="F25" s="214"/>
      <c r="G25" s="214"/>
      <c r="H25" s="200"/>
      <c r="I25" s="200"/>
      <c r="J25" s="200"/>
      <c r="K25" s="200"/>
      <c r="L25" s="200"/>
      <c r="M25" s="200"/>
      <c r="N25" s="200"/>
      <c r="O25" s="200"/>
    </row>
    <row r="26" spans="1:15">
      <c r="A26" s="1035" t="s">
        <v>15</v>
      </c>
      <c r="B26" s="1033"/>
      <c r="C26" s="1034"/>
      <c r="D26" s="1032" t="s">
        <v>16</v>
      </c>
      <c r="E26" s="1033"/>
      <c r="F26" s="1033" t="s">
        <v>17</v>
      </c>
      <c r="G26" s="1033"/>
      <c r="H26" s="1033" t="s">
        <v>18</v>
      </c>
      <c r="I26" s="1033"/>
      <c r="J26" s="1033" t="s">
        <v>19</v>
      </c>
      <c r="K26" s="1033"/>
      <c r="L26" s="1033" t="s">
        <v>20</v>
      </c>
      <c r="M26" s="1033"/>
      <c r="N26" s="1033" t="s">
        <v>21</v>
      </c>
      <c r="O26" s="1034"/>
    </row>
    <row r="27" spans="1:15">
      <c r="A27" s="1004" t="s">
        <v>22</v>
      </c>
      <c r="B27" s="987"/>
      <c r="C27" s="988"/>
      <c r="D27" s="1027">
        <v>0</v>
      </c>
      <c r="E27" s="987"/>
      <c r="F27" s="987">
        <v>2</v>
      </c>
      <c r="G27" s="987"/>
      <c r="H27" s="987">
        <v>2</v>
      </c>
      <c r="I27" s="987"/>
      <c r="J27" s="987">
        <v>1</v>
      </c>
      <c r="K27" s="987"/>
      <c r="L27" s="987">
        <v>1</v>
      </c>
      <c r="M27" s="987"/>
      <c r="N27" s="987">
        <v>1</v>
      </c>
      <c r="O27" s="988"/>
    </row>
    <row r="28" spans="1:15">
      <c r="A28" s="1009" t="s">
        <v>23</v>
      </c>
      <c r="B28" s="977"/>
      <c r="C28" s="978"/>
      <c r="D28" s="1037">
        <v>2</v>
      </c>
      <c r="E28" s="977"/>
      <c r="F28" s="977">
        <v>3</v>
      </c>
      <c r="G28" s="977"/>
      <c r="H28" s="977">
        <v>3</v>
      </c>
      <c r="I28" s="977"/>
      <c r="J28" s="977">
        <v>1</v>
      </c>
      <c r="K28" s="977"/>
      <c r="L28" s="977">
        <v>2</v>
      </c>
      <c r="M28" s="977"/>
      <c r="N28" s="977">
        <v>2</v>
      </c>
      <c r="O28" s="978"/>
    </row>
    <row r="29" spans="1:15">
      <c r="A29" s="1009" t="s">
        <v>24</v>
      </c>
      <c r="B29" s="977"/>
      <c r="C29" s="978"/>
      <c r="D29" s="1037">
        <v>1</v>
      </c>
      <c r="E29" s="977"/>
      <c r="F29" s="977">
        <v>2</v>
      </c>
      <c r="G29" s="977"/>
      <c r="H29" s="977">
        <v>2</v>
      </c>
      <c r="I29" s="977"/>
      <c r="J29" s="977">
        <v>1</v>
      </c>
      <c r="K29" s="977"/>
      <c r="L29" s="977">
        <v>1</v>
      </c>
      <c r="M29" s="977"/>
      <c r="N29" s="977">
        <v>1</v>
      </c>
      <c r="O29" s="978"/>
    </row>
    <row r="30" spans="1:15">
      <c r="A30" s="1010" t="s">
        <v>40</v>
      </c>
      <c r="B30" s="975"/>
      <c r="C30" s="976"/>
      <c r="D30" s="1026">
        <v>2</v>
      </c>
      <c r="E30" s="975"/>
      <c r="F30" s="975">
        <v>3</v>
      </c>
      <c r="G30" s="975"/>
      <c r="H30" s="975">
        <v>3</v>
      </c>
      <c r="I30" s="975"/>
      <c r="J30" s="975">
        <v>1</v>
      </c>
      <c r="K30" s="975"/>
      <c r="L30" s="975">
        <v>2</v>
      </c>
      <c r="M30" s="975"/>
      <c r="N30" s="975">
        <v>2</v>
      </c>
      <c r="O30" s="976"/>
    </row>
    <row r="32" spans="1:15">
      <c r="A32" s="214" t="s">
        <v>30</v>
      </c>
      <c r="B32" s="214"/>
      <c r="C32" s="214"/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200"/>
      <c r="O32" s="200"/>
    </row>
    <row r="33" spans="1:15">
      <c r="A33" s="1022" t="s">
        <v>15</v>
      </c>
      <c r="B33" s="1023"/>
      <c r="C33" s="1024"/>
      <c r="D33" s="1039" t="s">
        <v>16</v>
      </c>
      <c r="E33" s="1023"/>
      <c r="F33" s="1023" t="s">
        <v>17</v>
      </c>
      <c r="G33" s="1023"/>
      <c r="H33" s="1023" t="s">
        <v>18</v>
      </c>
      <c r="I33" s="1023"/>
      <c r="J33" s="1023" t="s">
        <v>19</v>
      </c>
      <c r="K33" s="1023"/>
      <c r="L33" s="1023" t="s">
        <v>20</v>
      </c>
      <c r="M33" s="1023"/>
      <c r="N33" s="1023" t="s">
        <v>21</v>
      </c>
      <c r="O33" s="1024"/>
    </row>
    <row r="34" spans="1:15">
      <c r="A34" s="1010"/>
      <c r="B34" s="975"/>
      <c r="C34" s="976"/>
      <c r="D34" s="249" t="s">
        <v>8</v>
      </c>
      <c r="E34" s="247" t="s">
        <v>9</v>
      </c>
      <c r="F34" s="207" t="s">
        <v>8</v>
      </c>
      <c r="G34" s="247" t="s">
        <v>9</v>
      </c>
      <c r="H34" s="207" t="s">
        <v>8</v>
      </c>
      <c r="I34" s="247" t="s">
        <v>9</v>
      </c>
      <c r="J34" s="207" t="s">
        <v>8</v>
      </c>
      <c r="K34" s="247" t="s">
        <v>9</v>
      </c>
      <c r="L34" s="207" t="s">
        <v>8</v>
      </c>
      <c r="M34" s="247" t="s">
        <v>9</v>
      </c>
      <c r="N34" s="207" t="s">
        <v>8</v>
      </c>
      <c r="O34" s="248" t="s">
        <v>9</v>
      </c>
    </row>
    <row r="35" spans="1:15">
      <c r="A35" s="1004" t="s">
        <v>26</v>
      </c>
      <c r="B35" s="987"/>
      <c r="C35" s="988"/>
      <c r="D35" s="250">
        <v>0</v>
      </c>
      <c r="E35" s="245">
        <v>0</v>
      </c>
      <c r="F35" s="245">
        <v>0</v>
      </c>
      <c r="G35" s="245">
        <v>0</v>
      </c>
      <c r="H35" s="245">
        <v>0</v>
      </c>
      <c r="I35" s="245">
        <v>0</v>
      </c>
      <c r="J35" s="245">
        <v>0</v>
      </c>
      <c r="K35" s="245">
        <v>0</v>
      </c>
      <c r="L35" s="245">
        <v>0</v>
      </c>
      <c r="M35" s="245">
        <v>0</v>
      </c>
      <c r="N35" s="245">
        <v>0</v>
      </c>
      <c r="O35" s="246">
        <v>0</v>
      </c>
    </row>
    <row r="36" spans="1:15">
      <c r="A36" s="1009" t="s">
        <v>27</v>
      </c>
      <c r="B36" s="977"/>
      <c r="C36" s="978"/>
      <c r="D36" s="251">
        <v>0</v>
      </c>
      <c r="E36" s="217">
        <v>0</v>
      </c>
      <c r="F36" s="217">
        <v>0</v>
      </c>
      <c r="G36" s="217">
        <v>0</v>
      </c>
      <c r="H36" s="217">
        <v>0</v>
      </c>
      <c r="I36" s="217">
        <v>0</v>
      </c>
      <c r="J36" s="217">
        <v>0</v>
      </c>
      <c r="K36" s="217">
        <v>1</v>
      </c>
      <c r="L36" s="217">
        <v>0</v>
      </c>
      <c r="M36" s="217">
        <v>1</v>
      </c>
      <c r="N36" s="217">
        <v>1</v>
      </c>
      <c r="O36" s="218">
        <v>1</v>
      </c>
    </row>
    <row r="37" spans="1:15">
      <c r="A37" s="1009" t="s">
        <v>28</v>
      </c>
      <c r="B37" s="977"/>
      <c r="C37" s="978"/>
      <c r="D37" s="251">
        <v>0</v>
      </c>
      <c r="E37" s="217">
        <v>0</v>
      </c>
      <c r="F37" s="217">
        <v>0</v>
      </c>
      <c r="G37" s="217">
        <v>0</v>
      </c>
      <c r="H37" s="217">
        <v>0</v>
      </c>
      <c r="I37" s="217">
        <v>0</v>
      </c>
      <c r="J37" s="217">
        <v>1</v>
      </c>
      <c r="K37" s="217">
        <v>1</v>
      </c>
      <c r="L37" s="217">
        <v>1</v>
      </c>
      <c r="M37" s="217">
        <v>1</v>
      </c>
      <c r="N37" s="217">
        <v>1</v>
      </c>
      <c r="O37" s="218">
        <v>1</v>
      </c>
    </row>
    <row r="38" spans="1:15">
      <c r="A38" s="1010" t="s">
        <v>29</v>
      </c>
      <c r="B38" s="975"/>
      <c r="C38" s="976"/>
      <c r="D38" s="252">
        <v>0</v>
      </c>
      <c r="E38" s="219">
        <v>0</v>
      </c>
      <c r="F38" s="219">
        <v>0</v>
      </c>
      <c r="G38" s="219">
        <v>0</v>
      </c>
      <c r="H38" s="219">
        <v>0</v>
      </c>
      <c r="I38" s="219">
        <v>0</v>
      </c>
      <c r="J38" s="219">
        <v>2</v>
      </c>
      <c r="K38" s="219">
        <v>2</v>
      </c>
      <c r="L38" s="219">
        <v>2</v>
      </c>
      <c r="M38" s="219">
        <v>2</v>
      </c>
      <c r="N38" s="219">
        <v>2</v>
      </c>
      <c r="O38" s="220">
        <v>2</v>
      </c>
    </row>
  </sheetData>
  <mergeCells count="106">
    <mergeCell ref="A20:C20"/>
    <mergeCell ref="A21:C21"/>
    <mergeCell ref="A22:C22"/>
    <mergeCell ref="A26:C26"/>
    <mergeCell ref="A23:C23"/>
    <mergeCell ref="A27:C27"/>
    <mergeCell ref="A38:C38"/>
    <mergeCell ref="A33:C34"/>
    <mergeCell ref="H29:I29"/>
    <mergeCell ref="F23:G23"/>
    <mergeCell ref="H23:I23"/>
    <mergeCell ref="D29:E29"/>
    <mergeCell ref="A28:C28"/>
    <mergeCell ref="A29:C29"/>
    <mergeCell ref="A36:C36"/>
    <mergeCell ref="A37:C37"/>
    <mergeCell ref="D33:E33"/>
    <mergeCell ref="A30:C30"/>
    <mergeCell ref="D30:E30"/>
    <mergeCell ref="A35:C35"/>
    <mergeCell ref="L33:M33"/>
    <mergeCell ref="N33:O33"/>
    <mergeCell ref="D20:E20"/>
    <mergeCell ref="D21:E21"/>
    <mergeCell ref="D22:E22"/>
    <mergeCell ref="D23:E23"/>
    <mergeCell ref="D26:E26"/>
    <mergeCell ref="L26:M26"/>
    <mergeCell ref="L20:M20"/>
    <mergeCell ref="N20:O20"/>
    <mergeCell ref="L29:M29"/>
    <mergeCell ref="N29:O29"/>
    <mergeCell ref="F30:G30"/>
    <mergeCell ref="H30:I30"/>
    <mergeCell ref="J30:K30"/>
    <mergeCell ref="L30:M30"/>
    <mergeCell ref="N30:O30"/>
    <mergeCell ref="F29:G29"/>
    <mergeCell ref="D27:E27"/>
    <mergeCell ref="D28:E28"/>
    <mergeCell ref="J29:K29"/>
    <mergeCell ref="H33:I33"/>
    <mergeCell ref="J33:K33"/>
    <mergeCell ref="F33:G33"/>
    <mergeCell ref="L28:M28"/>
    <mergeCell ref="N28:O28"/>
    <mergeCell ref="N26:O26"/>
    <mergeCell ref="F27:G27"/>
    <mergeCell ref="H27:I27"/>
    <mergeCell ref="J27:K27"/>
    <mergeCell ref="F26:G26"/>
    <mergeCell ref="L27:M27"/>
    <mergeCell ref="N27:O27"/>
    <mergeCell ref="H26:I26"/>
    <mergeCell ref="J26:K26"/>
    <mergeCell ref="F28:G28"/>
    <mergeCell ref="H28:I28"/>
    <mergeCell ref="J28:K28"/>
    <mergeCell ref="V8:V9"/>
    <mergeCell ref="A14:C14"/>
    <mergeCell ref="A13:C13"/>
    <mergeCell ref="A12:C12"/>
    <mergeCell ref="A11:C11"/>
    <mergeCell ref="A10:C10"/>
    <mergeCell ref="D19:E19"/>
    <mergeCell ref="L19:M19"/>
    <mergeCell ref="F19:G19"/>
    <mergeCell ref="H19:I19"/>
    <mergeCell ref="J19:K19"/>
    <mergeCell ref="N19:O19"/>
    <mergeCell ref="A19:C19"/>
    <mergeCell ref="S8:U8"/>
    <mergeCell ref="P8:R8"/>
    <mergeCell ref="M8:O8"/>
    <mergeCell ref="J8:L8"/>
    <mergeCell ref="G8:I8"/>
    <mergeCell ref="A8:C9"/>
    <mergeCell ref="D8:F8"/>
    <mergeCell ref="J23:K23"/>
    <mergeCell ref="L23:M23"/>
    <mergeCell ref="N23:O23"/>
    <mergeCell ref="F20:G20"/>
    <mergeCell ref="H20:I20"/>
    <mergeCell ref="J20:K20"/>
    <mergeCell ref="F22:G22"/>
    <mergeCell ref="H22:I22"/>
    <mergeCell ref="J22:K22"/>
    <mergeCell ref="F21:G21"/>
    <mergeCell ref="H21:I21"/>
    <mergeCell ref="J21:K21"/>
    <mergeCell ref="L21:M21"/>
    <mergeCell ref="N21:O21"/>
    <mergeCell ref="N22:O22"/>
    <mergeCell ref="L22:M22"/>
    <mergeCell ref="H3:I3"/>
    <mergeCell ref="H5:I5"/>
    <mergeCell ref="H4:I4"/>
    <mergeCell ref="F5:G5"/>
    <mergeCell ref="F4:G4"/>
    <mergeCell ref="F3:G3"/>
    <mergeCell ref="A5:C5"/>
    <mergeCell ref="A4:C4"/>
    <mergeCell ref="A3:C3"/>
    <mergeCell ref="D5:E5"/>
    <mergeCell ref="D4:E4"/>
    <mergeCell ref="D3:E3"/>
  </mergeCells>
  <phoneticPr fontId="1" type="noConversion"/>
  <dataValidations count="1">
    <dataValidation type="list" allowBlank="1" showInputMessage="1" showErrorMessage="1" sqref="F4">
      <formula1>입력노선지구</formula1>
    </dataValidation>
  </dataValidations>
  <pageMargins left="0.47244094488188981" right="0.31496062992125984" top="0.59055118110236227" bottom="0.31496062992125984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C000"/>
  </sheetPr>
  <dimension ref="A1:T36"/>
  <sheetViews>
    <sheetView view="pageBreakPreview" zoomScaleNormal="100" zoomScaleSheetLayoutView="100" workbookViewId="0"/>
  </sheetViews>
  <sheetFormatPr defaultColWidth="9" defaultRowHeight="13.2"/>
  <cols>
    <col min="1" max="29" width="5.59765625" style="141" customWidth="1"/>
    <col min="30" max="36" width="6" style="141" customWidth="1"/>
    <col min="37" max="16384" width="9" style="141"/>
  </cols>
  <sheetData>
    <row r="1" spans="1:20" s="223" customFormat="1" ht="25.2">
      <c r="A1" s="222" t="s">
        <v>457</v>
      </c>
    </row>
    <row r="2" spans="1:20" s="239" customFormat="1" ht="19.2">
      <c r="A2" s="254" t="s">
        <v>464</v>
      </c>
      <c r="B2" s="254"/>
    </row>
    <row r="3" spans="1:20" ht="12" customHeight="1">
      <c r="A3" s="1011" t="s">
        <v>7</v>
      </c>
      <c r="B3" s="1012"/>
      <c r="C3" s="1013"/>
      <c r="D3" s="1016" t="s">
        <v>476</v>
      </c>
      <c r="E3" s="985"/>
      <c r="F3" s="985" t="s">
        <v>477</v>
      </c>
      <c r="G3" s="985"/>
      <c r="H3" s="985" t="s">
        <v>479</v>
      </c>
      <c r="I3" s="986"/>
    </row>
    <row r="4" spans="1:20">
      <c r="A4" s="1004" t="s">
        <v>203</v>
      </c>
      <c r="B4" s="987"/>
      <c r="C4" s="988"/>
      <c r="D4" s="1027" t="s">
        <v>478</v>
      </c>
      <c r="E4" s="987"/>
      <c r="F4" s="1025" t="s">
        <v>1491</v>
      </c>
      <c r="G4" s="1025"/>
      <c r="H4" s="987" t="s">
        <v>202</v>
      </c>
      <c r="I4" s="988"/>
    </row>
    <row r="5" spans="1:20">
      <c r="A5" s="1010" t="s">
        <v>12</v>
      </c>
      <c r="B5" s="975"/>
      <c r="C5" s="976"/>
      <c r="D5" s="1026" t="s">
        <v>471</v>
      </c>
      <c r="E5" s="975"/>
      <c r="F5" s="989">
        <v>0.43</v>
      </c>
      <c r="G5" s="989"/>
      <c r="H5" s="975" t="s">
        <v>42</v>
      </c>
      <c r="I5" s="976"/>
    </row>
    <row r="7" spans="1:20" s="239" customFormat="1" ht="19.2">
      <c r="A7" s="254" t="s">
        <v>463</v>
      </c>
    </row>
    <row r="8" spans="1:20">
      <c r="A8" s="997" t="s">
        <v>7</v>
      </c>
      <c r="B8" s="998"/>
      <c r="C8" s="999"/>
      <c r="D8" s="1036" t="s">
        <v>207</v>
      </c>
      <c r="E8" s="998"/>
      <c r="F8" s="998"/>
      <c r="G8" s="998"/>
      <c r="H8" s="998" t="s">
        <v>13</v>
      </c>
      <c r="I8" s="998"/>
      <c r="J8" s="998"/>
      <c r="K8" s="998"/>
      <c r="L8" s="998" t="s">
        <v>14</v>
      </c>
      <c r="M8" s="998"/>
      <c r="N8" s="998"/>
      <c r="O8" s="998"/>
      <c r="P8" s="998" t="s">
        <v>213</v>
      </c>
      <c r="Q8" s="998"/>
      <c r="R8" s="998"/>
      <c r="S8" s="998"/>
      <c r="T8" s="1030" t="s">
        <v>11</v>
      </c>
    </row>
    <row r="9" spans="1:20">
      <c r="A9" s="1001"/>
      <c r="B9" s="972"/>
      <c r="C9" s="980"/>
      <c r="D9" s="540" t="s">
        <v>209</v>
      </c>
      <c r="E9" s="541" t="s">
        <v>210</v>
      </c>
      <c r="F9" s="541" t="s">
        <v>211</v>
      </c>
      <c r="G9" s="541" t="s">
        <v>11</v>
      </c>
      <c r="H9" s="541" t="s">
        <v>209</v>
      </c>
      <c r="I9" s="541" t="s">
        <v>210</v>
      </c>
      <c r="J9" s="541" t="s">
        <v>211</v>
      </c>
      <c r="K9" s="541" t="s">
        <v>11</v>
      </c>
      <c r="L9" s="541" t="s">
        <v>209</v>
      </c>
      <c r="M9" s="541" t="s">
        <v>210</v>
      </c>
      <c r="N9" s="541" t="s">
        <v>211</v>
      </c>
      <c r="O9" s="541" t="s">
        <v>11</v>
      </c>
      <c r="P9" s="541" t="s">
        <v>209</v>
      </c>
      <c r="Q9" s="541" t="s">
        <v>210</v>
      </c>
      <c r="R9" s="541" t="s">
        <v>211</v>
      </c>
      <c r="S9" s="541" t="s">
        <v>11</v>
      </c>
      <c r="T9" s="1031"/>
    </row>
    <row r="10" spans="1:20">
      <c r="A10" s="1040" t="s">
        <v>26</v>
      </c>
      <c r="B10" s="995"/>
      <c r="C10" s="996"/>
      <c r="D10" s="329">
        <f>D33+E33</f>
        <v>1.5</v>
      </c>
      <c r="E10" s="330">
        <f>VLOOKUP(시가지지구기준,시가지일수기준,4,0)</f>
        <v>4</v>
      </c>
      <c r="F10" s="330">
        <f>$F$5</f>
        <v>0.43</v>
      </c>
      <c r="G10" s="243">
        <f>ROUND(D10*E10*F10,2)</f>
        <v>2.58</v>
      </c>
      <c r="H10" s="243">
        <f>F33+G33</f>
        <v>1</v>
      </c>
      <c r="I10" s="243">
        <f>VLOOKUP(시가지지구기준,시가지일수기준,6,0)</f>
        <v>2</v>
      </c>
      <c r="J10" s="243">
        <f>$F$5</f>
        <v>0.43</v>
      </c>
      <c r="K10" s="243">
        <f>ROUND(H10*I10*J10,2)</f>
        <v>0.86</v>
      </c>
      <c r="L10" s="243">
        <f>H33+I33</f>
        <v>0</v>
      </c>
      <c r="M10" s="243">
        <f>VLOOKUP(시가지지구기준,시가지일수기준,8,0)</f>
        <v>4</v>
      </c>
      <c r="N10" s="243">
        <f>$F$5</f>
        <v>0.43</v>
      </c>
      <c r="O10" s="243">
        <f>ROUND(L10*M10*N10,2)</f>
        <v>0</v>
      </c>
      <c r="P10" s="243">
        <f>J33+K33</f>
        <v>0.5</v>
      </c>
      <c r="Q10" s="243">
        <f>VLOOKUP(시가지지구기준,시가지일수기준,10,0)</f>
        <v>3</v>
      </c>
      <c r="R10" s="243">
        <f>$F$5</f>
        <v>0.43</v>
      </c>
      <c r="S10" s="243">
        <f>ROUND(P10*Q10*R10,2)</f>
        <v>0.65</v>
      </c>
      <c r="T10" s="244">
        <f>ROUND(SUM(G10,K10,O10,S10),2)</f>
        <v>4.09</v>
      </c>
    </row>
    <row r="11" spans="1:20">
      <c r="A11" s="1000" t="s">
        <v>27</v>
      </c>
      <c r="B11" s="984"/>
      <c r="C11" s="994"/>
      <c r="D11" s="329">
        <f>D34+E34</f>
        <v>1.5</v>
      </c>
      <c r="E11" s="331">
        <f>VLOOKUP(시가지지구기준,시가지일수기준,4,0)</f>
        <v>4</v>
      </c>
      <c r="F11" s="331">
        <f>$F$5</f>
        <v>0.43</v>
      </c>
      <c r="G11" s="211">
        <f>ROUND(D11*E11*F11,2)</f>
        <v>2.58</v>
      </c>
      <c r="H11" s="243">
        <f>F34+G34</f>
        <v>1</v>
      </c>
      <c r="I11" s="211">
        <f>VLOOKUP(시가지지구기준,시가지일수기준,6,0)</f>
        <v>2</v>
      </c>
      <c r="J11" s="211">
        <f>$F$5</f>
        <v>0.43</v>
      </c>
      <c r="K11" s="211">
        <f>ROUND(H11*I11*J11,2)</f>
        <v>0.86</v>
      </c>
      <c r="L11" s="243">
        <f>H34+I34</f>
        <v>1</v>
      </c>
      <c r="M11" s="211">
        <f>VLOOKUP(시가지지구기준,시가지일수기준,8,0)</f>
        <v>4</v>
      </c>
      <c r="N11" s="211">
        <f>$F$5</f>
        <v>0.43</v>
      </c>
      <c r="O11" s="211">
        <f>ROUND(L11*M11*N11,2)</f>
        <v>1.72</v>
      </c>
      <c r="P11" s="243">
        <f>J34+K34</f>
        <v>1</v>
      </c>
      <c r="Q11" s="211">
        <f>VLOOKUP(시가지지구기준,시가지일수기준,10,0)</f>
        <v>3</v>
      </c>
      <c r="R11" s="211">
        <f>$F$5</f>
        <v>0.43</v>
      </c>
      <c r="S11" s="211">
        <f>ROUND(P11*Q11*R11,2)</f>
        <v>1.29</v>
      </c>
      <c r="T11" s="241">
        <f>ROUND(SUM(G11,K11,O11,S11),2)</f>
        <v>6.45</v>
      </c>
    </row>
    <row r="12" spans="1:20">
      <c r="A12" s="1000" t="s">
        <v>28</v>
      </c>
      <c r="B12" s="984"/>
      <c r="C12" s="994"/>
      <c r="D12" s="329">
        <f>D35+E35</f>
        <v>4</v>
      </c>
      <c r="E12" s="331">
        <f>VLOOKUP(시가지지구기준,시가지일수기준,4,0)</f>
        <v>4</v>
      </c>
      <c r="F12" s="331">
        <f>$F$5</f>
        <v>0.43</v>
      </c>
      <c r="G12" s="211">
        <f>ROUND(D12*E12*F12,2)</f>
        <v>6.88</v>
      </c>
      <c r="H12" s="243">
        <f>F35+G35</f>
        <v>5</v>
      </c>
      <c r="I12" s="211">
        <f>VLOOKUP(시가지지구기준,시가지일수기준,6,0)</f>
        <v>2</v>
      </c>
      <c r="J12" s="211">
        <f>$F$5</f>
        <v>0.43</v>
      </c>
      <c r="K12" s="211">
        <f>ROUND(H12*I12*J12,2)</f>
        <v>4.3</v>
      </c>
      <c r="L12" s="243">
        <f>H35+I35</f>
        <v>6</v>
      </c>
      <c r="M12" s="211">
        <f>VLOOKUP(시가지지구기준,시가지일수기준,8,0)</f>
        <v>4</v>
      </c>
      <c r="N12" s="211">
        <f>$F$5</f>
        <v>0.43</v>
      </c>
      <c r="O12" s="211">
        <f>ROUND(L12*M12*N12,2)</f>
        <v>10.32</v>
      </c>
      <c r="P12" s="243">
        <f>J35+K35</f>
        <v>3</v>
      </c>
      <c r="Q12" s="211">
        <f>VLOOKUP(시가지지구기준,시가지일수기준,10,0)</f>
        <v>3</v>
      </c>
      <c r="R12" s="211">
        <f>$F$5</f>
        <v>0.43</v>
      </c>
      <c r="S12" s="211">
        <f>ROUND(P12*Q12*R12,2)</f>
        <v>3.87</v>
      </c>
      <c r="T12" s="241">
        <f>ROUND(SUM(G12,K12,O12,S12),2)</f>
        <v>25.37</v>
      </c>
    </row>
    <row r="13" spans="1:20">
      <c r="A13" s="1000" t="s">
        <v>29</v>
      </c>
      <c r="B13" s="984"/>
      <c r="C13" s="994"/>
      <c r="D13" s="329">
        <f>D36+E36</f>
        <v>0</v>
      </c>
      <c r="E13" s="331">
        <f>VLOOKUP(시가지지구기준,시가지일수기준,4,0)</f>
        <v>4</v>
      </c>
      <c r="F13" s="331">
        <f>$F$5</f>
        <v>0.43</v>
      </c>
      <c r="G13" s="211">
        <f>ROUND(D13*E13*F13,2)</f>
        <v>0</v>
      </c>
      <c r="H13" s="243">
        <f>F36+G36</f>
        <v>0</v>
      </c>
      <c r="I13" s="211">
        <f>VLOOKUP(시가지지구기준,시가지일수기준,6,0)</f>
        <v>2</v>
      </c>
      <c r="J13" s="211">
        <f>$F$5</f>
        <v>0.43</v>
      </c>
      <c r="K13" s="211">
        <f>ROUND(H13*I13*J13,2)</f>
        <v>0</v>
      </c>
      <c r="L13" s="243">
        <f>H36+I36</f>
        <v>0</v>
      </c>
      <c r="M13" s="211">
        <f>VLOOKUP(시가지지구기준,시가지일수기준,8,0)</f>
        <v>4</v>
      </c>
      <c r="N13" s="211">
        <f>$F$5</f>
        <v>0.43</v>
      </c>
      <c r="O13" s="211">
        <f>ROUND(L13*M13*N13,2)</f>
        <v>0</v>
      </c>
      <c r="P13" s="243">
        <f>J36+K36</f>
        <v>0</v>
      </c>
      <c r="Q13" s="211">
        <f>VLOOKUP(시가지지구기준,시가지일수기준,10,0)</f>
        <v>3</v>
      </c>
      <c r="R13" s="211">
        <f>$F$5</f>
        <v>0.43</v>
      </c>
      <c r="S13" s="211">
        <f>ROUND(P13*Q13*R13,2)</f>
        <v>0</v>
      </c>
      <c r="T13" s="241">
        <f>ROUND(SUM(G13,K13,O13,S13),2)</f>
        <v>0</v>
      </c>
    </row>
    <row r="14" spans="1:20">
      <c r="A14" s="1001" t="s">
        <v>212</v>
      </c>
      <c r="B14" s="972"/>
      <c r="C14" s="980"/>
      <c r="D14" s="343">
        <f>D37+E37</f>
        <v>0</v>
      </c>
      <c r="E14" s="332">
        <f>VLOOKUP(시가지지구기준,시가지일수기준,4,0)</f>
        <v>4</v>
      </c>
      <c r="F14" s="332">
        <f>$F$5</f>
        <v>0.43</v>
      </c>
      <c r="G14" s="212">
        <f>ROUND(D14*E14*F14,2)</f>
        <v>0</v>
      </c>
      <c r="H14" s="344">
        <f>F37+G37</f>
        <v>0</v>
      </c>
      <c r="I14" s="212">
        <f>VLOOKUP(시가지지구기준,시가지일수기준,6,0)</f>
        <v>2</v>
      </c>
      <c r="J14" s="212">
        <f>$F$5</f>
        <v>0.43</v>
      </c>
      <c r="K14" s="212">
        <f>ROUND(H14*I14*J14,2)</f>
        <v>0</v>
      </c>
      <c r="L14" s="344">
        <f>H37+I37</f>
        <v>0</v>
      </c>
      <c r="M14" s="212">
        <f>VLOOKUP(시가지지구기준,시가지일수기준,8,0)</f>
        <v>4</v>
      </c>
      <c r="N14" s="212">
        <f>$F$5</f>
        <v>0.43</v>
      </c>
      <c r="O14" s="212">
        <f>ROUND(L14*M14*N14,2)</f>
        <v>0</v>
      </c>
      <c r="P14" s="344">
        <f>J37+K37</f>
        <v>0</v>
      </c>
      <c r="Q14" s="212">
        <f>VLOOKUP(시가지지구기준,시가지일수기준,10,0)</f>
        <v>3</v>
      </c>
      <c r="R14" s="212">
        <f>$F$5</f>
        <v>0.43</v>
      </c>
      <c r="S14" s="212">
        <f>ROUND(P14*Q14*R14,2)</f>
        <v>0</v>
      </c>
      <c r="T14" s="242">
        <f>ROUND(SUM(G14,K14,O14,S14),2)</f>
        <v>0</v>
      </c>
    </row>
    <row r="15" spans="1:20">
      <c r="G15" s="221"/>
      <c r="H15" s="221"/>
      <c r="I15" s="221"/>
      <c r="J15" s="221"/>
      <c r="K15" s="221"/>
      <c r="L15" s="221"/>
      <c r="M15" s="221"/>
      <c r="N15" s="213"/>
      <c r="O15" s="213"/>
      <c r="P15" s="213"/>
      <c r="Q15" s="213"/>
      <c r="R15" s="213"/>
      <c r="S15" s="213"/>
      <c r="T15" s="213"/>
    </row>
    <row r="16" spans="1:20" s="239" customFormat="1" ht="19.2">
      <c r="A16" s="254" t="s">
        <v>462</v>
      </c>
      <c r="G16" s="262"/>
      <c r="H16" s="262"/>
      <c r="I16" s="262"/>
      <c r="J16" s="262"/>
      <c r="K16" s="262"/>
      <c r="L16" s="262"/>
      <c r="M16" s="262"/>
      <c r="N16" s="256"/>
      <c r="O16" s="256"/>
      <c r="P16" s="256"/>
      <c r="Q16" s="256"/>
      <c r="R16" s="256"/>
      <c r="S16" s="256"/>
      <c r="T16" s="256"/>
    </row>
    <row r="17" spans="1:20" s="239" customFormat="1" ht="19.2">
      <c r="A17" s="255" t="s">
        <v>489</v>
      </c>
      <c r="B17" s="257"/>
      <c r="C17" s="257"/>
      <c r="D17" s="257"/>
      <c r="E17" s="257"/>
      <c r="F17" s="257"/>
      <c r="G17" s="257"/>
      <c r="H17" s="258"/>
      <c r="I17" s="258"/>
      <c r="J17" s="258"/>
      <c r="K17" s="258"/>
      <c r="L17" s="258"/>
      <c r="M17" s="258"/>
      <c r="N17" s="256"/>
      <c r="O17" s="256"/>
      <c r="P17" s="256"/>
      <c r="Q17" s="256"/>
      <c r="R17" s="256"/>
      <c r="S17" s="256"/>
      <c r="T17" s="256"/>
    </row>
    <row r="18" spans="1:20">
      <c r="A18" s="214" t="s">
        <v>25</v>
      </c>
      <c r="B18" s="214"/>
      <c r="C18" s="214"/>
      <c r="D18" s="214"/>
      <c r="E18" s="214"/>
      <c r="F18" s="214"/>
      <c r="G18" s="214"/>
      <c r="H18" s="200"/>
      <c r="I18" s="200"/>
      <c r="J18" s="200"/>
      <c r="K18" s="200"/>
      <c r="L18" s="200"/>
      <c r="M18" s="200"/>
    </row>
    <row r="19" spans="1:20">
      <c r="A19" s="1022" t="s">
        <v>15</v>
      </c>
      <c r="B19" s="1023"/>
      <c r="C19" s="1023"/>
      <c r="D19" s="1023" t="s">
        <v>18</v>
      </c>
      <c r="E19" s="1023"/>
      <c r="F19" s="1023" t="s">
        <v>19</v>
      </c>
      <c r="G19" s="1023"/>
      <c r="H19" s="1023" t="s">
        <v>20</v>
      </c>
      <c r="I19" s="1023"/>
      <c r="J19" s="1041" t="s">
        <v>31</v>
      </c>
      <c r="K19" s="1042"/>
      <c r="L19" s="200"/>
      <c r="M19" s="200"/>
    </row>
    <row r="20" spans="1:20">
      <c r="A20" s="1009" t="s">
        <v>32</v>
      </c>
      <c r="B20" s="977"/>
      <c r="C20" s="977"/>
      <c r="D20" s="977">
        <v>6.6</v>
      </c>
      <c r="E20" s="977"/>
      <c r="F20" s="977">
        <v>3</v>
      </c>
      <c r="G20" s="977"/>
      <c r="H20" s="977">
        <v>5</v>
      </c>
      <c r="I20" s="977"/>
      <c r="J20" s="977">
        <v>8.3000000000000007</v>
      </c>
      <c r="K20" s="978"/>
      <c r="L20" s="200"/>
      <c r="M20" s="200"/>
    </row>
    <row r="21" spans="1:20">
      <c r="A21" s="1009" t="s">
        <v>33</v>
      </c>
      <c r="B21" s="977"/>
      <c r="C21" s="977"/>
      <c r="D21" s="977">
        <v>4</v>
      </c>
      <c r="E21" s="977"/>
      <c r="F21" s="977">
        <v>2</v>
      </c>
      <c r="G21" s="977"/>
      <c r="H21" s="977">
        <v>4</v>
      </c>
      <c r="I21" s="977"/>
      <c r="J21" s="977">
        <v>3</v>
      </c>
      <c r="K21" s="978"/>
      <c r="L21" s="200"/>
      <c r="M21" s="200"/>
    </row>
    <row r="22" spans="1:20">
      <c r="A22" s="1010" t="s">
        <v>34</v>
      </c>
      <c r="B22" s="975"/>
      <c r="C22" s="975"/>
      <c r="D22" s="975">
        <v>3</v>
      </c>
      <c r="E22" s="975"/>
      <c r="F22" s="975">
        <v>1</v>
      </c>
      <c r="G22" s="975"/>
      <c r="H22" s="975">
        <v>2.5</v>
      </c>
      <c r="I22" s="975"/>
      <c r="J22" s="975">
        <v>2.5</v>
      </c>
      <c r="K22" s="976"/>
      <c r="L22" s="200"/>
      <c r="M22" s="200"/>
    </row>
    <row r="23" spans="1:20">
      <c r="A23" s="200"/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</row>
    <row r="24" spans="1:20">
      <c r="A24" s="214" t="s">
        <v>36</v>
      </c>
      <c r="B24" s="214"/>
      <c r="C24" s="214"/>
      <c r="D24" s="214"/>
      <c r="E24" s="214"/>
      <c r="F24" s="214"/>
      <c r="G24" s="214"/>
      <c r="H24" s="200"/>
      <c r="I24" s="200"/>
      <c r="J24" s="200"/>
      <c r="K24" s="200"/>
      <c r="L24" s="200"/>
      <c r="M24" s="200"/>
    </row>
    <row r="25" spans="1:20">
      <c r="A25" s="1022" t="s">
        <v>15</v>
      </c>
      <c r="B25" s="1023"/>
      <c r="C25" s="1023"/>
      <c r="D25" s="1023" t="s">
        <v>18</v>
      </c>
      <c r="E25" s="1023"/>
      <c r="F25" s="1023" t="s">
        <v>19</v>
      </c>
      <c r="G25" s="1023"/>
      <c r="H25" s="1023" t="s">
        <v>20</v>
      </c>
      <c r="I25" s="1023"/>
      <c r="J25" s="1041" t="s">
        <v>31</v>
      </c>
      <c r="K25" s="1042"/>
      <c r="L25" s="200"/>
      <c r="M25" s="200"/>
    </row>
    <row r="26" spans="1:20">
      <c r="A26" s="1009" t="s">
        <v>32</v>
      </c>
      <c r="B26" s="977"/>
      <c r="C26" s="977"/>
      <c r="D26" s="977">
        <v>1</v>
      </c>
      <c r="E26" s="977"/>
      <c r="F26" s="977">
        <v>1</v>
      </c>
      <c r="G26" s="977"/>
      <c r="H26" s="977">
        <v>1</v>
      </c>
      <c r="I26" s="977"/>
      <c r="J26" s="977">
        <v>1</v>
      </c>
      <c r="K26" s="978"/>
      <c r="L26" s="200"/>
      <c r="M26" s="200"/>
    </row>
    <row r="27" spans="1:20">
      <c r="A27" s="1009" t="s">
        <v>33</v>
      </c>
      <c r="B27" s="977"/>
      <c r="C27" s="977"/>
      <c r="D27" s="977">
        <v>1</v>
      </c>
      <c r="E27" s="977"/>
      <c r="F27" s="977">
        <v>0.5</v>
      </c>
      <c r="G27" s="977"/>
      <c r="H27" s="977">
        <v>0.5</v>
      </c>
      <c r="I27" s="977"/>
      <c r="J27" s="977">
        <v>1</v>
      </c>
      <c r="K27" s="978"/>
      <c r="L27" s="200"/>
      <c r="M27" s="200"/>
    </row>
    <row r="28" spans="1:20">
      <c r="A28" s="1010" t="s">
        <v>34</v>
      </c>
      <c r="B28" s="975"/>
      <c r="C28" s="975"/>
      <c r="D28" s="975">
        <v>0.5</v>
      </c>
      <c r="E28" s="975"/>
      <c r="F28" s="975">
        <v>0.5</v>
      </c>
      <c r="G28" s="975"/>
      <c r="H28" s="975">
        <v>0.5</v>
      </c>
      <c r="I28" s="975"/>
      <c r="J28" s="975">
        <v>0.5</v>
      </c>
      <c r="K28" s="976"/>
      <c r="L28" s="200"/>
      <c r="M28" s="200"/>
    </row>
    <row r="29" spans="1:20">
      <c r="A29" s="200"/>
      <c r="B29" s="200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</row>
    <row r="30" spans="1:20">
      <c r="A30" s="214" t="s">
        <v>30</v>
      </c>
      <c r="B30" s="214"/>
      <c r="C30" s="214"/>
      <c r="D30" s="214"/>
      <c r="E30" s="214"/>
      <c r="F30" s="214"/>
      <c r="G30" s="214"/>
      <c r="H30" s="214"/>
      <c r="I30" s="214"/>
      <c r="J30" s="214"/>
      <c r="K30" s="214"/>
      <c r="L30" s="200"/>
      <c r="M30" s="200"/>
    </row>
    <row r="31" spans="1:20">
      <c r="A31" s="1022" t="s">
        <v>15</v>
      </c>
      <c r="B31" s="1023"/>
      <c r="C31" s="1023"/>
      <c r="D31" s="1023" t="s">
        <v>18</v>
      </c>
      <c r="E31" s="1023"/>
      <c r="F31" s="1023" t="s">
        <v>19</v>
      </c>
      <c r="G31" s="1023"/>
      <c r="H31" s="1023" t="s">
        <v>20</v>
      </c>
      <c r="I31" s="1023"/>
      <c r="J31" s="1043" t="s">
        <v>31</v>
      </c>
      <c r="K31" s="1044"/>
      <c r="L31" s="200"/>
      <c r="M31" s="200"/>
    </row>
    <row r="32" spans="1:20">
      <c r="A32" s="1009"/>
      <c r="B32" s="977"/>
      <c r="C32" s="977"/>
      <c r="D32" s="204" t="s">
        <v>8</v>
      </c>
      <c r="E32" s="215" t="s">
        <v>9</v>
      </c>
      <c r="F32" s="204" t="s">
        <v>8</v>
      </c>
      <c r="G32" s="215" t="s">
        <v>9</v>
      </c>
      <c r="H32" s="204" t="s">
        <v>8</v>
      </c>
      <c r="I32" s="215" t="s">
        <v>9</v>
      </c>
      <c r="J32" s="204" t="s">
        <v>8</v>
      </c>
      <c r="K32" s="216" t="s">
        <v>9</v>
      </c>
      <c r="L32" s="200"/>
      <c r="M32" s="200"/>
    </row>
    <row r="33" spans="1:13">
      <c r="A33" s="1009" t="s">
        <v>26</v>
      </c>
      <c r="B33" s="977"/>
      <c r="C33" s="977"/>
      <c r="D33" s="217">
        <v>0.5</v>
      </c>
      <c r="E33" s="217">
        <v>1</v>
      </c>
      <c r="F33" s="217">
        <v>0</v>
      </c>
      <c r="G33" s="217">
        <v>1</v>
      </c>
      <c r="H33" s="217">
        <v>0</v>
      </c>
      <c r="I33" s="217">
        <v>0</v>
      </c>
      <c r="J33" s="217">
        <v>0.5</v>
      </c>
      <c r="K33" s="218">
        <v>0</v>
      </c>
      <c r="L33" s="200"/>
      <c r="M33" s="200"/>
    </row>
    <row r="34" spans="1:13">
      <c r="A34" s="1009" t="s">
        <v>27</v>
      </c>
      <c r="B34" s="977"/>
      <c r="C34" s="977"/>
      <c r="D34" s="217">
        <v>0.5</v>
      </c>
      <c r="E34" s="217">
        <v>1</v>
      </c>
      <c r="F34" s="217">
        <v>0</v>
      </c>
      <c r="G34" s="217">
        <v>1</v>
      </c>
      <c r="H34" s="217">
        <v>0</v>
      </c>
      <c r="I34" s="217">
        <v>1</v>
      </c>
      <c r="J34" s="217">
        <v>0</v>
      </c>
      <c r="K34" s="218">
        <v>1</v>
      </c>
      <c r="L34" s="200"/>
      <c r="M34" s="200"/>
    </row>
    <row r="35" spans="1:13">
      <c r="A35" s="1010" t="s">
        <v>28</v>
      </c>
      <c r="B35" s="975"/>
      <c r="C35" s="975"/>
      <c r="D35" s="219">
        <v>1</v>
      </c>
      <c r="E35" s="219">
        <v>3</v>
      </c>
      <c r="F35" s="219">
        <v>3</v>
      </c>
      <c r="G35" s="219">
        <v>2</v>
      </c>
      <c r="H35" s="219">
        <v>3</v>
      </c>
      <c r="I35" s="219">
        <v>3</v>
      </c>
      <c r="J35" s="219">
        <v>0</v>
      </c>
      <c r="K35" s="220">
        <v>3</v>
      </c>
      <c r="L35" s="200"/>
      <c r="M35" s="200"/>
    </row>
    <row r="36" spans="1:13">
      <c r="A36" s="200"/>
      <c r="B36" s="200"/>
      <c r="C36" s="200"/>
      <c r="D36" s="200"/>
      <c r="E36" s="200"/>
      <c r="F36" s="200"/>
      <c r="G36" s="200"/>
      <c r="H36" s="200"/>
      <c r="I36" s="200"/>
      <c r="J36" s="200"/>
      <c r="K36" s="200"/>
      <c r="L36" s="200"/>
      <c r="M36" s="200"/>
    </row>
  </sheetData>
  <mergeCells count="71">
    <mergeCell ref="A26:C26"/>
    <mergeCell ref="A34:C34"/>
    <mergeCell ref="A35:C35"/>
    <mergeCell ref="A33:C33"/>
    <mergeCell ref="J25:K25"/>
    <mergeCell ref="D28:E28"/>
    <mergeCell ref="F28:G28"/>
    <mergeCell ref="H28:I28"/>
    <mergeCell ref="A28:C28"/>
    <mergeCell ref="F26:G26"/>
    <mergeCell ref="H26:I26"/>
    <mergeCell ref="F22:G22"/>
    <mergeCell ref="A22:C22"/>
    <mergeCell ref="H22:I22"/>
    <mergeCell ref="D25:E25"/>
    <mergeCell ref="F25:G25"/>
    <mergeCell ref="H25:I25"/>
    <mergeCell ref="J22:K22"/>
    <mergeCell ref="A25:C25"/>
    <mergeCell ref="J28:K28"/>
    <mergeCell ref="A31:C32"/>
    <mergeCell ref="D31:E31"/>
    <mergeCell ref="D26:E26"/>
    <mergeCell ref="F31:G31"/>
    <mergeCell ref="H31:I31"/>
    <mergeCell ref="J31:K31"/>
    <mergeCell ref="J26:K26"/>
    <mergeCell ref="A27:C27"/>
    <mergeCell ref="D27:E27"/>
    <mergeCell ref="F27:G27"/>
    <mergeCell ref="H27:I27"/>
    <mergeCell ref="J27:K27"/>
    <mergeCell ref="D22:E22"/>
    <mergeCell ref="J19:K19"/>
    <mergeCell ref="J20:K20"/>
    <mergeCell ref="J21:K21"/>
    <mergeCell ref="H21:I21"/>
    <mergeCell ref="F21:G21"/>
    <mergeCell ref="H19:I19"/>
    <mergeCell ref="H20:I20"/>
    <mergeCell ref="F19:G19"/>
    <mergeCell ref="A19:C19"/>
    <mergeCell ref="A20:C20"/>
    <mergeCell ref="D20:E20"/>
    <mergeCell ref="F20:G20"/>
    <mergeCell ref="A21:C21"/>
    <mergeCell ref="D21:E21"/>
    <mergeCell ref="D19:E19"/>
    <mergeCell ref="T8:T9"/>
    <mergeCell ref="P8:S8"/>
    <mergeCell ref="L8:O8"/>
    <mergeCell ref="H8:K8"/>
    <mergeCell ref="D8:G8"/>
    <mergeCell ref="A14:C14"/>
    <mergeCell ref="A10:C10"/>
    <mergeCell ref="A11:C11"/>
    <mergeCell ref="A12:C12"/>
    <mergeCell ref="A5:C5"/>
    <mergeCell ref="A13:C13"/>
    <mergeCell ref="A8:C9"/>
    <mergeCell ref="A3:C3"/>
    <mergeCell ref="H3:I3"/>
    <mergeCell ref="H5:I5"/>
    <mergeCell ref="H4:I4"/>
    <mergeCell ref="F5:G5"/>
    <mergeCell ref="F4:G4"/>
    <mergeCell ref="F3:G3"/>
    <mergeCell ref="D5:E5"/>
    <mergeCell ref="D4:E4"/>
    <mergeCell ref="D3:E3"/>
    <mergeCell ref="A4:C4"/>
  </mergeCells>
  <phoneticPr fontId="1" type="noConversion"/>
  <dataValidations count="1">
    <dataValidation type="list" allowBlank="1" showInputMessage="1" showErrorMessage="1" sqref="F4">
      <formula1>입력시가지지구</formula1>
    </dataValidation>
  </dataValidations>
  <pageMargins left="0.47244094488188981" right="0.31496062992125984" top="0.59055118110236227" bottom="0.31496062992125984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C000"/>
  </sheetPr>
  <dimension ref="A1:T41"/>
  <sheetViews>
    <sheetView view="pageBreakPreview" zoomScaleNormal="100" zoomScaleSheetLayoutView="100" workbookViewId="0">
      <selection activeCell="M23" sqref="M23"/>
    </sheetView>
  </sheetViews>
  <sheetFormatPr defaultColWidth="9" defaultRowHeight="13.2"/>
  <cols>
    <col min="1" max="29" width="5.59765625" style="141" customWidth="1"/>
    <col min="30" max="36" width="6" style="141" customWidth="1"/>
    <col min="37" max="16384" width="9" style="141"/>
  </cols>
  <sheetData>
    <row r="1" spans="1:20" s="223" customFormat="1" ht="25.2">
      <c r="A1" s="222" t="s">
        <v>456</v>
      </c>
    </row>
    <row r="2" spans="1:20" s="239" customFormat="1" ht="19.2">
      <c r="A2" s="254" t="s">
        <v>464</v>
      </c>
      <c r="B2" s="254"/>
    </row>
    <row r="3" spans="1:20" ht="12" customHeight="1">
      <c r="A3" s="1011" t="s">
        <v>7</v>
      </c>
      <c r="B3" s="1012"/>
      <c r="C3" s="1013"/>
      <c r="D3" s="1016" t="s">
        <v>476</v>
      </c>
      <c r="E3" s="985"/>
      <c r="F3" s="985" t="s">
        <v>477</v>
      </c>
      <c r="G3" s="985"/>
      <c r="H3" s="985" t="s">
        <v>479</v>
      </c>
      <c r="I3" s="986"/>
    </row>
    <row r="4" spans="1:20">
      <c r="A4" s="1004" t="s">
        <v>203</v>
      </c>
      <c r="B4" s="987"/>
      <c r="C4" s="988"/>
      <c r="D4" s="1027" t="s">
        <v>480</v>
      </c>
      <c r="E4" s="987"/>
      <c r="F4" s="1025" t="s">
        <v>204</v>
      </c>
      <c r="G4" s="1025"/>
      <c r="H4" s="987" t="s">
        <v>202</v>
      </c>
      <c r="I4" s="988"/>
    </row>
    <row r="5" spans="1:20">
      <c r="A5" s="1010" t="s">
        <v>12</v>
      </c>
      <c r="B5" s="975"/>
      <c r="C5" s="976"/>
      <c r="D5" s="1026" t="s">
        <v>471</v>
      </c>
      <c r="E5" s="975"/>
      <c r="F5" s="989">
        <v>0.5</v>
      </c>
      <c r="G5" s="989"/>
      <c r="H5" s="975" t="s">
        <v>42</v>
      </c>
      <c r="I5" s="976"/>
    </row>
    <row r="7" spans="1:20" s="239" customFormat="1" ht="19.2">
      <c r="A7" s="254" t="s">
        <v>463</v>
      </c>
    </row>
    <row r="8" spans="1:20">
      <c r="A8" s="997" t="s">
        <v>7</v>
      </c>
      <c r="B8" s="998"/>
      <c r="C8" s="999"/>
      <c r="D8" s="1036" t="s">
        <v>207</v>
      </c>
      <c r="E8" s="998"/>
      <c r="F8" s="998"/>
      <c r="G8" s="998"/>
      <c r="H8" s="998" t="s">
        <v>13</v>
      </c>
      <c r="I8" s="998"/>
      <c r="J8" s="998"/>
      <c r="K8" s="998"/>
      <c r="L8" s="998" t="s">
        <v>14</v>
      </c>
      <c r="M8" s="998"/>
      <c r="N8" s="998"/>
      <c r="O8" s="998"/>
      <c r="P8" s="1030" t="s">
        <v>11</v>
      </c>
    </row>
    <row r="9" spans="1:20">
      <c r="A9" s="1001"/>
      <c r="B9" s="972"/>
      <c r="C9" s="980"/>
      <c r="D9" s="540" t="s">
        <v>209</v>
      </c>
      <c r="E9" s="541" t="s">
        <v>210</v>
      </c>
      <c r="F9" s="541" t="s">
        <v>211</v>
      </c>
      <c r="G9" s="541" t="s">
        <v>11</v>
      </c>
      <c r="H9" s="541" t="s">
        <v>209</v>
      </c>
      <c r="I9" s="541" t="s">
        <v>210</v>
      </c>
      <c r="J9" s="541" t="s">
        <v>211</v>
      </c>
      <c r="K9" s="541" t="s">
        <v>11</v>
      </c>
      <c r="L9" s="541" t="s">
        <v>209</v>
      </c>
      <c r="M9" s="541" t="s">
        <v>210</v>
      </c>
      <c r="N9" s="541" t="s">
        <v>211</v>
      </c>
      <c r="O9" s="541" t="s">
        <v>11</v>
      </c>
      <c r="P9" s="1031"/>
      <c r="Q9" s="213"/>
      <c r="R9" s="213"/>
      <c r="S9" s="213"/>
      <c r="T9" s="213"/>
    </row>
    <row r="10" spans="1:20">
      <c r="A10" s="997" t="s">
        <v>26</v>
      </c>
      <c r="B10" s="998"/>
      <c r="C10" s="999"/>
      <c r="D10" s="339">
        <f>D33+E33</f>
        <v>1</v>
      </c>
      <c r="E10" s="341">
        <f>VLOOKUP(수도지구기준,수도일수기준,4,0)</f>
        <v>4</v>
      </c>
      <c r="F10" s="341">
        <f>$F$5</f>
        <v>0.5</v>
      </c>
      <c r="G10" s="341">
        <f>ROUND(D10*E10*F10,2)</f>
        <v>2</v>
      </c>
      <c r="H10" s="341">
        <f>F33+G33</f>
        <v>0</v>
      </c>
      <c r="I10" s="341">
        <f>VLOOKUP(수도지구기준,수도일수기준,6,0)</f>
        <v>2</v>
      </c>
      <c r="J10" s="341">
        <f>$F$5</f>
        <v>0.5</v>
      </c>
      <c r="K10" s="341">
        <f>ROUND(H10*I10*J10,2)</f>
        <v>0</v>
      </c>
      <c r="L10" s="341">
        <f>H33+I33</f>
        <v>0</v>
      </c>
      <c r="M10" s="341">
        <f>VLOOKUP(수도지구기준,수도일수기준,8,0)</f>
        <v>4</v>
      </c>
      <c r="N10" s="341">
        <f>$F$5</f>
        <v>0.5</v>
      </c>
      <c r="O10" s="341">
        <f>ROUND(L10*M10*N10,2)</f>
        <v>0</v>
      </c>
      <c r="P10" s="342">
        <f>ROUND(SUM(G10,K10,O10),2)</f>
        <v>2</v>
      </c>
      <c r="Q10" s="213"/>
      <c r="R10" s="213"/>
      <c r="S10" s="213"/>
    </row>
    <row r="11" spans="1:20">
      <c r="A11" s="1000" t="s">
        <v>27</v>
      </c>
      <c r="B11" s="984"/>
      <c r="C11" s="994"/>
      <c r="D11" s="329">
        <f>D34+E34</f>
        <v>1.5</v>
      </c>
      <c r="E11" s="211">
        <f>VLOOKUP(수도지구기준,수도일수기준,4,0)</f>
        <v>4</v>
      </c>
      <c r="F11" s="211">
        <f>$F$5</f>
        <v>0.5</v>
      </c>
      <c r="G11" s="211">
        <f>ROUND(D11*E11*F11,2)</f>
        <v>3</v>
      </c>
      <c r="H11" s="243">
        <f>F34+G34</f>
        <v>1</v>
      </c>
      <c r="I11" s="211">
        <f>VLOOKUP(수도지구기준,수도일수기준,6,0)</f>
        <v>2</v>
      </c>
      <c r="J11" s="211">
        <f>$F$5</f>
        <v>0.5</v>
      </c>
      <c r="K11" s="211">
        <f>ROUND(H11*I11*J11,2)</f>
        <v>1</v>
      </c>
      <c r="L11" s="243">
        <f>H34+I34</f>
        <v>1</v>
      </c>
      <c r="M11" s="211">
        <f>VLOOKUP(수도지구기준,수도일수기준,8,0)</f>
        <v>4</v>
      </c>
      <c r="N11" s="211">
        <f>$F$5</f>
        <v>0.5</v>
      </c>
      <c r="O11" s="211">
        <f>ROUND(L11*M11*N11,2)</f>
        <v>2</v>
      </c>
      <c r="P11" s="241">
        <f>ROUND(SUM(G11,K11,O11),2)</f>
        <v>6</v>
      </c>
      <c r="Q11" s="213"/>
      <c r="R11" s="213"/>
      <c r="S11" s="213"/>
    </row>
    <row r="12" spans="1:20">
      <c r="A12" s="1000" t="s">
        <v>28</v>
      </c>
      <c r="B12" s="984"/>
      <c r="C12" s="994"/>
      <c r="D12" s="329">
        <f>D35+E35</f>
        <v>1.5</v>
      </c>
      <c r="E12" s="211">
        <f>VLOOKUP(수도지구기준,수도일수기준,4,0)</f>
        <v>4</v>
      </c>
      <c r="F12" s="211">
        <f>$F$5</f>
        <v>0.5</v>
      </c>
      <c r="G12" s="211">
        <f>ROUND(D12*E12*F12,2)</f>
        <v>3</v>
      </c>
      <c r="H12" s="243">
        <f>F35+G35</f>
        <v>2</v>
      </c>
      <c r="I12" s="211">
        <f>VLOOKUP(수도지구기준,수도일수기준,6,0)</f>
        <v>2</v>
      </c>
      <c r="J12" s="211">
        <f>$F$5</f>
        <v>0.5</v>
      </c>
      <c r="K12" s="211">
        <f>ROUND(H12*I12*J12,2)</f>
        <v>2</v>
      </c>
      <c r="L12" s="243">
        <f>H35+I35</f>
        <v>2</v>
      </c>
      <c r="M12" s="211">
        <f>VLOOKUP(수도지구기준,수도일수기준,8,0)</f>
        <v>4</v>
      </c>
      <c r="N12" s="211">
        <f>$F$5</f>
        <v>0.5</v>
      </c>
      <c r="O12" s="211">
        <f>ROUND(L12*M12*N12,2)</f>
        <v>4</v>
      </c>
      <c r="P12" s="241">
        <f>ROUND(SUM(G12,K12,O12),2)</f>
        <v>9</v>
      </c>
      <c r="Q12" s="213"/>
      <c r="R12" s="213"/>
      <c r="S12" s="213"/>
    </row>
    <row r="13" spans="1:20">
      <c r="A13" s="1000" t="s">
        <v>29</v>
      </c>
      <c r="B13" s="984"/>
      <c r="C13" s="994"/>
      <c r="D13" s="329">
        <f>D36+E36</f>
        <v>2</v>
      </c>
      <c r="E13" s="211">
        <f>VLOOKUP(수도지구기준,수도일수기준,4,0)</f>
        <v>4</v>
      </c>
      <c r="F13" s="211">
        <f>$F$5</f>
        <v>0.5</v>
      </c>
      <c r="G13" s="211">
        <f>ROUND(D13*E13*F13,2)</f>
        <v>4</v>
      </c>
      <c r="H13" s="243">
        <f>F36+G36</f>
        <v>4</v>
      </c>
      <c r="I13" s="211">
        <f>VLOOKUP(수도지구기준,수도일수기준,6,0)</f>
        <v>2</v>
      </c>
      <c r="J13" s="211">
        <f>$F$5</f>
        <v>0.5</v>
      </c>
      <c r="K13" s="211">
        <f>ROUND(H13*I13*J13,2)</f>
        <v>4</v>
      </c>
      <c r="L13" s="243">
        <f>H36+I36</f>
        <v>4</v>
      </c>
      <c r="M13" s="211">
        <f>VLOOKUP(수도지구기준,수도일수기준,8,0)</f>
        <v>4</v>
      </c>
      <c r="N13" s="211">
        <f>$F$5</f>
        <v>0.5</v>
      </c>
      <c r="O13" s="211">
        <f>ROUND(L13*M13*N13,2)</f>
        <v>8</v>
      </c>
      <c r="P13" s="241">
        <f>ROUND(SUM(G13,K13,O13),2)</f>
        <v>16</v>
      </c>
      <c r="Q13" s="213"/>
      <c r="R13" s="213"/>
      <c r="S13" s="213"/>
    </row>
    <row r="14" spans="1:20">
      <c r="A14" s="1001" t="s">
        <v>212</v>
      </c>
      <c r="B14" s="972"/>
      <c r="C14" s="980"/>
      <c r="D14" s="343">
        <f>D37+E37</f>
        <v>0</v>
      </c>
      <c r="E14" s="212">
        <f>VLOOKUP(수도지구기준,수도일수기준,4,0)</f>
        <v>4</v>
      </c>
      <c r="F14" s="212">
        <f>$F$5</f>
        <v>0.5</v>
      </c>
      <c r="G14" s="212">
        <f>ROUND(D14*E14*F14,2)</f>
        <v>0</v>
      </c>
      <c r="H14" s="344">
        <f>F37+G37</f>
        <v>0</v>
      </c>
      <c r="I14" s="212">
        <f>VLOOKUP(수도지구기준,수도일수기준,6,0)</f>
        <v>2</v>
      </c>
      <c r="J14" s="212">
        <f>$F$5</f>
        <v>0.5</v>
      </c>
      <c r="K14" s="212">
        <f>ROUND(H14*I14*J14,2)</f>
        <v>0</v>
      </c>
      <c r="L14" s="344">
        <f>H37+I37</f>
        <v>0</v>
      </c>
      <c r="M14" s="212">
        <f>VLOOKUP(수도지구기준,수도일수기준,8,0)</f>
        <v>4</v>
      </c>
      <c r="N14" s="212">
        <f>$F$5</f>
        <v>0.5</v>
      </c>
      <c r="O14" s="212">
        <f>ROUND(L14*M14*N14,2)</f>
        <v>0</v>
      </c>
      <c r="P14" s="242">
        <f>ROUND(SUM(G14,K14,O14),2)</f>
        <v>0</v>
      </c>
      <c r="Q14" s="213"/>
      <c r="R14" s="213"/>
      <c r="S14" s="213"/>
    </row>
    <row r="15" spans="1:20"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</row>
    <row r="16" spans="1:20" s="239" customFormat="1" ht="19.2">
      <c r="A16" s="254" t="s">
        <v>462</v>
      </c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</row>
    <row r="17" spans="1:19" s="239" customFormat="1" ht="19.2">
      <c r="A17" s="255" t="s">
        <v>481</v>
      </c>
      <c r="B17" s="257"/>
      <c r="C17" s="257"/>
      <c r="D17" s="257"/>
      <c r="E17" s="257"/>
      <c r="F17" s="257"/>
      <c r="G17" s="257"/>
      <c r="H17" s="258"/>
      <c r="I17" s="258"/>
      <c r="N17" s="258"/>
      <c r="O17" s="258"/>
      <c r="P17" s="258"/>
      <c r="Q17" s="258"/>
      <c r="R17" s="258"/>
      <c r="S17" s="258"/>
    </row>
    <row r="18" spans="1:19">
      <c r="A18" s="214" t="s">
        <v>25</v>
      </c>
      <c r="B18" s="214"/>
      <c r="C18" s="214"/>
      <c r="D18" s="214"/>
      <c r="E18" s="214"/>
      <c r="F18" s="214"/>
      <c r="G18" s="214"/>
      <c r="H18" s="200"/>
      <c r="I18" s="200"/>
    </row>
    <row r="19" spans="1:19">
      <c r="A19" s="1022" t="s">
        <v>15</v>
      </c>
      <c r="B19" s="1023"/>
      <c r="C19" s="1023"/>
      <c r="D19" s="1023" t="s">
        <v>18</v>
      </c>
      <c r="E19" s="1023"/>
      <c r="F19" s="1023" t="s">
        <v>19</v>
      </c>
      <c r="G19" s="1023"/>
      <c r="H19" s="1023" t="s">
        <v>20</v>
      </c>
      <c r="I19" s="1024"/>
    </row>
    <row r="20" spans="1:19">
      <c r="A20" s="1009" t="s">
        <v>38</v>
      </c>
      <c r="B20" s="977"/>
      <c r="C20" s="977"/>
      <c r="D20" s="977">
        <v>6.6</v>
      </c>
      <c r="E20" s="977"/>
      <c r="F20" s="977">
        <v>3</v>
      </c>
      <c r="G20" s="977"/>
      <c r="H20" s="977">
        <v>5</v>
      </c>
      <c r="I20" s="978"/>
    </row>
    <row r="21" spans="1:19">
      <c r="A21" s="1009" t="s">
        <v>22</v>
      </c>
      <c r="B21" s="977"/>
      <c r="C21" s="977"/>
      <c r="D21" s="977">
        <v>4</v>
      </c>
      <c r="E21" s="977"/>
      <c r="F21" s="977">
        <v>2</v>
      </c>
      <c r="G21" s="977"/>
      <c r="H21" s="977">
        <v>4</v>
      </c>
      <c r="I21" s="978"/>
    </row>
    <row r="22" spans="1:19">
      <c r="A22" s="1010" t="s">
        <v>39</v>
      </c>
      <c r="B22" s="975"/>
      <c r="C22" s="975"/>
      <c r="D22" s="975">
        <v>3</v>
      </c>
      <c r="E22" s="975"/>
      <c r="F22" s="975">
        <v>1</v>
      </c>
      <c r="G22" s="975"/>
      <c r="H22" s="975">
        <v>2.5</v>
      </c>
      <c r="I22" s="976"/>
    </row>
    <row r="23" spans="1:19">
      <c r="J23" s="200"/>
      <c r="K23" s="200"/>
      <c r="L23" s="200"/>
      <c r="M23" s="200"/>
      <c r="N23" s="200"/>
      <c r="O23" s="200"/>
      <c r="P23" s="200"/>
      <c r="Q23" s="200"/>
      <c r="R23" s="200"/>
      <c r="S23" s="200"/>
    </row>
    <row r="24" spans="1:19">
      <c r="A24" s="214" t="s">
        <v>35</v>
      </c>
      <c r="B24" s="214"/>
      <c r="C24" s="214"/>
      <c r="D24" s="214"/>
      <c r="E24" s="214"/>
      <c r="F24" s="214"/>
      <c r="G24" s="214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</row>
    <row r="25" spans="1:19">
      <c r="A25" s="1022" t="s">
        <v>15</v>
      </c>
      <c r="B25" s="1023"/>
      <c r="C25" s="1023"/>
      <c r="D25" s="1023" t="s">
        <v>18</v>
      </c>
      <c r="E25" s="1023"/>
      <c r="F25" s="1023" t="s">
        <v>19</v>
      </c>
      <c r="G25" s="1023"/>
      <c r="H25" s="1023" t="s">
        <v>20</v>
      </c>
      <c r="I25" s="1024"/>
      <c r="J25" s="200"/>
      <c r="K25" s="200"/>
      <c r="L25" s="200"/>
      <c r="M25" s="200"/>
      <c r="N25" s="200"/>
      <c r="O25" s="200"/>
      <c r="P25" s="200"/>
      <c r="Q25" s="200"/>
      <c r="R25" s="200"/>
      <c r="S25" s="200"/>
    </row>
    <row r="26" spans="1:19">
      <c r="A26" s="1009" t="s">
        <v>38</v>
      </c>
      <c r="B26" s="977"/>
      <c r="C26" s="977"/>
      <c r="D26" s="977">
        <v>2</v>
      </c>
      <c r="E26" s="977"/>
      <c r="F26" s="977">
        <v>2</v>
      </c>
      <c r="G26" s="977"/>
      <c r="H26" s="977">
        <v>2</v>
      </c>
      <c r="I26" s="978"/>
      <c r="J26" s="200"/>
      <c r="K26" s="200"/>
      <c r="L26" s="200"/>
      <c r="M26" s="200"/>
      <c r="N26" s="200"/>
      <c r="O26" s="200"/>
      <c r="P26" s="200"/>
      <c r="Q26" s="200"/>
      <c r="R26" s="200"/>
      <c r="S26" s="200"/>
    </row>
    <row r="27" spans="1:19">
      <c r="A27" s="1009" t="s">
        <v>22</v>
      </c>
      <c r="B27" s="977"/>
      <c r="C27" s="977"/>
      <c r="D27" s="977">
        <v>1</v>
      </c>
      <c r="E27" s="977"/>
      <c r="F27" s="977">
        <v>1</v>
      </c>
      <c r="G27" s="977"/>
      <c r="H27" s="977">
        <v>1</v>
      </c>
      <c r="I27" s="978"/>
      <c r="J27" s="200"/>
      <c r="K27" s="200"/>
      <c r="L27" s="200"/>
      <c r="M27" s="200"/>
      <c r="N27" s="200"/>
      <c r="O27" s="200"/>
      <c r="P27" s="200"/>
      <c r="Q27" s="200"/>
      <c r="R27" s="200"/>
      <c r="S27" s="200"/>
    </row>
    <row r="28" spans="1:19">
      <c r="A28" s="1010" t="s">
        <v>39</v>
      </c>
      <c r="B28" s="975"/>
      <c r="C28" s="975"/>
      <c r="D28" s="975">
        <v>1</v>
      </c>
      <c r="E28" s="975"/>
      <c r="F28" s="975">
        <v>1</v>
      </c>
      <c r="G28" s="975"/>
      <c r="H28" s="975">
        <v>1</v>
      </c>
      <c r="I28" s="976"/>
      <c r="J28" s="200"/>
      <c r="K28" s="200"/>
      <c r="L28" s="200"/>
      <c r="M28" s="200"/>
      <c r="N28" s="200"/>
      <c r="O28" s="200"/>
      <c r="P28" s="200"/>
      <c r="Q28" s="200"/>
      <c r="R28" s="200"/>
      <c r="S28" s="200"/>
    </row>
    <row r="29" spans="1:19">
      <c r="J29" s="200"/>
      <c r="K29" s="200"/>
    </row>
    <row r="30" spans="1:19">
      <c r="A30" s="214" t="s">
        <v>30</v>
      </c>
      <c r="B30" s="214"/>
      <c r="C30" s="214"/>
      <c r="D30" s="214"/>
      <c r="E30" s="214"/>
      <c r="F30" s="214"/>
      <c r="G30" s="214"/>
      <c r="H30" s="214"/>
      <c r="I30" s="214"/>
      <c r="J30" s="200"/>
      <c r="K30" s="200"/>
    </row>
    <row r="31" spans="1:19">
      <c r="A31" s="1022" t="s">
        <v>15</v>
      </c>
      <c r="B31" s="1023"/>
      <c r="C31" s="1023"/>
      <c r="D31" s="1023" t="s">
        <v>18</v>
      </c>
      <c r="E31" s="1023"/>
      <c r="F31" s="1023" t="s">
        <v>19</v>
      </c>
      <c r="G31" s="1023"/>
      <c r="H31" s="1023" t="s">
        <v>20</v>
      </c>
      <c r="I31" s="1024"/>
      <c r="J31" s="200"/>
      <c r="K31" s="200"/>
    </row>
    <row r="32" spans="1:19">
      <c r="A32" s="1009"/>
      <c r="B32" s="977"/>
      <c r="C32" s="977"/>
      <c r="D32" s="204" t="s">
        <v>8</v>
      </c>
      <c r="E32" s="215" t="s">
        <v>9</v>
      </c>
      <c r="F32" s="204" t="s">
        <v>8</v>
      </c>
      <c r="G32" s="215" t="s">
        <v>9</v>
      </c>
      <c r="H32" s="204" t="s">
        <v>8</v>
      </c>
      <c r="I32" s="216" t="s">
        <v>9</v>
      </c>
      <c r="J32" s="200"/>
      <c r="K32" s="200"/>
    </row>
    <row r="33" spans="1:19">
      <c r="A33" s="1009" t="s">
        <v>26</v>
      </c>
      <c r="B33" s="977"/>
      <c r="C33" s="977"/>
      <c r="D33" s="217">
        <v>0</v>
      </c>
      <c r="E33" s="217">
        <v>1</v>
      </c>
      <c r="F33" s="217">
        <v>0</v>
      </c>
      <c r="G33" s="217">
        <v>0</v>
      </c>
      <c r="H33" s="217">
        <v>0</v>
      </c>
      <c r="I33" s="218">
        <v>0</v>
      </c>
      <c r="J33" s="200"/>
      <c r="K33" s="200"/>
    </row>
    <row r="34" spans="1:19">
      <c r="A34" s="1009" t="s">
        <v>27</v>
      </c>
      <c r="B34" s="977"/>
      <c r="C34" s="977"/>
      <c r="D34" s="217">
        <v>0.5</v>
      </c>
      <c r="E34" s="217">
        <v>1</v>
      </c>
      <c r="F34" s="217">
        <v>0</v>
      </c>
      <c r="G34" s="217">
        <v>1</v>
      </c>
      <c r="H34" s="217">
        <v>0</v>
      </c>
      <c r="I34" s="218">
        <v>1</v>
      </c>
      <c r="J34" s="200"/>
      <c r="K34" s="200"/>
    </row>
    <row r="35" spans="1:19">
      <c r="A35" s="1009" t="s">
        <v>28</v>
      </c>
      <c r="B35" s="977"/>
      <c r="C35" s="977"/>
      <c r="D35" s="217">
        <v>0.5</v>
      </c>
      <c r="E35" s="217">
        <v>1</v>
      </c>
      <c r="F35" s="217">
        <v>1</v>
      </c>
      <c r="G35" s="217">
        <v>1</v>
      </c>
      <c r="H35" s="217">
        <v>1</v>
      </c>
      <c r="I35" s="218">
        <v>1</v>
      </c>
    </row>
    <row r="36" spans="1:19">
      <c r="A36" s="1010" t="s">
        <v>37</v>
      </c>
      <c r="B36" s="975"/>
      <c r="C36" s="975"/>
      <c r="D36" s="219">
        <v>0</v>
      </c>
      <c r="E36" s="219">
        <v>2</v>
      </c>
      <c r="F36" s="219">
        <v>2</v>
      </c>
      <c r="G36" s="219">
        <v>2</v>
      </c>
      <c r="H36" s="219">
        <v>2</v>
      </c>
      <c r="I36" s="220">
        <v>2</v>
      </c>
    </row>
    <row r="41" spans="1:19">
      <c r="P41" s="200"/>
      <c r="Q41" s="200"/>
      <c r="R41" s="200"/>
      <c r="S41" s="200"/>
    </row>
  </sheetData>
  <mergeCells count="62">
    <mergeCell ref="A36:C36"/>
    <mergeCell ref="A31:C32"/>
    <mergeCell ref="D31:E31"/>
    <mergeCell ref="A22:C22"/>
    <mergeCell ref="D22:E22"/>
    <mergeCell ref="A33:C33"/>
    <mergeCell ref="A34:C34"/>
    <mergeCell ref="A35:C35"/>
    <mergeCell ref="A28:C28"/>
    <mergeCell ref="D28:E28"/>
    <mergeCell ref="A27:C27"/>
    <mergeCell ref="D27:E27"/>
    <mergeCell ref="H19:I19"/>
    <mergeCell ref="A25:C25"/>
    <mergeCell ref="D25:E25"/>
    <mergeCell ref="H20:I20"/>
    <mergeCell ref="F27:G27"/>
    <mergeCell ref="H27:I27"/>
    <mergeCell ref="A21:C21"/>
    <mergeCell ref="D21:E21"/>
    <mergeCell ref="F21:G21"/>
    <mergeCell ref="H21:I21"/>
    <mergeCell ref="A26:C26"/>
    <mergeCell ref="D26:E26"/>
    <mergeCell ref="F26:G26"/>
    <mergeCell ref="H26:I26"/>
    <mergeCell ref="F22:G22"/>
    <mergeCell ref="F31:G31"/>
    <mergeCell ref="H31:I31"/>
    <mergeCell ref="H22:I22"/>
    <mergeCell ref="F25:G25"/>
    <mergeCell ref="H25:I25"/>
    <mergeCell ref="F28:G28"/>
    <mergeCell ref="H28:I28"/>
    <mergeCell ref="A13:C13"/>
    <mergeCell ref="P8:P9"/>
    <mergeCell ref="L8:O8"/>
    <mergeCell ref="H8:K8"/>
    <mergeCell ref="D8:G8"/>
    <mergeCell ref="A8:C9"/>
    <mergeCell ref="A10:C10"/>
    <mergeCell ref="A11:C11"/>
    <mergeCell ref="A12:C12"/>
    <mergeCell ref="A14:C14"/>
    <mergeCell ref="A20:C20"/>
    <mergeCell ref="D20:E20"/>
    <mergeCell ref="F20:G20"/>
    <mergeCell ref="A19:C19"/>
    <mergeCell ref="D19:E19"/>
    <mergeCell ref="F19:G19"/>
    <mergeCell ref="A3:C3"/>
    <mergeCell ref="A5:C5"/>
    <mergeCell ref="A4:C4"/>
    <mergeCell ref="H3:I3"/>
    <mergeCell ref="D5:E5"/>
    <mergeCell ref="D4:E4"/>
    <mergeCell ref="H5:I5"/>
    <mergeCell ref="H4:I4"/>
    <mergeCell ref="F5:G5"/>
    <mergeCell ref="F4:G4"/>
    <mergeCell ref="D3:E3"/>
    <mergeCell ref="F3:G3"/>
  </mergeCells>
  <phoneticPr fontId="1" type="noConversion"/>
  <dataValidations count="1">
    <dataValidation type="list" allowBlank="1" showInputMessage="1" showErrorMessage="1" sqref="F4">
      <formula1>입력수도지구</formula1>
    </dataValidation>
  </dataValidations>
  <pageMargins left="0.47244094488188981" right="0.31496062992125984" top="0.59055118110236227" bottom="0.31496062992125984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tabColor rgb="FFFFC000"/>
  </sheetPr>
  <dimension ref="A1:AC126"/>
  <sheetViews>
    <sheetView tabSelected="1" view="pageBreakPreview" zoomScaleNormal="100" zoomScaleSheetLayoutView="100" workbookViewId="0">
      <selection activeCell="AC70" sqref="AC70"/>
    </sheetView>
  </sheetViews>
  <sheetFormatPr defaultColWidth="6.09765625" defaultRowHeight="13.2"/>
  <cols>
    <col min="1" max="29" width="4.3984375" style="141" customWidth="1"/>
    <col min="30" max="39" width="4.5" style="141" customWidth="1"/>
    <col min="40" max="42" width="5.59765625" style="141" customWidth="1"/>
    <col min="43" max="16384" width="6.09765625" style="141"/>
  </cols>
  <sheetData>
    <row r="1" spans="1:29" ht="25.2">
      <c r="A1" s="222" t="s">
        <v>666</v>
      </c>
    </row>
    <row r="2" spans="1:29" ht="19.2">
      <c r="A2" s="254" t="s">
        <v>490</v>
      </c>
      <c r="B2" s="197"/>
      <c r="O2" s="253" t="s">
        <v>493</v>
      </c>
    </row>
    <row r="3" spans="1:29">
      <c r="A3" s="1011" t="s">
        <v>494</v>
      </c>
      <c r="B3" s="1012"/>
      <c r="C3" s="1012"/>
      <c r="D3" s="1012"/>
      <c r="E3" s="1012"/>
      <c r="F3" s="1012"/>
      <c r="G3" s="1013"/>
      <c r="H3" s="1056" t="s">
        <v>468</v>
      </c>
      <c r="I3" s="1049"/>
      <c r="J3" s="1049" t="s">
        <v>477</v>
      </c>
      <c r="K3" s="1049"/>
      <c r="L3" s="985" t="s">
        <v>479</v>
      </c>
      <c r="M3" s="986"/>
      <c r="O3" s="997" t="s">
        <v>508</v>
      </c>
      <c r="P3" s="998"/>
      <c r="Q3" s="999"/>
      <c r="R3" s="1036" t="s">
        <v>509</v>
      </c>
      <c r="S3" s="998"/>
      <c r="T3" s="1019" t="s">
        <v>510</v>
      </c>
      <c r="U3" s="998"/>
      <c r="V3" s="1019" t="s">
        <v>511</v>
      </c>
      <c r="W3" s="998"/>
      <c r="X3" s="1019" t="s">
        <v>512</v>
      </c>
      <c r="Y3" s="998"/>
      <c r="Z3" s="1019" t="s">
        <v>513</v>
      </c>
      <c r="AA3" s="998"/>
      <c r="AB3" s="998" t="s">
        <v>514</v>
      </c>
      <c r="AC3" s="999"/>
    </row>
    <row r="4" spans="1:29">
      <c r="A4" s="1014" t="s">
        <v>668</v>
      </c>
      <c r="B4" s="1003"/>
      <c r="C4" s="1003"/>
      <c r="D4" s="995" t="s">
        <v>495</v>
      </c>
      <c r="E4" s="995"/>
      <c r="F4" s="995"/>
      <c r="G4" s="996"/>
      <c r="H4" s="1054">
        <v>10</v>
      </c>
      <c r="I4" s="1055"/>
      <c r="J4" s="1059">
        <v>1.5</v>
      </c>
      <c r="K4" s="1059"/>
      <c r="L4" s="987" t="s">
        <v>405</v>
      </c>
      <c r="M4" s="988"/>
      <c r="O4" s="1001"/>
      <c r="P4" s="972"/>
      <c r="Q4" s="980"/>
      <c r="R4" s="971"/>
      <c r="S4" s="972"/>
      <c r="T4" s="972"/>
      <c r="U4" s="972"/>
      <c r="V4" s="972"/>
      <c r="W4" s="972"/>
      <c r="X4" s="972"/>
      <c r="Y4" s="972"/>
      <c r="Z4" s="972"/>
      <c r="AA4" s="972"/>
      <c r="AB4" s="972"/>
      <c r="AC4" s="980"/>
    </row>
    <row r="5" spans="1:29">
      <c r="A5" s="1015"/>
      <c r="B5" s="974"/>
      <c r="C5" s="974"/>
      <c r="D5" s="984" t="s">
        <v>491</v>
      </c>
      <c r="E5" s="984"/>
      <c r="F5" s="984"/>
      <c r="G5" s="994"/>
      <c r="H5" s="1058" t="s">
        <v>492</v>
      </c>
      <c r="I5" s="1053"/>
      <c r="J5" s="1057" t="s">
        <v>669</v>
      </c>
      <c r="K5" s="1057"/>
      <c r="L5" s="977" t="s">
        <v>526</v>
      </c>
      <c r="M5" s="978"/>
      <c r="O5" s="997" t="s">
        <v>515</v>
      </c>
      <c r="P5" s="998"/>
      <c r="Q5" s="999"/>
      <c r="R5" s="1066">
        <f t="shared" ref="R5:R10" si="0">M23</f>
        <v>0</v>
      </c>
      <c r="S5" s="1067"/>
      <c r="T5" s="1067">
        <f t="shared" ref="T5:T10" si="1">K53</f>
        <v>0.51428571428571423</v>
      </c>
      <c r="U5" s="1067"/>
      <c r="V5" s="1067">
        <f t="shared" ref="V5:V10" si="2">Z53</f>
        <v>0</v>
      </c>
      <c r="W5" s="1067"/>
      <c r="X5" s="1067">
        <f t="shared" ref="X5:X10" si="3">L79</f>
        <v>0</v>
      </c>
      <c r="Y5" s="1067"/>
      <c r="Z5" s="1067">
        <f t="shared" ref="Z5:Z10" si="4">Z27</f>
        <v>0.10266666666666666</v>
      </c>
      <c r="AA5" s="1067"/>
      <c r="AB5" s="1136">
        <f t="shared" ref="AB5:AB10" si="5">ROUND(SUM(R5:Z5),2)</f>
        <v>0.62</v>
      </c>
      <c r="AC5" s="1137"/>
    </row>
    <row r="6" spans="1:29">
      <c r="A6" s="1015"/>
      <c r="B6" s="974"/>
      <c r="C6" s="974"/>
      <c r="D6" s="984" t="s">
        <v>496</v>
      </c>
      <c r="E6" s="984"/>
      <c r="F6" s="984"/>
      <c r="G6" s="994"/>
      <c r="H6" s="1052" t="s">
        <v>898</v>
      </c>
      <c r="I6" s="1053"/>
      <c r="J6" s="1057" t="s">
        <v>846</v>
      </c>
      <c r="K6" s="1057"/>
      <c r="L6" s="977" t="s">
        <v>526</v>
      </c>
      <c r="M6" s="978"/>
      <c r="O6" s="1000" t="s">
        <v>516</v>
      </c>
      <c r="P6" s="984"/>
      <c r="Q6" s="994"/>
      <c r="R6" s="1068">
        <f t="shared" si="0"/>
        <v>1.105</v>
      </c>
      <c r="S6" s="1069"/>
      <c r="T6" s="1069">
        <f t="shared" si="1"/>
        <v>4.371428571428571</v>
      </c>
      <c r="U6" s="1069"/>
      <c r="V6" s="1069">
        <f t="shared" si="2"/>
        <v>6.16</v>
      </c>
      <c r="W6" s="1069"/>
      <c r="X6" s="1069">
        <f t="shared" si="3"/>
        <v>7.333333333333333</v>
      </c>
      <c r="Y6" s="1069"/>
      <c r="Z6" s="1069">
        <f t="shared" si="4"/>
        <v>0.308</v>
      </c>
      <c r="AA6" s="1069"/>
      <c r="AB6" s="1138">
        <f t="shared" si="5"/>
        <v>19.28</v>
      </c>
      <c r="AC6" s="1139"/>
    </row>
    <row r="7" spans="1:29">
      <c r="A7" s="1015"/>
      <c r="B7" s="974"/>
      <c r="C7" s="974"/>
      <c r="D7" s="984" t="s">
        <v>497</v>
      </c>
      <c r="E7" s="984"/>
      <c r="F7" s="984"/>
      <c r="G7" s="994"/>
      <c r="H7" s="1058" t="s">
        <v>498</v>
      </c>
      <c r="I7" s="1053"/>
      <c r="J7" s="1057" t="s">
        <v>41</v>
      </c>
      <c r="K7" s="1057"/>
      <c r="L7" s="977" t="s">
        <v>526</v>
      </c>
      <c r="M7" s="978"/>
      <c r="O7" s="1000" t="s">
        <v>517</v>
      </c>
      <c r="P7" s="984"/>
      <c r="Q7" s="994"/>
      <c r="R7" s="1068">
        <f t="shared" si="0"/>
        <v>3.9</v>
      </c>
      <c r="S7" s="1069"/>
      <c r="T7" s="1069">
        <f t="shared" si="1"/>
        <v>6.428571428571427</v>
      </c>
      <c r="U7" s="1069"/>
      <c r="V7" s="1069">
        <f t="shared" si="2"/>
        <v>7.56</v>
      </c>
      <c r="W7" s="1069"/>
      <c r="X7" s="1069">
        <f t="shared" si="3"/>
        <v>9</v>
      </c>
      <c r="Y7" s="1069"/>
      <c r="Z7" s="1069">
        <f t="shared" si="4"/>
        <v>1.1806666666666668</v>
      </c>
      <c r="AA7" s="1069"/>
      <c r="AB7" s="1138">
        <f t="shared" si="5"/>
        <v>28.07</v>
      </c>
      <c r="AC7" s="1139"/>
    </row>
    <row r="8" spans="1:29">
      <c r="A8" s="1015" t="s">
        <v>525</v>
      </c>
      <c r="B8" s="974"/>
      <c r="C8" s="974"/>
      <c r="D8" s="984" t="s">
        <v>499</v>
      </c>
      <c r="E8" s="984"/>
      <c r="F8" s="984"/>
      <c r="G8" s="994"/>
      <c r="H8" s="1058" t="s">
        <v>500</v>
      </c>
      <c r="I8" s="1053"/>
      <c r="J8" s="1057" t="s">
        <v>672</v>
      </c>
      <c r="K8" s="1057"/>
      <c r="L8" s="977" t="s">
        <v>526</v>
      </c>
      <c r="M8" s="978"/>
      <c r="O8" s="1000" t="s">
        <v>518</v>
      </c>
      <c r="P8" s="984"/>
      <c r="Q8" s="994"/>
      <c r="R8" s="1068">
        <f t="shared" si="0"/>
        <v>3.9</v>
      </c>
      <c r="S8" s="1069"/>
      <c r="T8" s="1069">
        <f t="shared" si="1"/>
        <v>6.6857142857142842</v>
      </c>
      <c r="U8" s="1069"/>
      <c r="V8" s="1069">
        <f t="shared" si="2"/>
        <v>7.84</v>
      </c>
      <c r="W8" s="1069"/>
      <c r="X8" s="1069">
        <f t="shared" si="3"/>
        <v>9.3333333333333321</v>
      </c>
      <c r="Y8" s="1069"/>
      <c r="Z8" s="1069">
        <f t="shared" si="4"/>
        <v>0.82133333333333325</v>
      </c>
      <c r="AA8" s="1069"/>
      <c r="AB8" s="1138">
        <f t="shared" si="5"/>
        <v>28.58</v>
      </c>
      <c r="AC8" s="1139"/>
    </row>
    <row r="9" spans="1:29">
      <c r="A9" s="1015"/>
      <c r="B9" s="974"/>
      <c r="C9" s="974"/>
      <c r="D9" s="974" t="s">
        <v>501</v>
      </c>
      <c r="E9" s="974"/>
      <c r="F9" s="1134" t="s">
        <v>502</v>
      </c>
      <c r="G9" s="1135"/>
      <c r="H9" s="1060">
        <v>10</v>
      </c>
      <c r="I9" s="1061"/>
      <c r="J9" s="1062">
        <v>1</v>
      </c>
      <c r="K9" s="1063"/>
      <c r="L9" s="1045" t="s">
        <v>405</v>
      </c>
      <c r="M9" s="1046"/>
      <c r="O9" s="1000" t="s">
        <v>519</v>
      </c>
      <c r="P9" s="984"/>
      <c r="Q9" s="994"/>
      <c r="R9" s="1068">
        <f t="shared" si="0"/>
        <v>1.82</v>
      </c>
      <c r="S9" s="1069"/>
      <c r="T9" s="1069">
        <f t="shared" si="1"/>
        <v>7.1999999999999993</v>
      </c>
      <c r="U9" s="1069"/>
      <c r="V9" s="1069">
        <f t="shared" si="2"/>
        <v>8.9599999999999991</v>
      </c>
      <c r="W9" s="1069"/>
      <c r="X9" s="1069">
        <f t="shared" si="3"/>
        <v>10.666666666666666</v>
      </c>
      <c r="Y9" s="1069"/>
      <c r="Z9" s="1069">
        <f t="shared" si="4"/>
        <v>0.82133333333333325</v>
      </c>
      <c r="AA9" s="1069"/>
      <c r="AB9" s="1138">
        <f t="shared" si="5"/>
        <v>29.47</v>
      </c>
      <c r="AC9" s="1139"/>
    </row>
    <row r="10" spans="1:29">
      <c r="A10" s="1015"/>
      <c r="B10" s="974"/>
      <c r="C10" s="974"/>
      <c r="D10" s="974"/>
      <c r="E10" s="974"/>
      <c r="F10" s="1134" t="s">
        <v>503</v>
      </c>
      <c r="G10" s="1135"/>
      <c r="H10" s="1060">
        <v>4</v>
      </c>
      <c r="I10" s="1061"/>
      <c r="J10" s="1064"/>
      <c r="K10" s="1065"/>
      <c r="L10" s="1047"/>
      <c r="M10" s="1048"/>
      <c r="O10" s="1001" t="s">
        <v>520</v>
      </c>
      <c r="P10" s="972"/>
      <c r="Q10" s="980"/>
      <c r="R10" s="1133">
        <f t="shared" si="0"/>
        <v>1.82</v>
      </c>
      <c r="S10" s="1132"/>
      <c r="T10" s="1132">
        <f t="shared" si="1"/>
        <v>2.0571428571428569</v>
      </c>
      <c r="U10" s="1132"/>
      <c r="V10" s="1132">
        <f t="shared" si="2"/>
        <v>1.1199999999999999</v>
      </c>
      <c r="W10" s="1132"/>
      <c r="X10" s="1132">
        <f t="shared" si="3"/>
        <v>1.3333333333333333</v>
      </c>
      <c r="Y10" s="1132"/>
      <c r="Z10" s="1132">
        <f t="shared" si="4"/>
        <v>0.82133333333333325</v>
      </c>
      <c r="AA10" s="1132"/>
      <c r="AB10" s="1140">
        <f t="shared" si="5"/>
        <v>7.15</v>
      </c>
      <c r="AC10" s="1141"/>
    </row>
    <row r="11" spans="1:29">
      <c r="A11" s="1015"/>
      <c r="B11" s="974"/>
      <c r="C11" s="974"/>
      <c r="D11" s="974" t="s">
        <v>504</v>
      </c>
      <c r="E11" s="974"/>
      <c r="F11" s="1134" t="s">
        <v>502</v>
      </c>
      <c r="G11" s="1135"/>
      <c r="H11" s="1060">
        <v>25</v>
      </c>
      <c r="I11" s="1061"/>
      <c r="J11" s="1062">
        <v>3</v>
      </c>
      <c r="K11" s="1063"/>
      <c r="L11" s="1045" t="s">
        <v>405</v>
      </c>
      <c r="M11" s="1046"/>
    </row>
    <row r="12" spans="1:29">
      <c r="A12" s="1015"/>
      <c r="B12" s="974"/>
      <c r="C12" s="974"/>
      <c r="D12" s="974"/>
      <c r="E12" s="974"/>
      <c r="F12" s="1134" t="s">
        <v>503</v>
      </c>
      <c r="G12" s="1135"/>
      <c r="H12" s="1060">
        <v>5</v>
      </c>
      <c r="I12" s="1061"/>
      <c r="J12" s="1064"/>
      <c r="K12" s="1065"/>
      <c r="L12" s="1047"/>
      <c r="M12" s="1048"/>
    </row>
    <row r="13" spans="1:29">
      <c r="A13" s="1015"/>
      <c r="B13" s="974"/>
      <c r="C13" s="974"/>
      <c r="D13" s="974" t="s">
        <v>505</v>
      </c>
      <c r="E13" s="974"/>
      <c r="F13" s="1134" t="s">
        <v>502</v>
      </c>
      <c r="G13" s="1135"/>
      <c r="H13" s="1060">
        <v>110</v>
      </c>
      <c r="I13" s="1061"/>
      <c r="J13" s="1062">
        <v>25</v>
      </c>
      <c r="K13" s="1063"/>
      <c r="L13" s="1045" t="s">
        <v>405</v>
      </c>
      <c r="M13" s="1046"/>
    </row>
    <row r="14" spans="1:29">
      <c r="A14" s="1015"/>
      <c r="B14" s="974"/>
      <c r="C14" s="974"/>
      <c r="D14" s="974"/>
      <c r="E14" s="974"/>
      <c r="F14" s="1134" t="s">
        <v>503</v>
      </c>
      <c r="G14" s="1135"/>
      <c r="H14" s="1060">
        <v>40</v>
      </c>
      <c r="I14" s="1061"/>
      <c r="J14" s="1064"/>
      <c r="K14" s="1065"/>
      <c r="L14" s="1047"/>
      <c r="M14" s="1048"/>
    </row>
    <row r="15" spans="1:29">
      <c r="A15" s="1015"/>
      <c r="B15" s="974"/>
      <c r="C15" s="974"/>
      <c r="D15" s="974"/>
      <c r="E15" s="974"/>
      <c r="F15" s="1134" t="s">
        <v>506</v>
      </c>
      <c r="G15" s="1135"/>
      <c r="H15" s="1050">
        <v>100</v>
      </c>
      <c r="I15" s="1051"/>
      <c r="J15" s="990">
        <v>100</v>
      </c>
      <c r="K15" s="990"/>
      <c r="L15" s="977" t="s">
        <v>405</v>
      </c>
      <c r="M15" s="978"/>
    </row>
    <row r="16" spans="1:29">
      <c r="A16" s="1015" t="s">
        <v>671</v>
      </c>
      <c r="B16" s="974"/>
      <c r="C16" s="974"/>
      <c r="D16" s="984" t="s">
        <v>507</v>
      </c>
      <c r="E16" s="984"/>
      <c r="F16" s="984"/>
      <c r="G16" s="994"/>
      <c r="H16" s="1077">
        <v>15</v>
      </c>
      <c r="I16" s="1078"/>
      <c r="J16" s="1075">
        <v>1</v>
      </c>
      <c r="K16" s="1075"/>
      <c r="L16" s="977" t="s">
        <v>405</v>
      </c>
      <c r="M16" s="978"/>
    </row>
    <row r="17" spans="1:28">
      <c r="A17" s="992"/>
      <c r="B17" s="993"/>
      <c r="C17" s="993"/>
      <c r="D17" s="972" t="s">
        <v>499</v>
      </c>
      <c r="E17" s="972"/>
      <c r="F17" s="972"/>
      <c r="G17" s="980"/>
      <c r="H17" s="1079" t="s">
        <v>500</v>
      </c>
      <c r="I17" s="1080"/>
      <c r="J17" s="1074" t="s">
        <v>670</v>
      </c>
      <c r="K17" s="1074"/>
      <c r="L17" s="975" t="s">
        <v>526</v>
      </c>
      <c r="M17" s="976"/>
    </row>
    <row r="19" spans="1:28" s="239" customFormat="1" ht="14.25" customHeight="1">
      <c r="A19" s="254" t="s">
        <v>462</v>
      </c>
    </row>
    <row r="20" spans="1:28" s="239" customFormat="1" ht="14.25" customHeight="1">
      <c r="A20" s="255" t="s">
        <v>0</v>
      </c>
      <c r="B20" s="276"/>
      <c r="C20" s="276"/>
      <c r="D20" s="276"/>
      <c r="E20" s="276"/>
      <c r="F20" s="276"/>
      <c r="G20" s="276"/>
      <c r="H20" s="276"/>
      <c r="I20" s="276"/>
      <c r="J20" s="276"/>
      <c r="K20" s="276"/>
      <c r="L20" s="276"/>
      <c r="M20" s="276"/>
      <c r="N20" s="276"/>
      <c r="O20" s="276"/>
      <c r="P20" s="255" t="s">
        <v>524</v>
      </c>
      <c r="Q20" s="276"/>
      <c r="R20" s="276"/>
      <c r="S20" s="276"/>
      <c r="T20" s="276"/>
      <c r="U20" s="276"/>
      <c r="V20" s="276"/>
      <c r="W20" s="276"/>
      <c r="X20" s="276"/>
      <c r="Y20" s="276"/>
      <c r="Z20" s="276"/>
      <c r="AA20" s="276"/>
      <c r="AB20" s="276"/>
    </row>
    <row r="21" spans="1:28" s="263" customFormat="1" ht="10.8">
      <c r="A21" s="264" t="s">
        <v>527</v>
      </c>
      <c r="B21" s="264"/>
      <c r="C21" s="264"/>
      <c r="D21" s="264">
        <v>10</v>
      </c>
      <c r="E21" s="264" t="s">
        <v>528</v>
      </c>
      <c r="F21" s="264" t="s">
        <v>424</v>
      </c>
      <c r="G21" s="264" t="s">
        <v>529</v>
      </c>
      <c r="H21" s="264"/>
      <c r="I21" s="264"/>
      <c r="J21" s="264"/>
      <c r="K21" s="264"/>
      <c r="L21" s="264"/>
      <c r="M21" s="264"/>
      <c r="N21" s="264"/>
      <c r="O21" s="264"/>
      <c r="P21" s="264" t="s">
        <v>527</v>
      </c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4"/>
      <c r="AB21" s="264"/>
    </row>
    <row r="22" spans="1:28" s="263" customFormat="1" ht="10.8">
      <c r="A22" s="1092" t="s">
        <v>494</v>
      </c>
      <c r="B22" s="1083"/>
      <c r="C22" s="1084"/>
      <c r="D22" s="334" t="s">
        <v>8</v>
      </c>
      <c r="E22" s="333" t="s">
        <v>530</v>
      </c>
      <c r="F22" s="333" t="s">
        <v>531</v>
      </c>
      <c r="G22" s="1083" t="s">
        <v>532</v>
      </c>
      <c r="H22" s="1083"/>
      <c r="I22" s="333" t="s">
        <v>533</v>
      </c>
      <c r="J22" s="333" t="s">
        <v>428</v>
      </c>
      <c r="K22" s="333" t="s">
        <v>534</v>
      </c>
      <c r="L22" s="333" t="s">
        <v>535</v>
      </c>
      <c r="M22" s="1081" t="s">
        <v>536</v>
      </c>
      <c r="N22" s="1082"/>
      <c r="O22" s="264"/>
      <c r="P22" s="264" t="s">
        <v>429</v>
      </c>
      <c r="Q22" s="264"/>
      <c r="R22" s="264">
        <v>15</v>
      </c>
      <c r="S22" s="264" t="s">
        <v>537</v>
      </c>
      <c r="T22" s="264"/>
      <c r="U22" s="264"/>
      <c r="V22" s="264"/>
      <c r="W22" s="264"/>
      <c r="X22" s="264"/>
      <c r="Y22" s="264"/>
      <c r="Z22" s="264"/>
      <c r="AA22" s="264"/>
      <c r="AB22" s="264"/>
    </row>
    <row r="23" spans="1:28" s="263" customFormat="1" ht="10.8">
      <c r="A23" s="1093" t="s">
        <v>10</v>
      </c>
      <c r="B23" s="1094"/>
      <c r="C23" s="1095"/>
      <c r="D23" s="286">
        <v>0</v>
      </c>
      <c r="E23" s="280">
        <v>0</v>
      </c>
      <c r="F23" s="280">
        <f t="shared" ref="F23:F28" si="6">SUM(D23:E23)</f>
        <v>0</v>
      </c>
      <c r="G23" s="1098">
        <f t="shared" ref="G23:G28" si="7">지형면적/$D$21</f>
        <v>0.15</v>
      </c>
      <c r="H23" s="1098"/>
      <c r="I23" s="281">
        <f t="shared" ref="I23:I28" si="8">VLOOKUP(자료지형지형,지형계수,4,0)</f>
        <v>1.25</v>
      </c>
      <c r="J23" s="281">
        <f t="shared" ref="J23:J28" si="9">VLOOKUP(자료지형축척,축척계수,4,0)</f>
        <v>0.65</v>
      </c>
      <c r="K23" s="280">
        <f t="shared" ref="K23:K28" si="10">작업량계수</f>
        <v>2.1333333333333333</v>
      </c>
      <c r="L23" s="281">
        <f t="shared" ref="L23:L28" si="11">VLOOKUP(자료지형작업,작업계수,4,0)</f>
        <v>1</v>
      </c>
      <c r="M23" s="1072">
        <f t="shared" ref="M23:M28" si="12">F23*G23*I23*J23*K23*L23</f>
        <v>0</v>
      </c>
      <c r="N23" s="1073"/>
      <c r="O23" s="264"/>
      <c r="P23" s="264" t="s">
        <v>444</v>
      </c>
      <c r="Q23" s="264"/>
      <c r="R23" s="264">
        <f>자료수준작업</f>
        <v>1</v>
      </c>
      <c r="S23" s="264" t="s">
        <v>537</v>
      </c>
      <c r="T23" s="264"/>
      <c r="U23" s="264"/>
      <c r="V23" s="264"/>
      <c r="W23" s="264"/>
      <c r="X23" s="264"/>
      <c r="Y23" s="264"/>
      <c r="Z23" s="264"/>
      <c r="AA23" s="264"/>
      <c r="AB23" s="264"/>
    </row>
    <row r="24" spans="1:28" s="263" customFormat="1" ht="10.8">
      <c r="A24" s="1089" t="s">
        <v>4</v>
      </c>
      <c r="B24" s="1090"/>
      <c r="C24" s="1091"/>
      <c r="D24" s="287">
        <v>4.25</v>
      </c>
      <c r="E24" s="265">
        <v>0</v>
      </c>
      <c r="F24" s="265">
        <f t="shared" si="6"/>
        <v>4.25</v>
      </c>
      <c r="G24" s="1098">
        <f t="shared" si="7"/>
        <v>0.15</v>
      </c>
      <c r="H24" s="1098"/>
      <c r="I24" s="266">
        <f t="shared" si="8"/>
        <v>1.25</v>
      </c>
      <c r="J24" s="266">
        <f t="shared" si="9"/>
        <v>0.65</v>
      </c>
      <c r="K24" s="265">
        <f t="shared" si="10"/>
        <v>2.1333333333333333</v>
      </c>
      <c r="L24" s="266">
        <f t="shared" si="11"/>
        <v>1</v>
      </c>
      <c r="M24" s="1070">
        <f t="shared" si="12"/>
        <v>1.105</v>
      </c>
      <c r="N24" s="1071"/>
      <c r="O24" s="264"/>
      <c r="P24" s="1076" t="s">
        <v>538</v>
      </c>
      <c r="Q24" s="1076"/>
      <c r="R24" s="1076"/>
      <c r="S24" s="1100" t="s">
        <v>539</v>
      </c>
      <c r="T24" s="1100"/>
      <c r="U24" s="1076" t="s">
        <v>540</v>
      </c>
      <c r="V24" s="268">
        <f>R23</f>
        <v>1</v>
      </c>
      <c r="W24" s="1076" t="s">
        <v>540</v>
      </c>
      <c r="X24" s="1076">
        <f>V24/V25</f>
        <v>6.6666666666666666E-2</v>
      </c>
      <c r="Y24" s="264"/>
      <c r="Z24" s="264"/>
      <c r="AA24" s="264"/>
      <c r="AB24" s="264"/>
    </row>
    <row r="25" spans="1:28" s="263" customFormat="1" ht="10.8">
      <c r="A25" s="1089" t="s">
        <v>417</v>
      </c>
      <c r="B25" s="1090"/>
      <c r="C25" s="1091"/>
      <c r="D25" s="287">
        <v>7</v>
      </c>
      <c r="E25" s="265">
        <v>8</v>
      </c>
      <c r="F25" s="265">
        <f t="shared" si="6"/>
        <v>15</v>
      </c>
      <c r="G25" s="1098">
        <f t="shared" si="7"/>
        <v>0.15</v>
      </c>
      <c r="H25" s="1098"/>
      <c r="I25" s="266">
        <f t="shared" si="8"/>
        <v>1.25</v>
      </c>
      <c r="J25" s="266">
        <f t="shared" si="9"/>
        <v>0.65</v>
      </c>
      <c r="K25" s="265">
        <f t="shared" si="10"/>
        <v>2.1333333333333333</v>
      </c>
      <c r="L25" s="266">
        <f t="shared" si="11"/>
        <v>1</v>
      </c>
      <c r="M25" s="1070">
        <f t="shared" si="12"/>
        <v>3.9</v>
      </c>
      <c r="N25" s="1071"/>
      <c r="O25" s="264"/>
      <c r="P25" s="1076"/>
      <c r="Q25" s="1076"/>
      <c r="R25" s="1076"/>
      <c r="S25" s="1076" t="s">
        <v>541</v>
      </c>
      <c r="T25" s="1076"/>
      <c r="U25" s="1076"/>
      <c r="V25" s="269">
        <f>R22</f>
        <v>15</v>
      </c>
      <c r="W25" s="1076"/>
      <c r="X25" s="1076"/>
      <c r="Y25" s="264"/>
      <c r="Z25" s="264"/>
      <c r="AA25" s="264"/>
      <c r="AB25" s="264"/>
    </row>
    <row r="26" spans="1:28" s="263" customFormat="1" ht="10.8">
      <c r="A26" s="1089" t="s">
        <v>279</v>
      </c>
      <c r="B26" s="1090"/>
      <c r="C26" s="1091"/>
      <c r="D26" s="287">
        <v>7</v>
      </c>
      <c r="E26" s="265">
        <v>8</v>
      </c>
      <c r="F26" s="265">
        <f t="shared" si="6"/>
        <v>15</v>
      </c>
      <c r="G26" s="1098">
        <f t="shared" si="7"/>
        <v>0.15</v>
      </c>
      <c r="H26" s="1098"/>
      <c r="I26" s="266">
        <f t="shared" si="8"/>
        <v>1.25</v>
      </c>
      <c r="J26" s="266">
        <f t="shared" si="9"/>
        <v>0.65</v>
      </c>
      <c r="K26" s="265">
        <f t="shared" si="10"/>
        <v>2.1333333333333333</v>
      </c>
      <c r="L26" s="266">
        <f t="shared" si="11"/>
        <v>1</v>
      </c>
      <c r="M26" s="1070">
        <f t="shared" si="12"/>
        <v>3.9</v>
      </c>
      <c r="N26" s="1071"/>
      <c r="O26" s="264"/>
      <c r="P26" s="1092" t="s">
        <v>494</v>
      </c>
      <c r="Q26" s="1083"/>
      <c r="R26" s="1084"/>
      <c r="S26" s="285" t="s">
        <v>8</v>
      </c>
      <c r="T26" s="283" t="s">
        <v>530</v>
      </c>
      <c r="U26" s="283" t="s">
        <v>531</v>
      </c>
      <c r="V26" s="1083" t="s">
        <v>532</v>
      </c>
      <c r="W26" s="1083"/>
      <c r="X26" s="283" t="s">
        <v>533</v>
      </c>
      <c r="Y26" s="283" t="s">
        <v>534</v>
      </c>
      <c r="Z26" s="284" t="s">
        <v>536</v>
      </c>
      <c r="AA26" s="264"/>
      <c r="AB26" s="264"/>
    </row>
    <row r="27" spans="1:28" s="263" customFormat="1" ht="10.8">
      <c r="A27" s="1089" t="s">
        <v>421</v>
      </c>
      <c r="B27" s="1090"/>
      <c r="C27" s="1091"/>
      <c r="D27" s="287">
        <v>0</v>
      </c>
      <c r="E27" s="265">
        <v>7</v>
      </c>
      <c r="F27" s="265">
        <f t="shared" si="6"/>
        <v>7</v>
      </c>
      <c r="G27" s="1098">
        <f t="shared" si="7"/>
        <v>0.15</v>
      </c>
      <c r="H27" s="1098"/>
      <c r="I27" s="266">
        <f t="shared" si="8"/>
        <v>1.25</v>
      </c>
      <c r="J27" s="266">
        <f t="shared" si="9"/>
        <v>0.65</v>
      </c>
      <c r="K27" s="265">
        <f t="shared" si="10"/>
        <v>2.1333333333333333</v>
      </c>
      <c r="L27" s="266">
        <f t="shared" si="11"/>
        <v>1</v>
      </c>
      <c r="M27" s="1070">
        <f t="shared" si="12"/>
        <v>1.82</v>
      </c>
      <c r="N27" s="1071"/>
      <c r="O27" s="264"/>
      <c r="P27" s="1128" t="s">
        <v>10</v>
      </c>
      <c r="Q27" s="1129"/>
      <c r="R27" s="1130"/>
      <c r="S27" s="346">
        <v>1</v>
      </c>
      <c r="T27" s="347">
        <v>0</v>
      </c>
      <c r="U27" s="347">
        <f t="shared" ref="U27:U32" si="13">SUM(S27:T27)</f>
        <v>1</v>
      </c>
      <c r="V27" s="1131">
        <f t="shared" ref="V27:V32" si="14">작업량2급수준</f>
        <v>6.6666666666666666E-2</v>
      </c>
      <c r="W27" s="1131"/>
      <c r="X27" s="348">
        <f t="shared" ref="X27:X32" si="15">VLOOKUP(자료수준지형,지형2급수준,4,0)</f>
        <v>1.1000000000000001</v>
      </c>
      <c r="Y27" s="347">
        <f t="shared" ref="Y27:Y32" si="16">수준작업량계수</f>
        <v>1.4</v>
      </c>
      <c r="Z27" s="349">
        <f t="shared" ref="Z27:Z32" si="17">U27*V27*X27*Y27</f>
        <v>0.10266666666666666</v>
      </c>
      <c r="AA27" s="264"/>
      <c r="AB27" s="264"/>
    </row>
    <row r="28" spans="1:28" s="263" customFormat="1" ht="10.8">
      <c r="A28" s="1086" t="s">
        <v>281</v>
      </c>
      <c r="B28" s="1087"/>
      <c r="C28" s="1088"/>
      <c r="D28" s="288">
        <v>0</v>
      </c>
      <c r="E28" s="270">
        <v>7</v>
      </c>
      <c r="F28" s="270">
        <f t="shared" si="6"/>
        <v>7</v>
      </c>
      <c r="G28" s="1127">
        <f t="shared" si="7"/>
        <v>0.15</v>
      </c>
      <c r="H28" s="1127"/>
      <c r="I28" s="271">
        <f t="shared" si="8"/>
        <v>1.25</v>
      </c>
      <c r="J28" s="271">
        <f t="shared" si="9"/>
        <v>0.65</v>
      </c>
      <c r="K28" s="270">
        <f t="shared" si="10"/>
        <v>2.1333333333333333</v>
      </c>
      <c r="L28" s="271">
        <f t="shared" si="11"/>
        <v>1</v>
      </c>
      <c r="M28" s="1096">
        <f t="shared" si="12"/>
        <v>1.82</v>
      </c>
      <c r="N28" s="1097"/>
      <c r="O28" s="264"/>
      <c r="P28" s="1089" t="s">
        <v>4</v>
      </c>
      <c r="Q28" s="1090"/>
      <c r="R28" s="1091"/>
      <c r="S28" s="287">
        <v>1</v>
      </c>
      <c r="T28" s="265">
        <v>2</v>
      </c>
      <c r="U28" s="265">
        <f t="shared" si="13"/>
        <v>3</v>
      </c>
      <c r="V28" s="1099">
        <f t="shared" si="14"/>
        <v>6.6666666666666666E-2</v>
      </c>
      <c r="W28" s="1099"/>
      <c r="X28" s="266">
        <f t="shared" si="15"/>
        <v>1.1000000000000001</v>
      </c>
      <c r="Y28" s="280">
        <f t="shared" si="16"/>
        <v>1.4</v>
      </c>
      <c r="Z28" s="267">
        <f t="shared" si="17"/>
        <v>0.308</v>
      </c>
      <c r="AA28" s="264"/>
      <c r="AB28" s="264"/>
    </row>
    <row r="29" spans="1:28" s="263" customFormat="1" ht="10.8">
      <c r="A29" s="264" t="s">
        <v>1</v>
      </c>
      <c r="B29" s="264"/>
      <c r="C29" s="264"/>
      <c r="D29" s="264"/>
      <c r="E29" s="264"/>
      <c r="F29" s="264"/>
      <c r="G29" s="264"/>
      <c r="H29" s="264"/>
      <c r="I29" s="264"/>
      <c r="J29" s="264"/>
      <c r="K29" s="264"/>
      <c r="L29" s="264"/>
      <c r="M29" s="264"/>
      <c r="N29" s="264"/>
      <c r="O29" s="264"/>
      <c r="P29" s="1089" t="s">
        <v>417</v>
      </c>
      <c r="Q29" s="1090"/>
      <c r="R29" s="1091"/>
      <c r="S29" s="287">
        <v>2.5</v>
      </c>
      <c r="T29" s="265">
        <v>9</v>
      </c>
      <c r="U29" s="265">
        <f t="shared" si="13"/>
        <v>11.5</v>
      </c>
      <c r="V29" s="1099">
        <f t="shared" si="14"/>
        <v>6.6666666666666666E-2</v>
      </c>
      <c r="W29" s="1099"/>
      <c r="X29" s="266">
        <f t="shared" si="15"/>
        <v>1.1000000000000001</v>
      </c>
      <c r="Y29" s="280">
        <f t="shared" si="16"/>
        <v>1.4</v>
      </c>
      <c r="Z29" s="267">
        <f t="shared" si="17"/>
        <v>1.1806666666666668</v>
      </c>
      <c r="AA29" s="264"/>
      <c r="AB29" s="264"/>
    </row>
    <row r="30" spans="1:28" s="263" customFormat="1" ht="10.8">
      <c r="A30" s="1092" t="s">
        <v>491</v>
      </c>
      <c r="B30" s="1083"/>
      <c r="C30" s="1084"/>
      <c r="D30" s="285" t="s">
        <v>542</v>
      </c>
      <c r="E30" s="1083" t="s">
        <v>543</v>
      </c>
      <c r="F30" s="1083"/>
      <c r="G30" s="1083"/>
      <c r="H30" s="1083"/>
      <c r="I30" s="1083"/>
      <c r="J30" s="1083"/>
      <c r="K30" s="1083"/>
      <c r="L30" s="1083"/>
      <c r="M30" s="1083"/>
      <c r="N30" s="1084"/>
      <c r="O30" s="269"/>
      <c r="P30" s="1089" t="s">
        <v>279</v>
      </c>
      <c r="Q30" s="1090"/>
      <c r="R30" s="1091"/>
      <c r="S30" s="287">
        <v>0</v>
      </c>
      <c r="T30" s="265">
        <v>8</v>
      </c>
      <c r="U30" s="265">
        <f t="shared" si="13"/>
        <v>8</v>
      </c>
      <c r="V30" s="1099">
        <f t="shared" si="14"/>
        <v>6.6666666666666666E-2</v>
      </c>
      <c r="W30" s="1099"/>
      <c r="X30" s="266">
        <f t="shared" si="15"/>
        <v>1.1000000000000001</v>
      </c>
      <c r="Y30" s="280">
        <f t="shared" si="16"/>
        <v>1.4</v>
      </c>
      <c r="Z30" s="267">
        <f t="shared" si="17"/>
        <v>0.82133333333333325</v>
      </c>
      <c r="AA30" s="264"/>
      <c r="AB30" s="264"/>
    </row>
    <row r="31" spans="1:28" s="263" customFormat="1" ht="10.8">
      <c r="A31" s="1093" t="s">
        <v>544</v>
      </c>
      <c r="B31" s="1094"/>
      <c r="C31" s="1095"/>
      <c r="D31" s="286">
        <v>2.8</v>
      </c>
      <c r="E31" s="1104" t="s">
        <v>545</v>
      </c>
      <c r="F31" s="1104"/>
      <c r="G31" s="1104"/>
      <c r="H31" s="1104"/>
      <c r="I31" s="1104"/>
      <c r="J31" s="1104"/>
      <c r="K31" s="1104"/>
      <c r="L31" s="1104"/>
      <c r="M31" s="1104"/>
      <c r="N31" s="1105"/>
      <c r="O31" s="273"/>
      <c r="P31" s="1089" t="s">
        <v>421</v>
      </c>
      <c r="Q31" s="1090"/>
      <c r="R31" s="1091"/>
      <c r="S31" s="287">
        <v>0</v>
      </c>
      <c r="T31" s="265">
        <v>8</v>
      </c>
      <c r="U31" s="265">
        <f t="shared" si="13"/>
        <v>8</v>
      </c>
      <c r="V31" s="1099">
        <f t="shared" si="14"/>
        <v>6.6666666666666666E-2</v>
      </c>
      <c r="W31" s="1099"/>
      <c r="X31" s="266">
        <f t="shared" si="15"/>
        <v>1.1000000000000001</v>
      </c>
      <c r="Y31" s="280">
        <f t="shared" si="16"/>
        <v>1.4</v>
      </c>
      <c r="Z31" s="267">
        <f t="shared" si="17"/>
        <v>0.82133333333333325</v>
      </c>
      <c r="AA31" s="264"/>
      <c r="AB31" s="264"/>
    </row>
    <row r="32" spans="1:28" s="263" customFormat="1" ht="10.8">
      <c r="A32" s="1089" t="s">
        <v>546</v>
      </c>
      <c r="B32" s="1090"/>
      <c r="C32" s="1091"/>
      <c r="D32" s="287">
        <v>2.15</v>
      </c>
      <c r="E32" s="1101" t="s">
        <v>547</v>
      </c>
      <c r="F32" s="1101"/>
      <c r="G32" s="1101"/>
      <c r="H32" s="1101"/>
      <c r="I32" s="1101"/>
      <c r="J32" s="1101"/>
      <c r="K32" s="1101"/>
      <c r="L32" s="1101"/>
      <c r="M32" s="1101"/>
      <c r="N32" s="1102"/>
      <c r="O32" s="273"/>
      <c r="P32" s="1086" t="s">
        <v>281</v>
      </c>
      <c r="Q32" s="1087"/>
      <c r="R32" s="1088"/>
      <c r="S32" s="288">
        <v>0</v>
      </c>
      <c r="T32" s="270">
        <v>8</v>
      </c>
      <c r="U32" s="270">
        <f t="shared" si="13"/>
        <v>8</v>
      </c>
      <c r="V32" s="1103">
        <f t="shared" si="14"/>
        <v>6.6666666666666666E-2</v>
      </c>
      <c r="W32" s="1103"/>
      <c r="X32" s="271">
        <f t="shared" si="15"/>
        <v>1.1000000000000001</v>
      </c>
      <c r="Y32" s="350">
        <f t="shared" si="16"/>
        <v>1.4</v>
      </c>
      <c r="Z32" s="272">
        <f t="shared" si="17"/>
        <v>0.82133333333333325</v>
      </c>
      <c r="AA32" s="264"/>
      <c r="AB32" s="264"/>
    </row>
    <row r="33" spans="1:28" s="263" customFormat="1" ht="10.8">
      <c r="A33" s="1089" t="s">
        <v>492</v>
      </c>
      <c r="B33" s="1090"/>
      <c r="C33" s="1091"/>
      <c r="D33" s="287">
        <v>1</v>
      </c>
      <c r="E33" s="1101" t="s">
        <v>548</v>
      </c>
      <c r="F33" s="1101"/>
      <c r="G33" s="1101"/>
      <c r="H33" s="1101"/>
      <c r="I33" s="1101"/>
      <c r="J33" s="1101"/>
      <c r="K33" s="1101"/>
      <c r="L33" s="1101"/>
      <c r="M33" s="1101"/>
      <c r="N33" s="1102"/>
      <c r="O33" s="273"/>
      <c r="P33" s="264" t="s">
        <v>1</v>
      </c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4"/>
      <c r="AB33" s="264"/>
    </row>
    <row r="34" spans="1:28" s="263" customFormat="1" ht="10.8">
      <c r="A34" s="1089" t="s">
        <v>549</v>
      </c>
      <c r="B34" s="1090"/>
      <c r="C34" s="1091"/>
      <c r="D34" s="287">
        <v>1.25</v>
      </c>
      <c r="E34" s="1101" t="s">
        <v>550</v>
      </c>
      <c r="F34" s="1101"/>
      <c r="G34" s="1101"/>
      <c r="H34" s="1101"/>
      <c r="I34" s="1101"/>
      <c r="J34" s="1101"/>
      <c r="K34" s="1101"/>
      <c r="L34" s="1101"/>
      <c r="M34" s="1101"/>
      <c r="N34" s="1102"/>
      <c r="O34" s="273"/>
      <c r="P34" s="1092" t="s">
        <v>491</v>
      </c>
      <c r="Q34" s="1083"/>
      <c r="R34" s="1084"/>
      <c r="S34" s="285" t="s">
        <v>542</v>
      </c>
      <c r="T34" s="1083" t="s">
        <v>543</v>
      </c>
      <c r="U34" s="1083"/>
      <c r="V34" s="1083"/>
      <c r="W34" s="1083"/>
      <c r="X34" s="1083"/>
      <c r="Y34" s="1083"/>
      <c r="Z34" s="1083"/>
      <c r="AA34" s="1083"/>
      <c r="AB34" s="1084"/>
    </row>
    <row r="35" spans="1:28" s="263" customFormat="1" ht="10.8">
      <c r="A35" s="1086" t="s">
        <v>551</v>
      </c>
      <c r="B35" s="1087"/>
      <c r="C35" s="1088"/>
      <c r="D35" s="288">
        <v>1.3</v>
      </c>
      <c r="E35" s="1125" t="s">
        <v>445</v>
      </c>
      <c r="F35" s="1125"/>
      <c r="G35" s="1125"/>
      <c r="H35" s="1125"/>
      <c r="I35" s="1125"/>
      <c r="J35" s="1125"/>
      <c r="K35" s="1125"/>
      <c r="L35" s="1125"/>
      <c r="M35" s="1125"/>
      <c r="N35" s="1126"/>
      <c r="O35" s="273"/>
      <c r="P35" s="1093" t="s">
        <v>544</v>
      </c>
      <c r="Q35" s="1094"/>
      <c r="R35" s="1095"/>
      <c r="S35" s="286">
        <v>1.3</v>
      </c>
      <c r="T35" s="1104" t="s">
        <v>545</v>
      </c>
      <c r="U35" s="1104"/>
      <c r="V35" s="1104"/>
      <c r="W35" s="1104"/>
      <c r="X35" s="1104"/>
      <c r="Y35" s="1104"/>
      <c r="Z35" s="1104"/>
      <c r="AA35" s="1104"/>
      <c r="AB35" s="1105"/>
    </row>
    <row r="36" spans="1:28" s="263" customFormat="1" ht="10.8">
      <c r="A36" s="264" t="s">
        <v>2</v>
      </c>
      <c r="B36" s="264"/>
      <c r="C36" s="264"/>
      <c r="D36" s="264"/>
      <c r="E36" s="264"/>
      <c r="F36" s="264"/>
      <c r="G36" s="264" t="s">
        <v>552</v>
      </c>
      <c r="H36" s="264"/>
      <c r="I36" s="264"/>
      <c r="J36" s="264"/>
      <c r="K36" s="264"/>
      <c r="L36" s="264"/>
      <c r="M36" s="264"/>
      <c r="N36" s="264"/>
      <c r="O36" s="264"/>
      <c r="P36" s="1089" t="s">
        <v>546</v>
      </c>
      <c r="Q36" s="1090"/>
      <c r="R36" s="1091"/>
      <c r="S36" s="287">
        <v>1.2</v>
      </c>
      <c r="T36" s="1101" t="s">
        <v>547</v>
      </c>
      <c r="U36" s="1101"/>
      <c r="V36" s="1101"/>
      <c r="W36" s="1101"/>
      <c r="X36" s="1101"/>
      <c r="Y36" s="1101"/>
      <c r="Z36" s="1101"/>
      <c r="AA36" s="1101"/>
      <c r="AB36" s="1102"/>
    </row>
    <row r="37" spans="1:28" s="263" customFormat="1" ht="10.8">
      <c r="A37" s="1092" t="s">
        <v>553</v>
      </c>
      <c r="B37" s="1083"/>
      <c r="C37" s="1084"/>
      <c r="D37" s="289" t="s">
        <v>554</v>
      </c>
      <c r="E37" s="264"/>
      <c r="F37" s="264"/>
      <c r="G37" s="264" t="s">
        <v>555</v>
      </c>
      <c r="H37" s="264"/>
      <c r="I37" s="264"/>
      <c r="J37" s="264"/>
      <c r="K37" s="264"/>
      <c r="L37" s="264"/>
      <c r="M37" s="264"/>
      <c r="N37" s="264"/>
      <c r="O37" s="264"/>
      <c r="P37" s="1089" t="s">
        <v>492</v>
      </c>
      <c r="Q37" s="1090"/>
      <c r="R37" s="1091"/>
      <c r="S37" s="287">
        <v>1</v>
      </c>
      <c r="T37" s="1101" t="s">
        <v>548</v>
      </c>
      <c r="U37" s="1101"/>
      <c r="V37" s="1101"/>
      <c r="W37" s="1101"/>
      <c r="X37" s="1101"/>
      <c r="Y37" s="1101"/>
      <c r="Z37" s="1101"/>
      <c r="AA37" s="1101"/>
      <c r="AB37" s="1102"/>
    </row>
    <row r="38" spans="1:28" s="263" customFormat="1" ht="10.8">
      <c r="A38" s="1122" t="s">
        <v>896</v>
      </c>
      <c r="B38" s="1094"/>
      <c r="C38" s="1095"/>
      <c r="D38" s="290">
        <v>1.6</v>
      </c>
      <c r="E38" s="264"/>
      <c r="F38" s="264"/>
      <c r="G38" s="1123" t="s">
        <v>446</v>
      </c>
      <c r="H38" s="1076">
        <v>0.8</v>
      </c>
      <c r="I38" s="1124" t="s">
        <v>556</v>
      </c>
      <c r="J38" s="268">
        <v>2</v>
      </c>
      <c r="K38" s="1113" t="s">
        <v>557</v>
      </c>
      <c r="L38" s="1085">
        <f>IF((H38+(J38/J39))&lt;=0.9,0.9,(H38+(J38/J39)))</f>
        <v>2.1333333333333333</v>
      </c>
      <c r="M38" s="264"/>
      <c r="N38" s="274"/>
      <c r="O38" s="274"/>
      <c r="P38" s="1089" t="s">
        <v>558</v>
      </c>
      <c r="Q38" s="1090"/>
      <c r="R38" s="1091"/>
      <c r="S38" s="287">
        <v>1.1000000000000001</v>
      </c>
      <c r="T38" s="1101" t="s">
        <v>559</v>
      </c>
      <c r="U38" s="1101"/>
      <c r="V38" s="1101"/>
      <c r="W38" s="1101"/>
      <c r="X38" s="1101"/>
      <c r="Y38" s="1101"/>
      <c r="Z38" s="1101"/>
      <c r="AA38" s="1101"/>
      <c r="AB38" s="1102"/>
    </row>
    <row r="39" spans="1:28" s="263" customFormat="1" ht="10.8">
      <c r="A39" s="1121" t="s">
        <v>897</v>
      </c>
      <c r="B39" s="1090"/>
      <c r="C39" s="1091"/>
      <c r="D39" s="291">
        <v>1</v>
      </c>
      <c r="E39" s="264"/>
      <c r="F39" s="264"/>
      <c r="G39" s="1123"/>
      <c r="H39" s="1076"/>
      <c r="I39" s="1123"/>
      <c r="J39" s="345">
        <f>지형면적</f>
        <v>1.5</v>
      </c>
      <c r="K39" s="1113"/>
      <c r="L39" s="1085"/>
      <c r="M39" s="264"/>
      <c r="N39" s="274"/>
      <c r="O39" s="274"/>
      <c r="P39" s="1086" t="s">
        <v>551</v>
      </c>
      <c r="Q39" s="1087"/>
      <c r="R39" s="1088"/>
      <c r="S39" s="288">
        <v>1.3</v>
      </c>
      <c r="T39" s="1125" t="s">
        <v>445</v>
      </c>
      <c r="U39" s="1125"/>
      <c r="V39" s="1125"/>
      <c r="W39" s="1125"/>
      <c r="X39" s="1125"/>
      <c r="Y39" s="1125"/>
      <c r="Z39" s="1125"/>
      <c r="AA39" s="1125"/>
      <c r="AB39" s="1126"/>
    </row>
    <row r="40" spans="1:28" s="263" customFormat="1" ht="10.8">
      <c r="A40" s="1121" t="s">
        <v>899</v>
      </c>
      <c r="B40" s="1090"/>
      <c r="C40" s="1091"/>
      <c r="D40" s="291">
        <v>0.65</v>
      </c>
      <c r="E40" s="264"/>
      <c r="F40" s="264"/>
      <c r="G40" s="264"/>
      <c r="H40" s="264"/>
      <c r="I40" s="264"/>
      <c r="J40" s="264"/>
      <c r="K40" s="264"/>
      <c r="L40" s="264"/>
      <c r="M40" s="264"/>
      <c r="N40" s="264"/>
      <c r="O40" s="264"/>
      <c r="P40" s="264" t="s">
        <v>552</v>
      </c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4"/>
      <c r="AB40" s="264"/>
    </row>
    <row r="41" spans="1:28" s="263" customFormat="1" ht="10.8">
      <c r="A41" s="1120" t="s">
        <v>900</v>
      </c>
      <c r="B41" s="1087"/>
      <c r="C41" s="1088"/>
      <c r="D41" s="292">
        <v>0.54</v>
      </c>
      <c r="E41" s="264"/>
      <c r="F41" s="264"/>
      <c r="G41" s="264"/>
      <c r="H41" s="264"/>
      <c r="I41" s="264"/>
      <c r="J41" s="264"/>
      <c r="K41" s="264"/>
      <c r="L41" s="264"/>
      <c r="M41" s="264"/>
      <c r="N41" s="264"/>
      <c r="O41" s="264"/>
      <c r="P41" s="264" t="s">
        <v>560</v>
      </c>
      <c r="Q41" s="264"/>
      <c r="R41" s="264"/>
      <c r="S41" s="264"/>
      <c r="T41" s="264"/>
      <c r="U41" s="264"/>
      <c r="V41" s="264"/>
      <c r="W41" s="264"/>
      <c r="X41" s="264"/>
      <c r="Y41" s="264"/>
      <c r="Z41" s="264"/>
      <c r="AA41" s="264"/>
      <c r="AB41" s="264"/>
    </row>
    <row r="42" spans="1:28" s="263" customFormat="1" ht="10.8">
      <c r="A42" s="264" t="s">
        <v>3</v>
      </c>
      <c r="B42" s="264"/>
      <c r="C42" s="264"/>
      <c r="D42" s="264"/>
      <c r="E42" s="264"/>
      <c r="F42" s="264"/>
      <c r="G42" s="264"/>
      <c r="H42" s="264"/>
      <c r="I42" s="264"/>
      <c r="J42" s="264"/>
      <c r="K42" s="264"/>
      <c r="L42" s="264"/>
      <c r="M42" s="264"/>
      <c r="N42" s="264"/>
      <c r="O42" s="264"/>
      <c r="P42" s="1123" t="s">
        <v>446</v>
      </c>
      <c r="Q42" s="1076">
        <v>0.8</v>
      </c>
      <c r="R42" s="1124" t="s">
        <v>561</v>
      </c>
      <c r="S42" s="268">
        <v>3</v>
      </c>
      <c r="T42" s="1113" t="s">
        <v>557</v>
      </c>
      <c r="U42" s="1076">
        <f>IF((Q42+(S42/S43))&lt;=0.9,0.9,IF((Q42+(S42/S43))&gt;=1.4,1.4,(Q42+(S42/S43))))</f>
        <v>1.4</v>
      </c>
      <c r="V42" s="264"/>
      <c r="W42" s="264"/>
      <c r="X42" s="264"/>
      <c r="Y42" s="264"/>
      <c r="Z42" s="264"/>
      <c r="AA42" s="264"/>
      <c r="AB42" s="264"/>
    </row>
    <row r="43" spans="1:28" s="263" customFormat="1" ht="10.8">
      <c r="A43" s="1092" t="s">
        <v>562</v>
      </c>
      <c r="B43" s="1083"/>
      <c r="C43" s="1084"/>
      <c r="D43" s="289" t="s">
        <v>542</v>
      </c>
      <c r="E43" s="264"/>
      <c r="F43" s="264"/>
      <c r="G43" s="264"/>
      <c r="H43" s="264"/>
      <c r="I43" s="264"/>
      <c r="J43" s="264"/>
      <c r="K43" s="264"/>
      <c r="L43" s="264"/>
      <c r="M43" s="264"/>
      <c r="N43" s="264"/>
      <c r="O43" s="264"/>
      <c r="P43" s="1123"/>
      <c r="Q43" s="1076"/>
      <c r="R43" s="1123"/>
      <c r="S43" s="269">
        <f>자료수준작업</f>
        <v>1</v>
      </c>
      <c r="T43" s="1113"/>
      <c r="U43" s="1076"/>
      <c r="V43" s="264"/>
      <c r="W43" s="264"/>
      <c r="X43" s="264"/>
      <c r="Y43" s="264"/>
      <c r="Z43" s="264"/>
      <c r="AA43" s="264"/>
      <c r="AB43" s="264"/>
    </row>
    <row r="44" spans="1:28" s="263" customFormat="1" ht="10.8">
      <c r="A44" s="1093" t="s">
        <v>563</v>
      </c>
      <c r="B44" s="1094"/>
      <c r="C44" s="1095"/>
      <c r="D44" s="290">
        <v>1</v>
      </c>
      <c r="E44" s="264"/>
      <c r="F44" s="264"/>
      <c r="G44" s="264"/>
      <c r="H44" s="264"/>
      <c r="I44" s="264"/>
      <c r="J44" s="264"/>
      <c r="K44" s="264"/>
      <c r="L44" s="264"/>
      <c r="M44" s="264"/>
      <c r="N44" s="264"/>
      <c r="O44" s="264"/>
      <c r="P44" s="264" t="s">
        <v>564</v>
      </c>
      <c r="Q44" s="264"/>
      <c r="R44" s="264"/>
      <c r="S44" s="264"/>
      <c r="T44" s="264"/>
      <c r="U44" s="264"/>
      <c r="V44" s="264"/>
      <c r="W44" s="264"/>
      <c r="X44" s="264"/>
      <c r="Y44" s="264"/>
      <c r="Z44" s="264"/>
      <c r="AA44" s="264"/>
      <c r="AB44" s="264"/>
    </row>
    <row r="45" spans="1:28" s="263" customFormat="1" ht="10.8">
      <c r="A45" s="1086" t="s">
        <v>565</v>
      </c>
      <c r="B45" s="1087"/>
      <c r="C45" s="1088"/>
      <c r="D45" s="292">
        <v>1.25</v>
      </c>
      <c r="E45" s="264"/>
      <c r="F45" s="264"/>
      <c r="G45" s="264" t="s">
        <v>447</v>
      </c>
      <c r="H45" s="264"/>
      <c r="I45" s="264"/>
      <c r="J45" s="264"/>
      <c r="K45" s="264"/>
      <c r="L45" s="264"/>
      <c r="M45" s="264"/>
      <c r="N45" s="264"/>
      <c r="O45" s="264"/>
    </row>
    <row r="46" spans="1:28" s="239" customFormat="1" ht="19.2">
      <c r="A46" s="255" t="s">
        <v>521</v>
      </c>
      <c r="B46" s="276"/>
      <c r="C46" s="276"/>
      <c r="D46" s="276"/>
      <c r="E46" s="276"/>
      <c r="F46" s="276"/>
      <c r="G46" s="276"/>
      <c r="H46" s="276"/>
      <c r="I46" s="276"/>
      <c r="J46" s="276"/>
      <c r="K46" s="276"/>
      <c r="P46" s="255" t="s">
        <v>522</v>
      </c>
      <c r="Q46" s="276"/>
      <c r="R46" s="276"/>
      <c r="S46" s="276"/>
      <c r="T46" s="276"/>
      <c r="U46" s="276"/>
      <c r="V46" s="276"/>
      <c r="W46" s="276"/>
      <c r="X46" s="276"/>
      <c r="Y46" s="276"/>
      <c r="Z46" s="276"/>
    </row>
    <row r="47" spans="1:28" s="263" customFormat="1" ht="10.8">
      <c r="A47" s="264" t="s">
        <v>527</v>
      </c>
      <c r="B47" s="264"/>
      <c r="C47" s="264"/>
      <c r="D47" s="264"/>
      <c r="E47" s="264"/>
      <c r="F47" s="264"/>
      <c r="G47" s="264"/>
      <c r="H47" s="264"/>
      <c r="I47" s="264"/>
      <c r="J47" s="264"/>
      <c r="K47" s="264"/>
      <c r="P47" s="264" t="s">
        <v>527</v>
      </c>
      <c r="Q47" s="264"/>
      <c r="R47" s="264"/>
      <c r="S47" s="264"/>
      <c r="T47" s="264"/>
      <c r="U47" s="264"/>
      <c r="V47" s="264"/>
      <c r="W47" s="264"/>
      <c r="X47" s="264"/>
      <c r="Y47" s="264"/>
      <c r="Z47" s="264"/>
    </row>
    <row r="48" spans="1:28" s="263" customFormat="1" ht="10.8">
      <c r="A48" s="264" t="s">
        <v>448</v>
      </c>
      <c r="B48" s="264"/>
      <c r="C48" s="264" t="s">
        <v>566</v>
      </c>
      <c r="D48" s="264"/>
      <c r="E48" s="264">
        <v>10</v>
      </c>
      <c r="F48" s="264" t="s">
        <v>449</v>
      </c>
      <c r="G48" s="264" t="s">
        <v>567</v>
      </c>
      <c r="H48" s="264"/>
      <c r="I48" s="264">
        <v>4</v>
      </c>
      <c r="J48" s="264" t="s">
        <v>449</v>
      </c>
      <c r="K48" s="264"/>
      <c r="P48" s="264" t="s">
        <v>448</v>
      </c>
      <c r="Q48" s="264"/>
      <c r="R48" s="264" t="s">
        <v>566</v>
      </c>
      <c r="S48" s="264"/>
      <c r="T48" s="264">
        <v>25</v>
      </c>
      <c r="U48" s="264" t="s">
        <v>449</v>
      </c>
      <c r="V48" s="264" t="s">
        <v>567</v>
      </c>
      <c r="W48" s="264"/>
      <c r="X48" s="264">
        <v>5</v>
      </c>
      <c r="Y48" s="264" t="s">
        <v>449</v>
      </c>
      <c r="Z48" s="264"/>
    </row>
    <row r="49" spans="1:26" s="263" customFormat="1" ht="10.8">
      <c r="A49" s="264" t="s">
        <v>568</v>
      </c>
      <c r="B49" s="264"/>
      <c r="C49" s="264" t="s">
        <v>566</v>
      </c>
      <c r="D49" s="264"/>
      <c r="E49" s="264">
        <f>기준점2급구하는점</f>
        <v>1</v>
      </c>
      <c r="F49" s="264" t="s">
        <v>449</v>
      </c>
      <c r="G49" s="264"/>
      <c r="H49" s="264"/>
      <c r="I49" s="264"/>
      <c r="J49" s="264"/>
      <c r="K49" s="264"/>
      <c r="P49" s="264" t="s">
        <v>568</v>
      </c>
      <c r="Q49" s="264"/>
      <c r="R49" s="264" t="s">
        <v>566</v>
      </c>
      <c r="S49" s="264"/>
      <c r="T49" s="264">
        <f>기준점3급구하는점</f>
        <v>3</v>
      </c>
      <c r="U49" s="264" t="s">
        <v>449</v>
      </c>
      <c r="V49" s="264"/>
      <c r="W49" s="264"/>
      <c r="X49" s="264"/>
      <c r="Y49" s="264"/>
      <c r="Z49" s="264"/>
    </row>
    <row r="50" spans="1:26" s="263" customFormat="1" ht="10.8">
      <c r="A50" s="1076" t="s">
        <v>538</v>
      </c>
      <c r="B50" s="1076"/>
      <c r="C50" s="1076"/>
      <c r="D50" s="1100" t="s">
        <v>450</v>
      </c>
      <c r="E50" s="1100"/>
      <c r="F50" s="1076" t="s">
        <v>540</v>
      </c>
      <c r="G50" s="268">
        <f>E49</f>
        <v>1</v>
      </c>
      <c r="H50" s="1076" t="s">
        <v>540</v>
      </c>
      <c r="I50" s="1076">
        <f>G50/G51</f>
        <v>7.1428571428571425E-2</v>
      </c>
      <c r="J50" s="264"/>
      <c r="K50" s="264"/>
      <c r="P50" s="1076" t="s">
        <v>538</v>
      </c>
      <c r="Q50" s="1076"/>
      <c r="R50" s="1076"/>
      <c r="S50" s="1100" t="s">
        <v>450</v>
      </c>
      <c r="T50" s="1100"/>
      <c r="U50" s="1076" t="s">
        <v>540</v>
      </c>
      <c r="V50" s="268">
        <f>T49</f>
        <v>3</v>
      </c>
      <c r="W50" s="1076" t="s">
        <v>540</v>
      </c>
      <c r="X50" s="1076">
        <f>V50/V51</f>
        <v>0.1</v>
      </c>
      <c r="Y50" s="264"/>
      <c r="Z50" s="264"/>
    </row>
    <row r="51" spans="1:26" s="263" customFormat="1" ht="10.8">
      <c r="A51" s="1076"/>
      <c r="B51" s="1076"/>
      <c r="C51" s="1076"/>
      <c r="D51" s="1076" t="s">
        <v>451</v>
      </c>
      <c r="E51" s="1076"/>
      <c r="F51" s="1076"/>
      <c r="G51" s="269">
        <f>E48+I48</f>
        <v>14</v>
      </c>
      <c r="H51" s="1076"/>
      <c r="I51" s="1076"/>
      <c r="J51" s="264"/>
      <c r="K51" s="264"/>
      <c r="P51" s="1076"/>
      <c r="Q51" s="1076"/>
      <c r="R51" s="1076"/>
      <c r="S51" s="1076" t="s">
        <v>451</v>
      </c>
      <c r="T51" s="1076"/>
      <c r="U51" s="1076"/>
      <c r="V51" s="269">
        <f>T48+X48</f>
        <v>30</v>
      </c>
      <c r="W51" s="1076"/>
      <c r="X51" s="1076"/>
      <c r="Y51" s="264"/>
      <c r="Z51" s="264"/>
    </row>
    <row r="52" spans="1:26" s="263" customFormat="1" ht="10.8">
      <c r="A52" s="1092" t="s">
        <v>494</v>
      </c>
      <c r="B52" s="1083"/>
      <c r="C52" s="1084"/>
      <c r="D52" s="285" t="s">
        <v>8</v>
      </c>
      <c r="E52" s="283" t="s">
        <v>530</v>
      </c>
      <c r="F52" s="283" t="s">
        <v>531</v>
      </c>
      <c r="G52" s="1083" t="s">
        <v>532</v>
      </c>
      <c r="H52" s="1083"/>
      <c r="I52" s="283" t="s">
        <v>533</v>
      </c>
      <c r="J52" s="283" t="s">
        <v>534</v>
      </c>
      <c r="K52" s="284" t="s">
        <v>536</v>
      </c>
      <c r="P52" s="1092" t="s">
        <v>494</v>
      </c>
      <c r="Q52" s="1083"/>
      <c r="R52" s="1084"/>
      <c r="S52" s="285" t="s">
        <v>8</v>
      </c>
      <c r="T52" s="283" t="s">
        <v>530</v>
      </c>
      <c r="U52" s="283" t="s">
        <v>531</v>
      </c>
      <c r="V52" s="1083" t="s">
        <v>532</v>
      </c>
      <c r="W52" s="1083"/>
      <c r="X52" s="283" t="s">
        <v>533</v>
      </c>
      <c r="Y52" s="283" t="s">
        <v>534</v>
      </c>
      <c r="Z52" s="284" t="s">
        <v>536</v>
      </c>
    </row>
    <row r="53" spans="1:26" s="263" customFormat="1" ht="10.8">
      <c r="A53" s="1093" t="s">
        <v>10</v>
      </c>
      <c r="B53" s="1094"/>
      <c r="C53" s="1095"/>
      <c r="D53" s="286">
        <v>2</v>
      </c>
      <c r="E53" s="280">
        <v>0</v>
      </c>
      <c r="F53" s="280">
        <f t="shared" ref="F53:F58" si="18">SUM(D53:E53)</f>
        <v>2</v>
      </c>
      <c r="G53" s="1098">
        <f t="shared" ref="G53:G58" si="19">표준작업량2급</f>
        <v>7.1428571428571425E-2</v>
      </c>
      <c r="H53" s="1098"/>
      <c r="I53" s="281">
        <f t="shared" ref="I53:I58" si="20">VLOOKUP(자료기준지형,지형2급기준,4,0)</f>
        <v>1</v>
      </c>
      <c r="J53" s="280">
        <f t="shared" ref="J53:J58" si="21">작업량2급기준</f>
        <v>3.5999999999999996</v>
      </c>
      <c r="K53" s="282">
        <f t="shared" ref="K53:K58" si="22">F53*G53*I53*J53</f>
        <v>0.51428571428571423</v>
      </c>
      <c r="P53" s="1093" t="s">
        <v>10</v>
      </c>
      <c r="Q53" s="1094"/>
      <c r="R53" s="1095"/>
      <c r="S53" s="286">
        <v>0</v>
      </c>
      <c r="T53" s="280">
        <v>0</v>
      </c>
      <c r="U53" s="280">
        <f t="shared" ref="U53:U58" si="23">SUM(S53:T53)</f>
        <v>0</v>
      </c>
      <c r="V53" s="1098">
        <f t="shared" ref="V53:V58" si="24">표준작업량3급</f>
        <v>0.1</v>
      </c>
      <c r="W53" s="1098"/>
      <c r="X53" s="281">
        <f t="shared" ref="X53:X58" si="25">VLOOKUP(자료기준지형,지형3급기준,4,0)</f>
        <v>1</v>
      </c>
      <c r="Y53" s="280">
        <f t="shared" ref="Y53:Y58" si="26">작업량3급기준</f>
        <v>2.8</v>
      </c>
      <c r="Z53" s="282">
        <f t="shared" ref="Z53:Z58" si="27">U53*V53*X53*Y53</f>
        <v>0</v>
      </c>
    </row>
    <row r="54" spans="1:26" s="263" customFormat="1" ht="10.8">
      <c r="A54" s="1089" t="s">
        <v>4</v>
      </c>
      <c r="B54" s="1090"/>
      <c r="C54" s="1091"/>
      <c r="D54" s="287">
        <v>5</v>
      </c>
      <c r="E54" s="265">
        <v>12</v>
      </c>
      <c r="F54" s="265">
        <f t="shared" si="18"/>
        <v>17</v>
      </c>
      <c r="G54" s="1099">
        <f t="shared" si="19"/>
        <v>7.1428571428571425E-2</v>
      </c>
      <c r="H54" s="1099"/>
      <c r="I54" s="266">
        <f t="shared" si="20"/>
        <v>1</v>
      </c>
      <c r="J54" s="265">
        <f t="shared" si="21"/>
        <v>3.5999999999999996</v>
      </c>
      <c r="K54" s="267">
        <f t="shared" si="22"/>
        <v>4.371428571428571</v>
      </c>
      <c r="P54" s="1089" t="s">
        <v>4</v>
      </c>
      <c r="Q54" s="1090"/>
      <c r="R54" s="1091"/>
      <c r="S54" s="287">
        <v>6.5</v>
      </c>
      <c r="T54" s="265">
        <v>15.5</v>
      </c>
      <c r="U54" s="265">
        <f t="shared" si="23"/>
        <v>22</v>
      </c>
      <c r="V54" s="1099">
        <f t="shared" si="24"/>
        <v>0.1</v>
      </c>
      <c r="W54" s="1099"/>
      <c r="X54" s="266">
        <f t="shared" si="25"/>
        <v>1</v>
      </c>
      <c r="Y54" s="265">
        <f t="shared" si="26"/>
        <v>2.8</v>
      </c>
      <c r="Z54" s="267">
        <f t="shared" si="27"/>
        <v>6.16</v>
      </c>
    </row>
    <row r="55" spans="1:26" s="263" customFormat="1" ht="10.8">
      <c r="A55" s="1089" t="s">
        <v>417</v>
      </c>
      <c r="B55" s="1090"/>
      <c r="C55" s="1091"/>
      <c r="D55" s="287">
        <v>7</v>
      </c>
      <c r="E55" s="265">
        <v>18</v>
      </c>
      <c r="F55" s="265">
        <f t="shared" si="18"/>
        <v>25</v>
      </c>
      <c r="G55" s="1099">
        <f t="shared" si="19"/>
        <v>7.1428571428571425E-2</v>
      </c>
      <c r="H55" s="1099"/>
      <c r="I55" s="266">
        <f t="shared" si="20"/>
        <v>1</v>
      </c>
      <c r="J55" s="265">
        <f t="shared" si="21"/>
        <v>3.5999999999999996</v>
      </c>
      <c r="K55" s="267">
        <f t="shared" si="22"/>
        <v>6.428571428571427</v>
      </c>
      <c r="P55" s="1089" t="s">
        <v>417</v>
      </c>
      <c r="Q55" s="1090"/>
      <c r="R55" s="1091"/>
      <c r="S55" s="287">
        <v>9</v>
      </c>
      <c r="T55" s="265">
        <v>18</v>
      </c>
      <c r="U55" s="265">
        <f t="shared" si="23"/>
        <v>27</v>
      </c>
      <c r="V55" s="1099">
        <f t="shared" si="24"/>
        <v>0.1</v>
      </c>
      <c r="W55" s="1099"/>
      <c r="X55" s="266">
        <f t="shared" si="25"/>
        <v>1</v>
      </c>
      <c r="Y55" s="265">
        <f t="shared" si="26"/>
        <v>2.8</v>
      </c>
      <c r="Z55" s="267">
        <f t="shared" si="27"/>
        <v>7.56</v>
      </c>
    </row>
    <row r="56" spans="1:26" s="263" customFormat="1" ht="10.8">
      <c r="A56" s="1089" t="s">
        <v>279</v>
      </c>
      <c r="B56" s="1090"/>
      <c r="C56" s="1091"/>
      <c r="D56" s="287">
        <v>8</v>
      </c>
      <c r="E56" s="265">
        <v>18</v>
      </c>
      <c r="F56" s="265">
        <f t="shared" si="18"/>
        <v>26</v>
      </c>
      <c r="G56" s="1099">
        <f t="shared" si="19"/>
        <v>7.1428571428571425E-2</v>
      </c>
      <c r="H56" s="1099"/>
      <c r="I56" s="266">
        <f t="shared" si="20"/>
        <v>1</v>
      </c>
      <c r="J56" s="265">
        <f t="shared" si="21"/>
        <v>3.5999999999999996</v>
      </c>
      <c r="K56" s="267">
        <f t="shared" si="22"/>
        <v>6.6857142857142842</v>
      </c>
      <c r="P56" s="1089" t="s">
        <v>279</v>
      </c>
      <c r="Q56" s="1090"/>
      <c r="R56" s="1091"/>
      <c r="S56" s="287">
        <v>10</v>
      </c>
      <c r="T56" s="265">
        <v>18</v>
      </c>
      <c r="U56" s="265">
        <f t="shared" si="23"/>
        <v>28</v>
      </c>
      <c r="V56" s="1099">
        <f t="shared" si="24"/>
        <v>0.1</v>
      </c>
      <c r="W56" s="1099"/>
      <c r="X56" s="266">
        <f t="shared" si="25"/>
        <v>1</v>
      </c>
      <c r="Y56" s="265">
        <f t="shared" si="26"/>
        <v>2.8</v>
      </c>
      <c r="Z56" s="267">
        <f t="shared" si="27"/>
        <v>7.84</v>
      </c>
    </row>
    <row r="57" spans="1:26" s="263" customFormat="1" ht="10.8">
      <c r="A57" s="1089" t="s">
        <v>421</v>
      </c>
      <c r="B57" s="1090"/>
      <c r="C57" s="1091"/>
      <c r="D57" s="287">
        <v>0</v>
      </c>
      <c r="E57" s="265">
        <v>28</v>
      </c>
      <c r="F57" s="265">
        <f t="shared" si="18"/>
        <v>28</v>
      </c>
      <c r="G57" s="1099">
        <f t="shared" si="19"/>
        <v>7.1428571428571425E-2</v>
      </c>
      <c r="H57" s="1099"/>
      <c r="I57" s="266">
        <f t="shared" si="20"/>
        <v>1</v>
      </c>
      <c r="J57" s="265">
        <f t="shared" si="21"/>
        <v>3.5999999999999996</v>
      </c>
      <c r="K57" s="267">
        <f t="shared" si="22"/>
        <v>7.1999999999999993</v>
      </c>
      <c r="P57" s="1089" t="s">
        <v>421</v>
      </c>
      <c r="Q57" s="1090"/>
      <c r="R57" s="1091"/>
      <c r="S57" s="287">
        <v>0</v>
      </c>
      <c r="T57" s="265">
        <v>32</v>
      </c>
      <c r="U57" s="265">
        <f t="shared" si="23"/>
        <v>32</v>
      </c>
      <c r="V57" s="1099">
        <f t="shared" si="24"/>
        <v>0.1</v>
      </c>
      <c r="W57" s="1099"/>
      <c r="X57" s="266">
        <f t="shared" si="25"/>
        <v>1</v>
      </c>
      <c r="Y57" s="265">
        <f t="shared" si="26"/>
        <v>2.8</v>
      </c>
      <c r="Z57" s="267">
        <f t="shared" si="27"/>
        <v>8.9599999999999991</v>
      </c>
    </row>
    <row r="58" spans="1:26" s="263" customFormat="1" ht="10.8">
      <c r="A58" s="1086" t="s">
        <v>281</v>
      </c>
      <c r="B58" s="1087"/>
      <c r="C58" s="1088"/>
      <c r="D58" s="288">
        <v>0</v>
      </c>
      <c r="E58" s="270">
        <v>8</v>
      </c>
      <c r="F58" s="270">
        <f t="shared" si="18"/>
        <v>8</v>
      </c>
      <c r="G58" s="1103">
        <f t="shared" si="19"/>
        <v>7.1428571428571425E-2</v>
      </c>
      <c r="H58" s="1103"/>
      <c r="I58" s="271">
        <f t="shared" si="20"/>
        <v>1</v>
      </c>
      <c r="J58" s="270">
        <f t="shared" si="21"/>
        <v>3.5999999999999996</v>
      </c>
      <c r="K58" s="272">
        <f t="shared" si="22"/>
        <v>2.0571428571428569</v>
      </c>
      <c r="P58" s="1086" t="s">
        <v>281</v>
      </c>
      <c r="Q58" s="1087"/>
      <c r="R58" s="1088"/>
      <c r="S58" s="288">
        <v>0</v>
      </c>
      <c r="T58" s="270">
        <v>4</v>
      </c>
      <c r="U58" s="270">
        <f t="shared" si="23"/>
        <v>4</v>
      </c>
      <c r="V58" s="1103">
        <f t="shared" si="24"/>
        <v>0.1</v>
      </c>
      <c r="W58" s="1103"/>
      <c r="X58" s="271">
        <f t="shared" si="25"/>
        <v>1</v>
      </c>
      <c r="Y58" s="270">
        <f t="shared" si="26"/>
        <v>2.8</v>
      </c>
      <c r="Z58" s="272">
        <f t="shared" si="27"/>
        <v>1.1199999999999999</v>
      </c>
    </row>
    <row r="59" spans="1:26" s="263" customFormat="1" ht="10.8">
      <c r="A59" s="264" t="s">
        <v>1</v>
      </c>
      <c r="B59" s="264"/>
      <c r="C59" s="264"/>
      <c r="D59" s="264"/>
      <c r="E59" s="264"/>
      <c r="F59" s="264"/>
      <c r="G59" s="264"/>
      <c r="H59" s="264"/>
      <c r="I59" s="264"/>
      <c r="J59" s="264"/>
      <c r="K59" s="264"/>
      <c r="P59" s="264" t="s">
        <v>1</v>
      </c>
      <c r="Q59" s="264"/>
      <c r="R59" s="264"/>
      <c r="S59" s="264"/>
      <c r="T59" s="264"/>
      <c r="U59" s="264"/>
      <c r="V59" s="264"/>
      <c r="W59" s="264"/>
      <c r="X59" s="264"/>
      <c r="Y59" s="264"/>
      <c r="Z59" s="264"/>
    </row>
    <row r="60" spans="1:26" s="263" customFormat="1" ht="10.8">
      <c r="A60" s="1092" t="s">
        <v>491</v>
      </c>
      <c r="B60" s="1083"/>
      <c r="C60" s="1084"/>
      <c r="D60" s="285" t="s">
        <v>542</v>
      </c>
      <c r="E60" s="1083" t="s">
        <v>543</v>
      </c>
      <c r="F60" s="1083"/>
      <c r="G60" s="1083"/>
      <c r="H60" s="1083"/>
      <c r="I60" s="1083"/>
      <c r="J60" s="1083"/>
      <c r="K60" s="1084"/>
      <c r="P60" s="1092" t="s">
        <v>491</v>
      </c>
      <c r="Q60" s="1083"/>
      <c r="R60" s="1084"/>
      <c r="S60" s="285" t="s">
        <v>542</v>
      </c>
      <c r="T60" s="1083" t="s">
        <v>543</v>
      </c>
      <c r="U60" s="1083"/>
      <c r="V60" s="1083"/>
      <c r="W60" s="1083"/>
      <c r="X60" s="1083"/>
      <c r="Y60" s="1083"/>
      <c r="Z60" s="1084"/>
    </row>
    <row r="61" spans="1:26" s="263" customFormat="1" ht="10.8">
      <c r="A61" s="1093" t="s">
        <v>544</v>
      </c>
      <c r="B61" s="1094"/>
      <c r="C61" s="1095"/>
      <c r="D61" s="286">
        <v>1.3</v>
      </c>
      <c r="E61" s="1118" t="s">
        <v>545</v>
      </c>
      <c r="F61" s="1118"/>
      <c r="G61" s="1118"/>
      <c r="H61" s="1118"/>
      <c r="I61" s="1118"/>
      <c r="J61" s="1118"/>
      <c r="K61" s="1119"/>
      <c r="P61" s="1093" t="s">
        <v>544</v>
      </c>
      <c r="Q61" s="1094"/>
      <c r="R61" s="1095"/>
      <c r="S61" s="286">
        <v>1.3</v>
      </c>
      <c r="T61" s="1118" t="s">
        <v>545</v>
      </c>
      <c r="U61" s="1118"/>
      <c r="V61" s="1118"/>
      <c r="W61" s="1118"/>
      <c r="X61" s="1118"/>
      <c r="Y61" s="1118"/>
      <c r="Z61" s="1119"/>
    </row>
    <row r="62" spans="1:26" s="263" customFormat="1" ht="10.8">
      <c r="A62" s="1089" t="s">
        <v>546</v>
      </c>
      <c r="B62" s="1090"/>
      <c r="C62" s="1091"/>
      <c r="D62" s="287">
        <v>1.1499999999999999</v>
      </c>
      <c r="E62" s="1116" t="s">
        <v>547</v>
      </c>
      <c r="F62" s="1116"/>
      <c r="G62" s="1116"/>
      <c r="H62" s="1116"/>
      <c r="I62" s="1116"/>
      <c r="J62" s="1116"/>
      <c r="K62" s="1117"/>
      <c r="P62" s="1089" t="s">
        <v>546</v>
      </c>
      <c r="Q62" s="1090"/>
      <c r="R62" s="1091"/>
      <c r="S62" s="287">
        <v>1.1499999999999999</v>
      </c>
      <c r="T62" s="1116" t="s">
        <v>547</v>
      </c>
      <c r="U62" s="1116"/>
      <c r="V62" s="1116"/>
      <c r="W62" s="1116"/>
      <c r="X62" s="1116"/>
      <c r="Y62" s="1116"/>
      <c r="Z62" s="1117"/>
    </row>
    <row r="63" spans="1:26" s="263" customFormat="1" ht="10.8">
      <c r="A63" s="1089" t="s">
        <v>492</v>
      </c>
      <c r="B63" s="1090"/>
      <c r="C63" s="1091"/>
      <c r="D63" s="287">
        <v>1</v>
      </c>
      <c r="E63" s="1116" t="s">
        <v>559</v>
      </c>
      <c r="F63" s="1116"/>
      <c r="G63" s="1116"/>
      <c r="H63" s="1116"/>
      <c r="I63" s="1116"/>
      <c r="J63" s="1116"/>
      <c r="K63" s="1117"/>
      <c r="P63" s="1089" t="s">
        <v>492</v>
      </c>
      <c r="Q63" s="1090"/>
      <c r="R63" s="1091"/>
      <c r="S63" s="287">
        <v>1</v>
      </c>
      <c r="T63" s="1116" t="s">
        <v>559</v>
      </c>
      <c r="U63" s="1116"/>
      <c r="V63" s="1116"/>
      <c r="W63" s="1116"/>
      <c r="X63" s="1116"/>
      <c r="Y63" s="1116"/>
      <c r="Z63" s="1117"/>
    </row>
    <row r="64" spans="1:26" s="263" customFormat="1" ht="10.8">
      <c r="A64" s="1089" t="s">
        <v>558</v>
      </c>
      <c r="B64" s="1090"/>
      <c r="C64" s="1091"/>
      <c r="D64" s="287">
        <v>1.2</v>
      </c>
      <c r="E64" s="1116" t="s">
        <v>569</v>
      </c>
      <c r="F64" s="1116"/>
      <c r="G64" s="1116"/>
      <c r="H64" s="1116"/>
      <c r="I64" s="1116"/>
      <c r="J64" s="1116"/>
      <c r="K64" s="1117"/>
      <c r="P64" s="1089" t="s">
        <v>558</v>
      </c>
      <c r="Q64" s="1090"/>
      <c r="R64" s="1091"/>
      <c r="S64" s="287">
        <v>1.1499999999999999</v>
      </c>
      <c r="T64" s="1116" t="s">
        <v>569</v>
      </c>
      <c r="U64" s="1116"/>
      <c r="V64" s="1116"/>
      <c r="W64" s="1116"/>
      <c r="X64" s="1116"/>
      <c r="Y64" s="1116"/>
      <c r="Z64" s="1117"/>
    </row>
    <row r="65" spans="1:26" s="263" customFormat="1" ht="10.8">
      <c r="A65" s="1086" t="s">
        <v>551</v>
      </c>
      <c r="B65" s="1087"/>
      <c r="C65" s="1088"/>
      <c r="D65" s="288">
        <v>1.4</v>
      </c>
      <c r="E65" s="1114" t="s">
        <v>570</v>
      </c>
      <c r="F65" s="1114"/>
      <c r="G65" s="1114"/>
      <c r="H65" s="1114"/>
      <c r="I65" s="1114"/>
      <c r="J65" s="1114"/>
      <c r="K65" s="1115"/>
      <c r="P65" s="1086" t="s">
        <v>551</v>
      </c>
      <c r="Q65" s="1087"/>
      <c r="R65" s="1088"/>
      <c r="S65" s="288">
        <v>1.3</v>
      </c>
      <c r="T65" s="1114" t="s">
        <v>570</v>
      </c>
      <c r="U65" s="1114"/>
      <c r="V65" s="1114"/>
      <c r="W65" s="1114"/>
      <c r="X65" s="1114"/>
      <c r="Y65" s="1114"/>
      <c r="Z65" s="1115"/>
    </row>
    <row r="66" spans="1:26" s="263" customFormat="1" ht="10.8">
      <c r="A66" s="264" t="s">
        <v>552</v>
      </c>
      <c r="B66" s="264"/>
      <c r="C66" s="264"/>
      <c r="D66" s="264"/>
      <c r="E66" s="264"/>
      <c r="F66" s="264"/>
      <c r="G66" s="264"/>
      <c r="H66" s="264"/>
      <c r="I66" s="264"/>
      <c r="J66" s="264"/>
      <c r="K66" s="264"/>
      <c r="P66" s="264" t="s">
        <v>552</v>
      </c>
      <c r="Q66" s="264"/>
      <c r="R66" s="264"/>
      <c r="S66" s="264"/>
      <c r="T66" s="264"/>
      <c r="U66" s="264"/>
      <c r="V66" s="264"/>
      <c r="W66" s="264"/>
      <c r="X66" s="264"/>
      <c r="Y66" s="264"/>
      <c r="Z66" s="264"/>
    </row>
    <row r="67" spans="1:26" s="263" customFormat="1" ht="10.8">
      <c r="A67" s="264" t="s">
        <v>452</v>
      </c>
      <c r="B67" s="264"/>
      <c r="C67" s="264"/>
      <c r="D67" s="264"/>
      <c r="E67" s="264"/>
      <c r="F67" s="264"/>
      <c r="G67" s="264"/>
      <c r="H67" s="264"/>
      <c r="I67" s="264"/>
      <c r="J67" s="264"/>
      <c r="K67" s="264"/>
      <c r="P67" s="264" t="s">
        <v>571</v>
      </c>
      <c r="Q67" s="264"/>
      <c r="R67" s="264"/>
      <c r="S67" s="264"/>
      <c r="T67" s="264"/>
      <c r="U67" s="264"/>
      <c r="V67" s="264"/>
      <c r="W67" s="264"/>
      <c r="X67" s="264"/>
      <c r="Y67" s="264"/>
      <c r="Z67" s="264"/>
    </row>
    <row r="68" spans="1:26" s="263" customFormat="1" ht="10.8">
      <c r="A68" s="1123" t="s">
        <v>446</v>
      </c>
      <c r="B68" s="1076">
        <v>0.8</v>
      </c>
      <c r="C68" s="1124" t="s">
        <v>561</v>
      </c>
      <c r="D68" s="268">
        <v>2.8</v>
      </c>
      <c r="E68" s="1113" t="s">
        <v>557</v>
      </c>
      <c r="F68" s="1076">
        <f>IF((B68+(D68/D69))&lt;=0.9,0.9,(B68+(D68/D69)))</f>
        <v>3.5999999999999996</v>
      </c>
      <c r="G68" s="264"/>
      <c r="H68" s="275"/>
      <c r="I68" s="264"/>
      <c r="J68" s="264"/>
      <c r="K68" s="264"/>
      <c r="P68" s="1123" t="s">
        <v>446</v>
      </c>
      <c r="Q68" s="1076">
        <v>0.8</v>
      </c>
      <c r="R68" s="1124" t="s">
        <v>561</v>
      </c>
      <c r="S68" s="268">
        <v>6</v>
      </c>
      <c r="T68" s="1113" t="s">
        <v>557</v>
      </c>
      <c r="U68" s="1076">
        <f>IF((Q68+(S68/S69))&lt;=0.9,0.9,(Q68+(S68/S69)))</f>
        <v>2.8</v>
      </c>
      <c r="V68" s="264"/>
      <c r="W68" s="275"/>
      <c r="X68" s="264"/>
      <c r="Y68" s="264"/>
      <c r="Z68" s="264"/>
    </row>
    <row r="69" spans="1:26" s="263" customFormat="1" ht="10.8">
      <c r="A69" s="1123"/>
      <c r="B69" s="1076"/>
      <c r="C69" s="1123"/>
      <c r="D69" s="269">
        <f>E49+I49</f>
        <v>1</v>
      </c>
      <c r="E69" s="1113"/>
      <c r="F69" s="1076"/>
      <c r="G69" s="264"/>
      <c r="H69" s="275"/>
      <c r="I69" s="264"/>
      <c r="J69" s="264"/>
      <c r="K69" s="264"/>
      <c r="P69" s="1123"/>
      <c r="Q69" s="1076"/>
      <c r="R69" s="1123"/>
      <c r="S69" s="269">
        <f>T49+X49</f>
        <v>3</v>
      </c>
      <c r="T69" s="1113"/>
      <c r="U69" s="1076"/>
      <c r="V69" s="264"/>
      <c r="W69" s="275"/>
      <c r="X69" s="264"/>
      <c r="Y69" s="264"/>
      <c r="Z69" s="264"/>
    </row>
    <row r="70" spans="1:26" s="263" customFormat="1" ht="10.8">
      <c r="A70" s="264" t="s">
        <v>564</v>
      </c>
      <c r="B70" s="264"/>
      <c r="C70" s="264"/>
      <c r="D70" s="264"/>
      <c r="E70" s="264"/>
      <c r="F70" s="264"/>
      <c r="G70" s="264"/>
      <c r="H70" s="264"/>
      <c r="I70" s="264"/>
      <c r="J70" s="264"/>
      <c r="K70" s="264"/>
      <c r="P70" s="264" t="s">
        <v>564</v>
      </c>
      <c r="Q70" s="264"/>
      <c r="R70" s="264"/>
      <c r="S70" s="264"/>
      <c r="T70" s="264"/>
      <c r="U70" s="264"/>
      <c r="V70" s="264"/>
      <c r="W70" s="264"/>
      <c r="X70" s="264"/>
      <c r="Y70" s="264"/>
      <c r="Z70" s="264"/>
    </row>
    <row r="71" spans="1:26" s="263" customFormat="1" ht="10.8"/>
    <row r="72" spans="1:26" s="239" customFormat="1" ht="19.2">
      <c r="A72" s="255" t="s">
        <v>523</v>
      </c>
      <c r="B72" s="276"/>
      <c r="C72" s="276"/>
      <c r="D72" s="276"/>
      <c r="E72" s="276"/>
      <c r="F72" s="276"/>
      <c r="G72" s="276"/>
      <c r="H72" s="276"/>
      <c r="I72" s="276"/>
      <c r="J72" s="276"/>
      <c r="K72" s="276"/>
      <c r="L72" s="276"/>
    </row>
    <row r="73" spans="1:26" s="263" customFormat="1" ht="10.8">
      <c r="A73" s="264" t="s">
        <v>527</v>
      </c>
      <c r="B73" s="264"/>
      <c r="C73" s="264"/>
      <c r="D73" s="264"/>
      <c r="E73" s="264"/>
      <c r="F73" s="264"/>
      <c r="G73" s="264"/>
      <c r="H73" s="264"/>
      <c r="I73" s="264"/>
      <c r="J73" s="264"/>
      <c r="K73" s="264"/>
      <c r="L73" s="264"/>
    </row>
    <row r="74" spans="1:26" s="263" customFormat="1" ht="10.8">
      <c r="A74" s="264" t="s">
        <v>448</v>
      </c>
      <c r="B74" s="264"/>
      <c r="C74" s="264" t="s">
        <v>566</v>
      </c>
      <c r="D74" s="264"/>
      <c r="E74" s="264">
        <v>110</v>
      </c>
      <c r="F74" s="264" t="s">
        <v>449</v>
      </c>
      <c r="G74" s="264" t="s">
        <v>567</v>
      </c>
      <c r="H74" s="264"/>
      <c r="I74" s="264">
        <v>40</v>
      </c>
      <c r="J74" s="264" t="s">
        <v>449</v>
      </c>
      <c r="K74" s="264"/>
      <c r="L74" s="264"/>
    </row>
    <row r="75" spans="1:26" s="263" customFormat="1" ht="10.8">
      <c r="A75" s="264" t="s">
        <v>568</v>
      </c>
      <c r="B75" s="264"/>
      <c r="C75" s="264" t="s">
        <v>566</v>
      </c>
      <c r="D75" s="264"/>
      <c r="E75" s="264">
        <f>기준점4급구하는점</f>
        <v>25</v>
      </c>
      <c r="F75" s="264" t="s">
        <v>449</v>
      </c>
      <c r="G75" s="264"/>
      <c r="H75" s="264"/>
      <c r="I75" s="264"/>
      <c r="J75" s="264"/>
      <c r="K75" s="264"/>
      <c r="L75" s="264"/>
    </row>
    <row r="76" spans="1:26" s="263" customFormat="1" ht="10.8">
      <c r="A76" s="1076" t="s">
        <v>538</v>
      </c>
      <c r="B76" s="1076"/>
      <c r="C76" s="1076"/>
      <c r="D76" s="1100" t="s">
        <v>450</v>
      </c>
      <c r="E76" s="1100"/>
      <c r="F76" s="1076" t="s">
        <v>540</v>
      </c>
      <c r="G76" s="268">
        <f>E75</f>
        <v>25</v>
      </c>
      <c r="H76" s="1076" t="s">
        <v>540</v>
      </c>
      <c r="I76" s="1076">
        <f>G76/G77</f>
        <v>0.16666666666666666</v>
      </c>
      <c r="J76" s="264"/>
      <c r="K76" s="264"/>
      <c r="L76" s="264"/>
    </row>
    <row r="77" spans="1:26" s="263" customFormat="1" ht="10.8">
      <c r="A77" s="1076"/>
      <c r="B77" s="1076"/>
      <c r="C77" s="1076"/>
      <c r="D77" s="1076" t="s">
        <v>451</v>
      </c>
      <c r="E77" s="1076"/>
      <c r="F77" s="1076"/>
      <c r="G77" s="269">
        <f>E74+I74</f>
        <v>150</v>
      </c>
      <c r="H77" s="1076"/>
      <c r="I77" s="1076"/>
      <c r="J77" s="264"/>
      <c r="K77" s="264"/>
      <c r="L77" s="264"/>
    </row>
    <row r="78" spans="1:26" s="263" customFormat="1" ht="10.8">
      <c r="A78" s="1092" t="s">
        <v>494</v>
      </c>
      <c r="B78" s="1083"/>
      <c r="C78" s="1084"/>
      <c r="D78" s="285" t="s">
        <v>8</v>
      </c>
      <c r="E78" s="283" t="s">
        <v>530</v>
      </c>
      <c r="F78" s="283" t="s">
        <v>531</v>
      </c>
      <c r="G78" s="1083" t="s">
        <v>532</v>
      </c>
      <c r="H78" s="1083"/>
      <c r="I78" s="283" t="s">
        <v>533</v>
      </c>
      <c r="J78" s="283" t="s">
        <v>534</v>
      </c>
      <c r="K78" s="283" t="s">
        <v>428</v>
      </c>
      <c r="L78" s="284" t="s">
        <v>536</v>
      </c>
    </row>
    <row r="79" spans="1:26" s="263" customFormat="1" ht="10.8">
      <c r="A79" s="1093" t="s">
        <v>10</v>
      </c>
      <c r="B79" s="1094"/>
      <c r="C79" s="1095"/>
      <c r="D79" s="286">
        <v>0</v>
      </c>
      <c r="E79" s="280">
        <v>0</v>
      </c>
      <c r="F79" s="280">
        <f t="shared" ref="F79:F84" si="28">SUM(D79:E79)</f>
        <v>0</v>
      </c>
      <c r="G79" s="1098">
        <f t="shared" ref="G79:G84" si="29">표준작업량4급</f>
        <v>0.16666666666666666</v>
      </c>
      <c r="H79" s="1098"/>
      <c r="I79" s="281">
        <f t="shared" ref="I79:I84" si="30">VLOOKUP(자료기준지형,지형4급기준,4,0)</f>
        <v>1</v>
      </c>
      <c r="J79" s="280">
        <f t="shared" ref="J79:J84" si="31">작업량4급기준</f>
        <v>2</v>
      </c>
      <c r="K79" s="280">
        <f t="shared" ref="K79:K84" si="32">VLOOKUP(점간거리,점간거리계수기준,3,0)</f>
        <v>1</v>
      </c>
      <c r="L79" s="282">
        <f t="shared" ref="L79:L84" si="33">F79*G79*I79*J79*K79</f>
        <v>0</v>
      </c>
    </row>
    <row r="80" spans="1:26" s="263" customFormat="1" ht="10.8">
      <c r="A80" s="1089" t="s">
        <v>4</v>
      </c>
      <c r="B80" s="1090"/>
      <c r="C80" s="1091"/>
      <c r="D80" s="287">
        <v>6.5</v>
      </c>
      <c r="E80" s="265">
        <v>15.5</v>
      </c>
      <c r="F80" s="265">
        <f t="shared" si="28"/>
        <v>22</v>
      </c>
      <c r="G80" s="1099">
        <f t="shared" si="29"/>
        <v>0.16666666666666666</v>
      </c>
      <c r="H80" s="1099"/>
      <c r="I80" s="266">
        <f t="shared" si="30"/>
        <v>1</v>
      </c>
      <c r="J80" s="265">
        <f t="shared" si="31"/>
        <v>2</v>
      </c>
      <c r="K80" s="265">
        <f t="shared" si="32"/>
        <v>1</v>
      </c>
      <c r="L80" s="267">
        <f t="shared" si="33"/>
        <v>7.333333333333333</v>
      </c>
    </row>
    <row r="81" spans="1:25" s="263" customFormat="1" ht="10.8">
      <c r="A81" s="1089" t="s">
        <v>417</v>
      </c>
      <c r="B81" s="1090"/>
      <c r="C81" s="1091"/>
      <c r="D81" s="287">
        <v>9</v>
      </c>
      <c r="E81" s="265">
        <v>18</v>
      </c>
      <c r="F81" s="265">
        <f t="shared" si="28"/>
        <v>27</v>
      </c>
      <c r="G81" s="1099">
        <f t="shared" si="29"/>
        <v>0.16666666666666666</v>
      </c>
      <c r="H81" s="1099"/>
      <c r="I81" s="266">
        <f t="shared" si="30"/>
        <v>1</v>
      </c>
      <c r="J81" s="265">
        <f t="shared" si="31"/>
        <v>2</v>
      </c>
      <c r="K81" s="265">
        <f t="shared" si="32"/>
        <v>1</v>
      </c>
      <c r="L81" s="267">
        <f t="shared" si="33"/>
        <v>9</v>
      </c>
    </row>
    <row r="82" spans="1:25" s="263" customFormat="1" ht="10.8">
      <c r="A82" s="1089" t="s">
        <v>279</v>
      </c>
      <c r="B82" s="1090"/>
      <c r="C82" s="1091"/>
      <c r="D82" s="287">
        <v>10</v>
      </c>
      <c r="E82" s="265">
        <v>18</v>
      </c>
      <c r="F82" s="265">
        <f t="shared" si="28"/>
        <v>28</v>
      </c>
      <c r="G82" s="1099">
        <f t="shared" si="29"/>
        <v>0.16666666666666666</v>
      </c>
      <c r="H82" s="1099"/>
      <c r="I82" s="266">
        <f t="shared" si="30"/>
        <v>1</v>
      </c>
      <c r="J82" s="265">
        <f t="shared" si="31"/>
        <v>2</v>
      </c>
      <c r="K82" s="265">
        <f t="shared" si="32"/>
        <v>1</v>
      </c>
      <c r="L82" s="267">
        <f t="shared" si="33"/>
        <v>9.3333333333333321</v>
      </c>
    </row>
    <row r="83" spans="1:25" s="263" customFormat="1" ht="10.8">
      <c r="A83" s="1089" t="s">
        <v>421</v>
      </c>
      <c r="B83" s="1090"/>
      <c r="C83" s="1091"/>
      <c r="D83" s="287">
        <v>0</v>
      </c>
      <c r="E83" s="265">
        <v>32</v>
      </c>
      <c r="F83" s="265">
        <f t="shared" si="28"/>
        <v>32</v>
      </c>
      <c r="G83" s="1099">
        <f t="shared" si="29"/>
        <v>0.16666666666666666</v>
      </c>
      <c r="H83" s="1099"/>
      <c r="I83" s="266">
        <f t="shared" si="30"/>
        <v>1</v>
      </c>
      <c r="J83" s="265">
        <f t="shared" si="31"/>
        <v>2</v>
      </c>
      <c r="K83" s="265">
        <f t="shared" si="32"/>
        <v>1</v>
      </c>
      <c r="L83" s="267">
        <f t="shared" si="33"/>
        <v>10.666666666666666</v>
      </c>
    </row>
    <row r="84" spans="1:25" s="263" customFormat="1" ht="10.8">
      <c r="A84" s="1086" t="s">
        <v>281</v>
      </c>
      <c r="B84" s="1087"/>
      <c r="C84" s="1088"/>
      <c r="D84" s="288">
        <v>0</v>
      </c>
      <c r="E84" s="270">
        <v>4</v>
      </c>
      <c r="F84" s="270">
        <f t="shared" si="28"/>
        <v>4</v>
      </c>
      <c r="G84" s="1103">
        <f t="shared" si="29"/>
        <v>0.16666666666666666</v>
      </c>
      <c r="H84" s="1103"/>
      <c r="I84" s="271">
        <f t="shared" si="30"/>
        <v>1</v>
      </c>
      <c r="J84" s="270">
        <f t="shared" si="31"/>
        <v>2</v>
      </c>
      <c r="K84" s="270">
        <f t="shared" si="32"/>
        <v>1</v>
      </c>
      <c r="L84" s="272">
        <f t="shared" si="33"/>
        <v>1.3333333333333333</v>
      </c>
    </row>
    <row r="85" spans="1:25" s="263" customFormat="1" ht="10.8">
      <c r="A85" s="264" t="s">
        <v>1</v>
      </c>
      <c r="B85" s="264"/>
      <c r="C85" s="264"/>
      <c r="D85" s="264"/>
      <c r="E85" s="264"/>
      <c r="F85" s="264"/>
      <c r="G85" s="264"/>
      <c r="H85" s="264"/>
      <c r="I85" s="264"/>
      <c r="J85" s="264"/>
      <c r="K85" s="264"/>
      <c r="L85" s="264"/>
      <c r="N85" s="264" t="s">
        <v>552</v>
      </c>
      <c r="O85" s="264"/>
      <c r="P85" s="264"/>
      <c r="Q85" s="264"/>
      <c r="R85" s="264"/>
      <c r="S85" s="264"/>
      <c r="T85" s="264"/>
      <c r="U85" s="264"/>
      <c r="V85" s="264" t="s">
        <v>572</v>
      </c>
      <c r="W85" s="264"/>
      <c r="X85" s="264"/>
      <c r="Y85" s="264"/>
    </row>
    <row r="86" spans="1:25" s="263" customFormat="1" ht="10.8">
      <c r="A86" s="1092" t="s">
        <v>491</v>
      </c>
      <c r="B86" s="1083"/>
      <c r="C86" s="1084"/>
      <c r="D86" s="285" t="s">
        <v>542</v>
      </c>
      <c r="E86" s="1083" t="s">
        <v>543</v>
      </c>
      <c r="F86" s="1083"/>
      <c r="G86" s="1083"/>
      <c r="H86" s="1083"/>
      <c r="I86" s="1083"/>
      <c r="J86" s="1083"/>
      <c r="K86" s="1083"/>
      <c r="L86" s="1084"/>
      <c r="N86" s="264" t="s">
        <v>573</v>
      </c>
      <c r="O86" s="264"/>
      <c r="P86" s="264"/>
      <c r="Q86" s="264"/>
      <c r="R86" s="264"/>
      <c r="S86" s="264"/>
      <c r="T86" s="264"/>
      <c r="U86" s="264"/>
      <c r="V86" s="1092" t="s">
        <v>453</v>
      </c>
      <c r="W86" s="1084"/>
      <c r="X86" s="1112" t="s">
        <v>574</v>
      </c>
      <c r="Y86" s="1084"/>
    </row>
    <row r="87" spans="1:25" s="263" customFormat="1" ht="10.8">
      <c r="A87" s="1093" t="s">
        <v>544</v>
      </c>
      <c r="B87" s="1094"/>
      <c r="C87" s="1095"/>
      <c r="D87" s="286">
        <v>1.3</v>
      </c>
      <c r="E87" s="1118" t="s">
        <v>545</v>
      </c>
      <c r="F87" s="1118"/>
      <c r="G87" s="1118"/>
      <c r="H87" s="1118"/>
      <c r="I87" s="1118"/>
      <c r="J87" s="1118"/>
      <c r="K87" s="1118"/>
      <c r="L87" s="1119"/>
      <c r="N87" s="1123" t="s">
        <v>446</v>
      </c>
      <c r="O87" s="1076">
        <v>0.8</v>
      </c>
      <c r="P87" s="1124" t="s">
        <v>561</v>
      </c>
      <c r="Q87" s="268">
        <v>30</v>
      </c>
      <c r="R87" s="1113" t="s">
        <v>557</v>
      </c>
      <c r="S87" s="1076">
        <f>IF((O87+(Q87/Q88))&lt;=0.9,0.9,(O87+(Q87/Q88)))</f>
        <v>2</v>
      </c>
      <c r="T87" s="264"/>
      <c r="U87" s="264"/>
      <c r="V87" s="1093">
        <v>40</v>
      </c>
      <c r="W87" s="1095"/>
      <c r="X87" s="1110">
        <v>0.53</v>
      </c>
      <c r="Y87" s="1111"/>
    </row>
    <row r="88" spans="1:25" s="263" customFormat="1" ht="10.8">
      <c r="A88" s="1089" t="s">
        <v>546</v>
      </c>
      <c r="B88" s="1090"/>
      <c r="C88" s="1091"/>
      <c r="D88" s="287">
        <v>1.1499999999999999</v>
      </c>
      <c r="E88" s="1116" t="s">
        <v>547</v>
      </c>
      <c r="F88" s="1116"/>
      <c r="G88" s="1116"/>
      <c r="H88" s="1116"/>
      <c r="I88" s="1116"/>
      <c r="J88" s="1116"/>
      <c r="K88" s="1116"/>
      <c r="L88" s="1117"/>
      <c r="N88" s="1123"/>
      <c r="O88" s="1076"/>
      <c r="P88" s="1123"/>
      <c r="Q88" s="269">
        <f>E75+I75</f>
        <v>25</v>
      </c>
      <c r="R88" s="1113"/>
      <c r="S88" s="1076"/>
      <c r="T88" s="264"/>
      <c r="U88" s="264"/>
      <c r="V88" s="1089">
        <v>60</v>
      </c>
      <c r="W88" s="1091"/>
      <c r="X88" s="1108">
        <v>0.65</v>
      </c>
      <c r="Y88" s="1109"/>
    </row>
    <row r="89" spans="1:25" s="263" customFormat="1" ht="10.8">
      <c r="A89" s="1089" t="s">
        <v>492</v>
      </c>
      <c r="B89" s="1090"/>
      <c r="C89" s="1091"/>
      <c r="D89" s="287">
        <v>1</v>
      </c>
      <c r="E89" s="1116" t="s">
        <v>559</v>
      </c>
      <c r="F89" s="1116"/>
      <c r="G89" s="1116"/>
      <c r="H89" s="1116"/>
      <c r="I89" s="1116"/>
      <c r="J89" s="1116"/>
      <c r="K89" s="1116"/>
      <c r="L89" s="1117"/>
      <c r="N89" s="264"/>
      <c r="O89" s="264"/>
      <c r="P89" s="264"/>
      <c r="Q89" s="264"/>
      <c r="R89" s="264"/>
      <c r="S89" s="264"/>
      <c r="T89" s="264"/>
      <c r="U89" s="264"/>
      <c r="V89" s="1089">
        <v>70</v>
      </c>
      <c r="W89" s="1091"/>
      <c r="X89" s="1108">
        <v>0.73</v>
      </c>
      <c r="Y89" s="1109"/>
    </row>
    <row r="90" spans="1:25" s="263" customFormat="1" ht="10.8">
      <c r="A90" s="1089" t="s">
        <v>558</v>
      </c>
      <c r="B90" s="1090"/>
      <c r="C90" s="1091"/>
      <c r="D90" s="287">
        <v>1.1000000000000001</v>
      </c>
      <c r="E90" s="1116" t="s">
        <v>569</v>
      </c>
      <c r="F90" s="1116"/>
      <c r="G90" s="1116"/>
      <c r="H90" s="1116"/>
      <c r="I90" s="1116"/>
      <c r="J90" s="1116"/>
      <c r="K90" s="1116"/>
      <c r="L90" s="1117"/>
      <c r="N90" s="264" t="s">
        <v>454</v>
      </c>
      <c r="O90" s="264"/>
      <c r="P90" s="264"/>
      <c r="Q90" s="264"/>
      <c r="R90" s="264"/>
      <c r="S90" s="264"/>
      <c r="T90" s="264"/>
      <c r="U90" s="264"/>
      <c r="V90" s="1089">
        <v>80</v>
      </c>
      <c r="W90" s="1091"/>
      <c r="X90" s="1108">
        <v>0.81</v>
      </c>
      <c r="Y90" s="1109"/>
    </row>
    <row r="91" spans="1:25" s="263" customFormat="1" ht="10.8">
      <c r="A91" s="1086" t="s">
        <v>551</v>
      </c>
      <c r="B91" s="1087"/>
      <c r="C91" s="1088"/>
      <c r="D91" s="288">
        <v>1.2</v>
      </c>
      <c r="E91" s="1114" t="s">
        <v>570</v>
      </c>
      <c r="F91" s="1114"/>
      <c r="G91" s="1114"/>
      <c r="H91" s="1114"/>
      <c r="I91" s="1114"/>
      <c r="J91" s="1114"/>
      <c r="K91" s="1114"/>
      <c r="L91" s="1115"/>
      <c r="N91" s="264"/>
      <c r="O91" s="264"/>
      <c r="P91" s="264"/>
      <c r="Q91" s="264"/>
      <c r="R91" s="264"/>
      <c r="S91" s="264"/>
      <c r="T91" s="264"/>
      <c r="U91" s="264"/>
      <c r="V91" s="1086">
        <v>100</v>
      </c>
      <c r="W91" s="1088"/>
      <c r="X91" s="1106">
        <v>1</v>
      </c>
      <c r="Y91" s="1107"/>
    </row>
    <row r="92" spans="1:25" s="263" customFormat="1" ht="10.8"/>
    <row r="93" spans="1:25" s="263" customFormat="1" ht="10.8"/>
    <row r="94" spans="1:25" s="263" customFormat="1" ht="10.8">
      <c r="M94" s="264"/>
      <c r="N94" s="264"/>
      <c r="O94" s="264"/>
    </row>
    <row r="95" spans="1:25" s="263" customFormat="1" ht="10.8">
      <c r="M95" s="264"/>
      <c r="N95" s="264"/>
      <c r="O95" s="264"/>
    </row>
    <row r="96" spans="1:25" s="263" customFormat="1" ht="10.8"/>
    <row r="97" s="263" customFormat="1" ht="10.8"/>
    <row r="98" s="263" customFormat="1" ht="10.8"/>
    <row r="99" s="263" customFormat="1" ht="10.8"/>
    <row r="100" s="263" customFormat="1" ht="10.8"/>
    <row r="101" s="263" customFormat="1" ht="10.8"/>
    <row r="102" s="263" customFormat="1" ht="10.8"/>
    <row r="103" s="263" customFormat="1" ht="10.8"/>
    <row r="104" s="263" customFormat="1" ht="10.8"/>
    <row r="105" s="263" customFormat="1" ht="10.8"/>
    <row r="106" s="263" customFormat="1" ht="10.8"/>
    <row r="107" s="263" customFormat="1" ht="10.8"/>
    <row r="108" s="263" customFormat="1" ht="10.8"/>
    <row r="109" s="263" customFormat="1" ht="10.8"/>
    <row r="110" s="263" customFormat="1" ht="10.8"/>
    <row r="111" s="263" customFormat="1" ht="10.8"/>
    <row r="112" s="263" customFormat="1" ht="10.8"/>
    <row r="113" s="263" customFormat="1" ht="10.8"/>
    <row r="114" s="263" customFormat="1" ht="10.8"/>
    <row r="115" s="263" customFormat="1" ht="10.8"/>
    <row r="116" s="263" customFormat="1" ht="10.8"/>
    <row r="117" s="263" customFormat="1" ht="10.8"/>
    <row r="118" s="263" customFormat="1" ht="10.8"/>
    <row r="119" s="263" customFormat="1" ht="10.8"/>
    <row r="120" s="263" customFormat="1" ht="10.8"/>
    <row r="121" s="263" customFormat="1" ht="10.8"/>
    <row r="122" s="263" customFormat="1" ht="10.8"/>
    <row r="123" s="263" customFormat="1" ht="10.8"/>
    <row r="124" s="263" customFormat="1" ht="10.8"/>
    <row r="125" s="263" customFormat="1" ht="10.8"/>
    <row r="126" s="263" customFormat="1" ht="10.8"/>
  </sheetData>
  <mergeCells count="315">
    <mergeCell ref="AB3:AC4"/>
    <mergeCell ref="Z3:AA4"/>
    <mergeCell ref="X3:Y4"/>
    <mergeCell ref="V3:W4"/>
    <mergeCell ref="T3:U4"/>
    <mergeCell ref="R3:S4"/>
    <mergeCell ref="A16:C17"/>
    <mergeCell ref="A8:C15"/>
    <mergeCell ref="A4:C7"/>
    <mergeCell ref="A3:G3"/>
    <mergeCell ref="D13:E15"/>
    <mergeCell ref="D11:E12"/>
    <mergeCell ref="O10:Q10"/>
    <mergeCell ref="O9:Q9"/>
    <mergeCell ref="O8:Q8"/>
    <mergeCell ref="O3:Q4"/>
    <mergeCell ref="D4:G4"/>
    <mergeCell ref="F11:G11"/>
    <mergeCell ref="F12:G12"/>
    <mergeCell ref="F13:G13"/>
    <mergeCell ref="F14:G14"/>
    <mergeCell ref="F15:G15"/>
    <mergeCell ref="D8:G8"/>
    <mergeCell ref="D7:G7"/>
    <mergeCell ref="AB5:AC5"/>
    <mergeCell ref="AB6:AC6"/>
    <mergeCell ref="AB7:AC7"/>
    <mergeCell ref="AB8:AC8"/>
    <mergeCell ref="Z9:AA9"/>
    <mergeCell ref="Z10:AA10"/>
    <mergeCell ref="V9:W9"/>
    <mergeCell ref="V10:W10"/>
    <mergeCell ref="X5:Y5"/>
    <mergeCell ref="X8:Y8"/>
    <mergeCell ref="X9:Y9"/>
    <mergeCell ref="X10:Y10"/>
    <mergeCell ref="AB10:AC10"/>
    <mergeCell ref="Z5:AA5"/>
    <mergeCell ref="Z6:AA6"/>
    <mergeCell ref="Z7:AA7"/>
    <mergeCell ref="Z8:AA8"/>
    <mergeCell ref="AB9:AC9"/>
    <mergeCell ref="V5:W5"/>
    <mergeCell ref="V6:W6"/>
    <mergeCell ref="V7:W7"/>
    <mergeCell ref="V8:W8"/>
    <mergeCell ref="X6:Y6"/>
    <mergeCell ref="X7:Y7"/>
    <mergeCell ref="D5:G5"/>
    <mergeCell ref="T5:U5"/>
    <mergeCell ref="T6:U6"/>
    <mergeCell ref="T7:U7"/>
    <mergeCell ref="T8:U8"/>
    <mergeCell ref="T10:U10"/>
    <mergeCell ref="S25:T25"/>
    <mergeCell ref="O7:Q7"/>
    <mergeCell ref="O6:Q6"/>
    <mergeCell ref="R9:S9"/>
    <mergeCell ref="R10:S10"/>
    <mergeCell ref="R7:S7"/>
    <mergeCell ref="G25:H25"/>
    <mergeCell ref="D6:G6"/>
    <mergeCell ref="D9:E10"/>
    <mergeCell ref="F10:G10"/>
    <mergeCell ref="F9:G9"/>
    <mergeCell ref="H10:I10"/>
    <mergeCell ref="T9:U9"/>
    <mergeCell ref="R6:S6"/>
    <mergeCell ref="H13:I13"/>
    <mergeCell ref="H14:I14"/>
    <mergeCell ref="O5:Q5"/>
    <mergeCell ref="H5:I5"/>
    <mergeCell ref="P42:P43"/>
    <mergeCell ref="Q42:Q43"/>
    <mergeCell ref="R42:R43"/>
    <mergeCell ref="T42:T43"/>
    <mergeCell ref="U42:U43"/>
    <mergeCell ref="P26:R26"/>
    <mergeCell ref="P28:R28"/>
    <mergeCell ref="P27:R27"/>
    <mergeCell ref="P30:R30"/>
    <mergeCell ref="T39:AB39"/>
    <mergeCell ref="T38:AB38"/>
    <mergeCell ref="V26:W26"/>
    <mergeCell ref="V27:W27"/>
    <mergeCell ref="V28:W28"/>
    <mergeCell ref="V29:W29"/>
    <mergeCell ref="A56:C56"/>
    <mergeCell ref="A57:C57"/>
    <mergeCell ref="A58:C58"/>
    <mergeCell ref="P29:R29"/>
    <mergeCell ref="A68:A69"/>
    <mergeCell ref="B68:B69"/>
    <mergeCell ref="C68:C69"/>
    <mergeCell ref="E68:E69"/>
    <mergeCell ref="F68:F69"/>
    <mergeCell ref="A54:C54"/>
    <mergeCell ref="E65:K65"/>
    <mergeCell ref="E64:K64"/>
    <mergeCell ref="E63:K63"/>
    <mergeCell ref="A62:C62"/>
    <mergeCell ref="A61:C61"/>
    <mergeCell ref="A60:C60"/>
    <mergeCell ref="A50:C51"/>
    <mergeCell ref="H38:H39"/>
    <mergeCell ref="D50:E50"/>
    <mergeCell ref="A55:C55"/>
    <mergeCell ref="A65:C65"/>
    <mergeCell ref="A64:C64"/>
    <mergeCell ref="A63:C63"/>
    <mergeCell ref="P50:R51"/>
    <mergeCell ref="S87:S88"/>
    <mergeCell ref="U50:U51"/>
    <mergeCell ref="T65:Z65"/>
    <mergeCell ref="T64:Z64"/>
    <mergeCell ref="T63:Z63"/>
    <mergeCell ref="P65:R65"/>
    <mergeCell ref="P64:R64"/>
    <mergeCell ref="P58:R58"/>
    <mergeCell ref="V86:W86"/>
    <mergeCell ref="W50:W51"/>
    <mergeCell ref="X50:X51"/>
    <mergeCell ref="T62:Z62"/>
    <mergeCell ref="T61:Z61"/>
    <mergeCell ref="P53:R53"/>
    <mergeCell ref="P52:R52"/>
    <mergeCell ref="P63:R63"/>
    <mergeCell ref="P62:R62"/>
    <mergeCell ref="P61:R61"/>
    <mergeCell ref="P57:R57"/>
    <mergeCell ref="P56:R56"/>
    <mergeCell ref="P55:R55"/>
    <mergeCell ref="P54:R54"/>
    <mergeCell ref="P60:R60"/>
    <mergeCell ref="P87:P88"/>
    <mergeCell ref="N87:N88"/>
    <mergeCell ref="O87:O88"/>
    <mergeCell ref="E62:K62"/>
    <mergeCell ref="E61:K61"/>
    <mergeCell ref="E60:K60"/>
    <mergeCell ref="D51:E51"/>
    <mergeCell ref="G52:H52"/>
    <mergeCell ref="G53:H53"/>
    <mergeCell ref="G58:H58"/>
    <mergeCell ref="F50:F51"/>
    <mergeCell ref="G57:H57"/>
    <mergeCell ref="G56:H56"/>
    <mergeCell ref="G55:H55"/>
    <mergeCell ref="G54:H54"/>
    <mergeCell ref="G83:H83"/>
    <mergeCell ref="G84:H84"/>
    <mergeCell ref="R87:R88"/>
    <mergeCell ref="I76:I77"/>
    <mergeCell ref="P68:P69"/>
    <mergeCell ref="Q68:Q69"/>
    <mergeCell ref="R68:R69"/>
    <mergeCell ref="A22:C22"/>
    <mergeCell ref="A23:C23"/>
    <mergeCell ref="A24:C24"/>
    <mergeCell ref="A25:C25"/>
    <mergeCell ref="A26:C26"/>
    <mergeCell ref="A27:C27"/>
    <mergeCell ref="E35:N35"/>
    <mergeCell ref="E34:N34"/>
    <mergeCell ref="I38:I39"/>
    <mergeCell ref="G38:G39"/>
    <mergeCell ref="E33:N33"/>
    <mergeCell ref="E32:N32"/>
    <mergeCell ref="K38:K39"/>
    <mergeCell ref="A32:C32"/>
    <mergeCell ref="A31:C31"/>
    <mergeCell ref="G22:H22"/>
    <mergeCell ref="G28:H28"/>
    <mergeCell ref="G27:H27"/>
    <mergeCell ref="G26:H26"/>
    <mergeCell ref="A76:C77"/>
    <mergeCell ref="D77:E77"/>
    <mergeCell ref="D76:E76"/>
    <mergeCell ref="G78:H78"/>
    <mergeCell ref="H76:H77"/>
    <mergeCell ref="F76:F77"/>
    <mergeCell ref="A28:C28"/>
    <mergeCell ref="A52:C52"/>
    <mergeCell ref="A53:C53"/>
    <mergeCell ref="A45:C45"/>
    <mergeCell ref="A44:C44"/>
    <mergeCell ref="A43:C43"/>
    <mergeCell ref="A41:C41"/>
    <mergeCell ref="A40:C40"/>
    <mergeCell ref="A39:C39"/>
    <mergeCell ref="A30:C30"/>
    <mergeCell ref="E31:N31"/>
    <mergeCell ref="H50:H51"/>
    <mergeCell ref="I50:I51"/>
    <mergeCell ref="A33:C33"/>
    <mergeCell ref="A38:C38"/>
    <mergeCell ref="A37:C37"/>
    <mergeCell ref="A35:C35"/>
    <mergeCell ref="A34:C34"/>
    <mergeCell ref="A78:C78"/>
    <mergeCell ref="A84:C84"/>
    <mergeCell ref="A83:C83"/>
    <mergeCell ref="A82:C82"/>
    <mergeCell ref="A81:C81"/>
    <mergeCell ref="G79:H79"/>
    <mergeCell ref="G80:H80"/>
    <mergeCell ref="G81:H81"/>
    <mergeCell ref="A80:C80"/>
    <mergeCell ref="A79:C79"/>
    <mergeCell ref="G82:H82"/>
    <mergeCell ref="A91:C91"/>
    <mergeCell ref="A90:C90"/>
    <mergeCell ref="A89:C89"/>
    <mergeCell ref="A88:C88"/>
    <mergeCell ref="A87:C87"/>
    <mergeCell ref="A86:C86"/>
    <mergeCell ref="E91:L91"/>
    <mergeCell ref="E90:L90"/>
    <mergeCell ref="E89:L89"/>
    <mergeCell ref="E88:L88"/>
    <mergeCell ref="E87:L87"/>
    <mergeCell ref="E86:L86"/>
    <mergeCell ref="X91:Y91"/>
    <mergeCell ref="X90:Y90"/>
    <mergeCell ref="X89:Y89"/>
    <mergeCell ref="X88:Y88"/>
    <mergeCell ref="X87:Y87"/>
    <mergeCell ref="X86:Y86"/>
    <mergeCell ref="V55:W55"/>
    <mergeCell ref="V56:W56"/>
    <mergeCell ref="V57:W57"/>
    <mergeCell ref="V58:W58"/>
    <mergeCell ref="V91:W91"/>
    <mergeCell ref="V90:W90"/>
    <mergeCell ref="V89:W89"/>
    <mergeCell ref="V88:W88"/>
    <mergeCell ref="V87:W87"/>
    <mergeCell ref="T60:Z60"/>
    <mergeCell ref="T68:T69"/>
    <mergeCell ref="U68:U69"/>
    <mergeCell ref="V53:W53"/>
    <mergeCell ref="V54:W54"/>
    <mergeCell ref="S24:T24"/>
    <mergeCell ref="S51:T51"/>
    <mergeCell ref="S50:T50"/>
    <mergeCell ref="V52:W52"/>
    <mergeCell ref="U24:U25"/>
    <mergeCell ref="W24:W25"/>
    <mergeCell ref="T36:AB36"/>
    <mergeCell ref="V30:W30"/>
    <mergeCell ref="T37:AB37"/>
    <mergeCell ref="V31:W31"/>
    <mergeCell ref="V32:W32"/>
    <mergeCell ref="T35:AB35"/>
    <mergeCell ref="T34:AB34"/>
    <mergeCell ref="X24:X25"/>
    <mergeCell ref="E30:N30"/>
    <mergeCell ref="L38:L39"/>
    <mergeCell ref="P32:R32"/>
    <mergeCell ref="P31:R31"/>
    <mergeCell ref="P34:R34"/>
    <mergeCell ref="P35:R35"/>
    <mergeCell ref="D17:G17"/>
    <mergeCell ref="D16:G16"/>
    <mergeCell ref="P36:R36"/>
    <mergeCell ref="P37:R37"/>
    <mergeCell ref="P38:R38"/>
    <mergeCell ref="P39:R39"/>
    <mergeCell ref="M28:N28"/>
    <mergeCell ref="M27:N27"/>
    <mergeCell ref="M26:N26"/>
    <mergeCell ref="M25:N25"/>
    <mergeCell ref="G24:H24"/>
    <mergeCell ref="G23:H23"/>
    <mergeCell ref="H9:I9"/>
    <mergeCell ref="J9:K10"/>
    <mergeCell ref="R5:S5"/>
    <mergeCell ref="R8:S8"/>
    <mergeCell ref="L11:M12"/>
    <mergeCell ref="J13:K14"/>
    <mergeCell ref="J11:K12"/>
    <mergeCell ref="M24:N24"/>
    <mergeCell ref="M23:N23"/>
    <mergeCell ref="J17:K17"/>
    <mergeCell ref="J16:K16"/>
    <mergeCell ref="P24:R25"/>
    <mergeCell ref="H16:I16"/>
    <mergeCell ref="H17:I17"/>
    <mergeCell ref="M22:N22"/>
    <mergeCell ref="L16:M16"/>
    <mergeCell ref="L17:M17"/>
    <mergeCell ref="L3:M3"/>
    <mergeCell ref="L9:M10"/>
    <mergeCell ref="J15:K15"/>
    <mergeCell ref="J3:K3"/>
    <mergeCell ref="H15:I15"/>
    <mergeCell ref="L13:M14"/>
    <mergeCell ref="L4:M4"/>
    <mergeCell ref="L5:M5"/>
    <mergeCell ref="L6:M6"/>
    <mergeCell ref="L7:M7"/>
    <mergeCell ref="L8:M8"/>
    <mergeCell ref="H6:I6"/>
    <mergeCell ref="H4:I4"/>
    <mergeCell ref="L15:M15"/>
    <mergeCell ref="H3:I3"/>
    <mergeCell ref="J8:K8"/>
    <mergeCell ref="J7:K7"/>
    <mergeCell ref="J6:K6"/>
    <mergeCell ref="J5:K5"/>
    <mergeCell ref="H7:I7"/>
    <mergeCell ref="H8:I8"/>
    <mergeCell ref="J4:K4"/>
    <mergeCell ref="H11:I11"/>
    <mergeCell ref="H12:I12"/>
  </mergeCells>
  <phoneticPr fontId="1" type="noConversion"/>
  <dataValidations disablePrompts="1" count="5">
    <dataValidation type="list" allowBlank="1" showInputMessage="1" showErrorMessage="1" sqref="J17">
      <formula1>입력수준지형</formula1>
    </dataValidation>
    <dataValidation type="list" allowBlank="1" showInputMessage="1" showErrorMessage="1" sqref="J7">
      <formula1>입력지형작업</formula1>
    </dataValidation>
    <dataValidation type="list" allowBlank="1" showInputMessage="1" showErrorMessage="1" sqref="J6">
      <formula1>입력지형축척</formula1>
    </dataValidation>
    <dataValidation type="list" allowBlank="1" showInputMessage="1" showErrorMessage="1" errorTitle="목록에서 선택하세요" promptTitle="지형구분선택" sqref="J5">
      <formula1>입력지형지형</formula1>
    </dataValidation>
    <dataValidation type="list" allowBlank="1" showInputMessage="1" showErrorMessage="1" sqref="J8:K8">
      <formula1>입력기준점지형</formula1>
    </dataValidation>
  </dataValidations>
  <pageMargins left="0.39370078740157483" right="0.39370078740157483" top="0.39370078740157483" bottom="0.24" header="0.23622047244094491" footer="0.23622047244094491"/>
  <pageSetup paperSize="9" orientation="landscape" r:id="rId1"/>
  <rowBreaks count="1" manualBreakCount="1">
    <brk id="45" max="16383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C000"/>
  </sheetPr>
  <dimension ref="A1:Z51"/>
  <sheetViews>
    <sheetView view="pageBreakPreview" zoomScaleNormal="145" zoomScaleSheetLayoutView="100" workbookViewId="0">
      <selection activeCell="N49" sqref="N49"/>
    </sheetView>
  </sheetViews>
  <sheetFormatPr defaultColWidth="9" defaultRowHeight="13.2"/>
  <cols>
    <col min="1" max="25" width="5.59765625" style="141" customWidth="1"/>
    <col min="26" max="26" width="5.59765625" style="141" hidden="1" customWidth="1"/>
    <col min="27" max="33" width="5.59765625" style="141" customWidth="1"/>
    <col min="34" max="40" width="6" style="141" customWidth="1"/>
    <col min="41" max="16384" width="9" style="141"/>
  </cols>
  <sheetData>
    <row r="1" spans="1:26" s="223" customFormat="1" ht="25.2">
      <c r="A1" s="222" t="s">
        <v>275</v>
      </c>
      <c r="D1" s="240" t="s">
        <v>482</v>
      </c>
    </row>
    <row r="2" spans="1:26" s="239" customFormat="1" ht="19.2">
      <c r="A2" s="254" t="s">
        <v>464</v>
      </c>
      <c r="B2" s="254"/>
    </row>
    <row r="3" spans="1:26">
      <c r="A3" s="1194" t="s">
        <v>396</v>
      </c>
      <c r="B3" s="1195"/>
      <c r="C3" s="1195"/>
      <c r="D3" s="1195"/>
      <c r="E3" s="1196"/>
      <c r="F3" s="1016" t="s">
        <v>476</v>
      </c>
      <c r="G3" s="985"/>
      <c r="H3" s="985" t="s">
        <v>477</v>
      </c>
      <c r="I3" s="985"/>
      <c r="J3" s="985" t="s">
        <v>479</v>
      </c>
      <c r="K3" s="986"/>
      <c r="Z3" s="200" t="s">
        <v>483</v>
      </c>
    </row>
    <row r="4" spans="1:26">
      <c r="A4" s="1155" t="s">
        <v>397</v>
      </c>
      <c r="B4" s="1156"/>
      <c r="C4" s="1156"/>
      <c r="D4" s="1156"/>
      <c r="E4" s="1048"/>
      <c r="F4" s="1027" t="s">
        <v>484</v>
      </c>
      <c r="G4" s="987"/>
      <c r="H4" s="1025" t="s">
        <v>398</v>
      </c>
      <c r="I4" s="1025"/>
      <c r="J4" s="987" t="s">
        <v>399</v>
      </c>
      <c r="K4" s="988"/>
      <c r="Z4" s="200" t="s">
        <v>415</v>
      </c>
    </row>
    <row r="5" spans="1:26">
      <c r="A5" s="1160" t="s">
        <v>673</v>
      </c>
      <c r="B5" s="1161"/>
      <c r="C5" s="1161"/>
      <c r="D5" s="1161"/>
      <c r="E5" s="1162"/>
      <c r="F5" s="1153" t="s">
        <v>401</v>
      </c>
      <c r="G5" s="1154"/>
      <c r="H5" s="1057" t="s">
        <v>43</v>
      </c>
      <c r="I5" s="1057"/>
      <c r="J5" s="977" t="s">
        <v>399</v>
      </c>
      <c r="K5" s="978"/>
      <c r="Z5" s="200" t="s">
        <v>398</v>
      </c>
    </row>
    <row r="6" spans="1:26">
      <c r="A6" s="1160" t="s">
        <v>674</v>
      </c>
      <c r="B6" s="1161"/>
      <c r="C6" s="1161"/>
      <c r="D6" s="1161"/>
      <c r="E6" s="1162"/>
      <c r="F6" s="1153" t="s">
        <v>401</v>
      </c>
      <c r="G6" s="1154"/>
      <c r="H6" s="1057" t="s">
        <v>1470</v>
      </c>
      <c r="I6" s="1057"/>
      <c r="J6" s="977" t="s">
        <v>399</v>
      </c>
      <c r="K6" s="978"/>
      <c r="Z6" s="200" t="s">
        <v>418</v>
      </c>
    </row>
    <row r="7" spans="1:26">
      <c r="A7" s="1160" t="s">
        <v>403</v>
      </c>
      <c r="B7" s="1161"/>
      <c r="C7" s="1161"/>
      <c r="D7" s="1161"/>
      <c r="E7" s="1162"/>
      <c r="F7" s="1153" t="s">
        <v>401</v>
      </c>
      <c r="G7" s="1154"/>
      <c r="H7" s="1057" t="s">
        <v>1470</v>
      </c>
      <c r="I7" s="1057"/>
      <c r="J7" s="977" t="s">
        <v>399</v>
      </c>
      <c r="K7" s="978"/>
      <c r="Z7" s="200" t="s">
        <v>420</v>
      </c>
    </row>
    <row r="8" spans="1:26">
      <c r="A8" s="1160" t="s">
        <v>395</v>
      </c>
      <c r="B8" s="1161"/>
      <c r="C8" s="1161"/>
      <c r="D8" s="1161"/>
      <c r="E8" s="1162"/>
      <c r="F8" s="1153" t="s">
        <v>401</v>
      </c>
      <c r="G8" s="1154"/>
      <c r="H8" s="1057" t="s">
        <v>1470</v>
      </c>
      <c r="I8" s="1057"/>
      <c r="J8" s="977" t="s">
        <v>399</v>
      </c>
      <c r="K8" s="978"/>
    </row>
    <row r="9" spans="1:26">
      <c r="A9" s="1160" t="s">
        <v>404</v>
      </c>
      <c r="B9" s="1161"/>
      <c r="C9" s="1161"/>
      <c r="D9" s="1161"/>
      <c r="E9" s="1162"/>
      <c r="F9" s="1153" t="s">
        <v>689</v>
      </c>
      <c r="G9" s="1154"/>
      <c r="H9" s="1150">
        <v>10000</v>
      </c>
      <c r="I9" s="1150"/>
      <c r="J9" s="977" t="s">
        <v>405</v>
      </c>
      <c r="K9" s="978"/>
    </row>
    <row r="10" spans="1:26">
      <c r="A10" s="1157" t="s">
        <v>406</v>
      </c>
      <c r="B10" s="1158"/>
      <c r="C10" s="1158"/>
      <c r="D10" s="1158"/>
      <c r="E10" s="1159"/>
      <c r="F10" s="1151" t="str">
        <f>IF(용지지구기준="시가지","시가지 240",IF(용지지구기준="평지","평지 200",IF(용지지구기준="촌락지","촌락지 160","구릉지 120")))</f>
        <v>평지 200</v>
      </c>
      <c r="G10" s="1152"/>
      <c r="H10" s="1038">
        <v>180</v>
      </c>
      <c r="I10" s="1038"/>
      <c r="J10" s="975" t="s">
        <v>405</v>
      </c>
      <c r="K10" s="976"/>
    </row>
    <row r="11" spans="1:26">
      <c r="A11" s="210"/>
      <c r="B11" s="210"/>
      <c r="C11" s="210"/>
      <c r="D11" s="210"/>
      <c r="E11" s="210"/>
    </row>
    <row r="12" spans="1:26" s="239" customFormat="1" ht="19.2">
      <c r="A12" s="254" t="s">
        <v>463</v>
      </c>
    </row>
    <row r="13" spans="1:26" ht="12" customHeight="1">
      <c r="A13" s="997" t="s">
        <v>396</v>
      </c>
      <c r="B13" s="998"/>
      <c r="C13" s="999"/>
      <c r="D13" s="1169" t="s">
        <v>400</v>
      </c>
      <c r="E13" s="1019"/>
      <c r="F13" s="1019"/>
      <c r="G13" s="1019" t="s">
        <v>402</v>
      </c>
      <c r="H13" s="1019"/>
      <c r="I13" s="1019"/>
      <c r="J13" s="1019" t="s">
        <v>403</v>
      </c>
      <c r="K13" s="1019"/>
      <c r="L13" s="1019"/>
      <c r="M13" s="1019" t="s">
        <v>395</v>
      </c>
      <c r="N13" s="1019"/>
      <c r="O13" s="1019"/>
      <c r="P13" s="1165" t="s">
        <v>577</v>
      </c>
      <c r="Q13" s="1166"/>
      <c r="R13" s="1165" t="s">
        <v>407</v>
      </c>
      <c r="S13" s="1166"/>
      <c r="T13" s="1163" t="s">
        <v>408</v>
      </c>
    </row>
    <row r="14" spans="1:26">
      <c r="A14" s="1001"/>
      <c r="B14" s="972"/>
      <c r="C14" s="980"/>
      <c r="D14" s="1170"/>
      <c r="E14" s="993"/>
      <c r="F14" s="993"/>
      <c r="G14" s="993"/>
      <c r="H14" s="993"/>
      <c r="I14" s="993"/>
      <c r="J14" s="993"/>
      <c r="K14" s="993"/>
      <c r="L14" s="993"/>
      <c r="M14" s="993"/>
      <c r="N14" s="993"/>
      <c r="O14" s="993"/>
      <c r="P14" s="1167"/>
      <c r="Q14" s="1168"/>
      <c r="R14" s="1167"/>
      <c r="S14" s="1168"/>
      <c r="T14" s="1164"/>
    </row>
    <row r="15" spans="1:26">
      <c r="A15" s="1040" t="s">
        <v>409</v>
      </c>
      <c r="B15" s="995"/>
      <c r="C15" s="996"/>
      <c r="D15" s="1027">
        <f>IF($H$5&gt;="실시",IF(용지지구기준="시가지",VLOOKUP($A15,용지지구기준1,4,0),IF(용지지구기준="평지",VLOOKUP($A15,용지지구기준2,4,0),IF(용지지구기준="촌락지",VLOOKUP($A15,용지지구기준3,4,0),VLOOKUP($A15,용지지구기준4,4,0)))),"")</f>
        <v>1.5</v>
      </c>
      <c r="E15" s="987"/>
      <c r="F15" s="987"/>
      <c r="G15" s="987" t="str">
        <f>IF($H$6&gt;="실시",IF(용지지구기준="시가지",VLOOKUP($A15,용지지구기준1,6,0),IF(용지지구기준="평지",VLOOKUP($A15,용지지구기준2,6,0),IF(용지지구기준="촌락지",VLOOKUP($A15,용지지구기준3,6,0),VLOOKUP($A15,용지지구기준4,6,0)))),"")</f>
        <v/>
      </c>
      <c r="H15" s="987"/>
      <c r="I15" s="987"/>
      <c r="J15" s="987" t="str">
        <f>IF($H$7&gt;="실시",IF(용지지구기준="시가지",VLOOKUP($A15,용지지구기준1,8,0),IF(용지지구기준="평지",VLOOKUP($A15,용지지구기준2,8,0),IF(용지지구기준="촌락지",VLOOKUP($A15,용지지구기준3,8,0),VLOOKUP($A15,용지지구기준4,8,0)))),"")</f>
        <v/>
      </c>
      <c r="K15" s="987"/>
      <c r="L15" s="987"/>
      <c r="M15" s="987" t="str">
        <f>IF($H$8&gt;="실시",IF(용지지구기준="시가지",VLOOKUP($A15,용지지구기준1,10,0),IF(용지지구기준="평지",VLOOKUP($A15,용지지구기준2,10,0),IF(용지지구기준="촌락지",VLOOKUP($A15,용지지구기준3,10,0),VLOOKUP($A15,용지지구기준4,10,0)))),"")</f>
        <v/>
      </c>
      <c r="N15" s="987"/>
      <c r="O15" s="987"/>
      <c r="P15" s="987">
        <f>$H$9/25000</f>
        <v>0.4</v>
      </c>
      <c r="Q15" s="987"/>
      <c r="R15" s="987">
        <f>$H$10/VLOOKUP(용지지구기준,용지필지수기준,3,0)</f>
        <v>0.9</v>
      </c>
      <c r="S15" s="987"/>
      <c r="T15" s="261">
        <f>ROUND(SUM(D15:O15)*P15*R15,2)</f>
        <v>0.54</v>
      </c>
    </row>
    <row r="16" spans="1:26">
      <c r="A16" s="1000" t="s">
        <v>410</v>
      </c>
      <c r="B16" s="984"/>
      <c r="C16" s="994"/>
      <c r="D16" s="1037">
        <f>IF($H$5&gt;="실시",IF(용지지구기준="시가지",VLOOKUP($A16,용지지구기준1,4,0),IF(용지지구기준="평지",VLOOKUP($A16,용지지구기준2,4,0),IF(용지지구기준="촌락지",VLOOKUP($A16,용지지구기준3,4,0),VLOOKUP($A16,용지지구기준4,4,0)))),"")</f>
        <v>5</v>
      </c>
      <c r="E16" s="977"/>
      <c r="F16" s="977"/>
      <c r="G16" s="977" t="str">
        <f>IF($H$6&gt;="실시",IF(용지지구기준="시가지",VLOOKUP($A16,용지지구기준1,6,0),IF(용지지구기준="평지",VLOOKUP($A16,용지지구기준2,6,0),IF(용지지구기준="촌락지",VLOOKUP($A16,용지지구기준3,6,0),VLOOKUP($A16,용지지구기준4,6,0)))),"")</f>
        <v/>
      </c>
      <c r="H16" s="977"/>
      <c r="I16" s="977"/>
      <c r="J16" s="977" t="str">
        <f>IF($H$7&gt;="실시",IF(용지지구기준="시가지",VLOOKUP($A16,용지지구기준1,8,0),IF(용지지구기준="평지",VLOOKUP($A16,용지지구기준2,8,0),IF(용지지구기준="촌락지",VLOOKUP($A16,용지지구기준3,8,0),VLOOKUP($A16,용지지구기준4,8,0)))),"")</f>
        <v/>
      </c>
      <c r="K16" s="977"/>
      <c r="L16" s="977"/>
      <c r="M16" s="977" t="str">
        <f>IF($H$8&gt;="실시",IF(용지지구기준="시가지",VLOOKUP($A16,용지지구기준1,10,0),IF(용지지구기준="평지",VLOOKUP($A16,용지지구기준2,10,0),IF(용지지구기준="촌락지",VLOOKUP($A16,용지지구기준3,10,0),VLOOKUP($A16,용지지구기준4,10,0)))),"")</f>
        <v/>
      </c>
      <c r="N16" s="977"/>
      <c r="O16" s="977"/>
      <c r="P16" s="977">
        <f>$H$9/25000</f>
        <v>0.4</v>
      </c>
      <c r="Q16" s="977"/>
      <c r="R16" s="977">
        <f>$H$10/VLOOKUP(용지지구기준,용지필지수기준,3,0)</f>
        <v>0.9</v>
      </c>
      <c r="S16" s="977"/>
      <c r="T16" s="259">
        <f>ROUND(SUM(D16:O16)*P16*R16,2)</f>
        <v>1.8</v>
      </c>
    </row>
    <row r="17" spans="1:20">
      <c r="A17" s="1000" t="s">
        <v>411</v>
      </c>
      <c r="B17" s="984"/>
      <c r="C17" s="994"/>
      <c r="D17" s="1037">
        <f>IF($H$5&gt;="실시",IF(용지지구기준="시가지",VLOOKUP($A17,용지지구기준1,4,0),IF(용지지구기준="평지",VLOOKUP($A17,용지지구기준2,4,0),IF(용지지구기준="촌락지",VLOOKUP($A17,용지지구기준3,4,0),VLOOKUP($A17,용지지구기준4,4,0)))),"")</f>
        <v>10</v>
      </c>
      <c r="E17" s="977"/>
      <c r="F17" s="977"/>
      <c r="G17" s="977" t="str">
        <f>IF($H$6&gt;="실시",IF(용지지구기준="시가지",VLOOKUP($A17,용지지구기준1,6,0),IF(용지지구기준="평지",VLOOKUP($A17,용지지구기준2,6,0),IF(용지지구기준="촌락지",VLOOKUP($A17,용지지구기준3,6,0),VLOOKUP($A17,용지지구기준4,6,0)))),"")</f>
        <v/>
      </c>
      <c r="H17" s="977"/>
      <c r="I17" s="977"/>
      <c r="J17" s="977" t="str">
        <f>IF($H$7&gt;="실시",IF(용지지구기준="시가지",VLOOKUP($A17,용지지구기준1,8,0),IF(용지지구기준="평지",VLOOKUP($A17,용지지구기준2,8,0),IF(용지지구기준="촌락지",VLOOKUP($A17,용지지구기준3,8,0),VLOOKUP($A17,용지지구기준4,8,0)))),"")</f>
        <v/>
      </c>
      <c r="K17" s="977"/>
      <c r="L17" s="977"/>
      <c r="M17" s="977" t="str">
        <f>IF($H$8&gt;="실시",IF(용지지구기준="시가지",VLOOKUP($A17,용지지구기준1,10,0),IF(용지지구기준="평지",VLOOKUP($A17,용지지구기준2,10,0),IF(용지지구기준="촌락지",VLOOKUP($A17,용지지구기준3,10,0),VLOOKUP($A17,용지지구기준4,10,0)))),"")</f>
        <v/>
      </c>
      <c r="N17" s="977"/>
      <c r="O17" s="977"/>
      <c r="P17" s="977">
        <f>$H$9/25000</f>
        <v>0.4</v>
      </c>
      <c r="Q17" s="977"/>
      <c r="R17" s="977">
        <f>$H$10/VLOOKUP(용지지구기준,용지필지수기준,3,0)</f>
        <v>0.9</v>
      </c>
      <c r="S17" s="977"/>
      <c r="T17" s="259">
        <f>ROUND(SUM(D17:O17)*P17*R17,2)</f>
        <v>3.6</v>
      </c>
    </row>
    <row r="18" spans="1:20">
      <c r="A18" s="1001" t="s">
        <v>412</v>
      </c>
      <c r="B18" s="972"/>
      <c r="C18" s="980"/>
      <c r="D18" s="1026">
        <f>IF($H$5&gt;="실시",IF(용지지구기준="시가지",VLOOKUP($A18,용지지구기준1,4,0),IF(용지지구기준="평지",VLOOKUP($A18,용지지구기준2,4,0),IF(용지지구기준="촌락지",VLOOKUP($A18,용지지구기준3,4,0),VLOOKUP($A18,용지지구기준4,4,0)))),"")</f>
        <v>0</v>
      </c>
      <c r="E18" s="975"/>
      <c r="F18" s="975"/>
      <c r="G18" s="975" t="str">
        <f>IF($H$6&gt;="실시",IF(용지지구기준="시가지",VLOOKUP($A18,용지지구기준1,6,0),IF(용지지구기준="평지",VLOOKUP($A18,용지지구기준2,6,0),IF(용지지구기준="촌락지",VLOOKUP($A18,용지지구기준3,6,0),VLOOKUP($A18,용지지구기준4,6,0)))),"")</f>
        <v/>
      </c>
      <c r="H18" s="975"/>
      <c r="I18" s="975"/>
      <c r="J18" s="975" t="str">
        <f>IF($H$7&gt;="실시",IF(용지지구기준="시가지",VLOOKUP($A18,용지지구기준1,8,0),IF(용지지구기준="평지",VLOOKUP($A18,용지지구기준2,8,0),IF(용지지구기준="촌락지",VLOOKUP($A18,용지지구기준3,8,0),VLOOKUP($A18,용지지구기준4,8,0)))),"")</f>
        <v/>
      </c>
      <c r="K18" s="975"/>
      <c r="L18" s="975"/>
      <c r="M18" s="975" t="str">
        <f>IF($H$8&gt;="실시",IF(용지지구기준="시가지",VLOOKUP($A18,용지지구기준1,10,0),IF(용지지구기준="평지",VLOOKUP($A18,용지지구기준2,10,0),IF(용지지구기준="촌락지",VLOOKUP($A18,용지지구기준3,10,0),VLOOKUP($A18,용지지구기준4,10,0)))),"")</f>
        <v/>
      </c>
      <c r="N18" s="975"/>
      <c r="O18" s="975"/>
      <c r="P18" s="975">
        <f>$H$9/25000</f>
        <v>0.4</v>
      </c>
      <c r="Q18" s="975"/>
      <c r="R18" s="975">
        <f>$H$10/VLOOKUP(용지지구기준,용지필지수기준,3,0)</f>
        <v>0.9</v>
      </c>
      <c r="S18" s="975"/>
      <c r="T18" s="260">
        <f>ROUND(SUM(D18:O18)*P18*R18,2)</f>
        <v>0</v>
      </c>
    </row>
    <row r="20" spans="1:20" s="239" customFormat="1" ht="19.2">
      <c r="A20" s="254" t="s">
        <v>462</v>
      </c>
    </row>
    <row r="21" spans="1:20" s="239" customFormat="1" ht="19.2">
      <c r="A21" s="255" t="s">
        <v>485</v>
      </c>
      <c r="B21" s="258"/>
      <c r="C21" s="258"/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8"/>
      <c r="S21" s="258"/>
    </row>
    <row r="22" spans="1:20">
      <c r="A22" s="141" t="s">
        <v>413</v>
      </c>
      <c r="N22" s="200"/>
      <c r="O22" s="141" t="s">
        <v>422</v>
      </c>
      <c r="Q22" s="200"/>
      <c r="R22" s="200"/>
    </row>
    <row r="23" spans="1:20" ht="12" customHeight="1">
      <c r="A23" s="1180" t="s">
        <v>414</v>
      </c>
      <c r="B23" s="1192"/>
      <c r="C23" s="1192"/>
      <c r="D23" s="1192"/>
      <c r="E23" s="1181"/>
      <c r="F23" s="1188" t="s">
        <v>487</v>
      </c>
      <c r="G23" s="1189"/>
      <c r="H23" s="1146" t="s">
        <v>488</v>
      </c>
      <c r="I23" s="1147"/>
      <c r="J23" s="1142" t="s">
        <v>486</v>
      </c>
      <c r="K23" s="1143"/>
      <c r="L23" s="1184" t="s">
        <v>455</v>
      </c>
      <c r="M23" s="1185"/>
      <c r="N23" s="200"/>
      <c r="O23" s="1180" t="s">
        <v>396</v>
      </c>
      <c r="P23" s="1181"/>
      <c r="Q23" s="1180" t="s">
        <v>423</v>
      </c>
      <c r="R23" s="1181"/>
    </row>
    <row r="24" spans="1:20">
      <c r="A24" s="1182"/>
      <c r="B24" s="1193"/>
      <c r="C24" s="1193"/>
      <c r="D24" s="1193"/>
      <c r="E24" s="1183"/>
      <c r="F24" s="1190"/>
      <c r="G24" s="1191"/>
      <c r="H24" s="1148"/>
      <c r="I24" s="1149"/>
      <c r="J24" s="1144"/>
      <c r="K24" s="1145"/>
      <c r="L24" s="1186"/>
      <c r="M24" s="1187"/>
      <c r="N24" s="200"/>
      <c r="O24" s="1182"/>
      <c r="P24" s="1183"/>
      <c r="Q24" s="1182"/>
      <c r="R24" s="1183"/>
    </row>
    <row r="25" spans="1:20">
      <c r="A25" s="1004" t="s">
        <v>415</v>
      </c>
      <c r="B25" s="987"/>
      <c r="C25" s="987" t="s">
        <v>416</v>
      </c>
      <c r="D25" s="987"/>
      <c r="E25" s="988"/>
      <c r="F25" s="1179">
        <v>2</v>
      </c>
      <c r="G25" s="1177"/>
      <c r="H25" s="1177">
        <v>5</v>
      </c>
      <c r="I25" s="1177"/>
      <c r="J25" s="1177">
        <v>0</v>
      </c>
      <c r="K25" s="1177"/>
      <c r="L25" s="1177">
        <v>23</v>
      </c>
      <c r="M25" s="1178"/>
      <c r="N25" s="200"/>
      <c r="O25" s="1004" t="s">
        <v>415</v>
      </c>
      <c r="P25" s="988"/>
      <c r="Q25" s="1027">
        <v>240</v>
      </c>
      <c r="R25" s="988"/>
    </row>
    <row r="26" spans="1:20">
      <c r="A26" s="1009"/>
      <c r="B26" s="977"/>
      <c r="C26" s="977" t="s">
        <v>417</v>
      </c>
      <c r="D26" s="977"/>
      <c r="E26" s="978"/>
      <c r="F26" s="1173">
        <v>6</v>
      </c>
      <c r="G26" s="1174"/>
      <c r="H26" s="1174">
        <v>10</v>
      </c>
      <c r="I26" s="1174"/>
      <c r="J26" s="1174">
        <v>8</v>
      </c>
      <c r="K26" s="1174"/>
      <c r="L26" s="1174">
        <v>55</v>
      </c>
      <c r="M26" s="1175"/>
      <c r="N26" s="200"/>
      <c r="O26" s="1009" t="s">
        <v>398</v>
      </c>
      <c r="P26" s="978"/>
      <c r="Q26" s="1037">
        <v>200</v>
      </c>
      <c r="R26" s="978"/>
    </row>
    <row r="27" spans="1:20">
      <c r="A27" s="1009"/>
      <c r="B27" s="977"/>
      <c r="C27" s="977" t="s">
        <v>419</v>
      </c>
      <c r="D27" s="977"/>
      <c r="E27" s="978"/>
      <c r="F27" s="1173">
        <v>12</v>
      </c>
      <c r="G27" s="1174"/>
      <c r="H27" s="1174">
        <v>15</v>
      </c>
      <c r="I27" s="1174"/>
      <c r="J27" s="1174">
        <v>8</v>
      </c>
      <c r="K27" s="1174"/>
      <c r="L27" s="1174">
        <v>55</v>
      </c>
      <c r="M27" s="1175"/>
      <c r="N27" s="200"/>
      <c r="O27" s="1009" t="s">
        <v>418</v>
      </c>
      <c r="P27" s="978"/>
      <c r="Q27" s="1037">
        <v>160</v>
      </c>
      <c r="R27" s="978"/>
    </row>
    <row r="28" spans="1:20">
      <c r="A28" s="1009"/>
      <c r="B28" s="977"/>
      <c r="C28" s="977" t="s">
        <v>421</v>
      </c>
      <c r="D28" s="977"/>
      <c r="E28" s="978"/>
      <c r="F28" s="1173">
        <v>0</v>
      </c>
      <c r="G28" s="1174"/>
      <c r="H28" s="1174">
        <v>15</v>
      </c>
      <c r="I28" s="1174"/>
      <c r="J28" s="1174">
        <v>16</v>
      </c>
      <c r="K28" s="1174"/>
      <c r="L28" s="1174">
        <v>30</v>
      </c>
      <c r="M28" s="1175"/>
      <c r="N28" s="200"/>
      <c r="O28" s="1010" t="s">
        <v>420</v>
      </c>
      <c r="P28" s="976"/>
      <c r="Q28" s="1026">
        <v>120</v>
      </c>
      <c r="R28" s="976"/>
    </row>
    <row r="29" spans="1:20">
      <c r="A29" s="1009" t="s">
        <v>398</v>
      </c>
      <c r="B29" s="977"/>
      <c r="C29" s="977" t="s">
        <v>416</v>
      </c>
      <c r="D29" s="977"/>
      <c r="E29" s="978"/>
      <c r="F29" s="1173">
        <v>1.5</v>
      </c>
      <c r="G29" s="1174"/>
      <c r="H29" s="1174">
        <v>4</v>
      </c>
      <c r="I29" s="1174"/>
      <c r="J29" s="1174">
        <v>0</v>
      </c>
      <c r="K29" s="1174"/>
      <c r="L29" s="1174">
        <v>17</v>
      </c>
      <c r="M29" s="1175"/>
      <c r="N29" s="200"/>
    </row>
    <row r="30" spans="1:20">
      <c r="A30" s="1009"/>
      <c r="B30" s="977"/>
      <c r="C30" s="977" t="s">
        <v>417</v>
      </c>
      <c r="D30" s="977"/>
      <c r="E30" s="978"/>
      <c r="F30" s="1173">
        <v>5</v>
      </c>
      <c r="G30" s="1174"/>
      <c r="H30" s="1174">
        <v>8</v>
      </c>
      <c r="I30" s="1174"/>
      <c r="J30" s="1174">
        <v>6</v>
      </c>
      <c r="K30" s="1174"/>
      <c r="L30" s="1174">
        <v>40</v>
      </c>
      <c r="M30" s="1175"/>
      <c r="N30" s="200"/>
    </row>
    <row r="31" spans="1:20">
      <c r="A31" s="1009"/>
      <c r="B31" s="977"/>
      <c r="C31" s="977" t="s">
        <v>419</v>
      </c>
      <c r="D31" s="977"/>
      <c r="E31" s="978"/>
      <c r="F31" s="1173">
        <v>10</v>
      </c>
      <c r="G31" s="1174"/>
      <c r="H31" s="1174">
        <v>12</v>
      </c>
      <c r="I31" s="1174"/>
      <c r="J31" s="1174">
        <v>6</v>
      </c>
      <c r="K31" s="1174"/>
      <c r="L31" s="1174">
        <v>40</v>
      </c>
      <c r="M31" s="1175"/>
      <c r="N31" s="200"/>
    </row>
    <row r="32" spans="1:20">
      <c r="A32" s="1009"/>
      <c r="B32" s="977"/>
      <c r="C32" s="977" t="s">
        <v>421</v>
      </c>
      <c r="D32" s="977"/>
      <c r="E32" s="978"/>
      <c r="F32" s="1173">
        <v>0</v>
      </c>
      <c r="G32" s="1174"/>
      <c r="H32" s="1174">
        <v>12</v>
      </c>
      <c r="I32" s="1174"/>
      <c r="J32" s="1174">
        <v>12</v>
      </c>
      <c r="K32" s="1174"/>
      <c r="L32" s="1174">
        <v>20</v>
      </c>
      <c r="M32" s="1175"/>
      <c r="N32" s="200"/>
    </row>
    <row r="33" spans="1:19">
      <c r="A33" s="1009" t="s">
        <v>418</v>
      </c>
      <c r="B33" s="977"/>
      <c r="C33" s="977" t="s">
        <v>416</v>
      </c>
      <c r="D33" s="977"/>
      <c r="E33" s="978"/>
      <c r="F33" s="1173">
        <v>1</v>
      </c>
      <c r="G33" s="1174"/>
      <c r="H33" s="1174">
        <v>3</v>
      </c>
      <c r="I33" s="1174"/>
      <c r="J33" s="1174">
        <v>0</v>
      </c>
      <c r="K33" s="1174"/>
      <c r="L33" s="1174">
        <v>11</v>
      </c>
      <c r="M33" s="1175"/>
      <c r="N33" s="200"/>
    </row>
    <row r="34" spans="1:19">
      <c r="A34" s="1009"/>
      <c r="B34" s="977"/>
      <c r="C34" s="977" t="s">
        <v>417</v>
      </c>
      <c r="D34" s="977"/>
      <c r="E34" s="978"/>
      <c r="F34" s="1173">
        <v>4</v>
      </c>
      <c r="G34" s="1174"/>
      <c r="H34" s="1174">
        <v>6</v>
      </c>
      <c r="I34" s="1174"/>
      <c r="J34" s="1174">
        <v>4</v>
      </c>
      <c r="K34" s="1174"/>
      <c r="L34" s="1174">
        <v>27</v>
      </c>
      <c r="M34" s="1175"/>
      <c r="N34" s="200"/>
      <c r="O34" s="200"/>
      <c r="P34" s="200"/>
      <c r="S34" s="200"/>
    </row>
    <row r="35" spans="1:19">
      <c r="A35" s="1009"/>
      <c r="B35" s="977"/>
      <c r="C35" s="977" t="s">
        <v>419</v>
      </c>
      <c r="D35" s="977"/>
      <c r="E35" s="978"/>
      <c r="F35" s="1173">
        <v>8</v>
      </c>
      <c r="G35" s="1174"/>
      <c r="H35" s="1174">
        <v>9</v>
      </c>
      <c r="I35" s="1174"/>
      <c r="J35" s="1174">
        <v>4</v>
      </c>
      <c r="K35" s="1174"/>
      <c r="L35" s="1174">
        <v>27</v>
      </c>
      <c r="M35" s="1175"/>
      <c r="N35" s="200"/>
      <c r="O35" s="200"/>
      <c r="P35" s="200"/>
      <c r="Q35" s="200"/>
      <c r="R35" s="200"/>
      <c r="S35" s="200"/>
    </row>
    <row r="36" spans="1:19">
      <c r="A36" s="1009"/>
      <c r="B36" s="977"/>
      <c r="C36" s="977" t="s">
        <v>421</v>
      </c>
      <c r="D36" s="977"/>
      <c r="E36" s="978"/>
      <c r="F36" s="1173">
        <v>0</v>
      </c>
      <c r="G36" s="1174"/>
      <c r="H36" s="1174">
        <v>9</v>
      </c>
      <c r="I36" s="1174"/>
      <c r="J36" s="1174">
        <v>8</v>
      </c>
      <c r="K36" s="1174"/>
      <c r="L36" s="1174">
        <v>14</v>
      </c>
      <c r="M36" s="1175"/>
      <c r="N36" s="200"/>
      <c r="O36" s="200"/>
      <c r="P36" s="200"/>
      <c r="Q36" s="200"/>
      <c r="R36" s="200"/>
      <c r="S36" s="200"/>
    </row>
    <row r="37" spans="1:19">
      <c r="A37" s="1009" t="s">
        <v>420</v>
      </c>
      <c r="B37" s="977"/>
      <c r="C37" s="977" t="s">
        <v>416</v>
      </c>
      <c r="D37" s="977"/>
      <c r="E37" s="978"/>
      <c r="F37" s="1173">
        <v>1</v>
      </c>
      <c r="G37" s="1174"/>
      <c r="H37" s="1174">
        <v>2</v>
      </c>
      <c r="I37" s="1174"/>
      <c r="J37" s="1174">
        <v>0</v>
      </c>
      <c r="K37" s="1174"/>
      <c r="L37" s="1174">
        <v>10</v>
      </c>
      <c r="M37" s="1175"/>
      <c r="N37" s="200"/>
      <c r="O37" s="200"/>
      <c r="P37" s="200"/>
      <c r="Q37" s="200"/>
      <c r="R37" s="200"/>
      <c r="S37" s="200"/>
    </row>
    <row r="38" spans="1:19">
      <c r="A38" s="1009"/>
      <c r="B38" s="977"/>
      <c r="C38" s="977" t="s">
        <v>417</v>
      </c>
      <c r="D38" s="977"/>
      <c r="E38" s="978"/>
      <c r="F38" s="1173">
        <v>3</v>
      </c>
      <c r="G38" s="1174"/>
      <c r="H38" s="1174">
        <v>5</v>
      </c>
      <c r="I38" s="1174"/>
      <c r="J38" s="1174">
        <v>3</v>
      </c>
      <c r="K38" s="1174"/>
      <c r="L38" s="1174">
        <v>24</v>
      </c>
      <c r="M38" s="1175"/>
      <c r="N38" s="200"/>
      <c r="O38" s="200"/>
      <c r="P38" s="200"/>
      <c r="Q38" s="200"/>
      <c r="R38" s="200"/>
      <c r="S38" s="200"/>
    </row>
    <row r="39" spans="1:19">
      <c r="A39" s="1009"/>
      <c r="B39" s="977"/>
      <c r="C39" s="977" t="s">
        <v>6</v>
      </c>
      <c r="D39" s="977"/>
      <c r="E39" s="978"/>
      <c r="F39" s="1173">
        <v>6</v>
      </c>
      <c r="G39" s="1174"/>
      <c r="H39" s="1174">
        <v>8</v>
      </c>
      <c r="I39" s="1174"/>
      <c r="J39" s="1174">
        <v>3</v>
      </c>
      <c r="K39" s="1174"/>
      <c r="L39" s="1174">
        <v>24</v>
      </c>
      <c r="M39" s="1175"/>
      <c r="N39" s="200"/>
      <c r="O39" s="200"/>
      <c r="P39" s="200"/>
      <c r="Q39" s="200"/>
      <c r="R39" s="200"/>
      <c r="S39" s="200"/>
    </row>
    <row r="40" spans="1:19">
      <c r="A40" s="1010"/>
      <c r="B40" s="975"/>
      <c r="C40" s="975" t="s">
        <v>421</v>
      </c>
      <c r="D40" s="975"/>
      <c r="E40" s="976"/>
      <c r="F40" s="1176">
        <v>0</v>
      </c>
      <c r="G40" s="1171"/>
      <c r="H40" s="1171">
        <v>8</v>
      </c>
      <c r="I40" s="1171"/>
      <c r="J40" s="1171">
        <v>7</v>
      </c>
      <c r="K40" s="1171"/>
      <c r="L40" s="1171">
        <v>13</v>
      </c>
      <c r="M40" s="1172"/>
      <c r="N40" s="200"/>
      <c r="O40" s="200"/>
      <c r="P40" s="200"/>
      <c r="Q40" s="200"/>
      <c r="R40" s="200"/>
      <c r="S40" s="200"/>
    </row>
    <row r="41" spans="1:19">
      <c r="A41" s="200"/>
      <c r="B41" s="200"/>
      <c r="C41" s="200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</row>
    <row r="42" spans="1:19">
      <c r="N42" s="200"/>
      <c r="O42" s="200"/>
      <c r="P42" s="200"/>
      <c r="Q42" s="200"/>
      <c r="R42" s="200"/>
      <c r="S42" s="200"/>
    </row>
    <row r="43" spans="1:19">
      <c r="N43" s="200"/>
      <c r="O43" s="200"/>
      <c r="P43" s="200"/>
      <c r="Q43" s="200"/>
      <c r="R43" s="200"/>
      <c r="S43" s="200"/>
    </row>
    <row r="44" spans="1:19">
      <c r="N44" s="200"/>
      <c r="O44" s="200"/>
      <c r="P44" s="200"/>
      <c r="Q44" s="200"/>
      <c r="R44" s="200"/>
      <c r="S44" s="200"/>
    </row>
    <row r="45" spans="1:19">
      <c r="N45" s="200"/>
      <c r="O45" s="200"/>
      <c r="P45" s="200"/>
      <c r="Q45" s="200"/>
      <c r="R45" s="200"/>
      <c r="S45" s="200"/>
    </row>
    <row r="46" spans="1:19">
      <c r="N46" s="200"/>
      <c r="O46" s="200"/>
      <c r="P46" s="200"/>
      <c r="Q46" s="200"/>
      <c r="R46" s="200"/>
      <c r="S46" s="200"/>
    </row>
    <row r="47" spans="1:19">
      <c r="N47" s="200"/>
      <c r="O47" s="200"/>
      <c r="P47" s="200"/>
      <c r="Q47" s="200"/>
      <c r="R47" s="200"/>
      <c r="S47" s="200"/>
    </row>
    <row r="48" spans="1:19">
      <c r="N48" s="200"/>
      <c r="O48" s="200"/>
      <c r="P48" s="200"/>
      <c r="Q48" s="200"/>
      <c r="R48" s="200"/>
      <c r="S48" s="200"/>
    </row>
    <row r="49" spans="15:19">
      <c r="O49" s="200"/>
      <c r="P49" s="200"/>
      <c r="Q49" s="200"/>
      <c r="R49" s="200"/>
      <c r="S49" s="200"/>
    </row>
    <row r="50" spans="15:19">
      <c r="Q50" s="200"/>
      <c r="R50" s="200"/>
      <c r="S50" s="200"/>
    </row>
    <row r="51" spans="15:19">
      <c r="Q51" s="200"/>
      <c r="R51" s="200"/>
    </row>
  </sheetData>
  <mergeCells count="167">
    <mergeCell ref="C28:E28"/>
    <mergeCell ref="F23:G24"/>
    <mergeCell ref="A23:E24"/>
    <mergeCell ref="C25:E25"/>
    <mergeCell ref="A3:E3"/>
    <mergeCell ref="C38:E38"/>
    <mergeCell ref="C29:E29"/>
    <mergeCell ref="C30:E30"/>
    <mergeCell ref="C31:E31"/>
    <mergeCell ref="C32:E32"/>
    <mergeCell ref="C33:E33"/>
    <mergeCell ref="C34:E34"/>
    <mergeCell ref="C35:E35"/>
    <mergeCell ref="C36:E36"/>
    <mergeCell ref="A25:B28"/>
    <mergeCell ref="C26:E26"/>
    <mergeCell ref="C27:E27"/>
    <mergeCell ref="A16:C16"/>
    <mergeCell ref="A15:C15"/>
    <mergeCell ref="A13:C14"/>
    <mergeCell ref="F28:G28"/>
    <mergeCell ref="A17:C17"/>
    <mergeCell ref="A18:C18"/>
    <mergeCell ref="C39:E39"/>
    <mergeCell ref="C40:E40"/>
    <mergeCell ref="A37:B40"/>
    <mergeCell ref="F38:G38"/>
    <mergeCell ref="H38:I38"/>
    <mergeCell ref="C37:E37"/>
    <mergeCell ref="J30:K30"/>
    <mergeCell ref="H31:I31"/>
    <mergeCell ref="J31:K31"/>
    <mergeCell ref="F31:G31"/>
    <mergeCell ref="H32:I32"/>
    <mergeCell ref="J32:K32"/>
    <mergeCell ref="F32:G32"/>
    <mergeCell ref="F30:G30"/>
    <mergeCell ref="H30:I30"/>
    <mergeCell ref="A33:B36"/>
    <mergeCell ref="A29:B32"/>
    <mergeCell ref="F33:G33"/>
    <mergeCell ref="H33:I33"/>
    <mergeCell ref="J33:K33"/>
    <mergeCell ref="Q23:R24"/>
    <mergeCell ref="O23:P24"/>
    <mergeCell ref="Q28:R28"/>
    <mergeCell ref="Q27:R27"/>
    <mergeCell ref="Q26:R26"/>
    <mergeCell ref="Q25:R25"/>
    <mergeCell ref="O25:P25"/>
    <mergeCell ref="O26:P26"/>
    <mergeCell ref="L31:M31"/>
    <mergeCell ref="O27:P27"/>
    <mergeCell ref="L23:M24"/>
    <mergeCell ref="L27:M27"/>
    <mergeCell ref="H28:I28"/>
    <mergeCell ref="J28:K28"/>
    <mergeCell ref="L32:M32"/>
    <mergeCell ref="H29:I29"/>
    <mergeCell ref="J29:K29"/>
    <mergeCell ref="L29:M29"/>
    <mergeCell ref="F29:G29"/>
    <mergeCell ref="O28:P28"/>
    <mergeCell ref="F39:G39"/>
    <mergeCell ref="H39:I39"/>
    <mergeCell ref="J39:K39"/>
    <mergeCell ref="L39:M39"/>
    <mergeCell ref="J34:K34"/>
    <mergeCell ref="L34:M34"/>
    <mergeCell ref="F35:G35"/>
    <mergeCell ref="H35:I35"/>
    <mergeCell ref="L30:M30"/>
    <mergeCell ref="F37:G37"/>
    <mergeCell ref="H37:I37"/>
    <mergeCell ref="J37:K37"/>
    <mergeCell ref="L37:M37"/>
    <mergeCell ref="H36:I36"/>
    <mergeCell ref="J36:K36"/>
    <mergeCell ref="L36:M36"/>
    <mergeCell ref="L40:M40"/>
    <mergeCell ref="F36:G36"/>
    <mergeCell ref="J38:K38"/>
    <mergeCell ref="L38:M38"/>
    <mergeCell ref="H40:I40"/>
    <mergeCell ref="F40:G40"/>
    <mergeCell ref="J40:K40"/>
    <mergeCell ref="L28:M28"/>
    <mergeCell ref="L25:M25"/>
    <mergeCell ref="L26:M26"/>
    <mergeCell ref="H25:I25"/>
    <mergeCell ref="H26:I26"/>
    <mergeCell ref="J25:K25"/>
    <mergeCell ref="J26:K26"/>
    <mergeCell ref="J35:K35"/>
    <mergeCell ref="L35:M35"/>
    <mergeCell ref="F26:G26"/>
    <mergeCell ref="F25:G25"/>
    <mergeCell ref="F27:G27"/>
    <mergeCell ref="H27:I27"/>
    <mergeCell ref="L33:M33"/>
    <mergeCell ref="F34:G34"/>
    <mergeCell ref="H34:I34"/>
    <mergeCell ref="J27:K27"/>
    <mergeCell ref="T13:T14"/>
    <mergeCell ref="D18:F18"/>
    <mergeCell ref="P16:Q16"/>
    <mergeCell ref="P17:Q17"/>
    <mergeCell ref="P18:Q18"/>
    <mergeCell ref="R13:S14"/>
    <mergeCell ref="D15:F15"/>
    <mergeCell ref="P13:Q14"/>
    <mergeCell ref="P15:Q15"/>
    <mergeCell ref="G15:I15"/>
    <mergeCell ref="R15:S15"/>
    <mergeCell ref="R16:S16"/>
    <mergeCell ref="R17:S17"/>
    <mergeCell ref="R18:S18"/>
    <mergeCell ref="G18:I18"/>
    <mergeCell ref="D13:F14"/>
    <mergeCell ref="D16:F16"/>
    <mergeCell ref="D17:F17"/>
    <mergeCell ref="J18:L18"/>
    <mergeCell ref="M18:O18"/>
    <mergeCell ref="J3:K3"/>
    <mergeCell ref="H3:I3"/>
    <mergeCell ref="F3:G3"/>
    <mergeCell ref="F10:G10"/>
    <mergeCell ref="F9:G9"/>
    <mergeCell ref="F8:G8"/>
    <mergeCell ref="A4:E4"/>
    <mergeCell ref="A10:E10"/>
    <mergeCell ref="A9:E9"/>
    <mergeCell ref="A8:E8"/>
    <mergeCell ref="A7:E7"/>
    <mergeCell ref="A6:E6"/>
    <mergeCell ref="A5:E5"/>
    <mergeCell ref="J6:K6"/>
    <mergeCell ref="J5:K5"/>
    <mergeCell ref="J4:K4"/>
    <mergeCell ref="J8:K8"/>
    <mergeCell ref="J7:K7"/>
    <mergeCell ref="F7:G7"/>
    <mergeCell ref="F6:G6"/>
    <mergeCell ref="F5:G5"/>
    <mergeCell ref="F4:G4"/>
    <mergeCell ref="H8:I8"/>
    <mergeCell ref="H7:I7"/>
    <mergeCell ref="H6:I6"/>
    <mergeCell ref="H5:I5"/>
    <mergeCell ref="H4:I4"/>
    <mergeCell ref="J23:K24"/>
    <mergeCell ref="H23:I24"/>
    <mergeCell ref="M15:O15"/>
    <mergeCell ref="G17:I17"/>
    <mergeCell ref="J17:L17"/>
    <mergeCell ref="M17:O17"/>
    <mergeCell ref="H10:I10"/>
    <mergeCell ref="H9:I9"/>
    <mergeCell ref="J10:K10"/>
    <mergeCell ref="J9:K9"/>
    <mergeCell ref="G16:I16"/>
    <mergeCell ref="J16:L16"/>
    <mergeCell ref="M16:O16"/>
    <mergeCell ref="G13:I14"/>
    <mergeCell ref="J13:L14"/>
    <mergeCell ref="M13:O14"/>
    <mergeCell ref="J15:L15"/>
  </mergeCells>
  <phoneticPr fontId="1" type="noConversion"/>
  <dataValidations count="2">
    <dataValidation type="list" allowBlank="1" showInputMessage="1" showErrorMessage="1" sqref="H5:H8">
      <formula1>"실시, 미실시"</formula1>
    </dataValidation>
    <dataValidation type="list" allowBlank="1" showInputMessage="1" showErrorMessage="1" sqref="H4">
      <formula1>입력용지지구</formula1>
    </dataValidation>
  </dataValidations>
  <pageMargins left="0.47244094488188981" right="0.31496062992125984" top="0.59055118110236227" bottom="0.31496062992125984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rgb="FFFFC000"/>
  </sheetPr>
  <dimension ref="A1:AP101"/>
  <sheetViews>
    <sheetView view="pageBreakPreview" zoomScaleNormal="115" zoomScaleSheetLayoutView="100" workbookViewId="0">
      <selection activeCell="P4" sqref="P4:Q4"/>
    </sheetView>
  </sheetViews>
  <sheetFormatPr defaultColWidth="11.5" defaultRowHeight="10.8"/>
  <cols>
    <col min="1" max="1" width="1.59765625" style="400" customWidth="1"/>
    <col min="2" max="29" width="4.3984375" style="400" customWidth="1"/>
    <col min="30" max="30" width="1.59765625" style="400" customWidth="1"/>
    <col min="31" max="56" width="4.3984375" style="400" customWidth="1"/>
    <col min="57" max="16384" width="11.5" style="400"/>
  </cols>
  <sheetData>
    <row r="1" spans="2:42" ht="25.2">
      <c r="B1" s="1222" t="s">
        <v>978</v>
      </c>
      <c r="C1" s="1222"/>
      <c r="D1" s="1222"/>
      <c r="E1" s="1222"/>
      <c r="F1" s="1222"/>
      <c r="G1" s="1222"/>
      <c r="H1" s="1222"/>
      <c r="I1" s="1222"/>
      <c r="J1" s="1222"/>
      <c r="K1" s="1222"/>
      <c r="L1" s="1222"/>
      <c r="M1" s="1222"/>
      <c r="N1" s="1222"/>
      <c r="O1" s="1222"/>
      <c r="P1" s="1222"/>
      <c r="Q1" s="1222"/>
      <c r="R1" s="1222"/>
      <c r="S1" s="1222"/>
      <c r="T1" s="1222"/>
      <c r="U1" s="1222"/>
      <c r="V1" s="1222"/>
      <c r="W1" s="1222"/>
      <c r="X1" s="1222"/>
      <c r="Y1" s="1222"/>
      <c r="Z1" s="1222"/>
      <c r="AA1" s="1222"/>
      <c r="AB1" s="1222"/>
      <c r="AC1" s="1222"/>
    </row>
    <row r="2" spans="2:42" s="445" customFormat="1" ht="17.399999999999999">
      <c r="B2" s="446" t="s">
        <v>935</v>
      </c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 t="s">
        <v>936</v>
      </c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1197" t="s">
        <v>937</v>
      </c>
      <c r="Z2" s="1197"/>
      <c r="AA2" s="1197"/>
      <c r="AB2" s="1197"/>
    </row>
    <row r="3" spans="2:42">
      <c r="B3" s="1401" t="s">
        <v>925</v>
      </c>
      <c r="C3" s="1392"/>
      <c r="D3" s="1392"/>
      <c r="E3" s="1402"/>
      <c r="F3" s="1427" t="s">
        <v>926</v>
      </c>
      <c r="G3" s="1392"/>
      <c r="H3" s="1392" t="s">
        <v>927</v>
      </c>
      <c r="I3" s="1392"/>
      <c r="J3" s="1390" t="s">
        <v>928</v>
      </c>
      <c r="K3" s="1391"/>
      <c r="M3" s="1401" t="s">
        <v>930</v>
      </c>
      <c r="N3" s="1392"/>
      <c r="O3" s="1402"/>
      <c r="P3" s="1427" t="s">
        <v>926</v>
      </c>
      <c r="Q3" s="1392"/>
      <c r="R3" s="1392" t="s">
        <v>927</v>
      </c>
      <c r="S3" s="1392"/>
      <c r="T3" s="1392" t="s">
        <v>928</v>
      </c>
      <c r="U3" s="1392"/>
      <c r="V3" s="1392" t="s">
        <v>929</v>
      </c>
      <c r="W3" s="1402"/>
      <c r="Y3" s="1454" t="s">
        <v>43</v>
      </c>
      <c r="Z3" s="1455"/>
      <c r="AA3" s="1456"/>
    </row>
    <row r="4" spans="2:42">
      <c r="B4" s="1417" t="s">
        <v>272</v>
      </c>
      <c r="C4" s="1418"/>
      <c r="D4" s="1418"/>
      <c r="E4" s="1419"/>
      <c r="F4" s="1406">
        <f>하천측량!G6</f>
        <v>1</v>
      </c>
      <c r="G4" s="1407"/>
      <c r="H4" s="1229"/>
      <c r="I4" s="1229"/>
      <c r="J4" s="1412">
        <f>F4</f>
        <v>1</v>
      </c>
      <c r="K4" s="1413"/>
      <c r="M4" s="1440" t="s">
        <v>902</v>
      </c>
      <c r="N4" s="1441"/>
      <c r="O4" s="1442"/>
      <c r="P4" s="1434">
        <v>20000000</v>
      </c>
      <c r="Q4" s="1435"/>
      <c r="R4" s="1452">
        <v>1000</v>
      </c>
      <c r="S4" s="1452"/>
      <c r="T4" s="1447">
        <f>ROUNDUP(P4/((R4/100)^2*55.5*44.5),0)</f>
        <v>81</v>
      </c>
      <c r="U4" s="1448"/>
      <c r="V4" s="1443"/>
      <c r="W4" s="1413"/>
      <c r="Y4" s="1457"/>
      <c r="Z4" s="1458"/>
      <c r="AA4" s="1459"/>
    </row>
    <row r="5" spans="2:42">
      <c r="B5" s="1416" t="s">
        <v>273</v>
      </c>
      <c r="C5" s="1408"/>
      <c r="D5" s="1408"/>
      <c r="E5" s="1409"/>
      <c r="F5" s="1414">
        <f>노선측량!F5</f>
        <v>0.85</v>
      </c>
      <c r="G5" s="1415"/>
      <c r="H5" s="1215"/>
      <c r="I5" s="1215"/>
      <c r="J5" s="1410">
        <f>F5</f>
        <v>0.85</v>
      </c>
      <c r="K5" s="1411"/>
      <c r="M5" s="1365" t="s">
        <v>903</v>
      </c>
      <c r="N5" s="1366"/>
      <c r="O5" s="1367"/>
      <c r="P5" s="1436">
        <v>20000</v>
      </c>
      <c r="Q5" s="1437"/>
      <c r="R5" s="1453">
        <v>1000</v>
      </c>
      <c r="S5" s="1453"/>
      <c r="T5" s="1445">
        <f>ROUNDUP(P5/R5,0)</f>
        <v>20</v>
      </c>
      <c r="U5" s="1446"/>
      <c r="V5" s="1450">
        <f>ROUNDUP(P5/1000,0)</f>
        <v>20</v>
      </c>
      <c r="W5" s="1451"/>
    </row>
    <row r="6" spans="2:42">
      <c r="B6" s="1416" t="s">
        <v>808</v>
      </c>
      <c r="C6" s="1408"/>
      <c r="D6" s="1408"/>
      <c r="E6" s="1409"/>
      <c r="F6" s="1414">
        <f>시가지측량!F5</f>
        <v>0.43</v>
      </c>
      <c r="G6" s="1415"/>
      <c r="H6" s="1215"/>
      <c r="I6" s="1215"/>
      <c r="J6" s="1410">
        <f>F6</f>
        <v>0.43</v>
      </c>
      <c r="K6" s="1411"/>
      <c r="M6" s="1365" t="s">
        <v>904</v>
      </c>
      <c r="N6" s="1366"/>
      <c r="O6" s="1367"/>
      <c r="P6" s="1438">
        <v>20000000</v>
      </c>
      <c r="Q6" s="1439"/>
      <c r="R6" s="1453">
        <v>1000</v>
      </c>
      <c r="S6" s="1453"/>
      <c r="T6" s="1425">
        <f>ROUNDUP(P6/((R6/100)^2*55.5*44.5),0)</f>
        <v>81</v>
      </c>
      <c r="U6" s="1444"/>
      <c r="V6" s="1449"/>
      <c r="W6" s="1411"/>
    </row>
    <row r="7" spans="2:42">
      <c r="B7" s="1416" t="s">
        <v>274</v>
      </c>
      <c r="C7" s="1408"/>
      <c r="D7" s="1408"/>
      <c r="E7" s="1409"/>
      <c r="F7" s="1414">
        <f>수도노선측량!F5</f>
        <v>0.5</v>
      </c>
      <c r="G7" s="1415"/>
      <c r="H7" s="1215"/>
      <c r="I7" s="1215"/>
      <c r="J7" s="1410">
        <f>F7</f>
        <v>0.5</v>
      </c>
      <c r="K7" s="1411"/>
      <c r="M7" s="1377" t="s">
        <v>905</v>
      </c>
      <c r="N7" s="1378"/>
      <c r="O7" s="1379"/>
      <c r="P7" s="1432">
        <v>50</v>
      </c>
      <c r="Q7" s="1433"/>
      <c r="R7" s="1215"/>
      <c r="S7" s="1215"/>
      <c r="T7" s="1423">
        <f>P7</f>
        <v>50</v>
      </c>
      <c r="U7" s="1421"/>
      <c r="V7" s="1449"/>
      <c r="W7" s="1411"/>
      <c r="AF7" s="429"/>
      <c r="AG7" s="429"/>
      <c r="AH7" s="429"/>
      <c r="AI7" s="429"/>
      <c r="AJ7" s="429"/>
      <c r="AK7" s="429"/>
      <c r="AL7" s="429"/>
      <c r="AM7" s="429"/>
      <c r="AN7" s="429"/>
      <c r="AO7" s="429"/>
      <c r="AP7" s="429"/>
    </row>
    <row r="8" spans="2:42">
      <c r="B8" s="1416" t="s">
        <v>809</v>
      </c>
      <c r="C8" s="1408"/>
      <c r="D8" s="1408" t="s">
        <v>859</v>
      </c>
      <c r="E8" s="1409"/>
      <c r="F8" s="1317">
        <f>지형현황측량!J4*10000</f>
        <v>15000</v>
      </c>
      <c r="G8" s="1318"/>
      <c r="H8" s="1215" t="str">
        <f>자료지형축척</f>
        <v>1:1,000</v>
      </c>
      <c r="I8" s="1215"/>
      <c r="J8" s="1425">
        <f>ROUNDUP(F8/VLOOKUP(H8,I55:N62,3,0),0)</f>
        <v>1</v>
      </c>
      <c r="K8" s="1426"/>
      <c r="M8" s="1380"/>
      <c r="N8" s="1381"/>
      <c r="O8" s="1382"/>
      <c r="P8" s="1438">
        <v>20000000</v>
      </c>
      <c r="Q8" s="1439"/>
      <c r="R8" s="1453">
        <v>1000</v>
      </c>
      <c r="S8" s="1453"/>
      <c r="T8" s="1425">
        <f>ROUNDUP(P8/((R8/100)^2*55.5*44.5),0)</f>
        <v>81</v>
      </c>
      <c r="U8" s="1444"/>
      <c r="V8" s="1449"/>
      <c r="W8" s="1411"/>
      <c r="AF8" s="429"/>
      <c r="AG8" s="429"/>
      <c r="AH8" s="429"/>
      <c r="AI8" s="429"/>
      <c r="AJ8" s="429"/>
      <c r="AK8" s="429"/>
      <c r="AL8" s="429"/>
      <c r="AM8" s="429"/>
      <c r="AN8" s="429"/>
      <c r="AO8" s="429"/>
      <c r="AP8" s="429"/>
    </row>
    <row r="9" spans="2:42">
      <c r="B9" s="1416"/>
      <c r="C9" s="1408"/>
      <c r="D9" s="1408" t="s">
        <v>812</v>
      </c>
      <c r="E9" s="1409"/>
      <c r="F9" s="1421">
        <f>지형현황측량!J9+지형현황측량!J11+지형현황측량!J13</f>
        <v>29</v>
      </c>
      <c r="G9" s="1422"/>
      <c r="H9" s="1215" t="s">
        <v>883</v>
      </c>
      <c r="I9" s="1215"/>
      <c r="J9" s="1423">
        <f>F9</f>
        <v>29</v>
      </c>
      <c r="K9" s="1424"/>
      <c r="M9" s="1403" t="s">
        <v>906</v>
      </c>
      <c r="N9" s="1404"/>
      <c r="O9" s="1405"/>
      <c r="P9" s="1475">
        <v>5</v>
      </c>
      <c r="Q9" s="1476"/>
      <c r="R9" s="1224"/>
      <c r="S9" s="1224"/>
      <c r="T9" s="1398">
        <f>P9</f>
        <v>5</v>
      </c>
      <c r="U9" s="1385"/>
      <c r="V9" s="1462"/>
      <c r="W9" s="1463"/>
      <c r="AF9" s="429"/>
      <c r="AG9" s="429"/>
      <c r="AH9" s="429"/>
      <c r="AI9" s="429"/>
      <c r="AJ9" s="429"/>
      <c r="AK9" s="429"/>
      <c r="AL9" s="429"/>
      <c r="AM9" s="429"/>
      <c r="AN9" s="429"/>
      <c r="AO9" s="429"/>
      <c r="AP9" s="429"/>
    </row>
    <row r="10" spans="2:42">
      <c r="B10" s="1420"/>
      <c r="C10" s="1396"/>
      <c r="D10" s="1396" t="s">
        <v>860</v>
      </c>
      <c r="E10" s="1397"/>
      <c r="F10" s="1385">
        <f>지형현황측량!J16</f>
        <v>1</v>
      </c>
      <c r="G10" s="1386"/>
      <c r="H10" s="1224" t="s">
        <v>884</v>
      </c>
      <c r="I10" s="1224"/>
      <c r="J10" s="1398">
        <f>F10</f>
        <v>1</v>
      </c>
      <c r="K10" s="1399"/>
    </row>
    <row r="11" spans="2:42">
      <c r="B11" s="406"/>
      <c r="C11" s="406"/>
      <c r="D11" s="406"/>
      <c r="E11" s="406"/>
      <c r="F11" s="406"/>
      <c r="G11" s="406"/>
      <c r="H11" s="406"/>
      <c r="I11" s="406"/>
      <c r="J11" s="406"/>
      <c r="K11" s="406"/>
      <c r="L11" s="406"/>
      <c r="M11" s="406"/>
      <c r="N11" s="406"/>
      <c r="O11" s="406"/>
    </row>
    <row r="12" spans="2:42">
      <c r="B12" s="1373" t="s">
        <v>814</v>
      </c>
      <c r="C12" s="1369"/>
      <c r="D12" s="1369" t="s">
        <v>844</v>
      </c>
      <c r="E12" s="1369"/>
      <c r="F12" s="1369"/>
      <c r="G12" s="1369" t="s">
        <v>845</v>
      </c>
      <c r="H12" s="1369"/>
      <c r="I12" s="1369" t="s">
        <v>882</v>
      </c>
      <c r="J12" s="1369"/>
      <c r="K12" s="1369" t="s">
        <v>893</v>
      </c>
      <c r="L12" s="1369"/>
      <c r="M12" s="1370"/>
      <c r="N12" s="1373" t="s">
        <v>861</v>
      </c>
      <c r="O12" s="1369"/>
      <c r="P12" s="1369"/>
      <c r="Q12" s="1369"/>
      <c r="R12" s="1369"/>
      <c r="S12" s="1369"/>
      <c r="T12" s="1370"/>
      <c r="U12" s="1373" t="s">
        <v>825</v>
      </c>
      <c r="V12" s="1369"/>
      <c r="W12" s="1369"/>
      <c r="X12" s="1369"/>
      <c r="Y12" s="1369"/>
      <c r="Z12" s="1464"/>
      <c r="AA12" s="1477" t="s">
        <v>933</v>
      </c>
      <c r="AB12" s="1369" t="s">
        <v>934</v>
      </c>
      <c r="AC12" s="1370"/>
    </row>
    <row r="13" spans="2:42">
      <c r="B13" s="1387"/>
      <c r="C13" s="1371"/>
      <c r="D13" s="1371"/>
      <c r="E13" s="1371"/>
      <c r="F13" s="1371"/>
      <c r="G13" s="1371"/>
      <c r="H13" s="1371"/>
      <c r="I13" s="1371"/>
      <c r="J13" s="1371"/>
      <c r="K13" s="1371"/>
      <c r="L13" s="1371"/>
      <c r="M13" s="1372"/>
      <c r="N13" s="536" t="s">
        <v>154</v>
      </c>
      <c r="O13" s="537" t="s">
        <v>11</v>
      </c>
      <c r="P13" s="537" t="s">
        <v>822</v>
      </c>
      <c r="Q13" s="1371" t="s">
        <v>823</v>
      </c>
      <c r="R13" s="1371"/>
      <c r="S13" s="1371" t="s">
        <v>824</v>
      </c>
      <c r="T13" s="1372"/>
      <c r="U13" s="538" t="s">
        <v>154</v>
      </c>
      <c r="V13" s="539" t="s">
        <v>822</v>
      </c>
      <c r="W13" s="1460" t="s">
        <v>823</v>
      </c>
      <c r="X13" s="1460"/>
      <c r="Y13" s="1460" t="s">
        <v>824</v>
      </c>
      <c r="Z13" s="1461"/>
      <c r="AA13" s="1460"/>
      <c r="AB13" s="1460"/>
      <c r="AC13" s="1483"/>
    </row>
    <row r="14" spans="2:42">
      <c r="B14" s="1388" t="s">
        <v>826</v>
      </c>
      <c r="C14" s="1389"/>
      <c r="D14" s="1229"/>
      <c r="E14" s="1229"/>
      <c r="F14" s="1229"/>
      <c r="G14" s="1229"/>
      <c r="H14" s="1229"/>
      <c r="I14" s="1229"/>
      <c r="J14" s="1229"/>
      <c r="K14" s="1430"/>
      <c r="L14" s="1430"/>
      <c r="M14" s="1431"/>
      <c r="N14" s="425" t="s">
        <v>810</v>
      </c>
      <c r="O14" s="447">
        <f>J9</f>
        <v>29</v>
      </c>
      <c r="P14" s="417">
        <f>ROUNDUP(O14*50%,0)</f>
        <v>15</v>
      </c>
      <c r="Q14" s="1246">
        <f>INT(O49*측고급기술자)</f>
        <v>14899</v>
      </c>
      <c r="R14" s="1246"/>
      <c r="S14" s="1246">
        <f t="shared" ref="S14:S32" si="0">TRUNC(P14*Q14,0)</f>
        <v>223485</v>
      </c>
      <c r="T14" s="1247"/>
      <c r="U14" s="426" t="str">
        <f>IF(Y3="실시","점","")</f>
        <v>점</v>
      </c>
      <c r="V14" s="435">
        <f>IF(Y3="실시",P14,"")</f>
        <v>15</v>
      </c>
      <c r="W14" s="1465">
        <f>IF(Y3="실시",INT(T54*측고급기술자+V54*측중급기술자+X54*측초급기술자+Z54*측초급기능사+AB54*보통인부),"")</f>
        <v>629268</v>
      </c>
      <c r="X14" s="1465"/>
      <c r="Y14" s="1465">
        <f>IF(Y3="실시",TRUNC(V14*W14,0),"")</f>
        <v>9439020</v>
      </c>
      <c r="Z14" s="1466"/>
      <c r="AA14" s="435">
        <f>IF(Y3="실시",SUM(T54:AC54),"")</f>
        <v>3.8000000000000003</v>
      </c>
      <c r="AB14" s="1467">
        <f>IF(Y3="실시",AA14*V14,"")</f>
        <v>57.000000000000007</v>
      </c>
      <c r="AC14" s="1468"/>
    </row>
    <row r="15" spans="2:42">
      <c r="B15" s="1281" t="s">
        <v>827</v>
      </c>
      <c r="C15" s="1282"/>
      <c r="D15" s="1215"/>
      <c r="E15" s="1215"/>
      <c r="F15" s="1215"/>
      <c r="G15" s="1215"/>
      <c r="H15" s="1215"/>
      <c r="I15" s="1215"/>
      <c r="J15" s="1215"/>
      <c r="K15" s="1220"/>
      <c r="L15" s="1220"/>
      <c r="M15" s="1221"/>
      <c r="N15" s="423" t="s">
        <v>837</v>
      </c>
      <c r="O15" s="421">
        <f>J10</f>
        <v>1</v>
      </c>
      <c r="P15" s="416">
        <f>ROUNDUP(O15*50%,0)</f>
        <v>1</v>
      </c>
      <c r="Q15" s="1216">
        <f>INT(O50*측고급기술자)</f>
        <v>12771</v>
      </c>
      <c r="R15" s="1216"/>
      <c r="S15" s="1216">
        <f t="shared" si="0"/>
        <v>12771</v>
      </c>
      <c r="T15" s="1217"/>
      <c r="U15" s="428" t="str">
        <f>IF(Y3="실시","㎞","")</f>
        <v>㎞</v>
      </c>
      <c r="V15" s="421">
        <f>IF(Y3="실시",P15,"")</f>
        <v>1</v>
      </c>
      <c r="W15" s="1216">
        <f>IF(Y3="실시",INT(T62*측고급기술자+V62*측중급기술자+X62*측초급기술자+Z62*측초급기능사+AB62*보통인부),"")</f>
        <v>211075</v>
      </c>
      <c r="X15" s="1216"/>
      <c r="Y15" s="1216">
        <f>IF(Y3="실시",TRUNC(V15*W15,0),"")</f>
        <v>211075</v>
      </c>
      <c r="Z15" s="1374"/>
      <c r="AA15" s="421">
        <f>IF(Y3="실시",SUM(T62:AC62),"")</f>
        <v>1.34</v>
      </c>
      <c r="AB15" s="1218">
        <f>IF(Y3="실시",V15*AA15,"")</f>
        <v>1.34</v>
      </c>
      <c r="AC15" s="1219"/>
    </row>
    <row r="16" spans="2:42">
      <c r="B16" s="1281" t="s">
        <v>813</v>
      </c>
      <c r="C16" s="1282"/>
      <c r="D16" s="1215"/>
      <c r="E16" s="1215"/>
      <c r="F16" s="1215"/>
      <c r="G16" s="1215"/>
      <c r="H16" s="1215"/>
      <c r="I16" s="1215"/>
      <c r="J16" s="1215"/>
      <c r="K16" s="1220"/>
      <c r="L16" s="1220"/>
      <c r="M16" s="1221"/>
      <c r="N16" s="423" t="s">
        <v>838</v>
      </c>
      <c r="O16" s="415">
        <v>20</v>
      </c>
      <c r="P16" s="416">
        <f>ROUNDUP(O16*50%,0)</f>
        <v>10</v>
      </c>
      <c r="Q16" s="1216">
        <f>INT(O51*측고급기술자)</f>
        <v>4257</v>
      </c>
      <c r="R16" s="1216"/>
      <c r="S16" s="1216">
        <f t="shared" si="0"/>
        <v>42570</v>
      </c>
      <c r="T16" s="1217"/>
      <c r="U16" s="423"/>
      <c r="V16" s="421"/>
      <c r="W16" s="1216"/>
      <c r="X16" s="1216"/>
      <c r="Y16" s="1216"/>
      <c r="Z16" s="1374"/>
      <c r="AA16" s="421"/>
      <c r="AB16" s="1218"/>
      <c r="AC16" s="1219"/>
    </row>
    <row r="17" spans="2:29">
      <c r="B17" s="1281" t="s">
        <v>815</v>
      </c>
      <c r="C17" s="1282"/>
      <c r="D17" s="1215"/>
      <c r="E17" s="1215"/>
      <c r="F17" s="1215"/>
      <c r="G17" s="1215"/>
      <c r="H17" s="1215"/>
      <c r="I17" s="1214" t="s">
        <v>846</v>
      </c>
      <c r="J17" s="1214"/>
      <c r="K17" s="1220"/>
      <c r="L17" s="1220"/>
      <c r="M17" s="1221"/>
      <c r="N17" s="423" t="s">
        <v>832</v>
      </c>
      <c r="O17" s="421">
        <f>J8</f>
        <v>1</v>
      </c>
      <c r="P17" s="416">
        <f>ROUNDUP(O17*20%,0)</f>
        <v>1</v>
      </c>
      <c r="Q17" s="1216">
        <f>INT(VLOOKUP(I17,I54:N62,5,0)*측고급기술자)</f>
        <v>193694</v>
      </c>
      <c r="R17" s="1216"/>
      <c r="S17" s="1216">
        <f t="shared" si="0"/>
        <v>193694</v>
      </c>
      <c r="T17" s="1217"/>
      <c r="U17" s="423"/>
      <c r="V17" s="421"/>
      <c r="W17" s="1216"/>
      <c r="X17" s="1216"/>
      <c r="Y17" s="1216"/>
      <c r="Z17" s="1374"/>
      <c r="AA17" s="421"/>
      <c r="AB17" s="1218"/>
      <c r="AC17" s="1219"/>
    </row>
    <row r="18" spans="2:29">
      <c r="B18" s="1281" t="s">
        <v>816</v>
      </c>
      <c r="C18" s="1282"/>
      <c r="D18" s="1215"/>
      <c r="E18" s="1215"/>
      <c r="F18" s="1215"/>
      <c r="G18" s="1215"/>
      <c r="H18" s="1215"/>
      <c r="I18" s="1215"/>
      <c r="J18" s="1215"/>
      <c r="K18" s="1220"/>
      <c r="L18" s="1220"/>
      <c r="M18" s="1221"/>
      <c r="N18" s="423" t="s">
        <v>850</v>
      </c>
      <c r="O18" s="415">
        <v>2000</v>
      </c>
      <c r="P18" s="416">
        <f>ROUNDUP(O18*20%/10,0)</f>
        <v>40</v>
      </c>
      <c r="Q18" s="1216">
        <f>INT(H66*측고급기술자)</f>
        <v>4257</v>
      </c>
      <c r="R18" s="1216"/>
      <c r="S18" s="1216">
        <f t="shared" si="0"/>
        <v>170280</v>
      </c>
      <c r="T18" s="1217"/>
      <c r="U18" s="423"/>
      <c r="V18" s="421"/>
      <c r="W18" s="1216"/>
      <c r="X18" s="1216"/>
      <c r="Y18" s="1216"/>
      <c r="Z18" s="1374"/>
      <c r="AA18" s="421"/>
      <c r="AB18" s="1218"/>
      <c r="AC18" s="1219"/>
    </row>
    <row r="19" spans="2:29">
      <c r="B19" s="1281" t="s">
        <v>817</v>
      </c>
      <c r="C19" s="1282"/>
      <c r="D19" s="1215"/>
      <c r="E19" s="1215"/>
      <c r="F19" s="1215"/>
      <c r="G19" s="1215"/>
      <c r="H19" s="1215"/>
      <c r="I19" s="1214" t="s">
        <v>843</v>
      </c>
      <c r="J19" s="1214"/>
      <c r="K19" s="1331" t="s">
        <v>892</v>
      </c>
      <c r="L19" s="1331"/>
      <c r="M19" s="1332"/>
      <c r="N19" s="423" t="s">
        <v>838</v>
      </c>
      <c r="O19" s="415">
        <v>10</v>
      </c>
      <c r="P19" s="416">
        <f>IF(K19="수정도화 NO",ROUNDUP(O19*20%,0),ROUNDUP(O19*20%*0.4,0))</f>
        <v>2</v>
      </c>
      <c r="Q19" s="1216">
        <f>INT(VLOOKUP(I19,K65:P67,5,0)*고급도화기능사)</f>
        <v>207574</v>
      </c>
      <c r="R19" s="1216"/>
      <c r="S19" s="1216">
        <f t="shared" si="0"/>
        <v>415148</v>
      </c>
      <c r="T19" s="1217"/>
      <c r="U19" s="423"/>
      <c r="V19" s="421"/>
      <c r="W19" s="1216"/>
      <c r="X19" s="1216"/>
      <c r="Y19" s="1216"/>
      <c r="Z19" s="1374"/>
      <c r="AA19" s="421"/>
      <c r="AB19" s="1218"/>
      <c r="AC19" s="1219"/>
    </row>
    <row r="20" spans="2:29">
      <c r="B20" s="1281" t="s">
        <v>818</v>
      </c>
      <c r="C20" s="1282"/>
      <c r="D20" s="1215" t="s">
        <v>819</v>
      </c>
      <c r="E20" s="1215"/>
      <c r="F20" s="1215"/>
      <c r="G20" s="1215" t="s">
        <v>820</v>
      </c>
      <c r="H20" s="1215"/>
      <c r="I20" s="1214" t="s">
        <v>846</v>
      </c>
      <c r="J20" s="1214"/>
      <c r="K20" s="1220"/>
      <c r="L20" s="1220"/>
      <c r="M20" s="1221"/>
      <c r="N20" s="423" t="s">
        <v>832</v>
      </c>
      <c r="O20" s="421">
        <f>T4</f>
        <v>81</v>
      </c>
      <c r="P20" s="416">
        <f>ROUNDUP(O20*20%,0)</f>
        <v>17</v>
      </c>
      <c r="Q20" s="1216">
        <f>INT(VLOOKUP(I20,B72:K77,7,0)*측고급기술자)</f>
        <v>85140</v>
      </c>
      <c r="R20" s="1216"/>
      <c r="S20" s="1216">
        <f t="shared" si="0"/>
        <v>1447380</v>
      </c>
      <c r="T20" s="1217"/>
      <c r="U20" s="423"/>
      <c r="V20" s="421"/>
      <c r="W20" s="1216"/>
      <c r="X20" s="1216"/>
      <c r="Y20" s="1216"/>
      <c r="Z20" s="1374"/>
      <c r="AA20" s="421"/>
      <c r="AB20" s="1218"/>
      <c r="AC20" s="1219"/>
    </row>
    <row r="21" spans="2:29">
      <c r="B21" s="1281"/>
      <c r="C21" s="1282"/>
      <c r="D21" s="1215"/>
      <c r="E21" s="1215"/>
      <c r="F21" s="1215"/>
      <c r="G21" s="1215" t="s">
        <v>818</v>
      </c>
      <c r="H21" s="1215"/>
      <c r="I21" s="1214" t="s">
        <v>846</v>
      </c>
      <c r="J21" s="1214"/>
      <c r="K21" s="1220"/>
      <c r="L21" s="1220"/>
      <c r="M21" s="1221"/>
      <c r="N21" s="423" t="s">
        <v>832</v>
      </c>
      <c r="O21" s="421">
        <f>T4</f>
        <v>81</v>
      </c>
      <c r="P21" s="416">
        <f>ROUNDUP(O21*20%,0)</f>
        <v>17</v>
      </c>
      <c r="Q21" s="1216">
        <f>INT(VLOOKUP(I21,B72:K77,9,0)*측고급기술자)</f>
        <v>119196</v>
      </c>
      <c r="R21" s="1216"/>
      <c r="S21" s="1216">
        <f t="shared" si="0"/>
        <v>2026332</v>
      </c>
      <c r="T21" s="1217"/>
      <c r="U21" s="423"/>
      <c r="V21" s="421"/>
      <c r="W21" s="1216"/>
      <c r="X21" s="1216"/>
      <c r="Y21" s="1216"/>
      <c r="Z21" s="1374"/>
      <c r="AA21" s="421"/>
      <c r="AB21" s="1218"/>
      <c r="AC21" s="1219"/>
    </row>
    <row r="22" spans="2:29">
      <c r="B22" s="1281"/>
      <c r="C22" s="1282"/>
      <c r="D22" s="1215" t="s">
        <v>821</v>
      </c>
      <c r="E22" s="1215"/>
      <c r="F22" s="1215"/>
      <c r="G22" s="1215" t="s">
        <v>818</v>
      </c>
      <c r="H22" s="1215"/>
      <c r="I22" s="1214" t="s">
        <v>846</v>
      </c>
      <c r="J22" s="1214"/>
      <c r="K22" s="1331" t="s">
        <v>901</v>
      </c>
      <c r="L22" s="1331"/>
      <c r="M22" s="1332"/>
      <c r="N22" s="423" t="s">
        <v>832</v>
      </c>
      <c r="O22" s="421">
        <f>T4</f>
        <v>81</v>
      </c>
      <c r="P22" s="416">
        <f>IF(K22="부분수정편집 NO",ROUNDUP(O22*20%,0),ROUNDUP(O22*20%*0.4,0))</f>
        <v>17</v>
      </c>
      <c r="Q22" s="1216">
        <f>INT(VLOOKUP(I22,M72:T77,7,0)*측고급기술자)</f>
        <v>36184</v>
      </c>
      <c r="R22" s="1216"/>
      <c r="S22" s="1216">
        <f t="shared" si="0"/>
        <v>615128</v>
      </c>
      <c r="T22" s="1217"/>
      <c r="U22" s="423"/>
      <c r="V22" s="421"/>
      <c r="W22" s="1216"/>
      <c r="X22" s="1216"/>
      <c r="Y22" s="1216"/>
      <c r="Z22" s="1374"/>
      <c r="AA22" s="421"/>
      <c r="AB22" s="1218"/>
      <c r="AC22" s="1219"/>
    </row>
    <row r="23" spans="2:29">
      <c r="B23" s="1281"/>
      <c r="C23" s="1282"/>
      <c r="D23" s="1220" t="s">
        <v>894</v>
      </c>
      <c r="E23" s="1220"/>
      <c r="F23" s="1220"/>
      <c r="G23" s="1215" t="s">
        <v>818</v>
      </c>
      <c r="H23" s="1215"/>
      <c r="I23" s="1214" t="s">
        <v>846</v>
      </c>
      <c r="J23" s="1214"/>
      <c r="K23" s="1331" t="s">
        <v>901</v>
      </c>
      <c r="L23" s="1331"/>
      <c r="M23" s="1332"/>
      <c r="N23" s="423" t="s">
        <v>832</v>
      </c>
      <c r="O23" s="421">
        <f>T4</f>
        <v>81</v>
      </c>
      <c r="P23" s="416">
        <f>IF(K23="부분수정편집 NO",ROUNDUP(O23*20%,0),ROUNDUP(O23*20%*0.4,0))</f>
        <v>17</v>
      </c>
      <c r="Q23" s="1216">
        <f>INT(VLOOKUP(I23,V72:AC73,7,0)*측고급기술자)</f>
        <v>63855</v>
      </c>
      <c r="R23" s="1216"/>
      <c r="S23" s="1216">
        <f t="shared" si="0"/>
        <v>1085535</v>
      </c>
      <c r="T23" s="1217"/>
      <c r="U23" s="423"/>
      <c r="V23" s="421"/>
      <c r="W23" s="1216"/>
      <c r="X23" s="1216"/>
      <c r="Y23" s="1216"/>
      <c r="Z23" s="1374"/>
      <c r="AA23" s="421"/>
      <c r="AB23" s="1218"/>
      <c r="AC23" s="1219"/>
    </row>
    <row r="24" spans="2:29">
      <c r="B24" s="1281" t="s">
        <v>847</v>
      </c>
      <c r="C24" s="1282"/>
      <c r="D24" s="1215"/>
      <c r="E24" s="1215"/>
      <c r="F24" s="1215"/>
      <c r="G24" s="1215"/>
      <c r="H24" s="1215"/>
      <c r="I24" s="1214" t="s">
        <v>846</v>
      </c>
      <c r="J24" s="1214"/>
      <c r="K24" s="1220"/>
      <c r="L24" s="1220"/>
      <c r="M24" s="1221"/>
      <c r="N24" s="423" t="s">
        <v>839</v>
      </c>
      <c r="O24" s="421">
        <f>T5</f>
        <v>20</v>
      </c>
      <c r="P24" s="416">
        <f>ROUNDUP(O24*20%,0)</f>
        <v>4</v>
      </c>
      <c r="Q24" s="1216">
        <f>INT(VLOOKUP(I24,B82:G85,5,0)*측고급기술자)</f>
        <v>174537</v>
      </c>
      <c r="R24" s="1216"/>
      <c r="S24" s="1216">
        <f t="shared" si="0"/>
        <v>698148</v>
      </c>
      <c r="T24" s="1217"/>
      <c r="U24" s="430" t="str">
        <f>IF(Y3="실시","1,000m","")</f>
        <v>1,000m</v>
      </c>
      <c r="V24" s="421">
        <f>IF(Y3="실시",V5,"")</f>
        <v>20</v>
      </c>
      <c r="W24" s="1216">
        <f>IF(Y3="실시",INT(K85*측고급기술자+M85*측중급기술자+O85*측초급기술자+Q85*측중급기능사+S85*측초급기능사),"")</f>
        <v>2229320</v>
      </c>
      <c r="X24" s="1216"/>
      <c r="Y24" s="1216">
        <f>IF(Y3="실시",TRUNC(V24*W24,0),"")</f>
        <v>44586400</v>
      </c>
      <c r="Z24" s="1374"/>
      <c r="AA24" s="421">
        <f>IF(Y3="실시",SUM(K85:T85),"")</f>
        <v>13.809999999999999</v>
      </c>
      <c r="AB24" s="1218">
        <f>IF(Y3="실시",V24*AA24,"")</f>
        <v>276.2</v>
      </c>
      <c r="AC24" s="1219"/>
    </row>
    <row r="25" spans="2:29">
      <c r="B25" s="1281" t="s">
        <v>828</v>
      </c>
      <c r="C25" s="1282"/>
      <c r="D25" s="1215" t="s">
        <v>829</v>
      </c>
      <c r="E25" s="1215"/>
      <c r="F25" s="1215"/>
      <c r="G25" s="1214" t="s">
        <v>853</v>
      </c>
      <c r="H25" s="1214"/>
      <c r="I25" s="1214"/>
      <c r="J25" s="1214"/>
      <c r="K25" s="1220"/>
      <c r="L25" s="1220"/>
      <c r="M25" s="1221"/>
      <c r="N25" s="423" t="s">
        <v>832</v>
      </c>
      <c r="O25" s="421">
        <f>T6</f>
        <v>81</v>
      </c>
      <c r="P25" s="416">
        <f>ROUNDUP(O25*20%,0)</f>
        <v>17</v>
      </c>
      <c r="Q25" s="1216">
        <f>INT(VLOOKUP(G25,B90:K92,7,0)*측고급기술자)</f>
        <v>106425</v>
      </c>
      <c r="R25" s="1216"/>
      <c r="S25" s="1216">
        <f t="shared" si="0"/>
        <v>1809225</v>
      </c>
      <c r="T25" s="1217"/>
      <c r="U25" s="423"/>
      <c r="V25" s="421"/>
      <c r="W25" s="1216"/>
      <c r="X25" s="1216"/>
      <c r="Y25" s="1216"/>
      <c r="Z25" s="1374"/>
      <c r="AA25" s="421"/>
      <c r="AB25" s="1218"/>
      <c r="AC25" s="1219"/>
    </row>
    <row r="26" spans="2:29">
      <c r="B26" s="1281"/>
      <c r="C26" s="1282"/>
      <c r="D26" s="1215" t="s">
        <v>816</v>
      </c>
      <c r="E26" s="1215"/>
      <c r="F26" s="1215"/>
      <c r="G26" s="1214" t="s">
        <v>853</v>
      </c>
      <c r="H26" s="1214"/>
      <c r="I26" s="1214"/>
      <c r="J26" s="1214"/>
      <c r="K26" s="1220"/>
      <c r="L26" s="1220"/>
      <c r="M26" s="1221"/>
      <c r="N26" s="423" t="s">
        <v>832</v>
      </c>
      <c r="O26" s="421">
        <f>T6</f>
        <v>81</v>
      </c>
      <c r="P26" s="416">
        <f>ROUNDUP(O26*20%,0)</f>
        <v>17</v>
      </c>
      <c r="Q26" s="1216">
        <f>INT(VLOOKUP(G26,B90:K92,9,0)*측고급기술자)</f>
        <v>138353</v>
      </c>
      <c r="R26" s="1216"/>
      <c r="S26" s="1216">
        <f t="shared" si="0"/>
        <v>2352001</v>
      </c>
      <c r="T26" s="1217"/>
      <c r="U26" s="423"/>
      <c r="V26" s="421"/>
      <c r="W26" s="1216"/>
      <c r="X26" s="1216"/>
      <c r="Y26" s="1216"/>
      <c r="Z26" s="1374"/>
      <c r="AA26" s="421"/>
      <c r="AB26" s="1218"/>
      <c r="AC26" s="1219"/>
    </row>
    <row r="27" spans="2:29">
      <c r="B27" s="1226" t="s">
        <v>830</v>
      </c>
      <c r="C27" s="1215"/>
      <c r="D27" s="1215"/>
      <c r="E27" s="1215"/>
      <c r="F27" s="1215"/>
      <c r="G27" s="1214" t="s">
        <v>695</v>
      </c>
      <c r="H27" s="1214"/>
      <c r="I27" s="1214"/>
      <c r="J27" s="1214"/>
      <c r="K27" s="1220"/>
      <c r="L27" s="1220"/>
      <c r="M27" s="1221"/>
      <c r="N27" s="423" t="s">
        <v>832</v>
      </c>
      <c r="O27" s="415">
        <v>20</v>
      </c>
      <c r="P27" s="416">
        <f>ROUNDUP(O27*20%,0)</f>
        <v>4</v>
      </c>
      <c r="Q27" s="1216">
        <f>INT(VLOOKUP(G27,M89:S92,6,0)*측고급기술자)</f>
        <v>10642</v>
      </c>
      <c r="R27" s="1216"/>
      <c r="S27" s="1216">
        <f t="shared" si="0"/>
        <v>42568</v>
      </c>
      <c r="T27" s="1217"/>
      <c r="U27" s="423"/>
      <c r="V27" s="421"/>
      <c r="W27" s="1216"/>
      <c r="X27" s="1216"/>
      <c r="Y27" s="1216"/>
      <c r="Z27" s="1374"/>
      <c r="AA27" s="421"/>
      <c r="AB27" s="1218"/>
      <c r="AC27" s="1219"/>
    </row>
    <row r="28" spans="2:29">
      <c r="B28" s="1226" t="s">
        <v>831</v>
      </c>
      <c r="C28" s="1215"/>
      <c r="D28" s="1215" t="s">
        <v>810</v>
      </c>
      <c r="E28" s="1215"/>
      <c r="F28" s="1215"/>
      <c r="G28" s="1215"/>
      <c r="H28" s="1215"/>
      <c r="I28" s="1215"/>
      <c r="J28" s="1215"/>
      <c r="K28" s="1220"/>
      <c r="L28" s="1220"/>
      <c r="M28" s="1221"/>
      <c r="N28" s="423" t="s">
        <v>810</v>
      </c>
      <c r="O28" s="421">
        <f>T7</f>
        <v>50</v>
      </c>
      <c r="P28" s="416">
        <f>ROUNDUP(O28*50%,0)</f>
        <v>25</v>
      </c>
      <c r="Q28" s="1216">
        <f>INT(AB77*측고급기술자)</f>
        <v>8514</v>
      </c>
      <c r="R28" s="1216"/>
      <c r="S28" s="1216">
        <f t="shared" si="0"/>
        <v>212850</v>
      </c>
      <c r="T28" s="1217"/>
      <c r="U28" s="423"/>
      <c r="V28" s="421"/>
      <c r="W28" s="1216"/>
      <c r="X28" s="1216"/>
      <c r="Y28" s="1216"/>
      <c r="Z28" s="1374"/>
      <c r="AA28" s="421"/>
      <c r="AB28" s="1218"/>
      <c r="AC28" s="1219"/>
    </row>
    <row r="29" spans="2:29">
      <c r="B29" s="1226"/>
      <c r="C29" s="1215"/>
      <c r="D29" s="1215" t="s">
        <v>832</v>
      </c>
      <c r="E29" s="1215"/>
      <c r="F29" s="1215"/>
      <c r="G29" s="1215"/>
      <c r="H29" s="1215"/>
      <c r="I29" s="1214" t="s">
        <v>848</v>
      </c>
      <c r="J29" s="1214"/>
      <c r="K29" s="1220"/>
      <c r="L29" s="1220"/>
      <c r="M29" s="1221"/>
      <c r="N29" s="423" t="s">
        <v>832</v>
      </c>
      <c r="O29" s="421">
        <f>T8</f>
        <v>81</v>
      </c>
      <c r="P29" s="416">
        <f>ROUNDUP(O29*50%,0)</f>
        <v>41</v>
      </c>
      <c r="Q29" s="1216">
        <f>INT(VLOOKUP(I29,V78:AC83,7,0)*측고급기술자)</f>
        <v>23413</v>
      </c>
      <c r="R29" s="1216"/>
      <c r="S29" s="1216">
        <f t="shared" si="0"/>
        <v>959933</v>
      </c>
      <c r="T29" s="1217"/>
      <c r="U29" s="423"/>
      <c r="V29" s="421"/>
      <c r="W29" s="1216"/>
      <c r="X29" s="1216"/>
      <c r="Y29" s="1216"/>
      <c r="Z29" s="1374"/>
      <c r="AA29" s="421"/>
      <c r="AB29" s="1218"/>
      <c r="AC29" s="1219"/>
    </row>
    <row r="30" spans="2:29">
      <c r="B30" s="1226" t="s">
        <v>833</v>
      </c>
      <c r="C30" s="1215"/>
      <c r="D30" s="1215" t="s">
        <v>834</v>
      </c>
      <c r="E30" s="1215"/>
      <c r="F30" s="1215"/>
      <c r="G30" s="1215"/>
      <c r="H30" s="1215"/>
      <c r="I30" s="1214" t="s">
        <v>754</v>
      </c>
      <c r="J30" s="1214"/>
      <c r="K30" s="1220"/>
      <c r="L30" s="1220"/>
      <c r="M30" s="1221"/>
      <c r="N30" s="423" t="s">
        <v>837</v>
      </c>
      <c r="O30" s="421">
        <f>T9</f>
        <v>5</v>
      </c>
      <c r="P30" s="416">
        <f>ROUNDUP(O30*20%,0)</f>
        <v>1</v>
      </c>
      <c r="Q30" s="1216">
        <f>INT(VLOOKUP(I30,X87:AC88,5,0)*측고급기술자)</f>
        <v>14899</v>
      </c>
      <c r="R30" s="1216"/>
      <c r="S30" s="1216">
        <f t="shared" si="0"/>
        <v>14899</v>
      </c>
      <c r="T30" s="1217"/>
      <c r="U30" s="423"/>
      <c r="V30" s="421"/>
      <c r="W30" s="1216"/>
      <c r="X30" s="1216"/>
      <c r="Y30" s="1216"/>
      <c r="Z30" s="1374"/>
      <c r="AA30" s="421"/>
      <c r="AB30" s="1218"/>
      <c r="AC30" s="1219"/>
    </row>
    <row r="31" spans="2:29">
      <c r="B31" s="1226"/>
      <c r="C31" s="1215"/>
      <c r="D31" s="1215" t="s">
        <v>835</v>
      </c>
      <c r="E31" s="1215"/>
      <c r="F31" s="1215"/>
      <c r="G31" s="1215"/>
      <c r="H31" s="1215"/>
      <c r="I31" s="1214" t="s">
        <v>855</v>
      </c>
      <c r="J31" s="1214"/>
      <c r="K31" s="1220"/>
      <c r="L31" s="1220"/>
      <c r="M31" s="1221"/>
      <c r="N31" s="423" t="s">
        <v>837</v>
      </c>
      <c r="O31" s="421">
        <f>T9</f>
        <v>5</v>
      </c>
      <c r="P31" s="416">
        <f>ROUNDUP(O31*20%,0)</f>
        <v>1</v>
      </c>
      <c r="Q31" s="1216">
        <f>INT(VLOOKUP(I31,X89:AC90,5,0)*측고급기술자)</f>
        <v>34056</v>
      </c>
      <c r="R31" s="1216"/>
      <c r="S31" s="1216">
        <f t="shared" si="0"/>
        <v>34056</v>
      </c>
      <c r="T31" s="1217"/>
      <c r="U31" s="423"/>
      <c r="V31" s="421"/>
      <c r="W31" s="1216"/>
      <c r="X31" s="1216"/>
      <c r="Y31" s="1216"/>
      <c r="Z31" s="1374"/>
      <c r="AA31" s="421"/>
      <c r="AB31" s="1218"/>
      <c r="AC31" s="1219"/>
    </row>
    <row r="32" spans="2:29">
      <c r="B32" s="1265"/>
      <c r="C32" s="1271"/>
      <c r="D32" s="1271" t="s">
        <v>836</v>
      </c>
      <c r="E32" s="1271"/>
      <c r="F32" s="1271"/>
      <c r="G32" s="1271"/>
      <c r="H32" s="1271"/>
      <c r="I32" s="1272" t="s">
        <v>857</v>
      </c>
      <c r="J32" s="1272"/>
      <c r="K32" s="1428"/>
      <c r="L32" s="1428"/>
      <c r="M32" s="1429"/>
      <c r="N32" s="427" t="s">
        <v>837</v>
      </c>
      <c r="O32" s="422">
        <f>T9</f>
        <v>5</v>
      </c>
      <c r="P32" s="418">
        <f>ROUNDUP(O32*20%,0)</f>
        <v>1</v>
      </c>
      <c r="Q32" s="1400">
        <f>INT(VLOOKUP(I32,X91:AC92,5,0)*측고급기술자)</f>
        <v>38313</v>
      </c>
      <c r="R32" s="1400"/>
      <c r="S32" s="1400">
        <f t="shared" si="0"/>
        <v>38313</v>
      </c>
      <c r="T32" s="1471"/>
      <c r="U32" s="424"/>
      <c r="V32" s="431"/>
      <c r="W32" s="1248"/>
      <c r="X32" s="1248"/>
      <c r="Y32" s="1248"/>
      <c r="Z32" s="1480"/>
      <c r="AA32" s="431"/>
      <c r="AB32" s="1481"/>
      <c r="AC32" s="1482"/>
    </row>
    <row r="33" spans="2:29">
      <c r="B33" s="1393" t="s">
        <v>811</v>
      </c>
      <c r="C33" s="1394"/>
      <c r="D33" s="1394"/>
      <c r="E33" s="1394"/>
      <c r="F33" s="1394"/>
      <c r="G33" s="1394"/>
      <c r="H33" s="1394"/>
      <c r="I33" s="1394"/>
      <c r="J33" s="1394"/>
      <c r="K33" s="1394"/>
      <c r="L33" s="1394"/>
      <c r="M33" s="1395"/>
      <c r="N33" s="410"/>
      <c r="O33" s="419"/>
      <c r="P33" s="420"/>
      <c r="Q33" s="1283"/>
      <c r="R33" s="1283"/>
      <c r="S33" s="1283">
        <f>SUM(S14:T32)</f>
        <v>12394316</v>
      </c>
      <c r="T33" s="1284"/>
      <c r="U33" s="432"/>
      <c r="V33" s="433"/>
      <c r="W33" s="1469"/>
      <c r="X33" s="1469"/>
      <c r="Y33" s="1469">
        <f>IF(Y3="실시",SUM(Y14:Z32),"")</f>
        <v>54236495</v>
      </c>
      <c r="Z33" s="1470"/>
      <c r="AA33" s="434"/>
      <c r="AB33" s="1478">
        <f>IF(Y3="실시",SUM(AB14:AC32),"")</f>
        <v>334.54</v>
      </c>
      <c r="AC33" s="1479"/>
    </row>
    <row r="35" spans="2:29">
      <c r="B35" s="448" t="s">
        <v>938</v>
      </c>
      <c r="C35" s="448"/>
      <c r="D35" s="449"/>
      <c r="E35" s="449"/>
    </row>
    <row r="36" spans="2:29">
      <c r="B36" s="473" t="s">
        <v>963</v>
      </c>
      <c r="C36" s="477"/>
      <c r="D36" s="1198" t="str">
        <f>기초자료입력!B5</f>
        <v>원남면 하노2리  일원</v>
      </c>
      <c r="E36" s="1199"/>
      <c r="F36" s="1199"/>
      <c r="G36" s="1199"/>
      <c r="H36" s="1199"/>
      <c r="I36" s="1199"/>
      <c r="J36" s="1199"/>
      <c r="K36" s="1199"/>
      <c r="L36" s="1199"/>
      <c r="M36" s="1199"/>
      <c r="N36" s="1199"/>
      <c r="O36" s="1199"/>
      <c r="P36" s="1200"/>
    </row>
    <row r="37" spans="2:29">
      <c r="B37" s="474" t="s">
        <v>964</v>
      </c>
      <c r="C37" s="475"/>
      <c r="D37" s="1326">
        <f>AB14</f>
        <v>57.000000000000007</v>
      </c>
      <c r="E37" s="1327"/>
      <c r="F37" s="1207" t="s">
        <v>974</v>
      </c>
      <c r="G37" s="1208"/>
      <c r="H37" s="1208"/>
      <c r="I37" s="1208"/>
      <c r="J37" s="1208"/>
      <c r="K37" s="1208"/>
      <c r="L37" s="1208"/>
      <c r="M37" s="1208"/>
      <c r="N37" s="1208"/>
      <c r="O37" s="1208"/>
      <c r="P37" s="1209"/>
    </row>
    <row r="38" spans="2:29">
      <c r="B38" s="474" t="s">
        <v>966</v>
      </c>
      <c r="C38" s="475"/>
      <c r="D38" s="1269"/>
      <c r="E38" s="1270"/>
      <c r="F38" s="1204" t="s">
        <v>975</v>
      </c>
      <c r="G38" s="1205"/>
      <c r="H38" s="1205"/>
      <c r="I38" s="1205"/>
      <c r="J38" s="1205"/>
      <c r="K38" s="1205"/>
      <c r="L38" s="1205"/>
      <c r="M38" s="1205"/>
      <c r="N38" s="1205"/>
      <c r="O38" s="1205"/>
      <c r="P38" s="1206"/>
      <c r="R38" s="448" t="s">
        <v>945</v>
      </c>
    </row>
    <row r="39" spans="2:29">
      <c r="B39" s="476" t="s">
        <v>965</v>
      </c>
      <c r="C39" s="478"/>
      <c r="D39" s="1201" t="s">
        <v>956</v>
      </c>
      <c r="E39" s="1202"/>
      <c r="F39" s="1202"/>
      <c r="G39" s="1202"/>
      <c r="H39" s="1202"/>
      <c r="I39" s="1202"/>
      <c r="J39" s="1202"/>
      <c r="K39" s="1202"/>
      <c r="L39" s="1202"/>
      <c r="M39" s="1202"/>
      <c r="N39" s="1202"/>
      <c r="O39" s="1202"/>
      <c r="P39" s="1203"/>
      <c r="R39" s="1240" t="s">
        <v>946</v>
      </c>
      <c r="S39" s="1241"/>
      <c r="T39" s="1242" t="s">
        <v>947</v>
      </c>
      <c r="U39" s="1243"/>
      <c r="V39" s="1243" t="s">
        <v>948</v>
      </c>
      <c r="W39" s="1243"/>
      <c r="X39" s="485" t="s">
        <v>949</v>
      </c>
      <c r="Y39" s="1243" t="s">
        <v>950</v>
      </c>
      <c r="Z39" s="1243"/>
      <c r="AA39" s="1243" t="s">
        <v>951</v>
      </c>
      <c r="AB39" s="1243"/>
      <c r="AC39" s="486" t="s">
        <v>952</v>
      </c>
    </row>
    <row r="40" spans="2:29">
      <c r="B40" s="449"/>
      <c r="C40" s="449"/>
      <c r="D40" s="449"/>
      <c r="E40" s="449"/>
      <c r="F40" s="449"/>
      <c r="G40" s="449"/>
      <c r="H40" s="449"/>
      <c r="I40" s="449"/>
      <c r="R40" s="1236" t="s">
        <v>183</v>
      </c>
      <c r="S40" s="1237"/>
      <c r="T40" s="1238" t="s">
        <v>973</v>
      </c>
      <c r="U40" s="1239"/>
      <c r="V40" s="1239">
        <f>D37</f>
        <v>57.000000000000007</v>
      </c>
      <c r="W40" s="1239"/>
      <c r="X40" s="483" t="s">
        <v>953</v>
      </c>
      <c r="Y40" s="1472">
        <v>15000</v>
      </c>
      <c r="Z40" s="1472"/>
      <c r="AA40" s="1239">
        <f>IF(Y3="실시",Y40*V40,"")</f>
        <v>855000.00000000012</v>
      </c>
      <c r="AB40" s="1239"/>
      <c r="AC40" s="484" t="s">
        <v>942</v>
      </c>
    </row>
    <row r="41" spans="2:29">
      <c r="B41" s="448" t="s">
        <v>939</v>
      </c>
      <c r="D41" s="448"/>
      <c r="E41" s="449"/>
      <c r="F41" s="449"/>
      <c r="G41" s="449"/>
      <c r="H41" s="449"/>
      <c r="I41" s="449"/>
      <c r="J41" s="450"/>
      <c r="M41" s="448"/>
      <c r="P41" s="405" t="s">
        <v>967</v>
      </c>
      <c r="R41" s="1210" t="s">
        <v>196</v>
      </c>
      <c r="S41" s="1211"/>
      <c r="T41" s="1212" t="s">
        <v>194</v>
      </c>
      <c r="U41" s="1213"/>
      <c r="V41" s="1213">
        <f>V40</f>
        <v>57.000000000000007</v>
      </c>
      <c r="W41" s="1213"/>
      <c r="X41" s="481" t="s">
        <v>953</v>
      </c>
      <c r="Y41" s="1213">
        <f>K44</f>
        <v>20000</v>
      </c>
      <c r="Z41" s="1213"/>
      <c r="AA41" s="1213">
        <f>IF(Y3="실시",Y41*V41,"")</f>
        <v>1140000.0000000002</v>
      </c>
      <c r="AB41" s="1213"/>
      <c r="AC41" s="482"/>
    </row>
    <row r="42" spans="2:29">
      <c r="B42" s="451" t="s">
        <v>958</v>
      </c>
      <c r="C42" s="1242" t="s">
        <v>940</v>
      </c>
      <c r="D42" s="1243"/>
      <c r="E42" s="1243" t="s">
        <v>582</v>
      </c>
      <c r="F42" s="1243"/>
      <c r="G42" s="1243" t="s">
        <v>583</v>
      </c>
      <c r="H42" s="1243"/>
      <c r="I42" s="1243" t="s">
        <v>584</v>
      </c>
      <c r="J42" s="1243"/>
      <c r="K42" s="1243" t="s">
        <v>184</v>
      </c>
      <c r="L42" s="1243"/>
      <c r="M42" s="1243" t="s">
        <v>959</v>
      </c>
      <c r="N42" s="1243"/>
      <c r="O42" s="1243" t="s">
        <v>185</v>
      </c>
      <c r="P42" s="1241"/>
      <c r="R42" s="1210" t="s">
        <v>197</v>
      </c>
      <c r="S42" s="1211"/>
      <c r="T42" s="1212" t="s">
        <v>962</v>
      </c>
      <c r="U42" s="1213"/>
      <c r="V42" s="1474">
        <f>IF(Y3="실시",V41/4,"")</f>
        <v>14.250000000000002</v>
      </c>
      <c r="W42" s="1213"/>
      <c r="X42" s="481" t="s">
        <v>954</v>
      </c>
      <c r="Y42" s="1473">
        <v>30000</v>
      </c>
      <c r="Z42" s="1473"/>
      <c r="AA42" s="1213">
        <f>IF(Y3="실시",Y42*V42,"")</f>
        <v>427500.00000000006</v>
      </c>
      <c r="AB42" s="1213"/>
      <c r="AC42" s="482" t="s">
        <v>942</v>
      </c>
    </row>
    <row r="43" spans="2:29">
      <c r="B43" s="479" t="s">
        <v>941</v>
      </c>
      <c r="C43" s="1238" t="s">
        <v>961</v>
      </c>
      <c r="D43" s="1239"/>
      <c r="E43" s="1239" t="s">
        <v>960</v>
      </c>
      <c r="F43" s="1239"/>
      <c r="G43" s="1239" t="s">
        <v>187</v>
      </c>
      <c r="H43" s="1239"/>
      <c r="I43" s="1239" t="s">
        <v>187</v>
      </c>
      <c r="J43" s="1239"/>
      <c r="K43" s="1239">
        <v>20000</v>
      </c>
      <c r="L43" s="1239"/>
      <c r="M43" s="1239">
        <v>40000</v>
      </c>
      <c r="N43" s="1239"/>
      <c r="O43" s="1239">
        <v>25000</v>
      </c>
      <c r="P43" s="1237"/>
      <c r="R43" s="1263" t="s">
        <v>199</v>
      </c>
      <c r="S43" s="1264"/>
      <c r="T43" s="1244" t="s">
        <v>194</v>
      </c>
      <c r="U43" s="1245"/>
      <c r="V43" s="1245">
        <f>V41</f>
        <v>57.000000000000007</v>
      </c>
      <c r="W43" s="1245"/>
      <c r="X43" s="487" t="s">
        <v>955</v>
      </c>
      <c r="Y43" s="1245">
        <f>TRUNC(O44/3,0)</f>
        <v>6666</v>
      </c>
      <c r="Z43" s="1245"/>
      <c r="AA43" s="1245">
        <f>IF(Y3="실시",Y43*V43,"")</f>
        <v>379962.00000000006</v>
      </c>
      <c r="AB43" s="1245"/>
      <c r="AC43" s="488"/>
    </row>
    <row r="44" spans="2:29">
      <c r="B44" s="480" t="s">
        <v>943</v>
      </c>
      <c r="C44" s="1285" t="s">
        <v>957</v>
      </c>
      <c r="D44" s="1267"/>
      <c r="E44" s="1267" t="s">
        <v>588</v>
      </c>
      <c r="F44" s="1267"/>
      <c r="G44" s="1267" t="s">
        <v>187</v>
      </c>
      <c r="H44" s="1267"/>
      <c r="I44" s="1267" t="s">
        <v>187</v>
      </c>
      <c r="J44" s="1267"/>
      <c r="K44" s="1267">
        <v>20000</v>
      </c>
      <c r="L44" s="1267"/>
      <c r="M44" s="1267">
        <v>30000</v>
      </c>
      <c r="N44" s="1267"/>
      <c r="O44" s="1267">
        <v>20000</v>
      </c>
      <c r="P44" s="1368"/>
      <c r="R44" s="1240" t="s">
        <v>200</v>
      </c>
      <c r="S44" s="1241"/>
      <c r="T44" s="1242"/>
      <c r="U44" s="1243"/>
      <c r="V44" s="1243"/>
      <c r="W44" s="1243"/>
      <c r="X44" s="485"/>
      <c r="Y44" s="1243"/>
      <c r="Z44" s="1243"/>
      <c r="AA44" s="1243">
        <f>IF(Y3="실시",SUM(AA40:AB43),"")</f>
        <v>2802462.0000000005</v>
      </c>
      <c r="AB44" s="1243"/>
      <c r="AC44" s="486"/>
    </row>
    <row r="45" spans="2:29">
      <c r="B45" s="449"/>
      <c r="C45" s="449" t="s">
        <v>944</v>
      </c>
      <c r="D45" s="449"/>
      <c r="E45" s="449"/>
      <c r="F45" s="449"/>
      <c r="G45" s="449"/>
      <c r="H45" s="449"/>
      <c r="I45" s="449"/>
    </row>
    <row r="46" spans="2:29">
      <c r="B46" s="409" t="s">
        <v>863</v>
      </c>
      <c r="C46" s="401"/>
      <c r="D46" s="401"/>
      <c r="E46" s="401"/>
      <c r="F46" s="401"/>
      <c r="G46" s="401"/>
      <c r="AC46" s="405" t="s">
        <v>864</v>
      </c>
    </row>
    <row r="47" spans="2:29">
      <c r="B47" s="402" t="s">
        <v>862</v>
      </c>
      <c r="K47" s="404" t="s">
        <v>865</v>
      </c>
      <c r="R47" s="400" t="s">
        <v>805</v>
      </c>
    </row>
    <row r="48" spans="2:29">
      <c r="B48" s="1268" t="s">
        <v>708</v>
      </c>
      <c r="C48" s="1268"/>
      <c r="D48" s="1268"/>
      <c r="E48" s="1268" t="s">
        <v>709</v>
      </c>
      <c r="F48" s="1268"/>
      <c r="G48" s="1268"/>
      <c r="K48" s="1316" t="s">
        <v>769</v>
      </c>
      <c r="L48" s="1257"/>
      <c r="M48" s="1251" t="s">
        <v>770</v>
      </c>
      <c r="N48" s="1252"/>
      <c r="O48" s="1329" t="s">
        <v>802</v>
      </c>
      <c r="P48" s="1330"/>
      <c r="R48" s="1324" t="s">
        <v>769</v>
      </c>
      <c r="S48" s="1325"/>
      <c r="T48" s="1363" t="s">
        <v>776</v>
      </c>
      <c r="U48" s="1362"/>
      <c r="V48" s="1362"/>
      <c r="W48" s="1362"/>
      <c r="X48" s="1362"/>
      <c r="Y48" s="1362"/>
      <c r="Z48" s="1362"/>
      <c r="AA48" s="1362"/>
      <c r="AB48" s="1362"/>
      <c r="AC48" s="1325"/>
    </row>
    <row r="49" spans="1:29">
      <c r="B49" s="1276" t="s">
        <v>690</v>
      </c>
      <c r="C49" s="1276"/>
      <c r="D49" s="1276"/>
      <c r="E49" s="1276" t="s">
        <v>710</v>
      </c>
      <c r="F49" s="1276"/>
      <c r="G49" s="1276"/>
      <c r="K49" s="1228" t="s">
        <v>699</v>
      </c>
      <c r="L49" s="1230"/>
      <c r="M49" s="1250" t="s">
        <v>771</v>
      </c>
      <c r="N49" s="1229"/>
      <c r="O49" s="1254">
        <v>7.0000000000000007E-2</v>
      </c>
      <c r="P49" s="1315"/>
      <c r="R49" s="1223"/>
      <c r="S49" s="1225"/>
      <c r="T49" s="1273" t="s">
        <v>777</v>
      </c>
      <c r="U49" s="1224"/>
      <c r="V49" s="1224" t="s">
        <v>778</v>
      </c>
      <c r="W49" s="1224"/>
      <c r="X49" s="1224" t="s">
        <v>28</v>
      </c>
      <c r="Y49" s="1224"/>
      <c r="Z49" s="1364" t="s">
        <v>37</v>
      </c>
      <c r="AA49" s="1364"/>
      <c r="AB49" s="1224" t="s">
        <v>779</v>
      </c>
      <c r="AC49" s="1225"/>
    </row>
    <row r="50" spans="1:29">
      <c r="B50" s="1235" t="s">
        <v>691</v>
      </c>
      <c r="C50" s="1235"/>
      <c r="D50" s="1235"/>
      <c r="E50" s="1235" t="s">
        <v>710</v>
      </c>
      <c r="F50" s="1235"/>
      <c r="G50" s="1235"/>
      <c r="K50" s="1226" t="s">
        <v>772</v>
      </c>
      <c r="L50" s="1227"/>
      <c r="M50" s="1234" t="s">
        <v>773</v>
      </c>
      <c r="N50" s="1215"/>
      <c r="O50" s="1258">
        <v>0.06</v>
      </c>
      <c r="P50" s="1259"/>
      <c r="R50" s="1228" t="s">
        <v>780</v>
      </c>
      <c r="S50" s="1230"/>
      <c r="T50" s="1253">
        <v>0.01</v>
      </c>
      <c r="U50" s="1254"/>
      <c r="V50" s="1254">
        <v>0</v>
      </c>
      <c r="W50" s="1254"/>
      <c r="X50" s="1254">
        <v>0</v>
      </c>
      <c r="Y50" s="1254"/>
      <c r="Z50" s="1254">
        <v>0</v>
      </c>
      <c r="AA50" s="1254"/>
      <c r="AB50" s="1254">
        <v>0</v>
      </c>
      <c r="AC50" s="1315"/>
    </row>
    <row r="51" spans="1:29">
      <c r="B51" s="1235" t="s">
        <v>692</v>
      </c>
      <c r="C51" s="1235"/>
      <c r="D51" s="1235"/>
      <c r="E51" s="1235" t="s">
        <v>710</v>
      </c>
      <c r="F51" s="1235"/>
      <c r="G51" s="1235"/>
      <c r="K51" s="1223" t="s">
        <v>774</v>
      </c>
      <c r="L51" s="1225"/>
      <c r="M51" s="1273" t="s">
        <v>775</v>
      </c>
      <c r="N51" s="1224"/>
      <c r="O51" s="1290">
        <v>0.02</v>
      </c>
      <c r="P51" s="1291"/>
      <c r="R51" s="1226" t="s">
        <v>700</v>
      </c>
      <c r="S51" s="1227"/>
      <c r="T51" s="1346">
        <v>0.17</v>
      </c>
      <c r="U51" s="1258"/>
      <c r="V51" s="1258">
        <v>0.17</v>
      </c>
      <c r="W51" s="1258"/>
      <c r="X51" s="1258">
        <v>0.17</v>
      </c>
      <c r="Y51" s="1258"/>
      <c r="Z51" s="1258">
        <v>0.22</v>
      </c>
      <c r="AA51" s="1258"/>
      <c r="AB51" s="1258">
        <v>0.04</v>
      </c>
      <c r="AC51" s="1259"/>
    </row>
    <row r="52" spans="1:29">
      <c r="A52" s="403"/>
      <c r="B52" s="1235" t="s">
        <v>693</v>
      </c>
      <c r="C52" s="1235"/>
      <c r="D52" s="1235"/>
      <c r="E52" s="1235" t="s">
        <v>711</v>
      </c>
      <c r="F52" s="1235"/>
      <c r="G52" s="1235"/>
      <c r="I52" s="403"/>
      <c r="J52" s="403"/>
      <c r="K52" s="403"/>
      <c r="L52" s="403"/>
      <c r="M52" s="403"/>
      <c r="N52" s="403"/>
      <c r="R52" s="1226" t="s">
        <v>715</v>
      </c>
      <c r="S52" s="1227"/>
      <c r="T52" s="1346">
        <v>0.51</v>
      </c>
      <c r="U52" s="1258"/>
      <c r="V52" s="1258">
        <v>0.52</v>
      </c>
      <c r="W52" s="1258"/>
      <c r="X52" s="1258">
        <v>0.51</v>
      </c>
      <c r="Y52" s="1258"/>
      <c r="Z52" s="1258">
        <v>1.03</v>
      </c>
      <c r="AA52" s="1258"/>
      <c r="AB52" s="1258">
        <v>0</v>
      </c>
      <c r="AC52" s="1259"/>
    </row>
    <row r="53" spans="1:29">
      <c r="B53" s="1235" t="s">
        <v>712</v>
      </c>
      <c r="C53" s="1235"/>
      <c r="D53" s="1235"/>
      <c r="E53" s="1235" t="s">
        <v>711</v>
      </c>
      <c r="F53" s="1235"/>
      <c r="G53" s="1235"/>
      <c r="I53" s="404" t="s">
        <v>866</v>
      </c>
      <c r="R53" s="1265" t="s">
        <v>716</v>
      </c>
      <c r="S53" s="1266"/>
      <c r="T53" s="1344">
        <v>0.11</v>
      </c>
      <c r="U53" s="1345"/>
      <c r="V53" s="1345">
        <v>0.11</v>
      </c>
      <c r="W53" s="1345"/>
      <c r="X53" s="1345">
        <v>0.23</v>
      </c>
      <c r="Y53" s="1345"/>
      <c r="Z53" s="1345">
        <v>0</v>
      </c>
      <c r="AA53" s="1345"/>
      <c r="AB53" s="1345">
        <v>0</v>
      </c>
      <c r="AC53" s="1357"/>
    </row>
    <row r="54" spans="1:29">
      <c r="B54" s="1235" t="s">
        <v>840</v>
      </c>
      <c r="C54" s="1235"/>
      <c r="D54" s="1235"/>
      <c r="E54" s="1235" t="s">
        <v>841</v>
      </c>
      <c r="F54" s="1235"/>
      <c r="G54" s="1235"/>
      <c r="I54" s="1316" t="s">
        <v>785</v>
      </c>
      <c r="J54" s="1257"/>
      <c r="K54" s="1251" t="s">
        <v>786</v>
      </c>
      <c r="L54" s="1252"/>
      <c r="M54" s="1329" t="s">
        <v>802</v>
      </c>
      <c r="N54" s="1330"/>
      <c r="R54" s="1316" t="s">
        <v>200</v>
      </c>
      <c r="S54" s="1257"/>
      <c r="T54" s="1355">
        <f>SUM(T50:T53)</f>
        <v>0.8</v>
      </c>
      <c r="U54" s="1354"/>
      <c r="V54" s="1354">
        <f>SUM(V50:V53)</f>
        <v>0.8</v>
      </c>
      <c r="W54" s="1354"/>
      <c r="X54" s="1354">
        <f>SUM(X50:X53)</f>
        <v>0.91</v>
      </c>
      <c r="Y54" s="1354"/>
      <c r="Z54" s="1354">
        <f>SUM(Z50:Z53)</f>
        <v>1.25</v>
      </c>
      <c r="AA54" s="1354"/>
      <c r="AB54" s="1354">
        <f>SUM(AB50:AB53)</f>
        <v>0.04</v>
      </c>
      <c r="AC54" s="1356"/>
    </row>
    <row r="55" spans="1:29">
      <c r="B55" s="1235" t="s">
        <v>694</v>
      </c>
      <c r="C55" s="1235"/>
      <c r="D55" s="1235"/>
      <c r="E55" s="1235" t="s">
        <v>711</v>
      </c>
      <c r="F55" s="1235"/>
      <c r="G55" s="1235"/>
      <c r="I55" s="1375" t="s">
        <v>787</v>
      </c>
      <c r="J55" s="1376"/>
      <c r="K55" s="1383">
        <v>4800</v>
      </c>
      <c r="L55" s="1384"/>
      <c r="M55" s="1254">
        <v>0.12</v>
      </c>
      <c r="N55" s="1315"/>
      <c r="O55" s="403"/>
      <c r="R55" s="400" t="s">
        <v>803</v>
      </c>
    </row>
    <row r="56" spans="1:29">
      <c r="B56" s="1235" t="s">
        <v>713</v>
      </c>
      <c r="C56" s="1235"/>
      <c r="D56" s="1235"/>
      <c r="E56" s="1235" t="s">
        <v>711</v>
      </c>
      <c r="F56" s="1235"/>
      <c r="G56" s="1235"/>
      <c r="I56" s="1274" t="s">
        <v>701</v>
      </c>
      <c r="J56" s="1275"/>
      <c r="K56" s="1317">
        <v>7500</v>
      </c>
      <c r="L56" s="1318"/>
      <c r="M56" s="1258">
        <v>0.14000000000000001</v>
      </c>
      <c r="N56" s="1259"/>
      <c r="R56" s="1324" t="s">
        <v>769</v>
      </c>
      <c r="S56" s="1325"/>
      <c r="T56" s="1363" t="s">
        <v>776</v>
      </c>
      <c r="U56" s="1362"/>
      <c r="V56" s="1362"/>
      <c r="W56" s="1362"/>
      <c r="X56" s="1362"/>
      <c r="Y56" s="1362"/>
      <c r="Z56" s="1362"/>
      <c r="AA56" s="1362"/>
      <c r="AB56" s="1362"/>
      <c r="AC56" s="1325"/>
    </row>
    <row r="57" spans="1:29">
      <c r="B57" s="1235" t="s">
        <v>695</v>
      </c>
      <c r="C57" s="1235"/>
      <c r="D57" s="1235"/>
      <c r="E57" s="1235" t="s">
        <v>711</v>
      </c>
      <c r="F57" s="1235"/>
      <c r="G57" s="1235"/>
      <c r="I57" s="1274" t="s">
        <v>702</v>
      </c>
      <c r="J57" s="1275"/>
      <c r="K57" s="1317">
        <v>10800</v>
      </c>
      <c r="L57" s="1318"/>
      <c r="M57" s="1258">
        <v>0.19</v>
      </c>
      <c r="N57" s="1259"/>
      <c r="R57" s="1223"/>
      <c r="S57" s="1225"/>
      <c r="T57" s="1273" t="s">
        <v>777</v>
      </c>
      <c r="U57" s="1224"/>
      <c r="V57" s="1224" t="s">
        <v>778</v>
      </c>
      <c r="W57" s="1224"/>
      <c r="X57" s="1224" t="s">
        <v>28</v>
      </c>
      <c r="Y57" s="1224"/>
      <c r="Z57" s="1364" t="s">
        <v>807</v>
      </c>
      <c r="AA57" s="1364"/>
      <c r="AB57" s="1224" t="s">
        <v>779</v>
      </c>
      <c r="AC57" s="1225"/>
    </row>
    <row r="58" spans="1:29">
      <c r="B58" s="1235" t="s">
        <v>696</v>
      </c>
      <c r="C58" s="1235"/>
      <c r="D58" s="1235"/>
      <c r="E58" s="1235" t="s">
        <v>711</v>
      </c>
      <c r="F58" s="1235"/>
      <c r="G58" s="1235"/>
      <c r="I58" s="1274" t="s">
        <v>703</v>
      </c>
      <c r="J58" s="1275"/>
      <c r="K58" s="1317">
        <v>30000</v>
      </c>
      <c r="L58" s="1318"/>
      <c r="M58" s="1258">
        <v>0.35</v>
      </c>
      <c r="N58" s="1259"/>
      <c r="R58" s="1228" t="s">
        <v>780</v>
      </c>
      <c r="S58" s="1230"/>
      <c r="T58" s="1253">
        <v>0.01</v>
      </c>
      <c r="U58" s="1254"/>
      <c r="V58" s="1254">
        <v>0</v>
      </c>
      <c r="W58" s="1254"/>
      <c r="X58" s="1254">
        <v>0</v>
      </c>
      <c r="Y58" s="1254"/>
      <c r="Z58" s="1254">
        <v>0</v>
      </c>
      <c r="AA58" s="1254"/>
      <c r="AB58" s="1254">
        <v>0</v>
      </c>
      <c r="AC58" s="1315"/>
    </row>
    <row r="59" spans="1:29">
      <c r="B59" s="1235" t="s">
        <v>697</v>
      </c>
      <c r="C59" s="1235"/>
      <c r="D59" s="1235"/>
      <c r="E59" s="1235" t="s">
        <v>711</v>
      </c>
      <c r="F59" s="1235"/>
      <c r="G59" s="1235"/>
      <c r="I59" s="1274" t="s">
        <v>704</v>
      </c>
      <c r="J59" s="1275"/>
      <c r="K59" s="1317">
        <v>43200</v>
      </c>
      <c r="L59" s="1318"/>
      <c r="M59" s="1258">
        <v>0.43</v>
      </c>
      <c r="N59" s="1259"/>
      <c r="R59" s="1226" t="s">
        <v>781</v>
      </c>
      <c r="S59" s="1227"/>
      <c r="T59" s="1346">
        <v>0</v>
      </c>
      <c r="U59" s="1258"/>
      <c r="V59" s="1258">
        <v>0.03</v>
      </c>
      <c r="W59" s="1258"/>
      <c r="X59" s="1258">
        <v>0</v>
      </c>
      <c r="Y59" s="1258"/>
      <c r="Z59" s="1258">
        <v>0</v>
      </c>
      <c r="AA59" s="1258"/>
      <c r="AB59" s="1258">
        <v>0</v>
      </c>
      <c r="AC59" s="1259"/>
    </row>
    <row r="60" spans="1:29">
      <c r="B60" s="1328" t="s">
        <v>842</v>
      </c>
      <c r="C60" s="1328"/>
      <c r="D60" s="1328"/>
      <c r="E60" s="1328" t="s">
        <v>711</v>
      </c>
      <c r="F60" s="1328"/>
      <c r="G60" s="1328"/>
      <c r="I60" s="1274" t="s">
        <v>705</v>
      </c>
      <c r="J60" s="1275"/>
      <c r="K60" s="1317">
        <v>120000</v>
      </c>
      <c r="L60" s="1318"/>
      <c r="M60" s="1258">
        <v>0.91</v>
      </c>
      <c r="N60" s="1259"/>
      <c r="R60" s="1226" t="s">
        <v>782</v>
      </c>
      <c r="S60" s="1227"/>
      <c r="T60" s="1346">
        <v>7.0000000000000007E-2</v>
      </c>
      <c r="U60" s="1258"/>
      <c r="V60" s="1258">
        <v>0.3</v>
      </c>
      <c r="W60" s="1258"/>
      <c r="X60" s="1258">
        <v>0.3</v>
      </c>
      <c r="Y60" s="1258"/>
      <c r="Z60" s="1258">
        <v>0.3</v>
      </c>
      <c r="AA60" s="1258"/>
      <c r="AB60" s="1258">
        <v>0.3</v>
      </c>
      <c r="AC60" s="1259"/>
    </row>
    <row r="61" spans="1:29">
      <c r="I61" s="1274" t="s">
        <v>698</v>
      </c>
      <c r="J61" s="1275"/>
      <c r="K61" s="1317">
        <v>172800</v>
      </c>
      <c r="L61" s="1318"/>
      <c r="M61" s="1258">
        <v>1.28</v>
      </c>
      <c r="N61" s="1259"/>
      <c r="R61" s="1265" t="s">
        <v>783</v>
      </c>
      <c r="S61" s="1266"/>
      <c r="T61" s="1344">
        <v>0.01</v>
      </c>
      <c r="U61" s="1345"/>
      <c r="V61" s="1345">
        <v>0.02</v>
      </c>
      <c r="W61" s="1345"/>
      <c r="X61" s="1345">
        <v>0</v>
      </c>
      <c r="Y61" s="1345"/>
      <c r="Z61" s="1345">
        <v>0</v>
      </c>
      <c r="AA61" s="1345"/>
      <c r="AB61" s="1345">
        <v>0</v>
      </c>
      <c r="AC61" s="1357"/>
    </row>
    <row r="62" spans="1:29">
      <c r="I62" s="1322" t="s">
        <v>760</v>
      </c>
      <c r="J62" s="1323"/>
      <c r="K62" s="1360">
        <v>750000</v>
      </c>
      <c r="L62" s="1361"/>
      <c r="M62" s="1290">
        <v>2.56</v>
      </c>
      <c r="N62" s="1291"/>
      <c r="R62" s="1316" t="s">
        <v>784</v>
      </c>
      <c r="S62" s="1257"/>
      <c r="T62" s="1355">
        <f>SUM(T58:T61)</f>
        <v>0.09</v>
      </c>
      <c r="U62" s="1354"/>
      <c r="V62" s="1354">
        <f>SUM(V58:V61)</f>
        <v>0.35</v>
      </c>
      <c r="W62" s="1354"/>
      <c r="X62" s="1354">
        <f>SUM(X58:X61)</f>
        <v>0.3</v>
      </c>
      <c r="Y62" s="1354"/>
      <c r="Z62" s="1354">
        <f>SUM(Z58:Z61)</f>
        <v>0.3</v>
      </c>
      <c r="AA62" s="1354"/>
      <c r="AB62" s="1354">
        <f>SUM(AB58:AB61)</f>
        <v>0.3</v>
      </c>
      <c r="AC62" s="1356"/>
    </row>
    <row r="63" spans="1:29" s="436" customFormat="1" ht="7.2">
      <c r="I63" s="437"/>
      <c r="J63" s="437"/>
      <c r="K63" s="438"/>
      <c r="L63" s="438"/>
      <c r="M63" s="439"/>
      <c r="N63" s="439"/>
      <c r="R63" s="440"/>
      <c r="S63" s="440"/>
      <c r="T63" s="439"/>
      <c r="U63" s="439"/>
      <c r="V63" s="439"/>
      <c r="W63" s="439"/>
      <c r="X63" s="439"/>
      <c r="Y63" s="439"/>
      <c r="Z63" s="439"/>
      <c r="AA63" s="439"/>
      <c r="AB63" s="439"/>
      <c r="AC63" s="439"/>
    </row>
    <row r="64" spans="1:29">
      <c r="A64" s="404"/>
      <c r="B64" s="404" t="s">
        <v>867</v>
      </c>
      <c r="J64" s="403"/>
      <c r="K64" s="404" t="s">
        <v>868</v>
      </c>
      <c r="R64" s="403"/>
      <c r="S64" s="403"/>
      <c r="T64" s="403"/>
    </row>
    <row r="65" spans="1:29">
      <c r="A65" s="404"/>
      <c r="B65" s="1316" t="s">
        <v>788</v>
      </c>
      <c r="C65" s="1257"/>
      <c r="D65" s="1251" t="s">
        <v>789</v>
      </c>
      <c r="E65" s="1252"/>
      <c r="F65" s="1252" t="s">
        <v>790</v>
      </c>
      <c r="G65" s="1252"/>
      <c r="H65" s="1329" t="s">
        <v>802</v>
      </c>
      <c r="I65" s="1330"/>
      <c r="J65" s="403"/>
      <c r="K65" s="1321" t="s">
        <v>788</v>
      </c>
      <c r="L65" s="1321"/>
      <c r="M65" s="1316" t="s">
        <v>706</v>
      </c>
      <c r="N65" s="1252"/>
      <c r="O65" s="1329" t="s">
        <v>877</v>
      </c>
      <c r="P65" s="1329"/>
      <c r="Q65" s="1329"/>
      <c r="R65" s="1329"/>
      <c r="S65" s="1330"/>
    </row>
    <row r="66" spans="1:29">
      <c r="A66" s="404"/>
      <c r="B66" s="1228" t="s">
        <v>791</v>
      </c>
      <c r="C66" s="1230"/>
      <c r="D66" s="1250" t="s">
        <v>792</v>
      </c>
      <c r="E66" s="1229"/>
      <c r="F66" s="1229" t="s">
        <v>849</v>
      </c>
      <c r="G66" s="1229"/>
      <c r="H66" s="1254">
        <v>0.02</v>
      </c>
      <c r="I66" s="1315"/>
      <c r="J66" s="403"/>
      <c r="K66" s="1320" t="s">
        <v>707</v>
      </c>
      <c r="L66" s="1320"/>
      <c r="M66" s="1324" t="s">
        <v>794</v>
      </c>
      <c r="N66" s="1362"/>
      <c r="O66" s="1255">
        <v>1</v>
      </c>
      <c r="P66" s="1255"/>
      <c r="Q66" s="1255"/>
      <c r="R66" s="1255"/>
      <c r="S66" s="1256"/>
    </row>
    <row r="67" spans="1:29">
      <c r="A67" s="404"/>
      <c r="B67" s="1223" t="s">
        <v>793</v>
      </c>
      <c r="C67" s="1225"/>
      <c r="D67" s="1273"/>
      <c r="E67" s="1224"/>
      <c r="F67" s="1224"/>
      <c r="G67" s="1224"/>
      <c r="H67" s="1290"/>
      <c r="I67" s="1291"/>
      <c r="J67" s="403"/>
      <c r="K67" s="1319" t="s">
        <v>795</v>
      </c>
      <c r="L67" s="1319"/>
      <c r="M67" s="1223" t="s">
        <v>794</v>
      </c>
      <c r="N67" s="1224"/>
      <c r="O67" s="1290">
        <v>1.64</v>
      </c>
      <c r="P67" s="1290"/>
      <c r="Q67" s="1290"/>
      <c r="R67" s="1290"/>
      <c r="S67" s="1291"/>
    </row>
    <row r="68" spans="1:29" s="436" customFormat="1" ht="7.2">
      <c r="A68" s="441"/>
      <c r="B68" s="440"/>
      <c r="C68" s="440"/>
      <c r="D68" s="440"/>
      <c r="E68" s="440"/>
      <c r="F68" s="439"/>
      <c r="G68" s="439"/>
      <c r="I68" s="439"/>
      <c r="J68" s="439"/>
      <c r="K68" s="439"/>
      <c r="L68" s="439"/>
    </row>
    <row r="69" spans="1:29">
      <c r="B69" s="400" t="s">
        <v>895</v>
      </c>
      <c r="M69" s="400" t="s">
        <v>881</v>
      </c>
      <c r="V69" s="400" t="s">
        <v>880</v>
      </c>
    </row>
    <row r="70" spans="1:29">
      <c r="B70" s="1311" t="s">
        <v>718</v>
      </c>
      <c r="C70" s="1312"/>
      <c r="D70" s="1286" t="s">
        <v>719</v>
      </c>
      <c r="E70" s="1287"/>
      <c r="F70" s="1287" t="s">
        <v>720</v>
      </c>
      <c r="G70" s="1287"/>
      <c r="H70" s="1287" t="s">
        <v>804</v>
      </c>
      <c r="I70" s="1287"/>
      <c r="J70" s="1287"/>
      <c r="K70" s="1312"/>
      <c r="M70" s="1311" t="s">
        <v>718</v>
      </c>
      <c r="N70" s="1312"/>
      <c r="O70" s="1286" t="s">
        <v>719</v>
      </c>
      <c r="P70" s="1287"/>
      <c r="Q70" s="1287" t="s">
        <v>720</v>
      </c>
      <c r="R70" s="1287"/>
      <c r="S70" s="1287" t="s">
        <v>804</v>
      </c>
      <c r="T70" s="1312"/>
      <c r="V70" s="1311" t="s">
        <v>718</v>
      </c>
      <c r="W70" s="1312"/>
      <c r="X70" s="1286" t="s">
        <v>719</v>
      </c>
      <c r="Y70" s="1287"/>
      <c r="Z70" s="1287" t="s">
        <v>720</v>
      </c>
      <c r="AA70" s="1287"/>
      <c r="AB70" s="1287" t="s">
        <v>804</v>
      </c>
      <c r="AC70" s="1312"/>
    </row>
    <row r="71" spans="1:29">
      <c r="B71" s="1298"/>
      <c r="C71" s="1299"/>
      <c r="D71" s="1288"/>
      <c r="E71" s="1289"/>
      <c r="F71" s="1289"/>
      <c r="G71" s="1289"/>
      <c r="H71" s="1289" t="s">
        <v>721</v>
      </c>
      <c r="I71" s="1289"/>
      <c r="J71" s="1289" t="s">
        <v>695</v>
      </c>
      <c r="K71" s="1299"/>
      <c r="M71" s="1298"/>
      <c r="N71" s="1299"/>
      <c r="O71" s="1288"/>
      <c r="P71" s="1289"/>
      <c r="Q71" s="1289"/>
      <c r="R71" s="1289"/>
      <c r="S71" s="1289" t="s">
        <v>695</v>
      </c>
      <c r="T71" s="1299"/>
      <c r="V71" s="1298"/>
      <c r="W71" s="1299"/>
      <c r="X71" s="1288"/>
      <c r="Y71" s="1289"/>
      <c r="Z71" s="1289"/>
      <c r="AA71" s="1289"/>
      <c r="AB71" s="1289" t="s">
        <v>695</v>
      </c>
      <c r="AC71" s="1299"/>
    </row>
    <row r="72" spans="1:29">
      <c r="B72" s="1306" t="s">
        <v>724</v>
      </c>
      <c r="C72" s="1307"/>
      <c r="D72" s="1300" t="s">
        <v>722</v>
      </c>
      <c r="E72" s="1301"/>
      <c r="F72" s="1349" t="s">
        <v>723</v>
      </c>
      <c r="G72" s="1301"/>
      <c r="H72" s="1254">
        <v>0.2</v>
      </c>
      <c r="I72" s="1254"/>
      <c r="J72" s="1254">
        <v>0.19</v>
      </c>
      <c r="K72" s="1315"/>
      <c r="M72" s="1306" t="s">
        <v>724</v>
      </c>
      <c r="N72" s="1307"/>
      <c r="O72" s="1300" t="s">
        <v>722</v>
      </c>
      <c r="P72" s="1301"/>
      <c r="Q72" s="1349" t="s">
        <v>723</v>
      </c>
      <c r="R72" s="1301"/>
      <c r="S72" s="1254">
        <v>0.14000000000000001</v>
      </c>
      <c r="T72" s="1315"/>
      <c r="V72" s="1277" t="s">
        <v>725</v>
      </c>
      <c r="W72" s="1278"/>
      <c r="X72" s="1300" t="s">
        <v>878</v>
      </c>
      <c r="Y72" s="1301"/>
      <c r="Z72" s="1349" t="s">
        <v>879</v>
      </c>
      <c r="AA72" s="1301"/>
      <c r="AB72" s="1258">
        <v>0.3</v>
      </c>
      <c r="AC72" s="1259"/>
    </row>
    <row r="73" spans="1:29">
      <c r="B73" s="1277" t="s">
        <v>725</v>
      </c>
      <c r="C73" s="1278"/>
      <c r="D73" s="1302"/>
      <c r="E73" s="1303"/>
      <c r="F73" s="1350"/>
      <c r="G73" s="1303"/>
      <c r="H73" s="1258">
        <v>0.4</v>
      </c>
      <c r="I73" s="1258"/>
      <c r="J73" s="1258">
        <v>0.56000000000000005</v>
      </c>
      <c r="K73" s="1259"/>
      <c r="M73" s="1277" t="s">
        <v>725</v>
      </c>
      <c r="N73" s="1278"/>
      <c r="O73" s="1302"/>
      <c r="P73" s="1303"/>
      <c r="Q73" s="1350"/>
      <c r="R73" s="1303"/>
      <c r="S73" s="1258">
        <v>0.17</v>
      </c>
      <c r="T73" s="1259"/>
      <c r="V73" s="1279" t="s">
        <v>728</v>
      </c>
      <c r="W73" s="1280"/>
      <c r="X73" s="1304"/>
      <c r="Y73" s="1305"/>
      <c r="Z73" s="1351"/>
      <c r="AA73" s="1305"/>
      <c r="AB73" s="1290">
        <v>0.45</v>
      </c>
      <c r="AC73" s="1291"/>
    </row>
    <row r="74" spans="1:29">
      <c r="B74" s="1277" t="s">
        <v>726</v>
      </c>
      <c r="C74" s="1278"/>
      <c r="D74" s="1302"/>
      <c r="E74" s="1303"/>
      <c r="F74" s="1350"/>
      <c r="G74" s="1303"/>
      <c r="H74" s="1258">
        <v>0.5</v>
      </c>
      <c r="I74" s="1258"/>
      <c r="J74" s="1258">
        <v>0.59</v>
      </c>
      <c r="K74" s="1259"/>
      <c r="M74" s="1277" t="s">
        <v>726</v>
      </c>
      <c r="N74" s="1278"/>
      <c r="O74" s="1302"/>
      <c r="P74" s="1303"/>
      <c r="Q74" s="1350"/>
      <c r="R74" s="1303"/>
      <c r="S74" s="1258">
        <v>0.2</v>
      </c>
      <c r="T74" s="1259"/>
    </row>
    <row r="75" spans="1:29">
      <c r="B75" s="1277" t="s">
        <v>727</v>
      </c>
      <c r="C75" s="1278"/>
      <c r="D75" s="1302"/>
      <c r="E75" s="1303"/>
      <c r="F75" s="1350"/>
      <c r="G75" s="1303"/>
      <c r="H75" s="1258">
        <v>0.6</v>
      </c>
      <c r="I75" s="1258"/>
      <c r="J75" s="1258">
        <v>0.71</v>
      </c>
      <c r="K75" s="1259"/>
      <c r="M75" s="1277" t="s">
        <v>727</v>
      </c>
      <c r="N75" s="1278"/>
      <c r="O75" s="1302"/>
      <c r="P75" s="1303"/>
      <c r="Q75" s="1350"/>
      <c r="R75" s="1303"/>
      <c r="S75" s="1258">
        <v>0.4</v>
      </c>
      <c r="T75" s="1259"/>
      <c r="V75" s="404" t="s">
        <v>872</v>
      </c>
    </row>
    <row r="76" spans="1:29">
      <c r="B76" s="1277" t="s">
        <v>728</v>
      </c>
      <c r="C76" s="1278"/>
      <c r="D76" s="1302"/>
      <c r="E76" s="1303"/>
      <c r="F76" s="1350"/>
      <c r="G76" s="1303"/>
      <c r="H76" s="1258">
        <v>1</v>
      </c>
      <c r="I76" s="1258"/>
      <c r="J76" s="1258">
        <v>1.22</v>
      </c>
      <c r="K76" s="1259"/>
      <c r="M76" s="1277" t="s">
        <v>728</v>
      </c>
      <c r="N76" s="1278"/>
      <c r="O76" s="1302"/>
      <c r="P76" s="1303"/>
      <c r="Q76" s="1350"/>
      <c r="R76" s="1303"/>
      <c r="S76" s="1258">
        <v>0.8</v>
      </c>
      <c r="T76" s="1259"/>
      <c r="V76" s="1308" t="s">
        <v>730</v>
      </c>
      <c r="W76" s="1293"/>
      <c r="X76" s="1343" t="s">
        <v>748</v>
      </c>
      <c r="Y76" s="1292"/>
      <c r="Z76" s="1292" t="s">
        <v>47</v>
      </c>
      <c r="AA76" s="1292"/>
      <c r="AB76" s="1292" t="s">
        <v>804</v>
      </c>
      <c r="AC76" s="1293"/>
    </row>
    <row r="77" spans="1:29">
      <c r="B77" s="1279" t="s">
        <v>729</v>
      </c>
      <c r="C77" s="1280"/>
      <c r="D77" s="1304"/>
      <c r="E77" s="1305"/>
      <c r="F77" s="1351"/>
      <c r="G77" s="1305"/>
      <c r="H77" s="1290">
        <v>2</v>
      </c>
      <c r="I77" s="1290"/>
      <c r="J77" s="1290">
        <v>3.06</v>
      </c>
      <c r="K77" s="1291"/>
      <c r="M77" s="1279" t="s">
        <v>729</v>
      </c>
      <c r="N77" s="1280"/>
      <c r="O77" s="1304"/>
      <c r="P77" s="1305"/>
      <c r="Q77" s="1351"/>
      <c r="R77" s="1305"/>
      <c r="S77" s="1290">
        <v>2.25</v>
      </c>
      <c r="T77" s="1291"/>
      <c r="V77" s="1295" t="s">
        <v>749</v>
      </c>
      <c r="W77" s="1297"/>
      <c r="X77" s="1337"/>
      <c r="Y77" s="1296"/>
      <c r="Z77" s="1296" t="s">
        <v>750</v>
      </c>
      <c r="AA77" s="1296"/>
      <c r="AB77" s="1254">
        <v>0.04</v>
      </c>
      <c r="AC77" s="1315"/>
    </row>
    <row r="78" spans="1:29">
      <c r="B78" s="407"/>
      <c r="C78" s="407"/>
      <c r="D78" s="408"/>
      <c r="E78" s="408"/>
      <c r="F78" s="408"/>
      <c r="G78" s="408"/>
      <c r="H78" s="403"/>
      <c r="I78" s="403"/>
      <c r="J78" s="403"/>
      <c r="K78" s="403"/>
      <c r="M78" s="407"/>
      <c r="N78" s="407"/>
      <c r="O78" s="408"/>
      <c r="P78" s="408"/>
      <c r="Q78" s="408"/>
      <c r="R78" s="408"/>
      <c r="S78" s="403"/>
      <c r="T78" s="403"/>
      <c r="V78" s="1277" t="s">
        <v>762</v>
      </c>
      <c r="W78" s="1278"/>
      <c r="X78" s="1338" t="s">
        <v>878</v>
      </c>
      <c r="Y78" s="1261"/>
      <c r="Z78" s="1261" t="s">
        <v>879</v>
      </c>
      <c r="AA78" s="1261"/>
      <c r="AB78" s="1258">
        <v>0.03</v>
      </c>
      <c r="AC78" s="1259"/>
    </row>
    <row r="79" spans="1:29">
      <c r="B79" s="404" t="s">
        <v>869</v>
      </c>
      <c r="I79" s="400" t="s">
        <v>801</v>
      </c>
      <c r="V79" s="1309" t="s">
        <v>763</v>
      </c>
      <c r="W79" s="1310"/>
      <c r="X79" s="1338" t="s">
        <v>717</v>
      </c>
      <c r="Y79" s="1261"/>
      <c r="Z79" s="1261" t="s">
        <v>751</v>
      </c>
      <c r="AA79" s="1261"/>
      <c r="AB79" s="1258">
        <v>0.1</v>
      </c>
      <c r="AC79" s="1259"/>
    </row>
    <row r="80" spans="1:29">
      <c r="B80" s="400" t="s">
        <v>800</v>
      </c>
      <c r="I80" s="1300" t="s">
        <v>73</v>
      </c>
      <c r="J80" s="1352"/>
      <c r="K80" s="1286" t="s">
        <v>806</v>
      </c>
      <c r="L80" s="1287"/>
      <c r="M80" s="1287"/>
      <c r="N80" s="1287"/>
      <c r="O80" s="1287"/>
      <c r="P80" s="1287"/>
      <c r="Q80" s="1287"/>
      <c r="R80" s="1287"/>
      <c r="S80" s="1287"/>
      <c r="T80" s="1312"/>
      <c r="V80" s="1309" t="s">
        <v>764</v>
      </c>
      <c r="W80" s="1310"/>
      <c r="X80" s="1338" t="s">
        <v>717</v>
      </c>
      <c r="Y80" s="1261"/>
      <c r="Z80" s="1261" t="s">
        <v>751</v>
      </c>
      <c r="AA80" s="1261"/>
      <c r="AB80" s="1258">
        <v>0.11</v>
      </c>
      <c r="AC80" s="1259"/>
    </row>
    <row r="81" spans="2:29">
      <c r="B81" s="1308" t="s">
        <v>730</v>
      </c>
      <c r="C81" s="1293"/>
      <c r="D81" s="1347" t="s">
        <v>731</v>
      </c>
      <c r="E81" s="1348"/>
      <c r="F81" s="1292" t="s">
        <v>804</v>
      </c>
      <c r="G81" s="1293"/>
      <c r="I81" s="1304"/>
      <c r="J81" s="1353"/>
      <c r="K81" s="1288" t="s">
        <v>733</v>
      </c>
      <c r="L81" s="1289"/>
      <c r="M81" s="1289" t="s">
        <v>734</v>
      </c>
      <c r="N81" s="1289"/>
      <c r="O81" s="1289" t="s">
        <v>735</v>
      </c>
      <c r="P81" s="1289"/>
      <c r="Q81" s="1289" t="s">
        <v>736</v>
      </c>
      <c r="R81" s="1289"/>
      <c r="S81" s="1358" t="s">
        <v>714</v>
      </c>
      <c r="T81" s="1359"/>
      <c r="V81" s="1309" t="s">
        <v>765</v>
      </c>
      <c r="W81" s="1310"/>
      <c r="X81" s="1338" t="s">
        <v>717</v>
      </c>
      <c r="Y81" s="1261"/>
      <c r="Z81" s="1261" t="s">
        <v>751</v>
      </c>
      <c r="AA81" s="1261"/>
      <c r="AB81" s="1258">
        <v>0.13</v>
      </c>
      <c r="AC81" s="1259"/>
    </row>
    <row r="82" spans="2:29">
      <c r="B82" s="1306" t="s">
        <v>799</v>
      </c>
      <c r="C82" s="1307"/>
      <c r="D82" s="1337" t="s">
        <v>732</v>
      </c>
      <c r="E82" s="1296"/>
      <c r="F82" s="1254">
        <v>0.41</v>
      </c>
      <c r="G82" s="1315"/>
      <c r="I82" s="1313" t="s">
        <v>737</v>
      </c>
      <c r="J82" s="1314"/>
      <c r="K82" s="1253">
        <v>0.1</v>
      </c>
      <c r="L82" s="1254"/>
      <c r="M82" s="1254">
        <v>0.5</v>
      </c>
      <c r="N82" s="1254"/>
      <c r="O82" s="1254">
        <v>0.5</v>
      </c>
      <c r="P82" s="1254"/>
      <c r="Q82" s="1254" t="s">
        <v>116</v>
      </c>
      <c r="R82" s="1254"/>
      <c r="S82" s="1254" t="s">
        <v>116</v>
      </c>
      <c r="T82" s="1315"/>
      <c r="V82" s="1309" t="s">
        <v>766</v>
      </c>
      <c r="W82" s="1310"/>
      <c r="X82" s="1338" t="s">
        <v>717</v>
      </c>
      <c r="Y82" s="1261"/>
      <c r="Z82" s="1261" t="s">
        <v>751</v>
      </c>
      <c r="AA82" s="1261"/>
      <c r="AB82" s="1258">
        <v>0.22</v>
      </c>
      <c r="AC82" s="1259"/>
    </row>
    <row r="83" spans="2:29">
      <c r="B83" s="1309" t="s">
        <v>796</v>
      </c>
      <c r="C83" s="1310"/>
      <c r="D83" s="1338"/>
      <c r="E83" s="1261"/>
      <c r="F83" s="1258">
        <v>0.82</v>
      </c>
      <c r="G83" s="1259"/>
      <c r="I83" s="1341" t="s">
        <v>738</v>
      </c>
      <c r="J83" s="1342"/>
      <c r="K83" s="1346">
        <v>0.39</v>
      </c>
      <c r="L83" s="1258"/>
      <c r="M83" s="1258">
        <v>0.98</v>
      </c>
      <c r="N83" s="1258"/>
      <c r="O83" s="1258">
        <v>1.96</v>
      </c>
      <c r="P83" s="1258"/>
      <c r="Q83" s="1258">
        <v>0.98</v>
      </c>
      <c r="R83" s="1258"/>
      <c r="S83" s="1258" t="s">
        <v>116</v>
      </c>
      <c r="T83" s="1259"/>
      <c r="V83" s="1335" t="s">
        <v>767</v>
      </c>
      <c r="W83" s="1336"/>
      <c r="X83" s="1288" t="s">
        <v>717</v>
      </c>
      <c r="Y83" s="1289"/>
      <c r="Z83" s="1289" t="s">
        <v>751</v>
      </c>
      <c r="AA83" s="1289"/>
      <c r="AB83" s="1290">
        <v>0.55000000000000004</v>
      </c>
      <c r="AC83" s="1291"/>
    </row>
    <row r="84" spans="2:29">
      <c r="B84" s="1309" t="s">
        <v>797</v>
      </c>
      <c r="C84" s="1310"/>
      <c r="D84" s="1338"/>
      <c r="E84" s="1261"/>
      <c r="F84" s="1258">
        <v>2.06</v>
      </c>
      <c r="G84" s="1259"/>
      <c r="I84" s="1339" t="s">
        <v>739</v>
      </c>
      <c r="J84" s="1340"/>
      <c r="K84" s="1344">
        <v>0.76</v>
      </c>
      <c r="L84" s="1345"/>
      <c r="M84" s="1345">
        <v>1.0900000000000001</v>
      </c>
      <c r="N84" s="1345"/>
      <c r="O84" s="1345">
        <v>2.1800000000000002</v>
      </c>
      <c r="P84" s="1345"/>
      <c r="Q84" s="1345">
        <v>1.0900000000000001</v>
      </c>
      <c r="R84" s="1345"/>
      <c r="S84" s="1345">
        <v>3.28</v>
      </c>
      <c r="T84" s="1357"/>
    </row>
    <row r="85" spans="2:29">
      <c r="B85" s="1335" t="s">
        <v>798</v>
      </c>
      <c r="C85" s="1336"/>
      <c r="D85" s="1288"/>
      <c r="E85" s="1289"/>
      <c r="F85" s="1290">
        <v>3.51</v>
      </c>
      <c r="G85" s="1291"/>
      <c r="I85" s="1333" t="s">
        <v>740</v>
      </c>
      <c r="J85" s="1334"/>
      <c r="K85" s="1355">
        <v>1.25</v>
      </c>
      <c r="L85" s="1354"/>
      <c r="M85" s="1354">
        <v>2.57</v>
      </c>
      <c r="N85" s="1354"/>
      <c r="O85" s="1354">
        <v>4.6399999999999997</v>
      </c>
      <c r="P85" s="1354"/>
      <c r="Q85" s="1354">
        <v>2.0699999999999998</v>
      </c>
      <c r="R85" s="1354"/>
      <c r="S85" s="1354">
        <v>3.28</v>
      </c>
      <c r="T85" s="1356"/>
      <c r="V85" s="404" t="s">
        <v>873</v>
      </c>
    </row>
    <row r="86" spans="2:29">
      <c r="V86" s="1308" t="s">
        <v>768</v>
      </c>
      <c r="W86" s="1293"/>
      <c r="X86" s="1343" t="s">
        <v>752</v>
      </c>
      <c r="Y86" s="1292"/>
      <c r="Z86" s="1292" t="s">
        <v>47</v>
      </c>
      <c r="AA86" s="1292"/>
      <c r="AB86" s="1292" t="s">
        <v>804</v>
      </c>
      <c r="AC86" s="1293"/>
    </row>
    <row r="87" spans="2:29">
      <c r="B87" s="404" t="s">
        <v>870</v>
      </c>
      <c r="M87" s="404" t="s">
        <v>871</v>
      </c>
      <c r="V87" s="1295" t="s">
        <v>753</v>
      </c>
      <c r="W87" s="1297"/>
      <c r="X87" s="1337" t="s">
        <v>754</v>
      </c>
      <c r="Y87" s="1296"/>
      <c r="Z87" s="1296" t="s">
        <v>755</v>
      </c>
      <c r="AA87" s="1296"/>
      <c r="AB87" s="1254">
        <v>7.0000000000000007E-2</v>
      </c>
      <c r="AC87" s="1315"/>
    </row>
    <row r="88" spans="2:29">
      <c r="B88" s="1311" t="s">
        <v>741</v>
      </c>
      <c r="C88" s="1287"/>
      <c r="D88" s="1287"/>
      <c r="E88" s="1312"/>
      <c r="F88" s="1286" t="s">
        <v>742</v>
      </c>
      <c r="G88" s="1287"/>
      <c r="H88" s="1287" t="s">
        <v>802</v>
      </c>
      <c r="I88" s="1287"/>
      <c r="J88" s="1287"/>
      <c r="K88" s="1312"/>
      <c r="M88" s="1308" t="s">
        <v>744</v>
      </c>
      <c r="N88" s="1292"/>
      <c r="O88" s="1293"/>
      <c r="P88" s="1343" t="s">
        <v>742</v>
      </c>
      <c r="Q88" s="1292"/>
      <c r="R88" s="1292" t="s">
        <v>804</v>
      </c>
      <c r="S88" s="1293"/>
      <c r="V88" s="1260"/>
      <c r="W88" s="1262"/>
      <c r="X88" s="1338" t="s">
        <v>756</v>
      </c>
      <c r="Y88" s="1261"/>
      <c r="Z88" s="1261"/>
      <c r="AA88" s="1261"/>
      <c r="AB88" s="1258">
        <v>7.0000000000000007E-2</v>
      </c>
      <c r="AC88" s="1259"/>
    </row>
    <row r="89" spans="2:29">
      <c r="B89" s="1298"/>
      <c r="C89" s="1289"/>
      <c r="D89" s="1289"/>
      <c r="E89" s="1299"/>
      <c r="F89" s="1288"/>
      <c r="G89" s="1289"/>
      <c r="H89" s="1289" t="s">
        <v>743</v>
      </c>
      <c r="I89" s="1289"/>
      <c r="J89" s="1289" t="s">
        <v>694</v>
      </c>
      <c r="K89" s="1299"/>
      <c r="M89" s="1295" t="s">
        <v>745</v>
      </c>
      <c r="N89" s="1296"/>
      <c r="O89" s="1297"/>
      <c r="P89" s="1337" t="s">
        <v>761</v>
      </c>
      <c r="Q89" s="1296"/>
      <c r="R89" s="1254">
        <v>0.12</v>
      </c>
      <c r="S89" s="1315"/>
      <c r="V89" s="1260" t="s">
        <v>757</v>
      </c>
      <c r="W89" s="1262"/>
      <c r="X89" s="1338" t="s">
        <v>756</v>
      </c>
      <c r="Y89" s="1261"/>
      <c r="Z89" s="1261" t="s">
        <v>755</v>
      </c>
      <c r="AA89" s="1261"/>
      <c r="AB89" s="1258">
        <v>0.13</v>
      </c>
      <c r="AC89" s="1259"/>
    </row>
    <row r="90" spans="2:29">
      <c r="B90" s="1295" t="s">
        <v>851</v>
      </c>
      <c r="C90" s="1296"/>
      <c r="D90" s="1296"/>
      <c r="E90" s="1297"/>
      <c r="F90" s="1337" t="s">
        <v>761</v>
      </c>
      <c r="G90" s="1296"/>
      <c r="H90" s="1254">
        <v>0.1</v>
      </c>
      <c r="I90" s="1254"/>
      <c r="J90" s="1254">
        <v>0.13</v>
      </c>
      <c r="K90" s="1315"/>
      <c r="M90" s="1260" t="s">
        <v>746</v>
      </c>
      <c r="N90" s="1261"/>
      <c r="O90" s="1262"/>
      <c r="P90" s="1338" t="s">
        <v>761</v>
      </c>
      <c r="Q90" s="1261"/>
      <c r="R90" s="1258">
        <v>0.2</v>
      </c>
      <c r="S90" s="1259"/>
      <c r="V90" s="1260"/>
      <c r="W90" s="1262"/>
      <c r="X90" s="1338" t="s">
        <v>856</v>
      </c>
      <c r="Y90" s="1261"/>
      <c r="Z90" s="1261"/>
      <c r="AA90" s="1261"/>
      <c r="AB90" s="1258">
        <v>0.16</v>
      </c>
      <c r="AC90" s="1259"/>
    </row>
    <row r="91" spans="2:29">
      <c r="B91" s="1260" t="s">
        <v>854</v>
      </c>
      <c r="C91" s="1261"/>
      <c r="D91" s="1261"/>
      <c r="E91" s="1262"/>
      <c r="F91" s="1338" t="s">
        <v>761</v>
      </c>
      <c r="G91" s="1261"/>
      <c r="H91" s="1258">
        <v>0.5</v>
      </c>
      <c r="I91" s="1258"/>
      <c r="J91" s="1258">
        <v>0.65</v>
      </c>
      <c r="K91" s="1259"/>
      <c r="M91" s="1260" t="s">
        <v>747</v>
      </c>
      <c r="N91" s="1261"/>
      <c r="O91" s="1262"/>
      <c r="P91" s="1338" t="s">
        <v>761</v>
      </c>
      <c r="Q91" s="1261"/>
      <c r="R91" s="1258">
        <v>2.5</v>
      </c>
      <c r="S91" s="1259"/>
      <c r="V91" s="1260" t="s">
        <v>758</v>
      </c>
      <c r="W91" s="1262"/>
      <c r="X91" s="1338" t="s">
        <v>858</v>
      </c>
      <c r="Y91" s="1261"/>
      <c r="Z91" s="1261" t="s">
        <v>755</v>
      </c>
      <c r="AA91" s="1261"/>
      <c r="AB91" s="1258">
        <v>0.18</v>
      </c>
      <c r="AC91" s="1259"/>
    </row>
    <row r="92" spans="2:29">
      <c r="B92" s="1298" t="s">
        <v>852</v>
      </c>
      <c r="C92" s="1289"/>
      <c r="D92" s="1289"/>
      <c r="E92" s="1299"/>
      <c r="F92" s="1288" t="s">
        <v>761</v>
      </c>
      <c r="G92" s="1289"/>
      <c r="H92" s="1290">
        <v>1</v>
      </c>
      <c r="I92" s="1290"/>
      <c r="J92" s="1290">
        <v>1.3</v>
      </c>
      <c r="K92" s="1291"/>
      <c r="M92" s="1298" t="s">
        <v>695</v>
      </c>
      <c r="N92" s="1289"/>
      <c r="O92" s="1299"/>
      <c r="P92" s="1288" t="s">
        <v>761</v>
      </c>
      <c r="Q92" s="1289"/>
      <c r="R92" s="1290">
        <v>0.05</v>
      </c>
      <c r="S92" s="1291"/>
      <c r="V92" s="1298"/>
      <c r="W92" s="1299"/>
      <c r="X92" s="1288" t="s">
        <v>759</v>
      </c>
      <c r="Y92" s="1289"/>
      <c r="Z92" s="1289"/>
      <c r="AA92" s="1289"/>
      <c r="AB92" s="1290">
        <v>0.2</v>
      </c>
      <c r="AC92" s="1291"/>
    </row>
    <row r="94" spans="2:29" ht="19.2">
      <c r="B94" s="1294" t="s">
        <v>968</v>
      </c>
      <c r="C94" s="1294"/>
      <c r="D94" s="1294"/>
      <c r="E94" s="1294"/>
      <c r="F94" s="1294"/>
      <c r="G94" s="1294"/>
      <c r="H94" s="1294"/>
      <c r="I94" s="1294"/>
      <c r="J94" s="1294"/>
      <c r="K94" s="1294"/>
      <c r="L94" s="1294"/>
      <c r="M94" s="1294"/>
      <c r="N94" s="1294"/>
      <c r="O94" s="1294"/>
    </row>
    <row r="95" spans="2:29">
      <c r="B95" s="1316" t="s">
        <v>917</v>
      </c>
      <c r="C95" s="1252"/>
      <c r="D95" s="1257"/>
      <c r="E95" s="1251" t="s">
        <v>918</v>
      </c>
      <c r="F95" s="1252"/>
      <c r="G95" s="1252" t="s">
        <v>932</v>
      </c>
      <c r="H95" s="1252"/>
      <c r="I95" s="1252"/>
      <c r="J95" s="1252"/>
      <c r="K95" s="1252" t="s">
        <v>931</v>
      </c>
      <c r="L95" s="1252"/>
      <c r="M95" s="1252"/>
      <c r="N95" s="1252" t="s">
        <v>924</v>
      </c>
      <c r="O95" s="1257"/>
    </row>
    <row r="96" spans="2:29" ht="12">
      <c r="B96" s="1228" t="s">
        <v>907</v>
      </c>
      <c r="C96" s="1229"/>
      <c r="D96" s="1230"/>
      <c r="E96" s="1250" t="s">
        <v>919</v>
      </c>
      <c r="F96" s="1229"/>
      <c r="G96" s="1231" t="s">
        <v>913</v>
      </c>
      <c r="H96" s="1231"/>
      <c r="I96" s="1231">
        <f>49.5*10^-5</f>
        <v>4.95E-4</v>
      </c>
      <c r="J96" s="1231"/>
      <c r="K96" s="1246">
        <v>10000000</v>
      </c>
      <c r="L96" s="1246"/>
      <c r="M96" s="1246"/>
      <c r="N96" s="1246">
        <f t="shared" ref="N96:N101" si="1">I96*K96</f>
        <v>4950</v>
      </c>
      <c r="O96" s="1247"/>
    </row>
    <row r="97" spans="2:15" ht="12">
      <c r="B97" s="1226" t="s">
        <v>908</v>
      </c>
      <c r="C97" s="1215"/>
      <c r="D97" s="1227"/>
      <c r="E97" s="1234" t="s">
        <v>920</v>
      </c>
      <c r="F97" s="1215"/>
      <c r="G97" s="1233" t="s">
        <v>914</v>
      </c>
      <c r="H97" s="1233"/>
      <c r="I97" s="1233">
        <f>118*10^-5</f>
        <v>1.1800000000000001E-3</v>
      </c>
      <c r="J97" s="1233"/>
      <c r="K97" s="1216">
        <v>21000000</v>
      </c>
      <c r="L97" s="1216"/>
      <c r="M97" s="1216"/>
      <c r="N97" s="1216">
        <f t="shared" si="1"/>
        <v>24780</v>
      </c>
      <c r="O97" s="1217"/>
    </row>
    <row r="98" spans="2:15" ht="12">
      <c r="B98" s="1226" t="s">
        <v>909</v>
      </c>
      <c r="C98" s="1215"/>
      <c r="D98" s="1227"/>
      <c r="E98" s="1234" t="s">
        <v>921</v>
      </c>
      <c r="F98" s="1215"/>
      <c r="G98" s="1233" t="s">
        <v>914</v>
      </c>
      <c r="H98" s="1233"/>
      <c r="I98" s="1233">
        <f>118*10^-5</f>
        <v>1.1800000000000001E-3</v>
      </c>
      <c r="J98" s="1233"/>
      <c r="K98" s="1216">
        <v>17000000</v>
      </c>
      <c r="L98" s="1216"/>
      <c r="M98" s="1216"/>
      <c r="N98" s="1216">
        <f t="shared" si="1"/>
        <v>20060</v>
      </c>
      <c r="O98" s="1217"/>
    </row>
    <row r="99" spans="2:15" ht="12">
      <c r="B99" s="1226" t="s">
        <v>910</v>
      </c>
      <c r="C99" s="1215"/>
      <c r="D99" s="1227"/>
      <c r="E99" s="1234" t="s">
        <v>922</v>
      </c>
      <c r="F99" s="1215"/>
      <c r="G99" s="1233" t="s">
        <v>915</v>
      </c>
      <c r="H99" s="1233"/>
      <c r="I99" s="1233">
        <f>106.6*10^-5</f>
        <v>1.0660000000000001E-3</v>
      </c>
      <c r="J99" s="1233"/>
      <c r="K99" s="1216">
        <v>6000000</v>
      </c>
      <c r="L99" s="1216"/>
      <c r="M99" s="1216"/>
      <c r="N99" s="1216">
        <f t="shared" si="1"/>
        <v>6396.0000000000009</v>
      </c>
      <c r="O99" s="1217"/>
    </row>
    <row r="100" spans="2:15" ht="12">
      <c r="B100" s="1226" t="s">
        <v>911</v>
      </c>
      <c r="C100" s="1215"/>
      <c r="D100" s="1227"/>
      <c r="E100" s="1234" t="s">
        <v>923</v>
      </c>
      <c r="F100" s="1215"/>
      <c r="G100" s="1233" t="s">
        <v>915</v>
      </c>
      <c r="H100" s="1233"/>
      <c r="I100" s="1233">
        <f>106.6*10^-5</f>
        <v>1.0660000000000001E-3</v>
      </c>
      <c r="J100" s="1233"/>
      <c r="K100" s="1216">
        <v>4500000</v>
      </c>
      <c r="L100" s="1216"/>
      <c r="M100" s="1216"/>
      <c r="N100" s="1216">
        <f t="shared" si="1"/>
        <v>4797.0000000000009</v>
      </c>
      <c r="O100" s="1217"/>
    </row>
    <row r="101" spans="2:15" ht="12">
      <c r="B101" s="1223" t="s">
        <v>912</v>
      </c>
      <c r="C101" s="1224"/>
      <c r="D101" s="1225"/>
      <c r="E101" s="1273" t="s">
        <v>919</v>
      </c>
      <c r="F101" s="1224"/>
      <c r="G101" s="1232" t="s">
        <v>916</v>
      </c>
      <c r="H101" s="1232"/>
      <c r="I101" s="1232">
        <f>102*10^-5</f>
        <v>1.0200000000000001E-3</v>
      </c>
      <c r="J101" s="1232"/>
      <c r="K101" s="1248">
        <v>7000000</v>
      </c>
      <c r="L101" s="1248"/>
      <c r="M101" s="1248"/>
      <c r="N101" s="1248">
        <f t="shared" si="1"/>
        <v>7140.0000000000009</v>
      </c>
      <c r="O101" s="1249"/>
    </row>
  </sheetData>
  <mergeCells count="705">
    <mergeCell ref="AB26:AC26"/>
    <mergeCell ref="P8:Q8"/>
    <mergeCell ref="R8:S8"/>
    <mergeCell ref="P9:Q9"/>
    <mergeCell ref="AB28:AC28"/>
    <mergeCell ref="AB29:AC29"/>
    <mergeCell ref="AA12:AA13"/>
    <mergeCell ref="AB33:AC33"/>
    <mergeCell ref="W31:X31"/>
    <mergeCell ref="S28:T28"/>
    <mergeCell ref="Y31:Z31"/>
    <mergeCell ref="W32:X32"/>
    <mergeCell ref="Y32:Z32"/>
    <mergeCell ref="W33:X33"/>
    <mergeCell ref="AB31:AC31"/>
    <mergeCell ref="AB32:AC32"/>
    <mergeCell ref="AB30:AC30"/>
    <mergeCell ref="AB12:AC13"/>
    <mergeCell ref="AB19:AC19"/>
    <mergeCell ref="AB20:AC20"/>
    <mergeCell ref="AB15:AC15"/>
    <mergeCell ref="AB16:AC16"/>
    <mergeCell ref="AB25:AC25"/>
    <mergeCell ref="AB17:AC17"/>
    <mergeCell ref="AA42:AB42"/>
    <mergeCell ref="AA43:AB43"/>
    <mergeCell ref="Y40:Z40"/>
    <mergeCell ref="Y41:Z41"/>
    <mergeCell ref="AA44:AB44"/>
    <mergeCell ref="Y39:Z39"/>
    <mergeCell ref="T39:U39"/>
    <mergeCell ref="Y44:Z44"/>
    <mergeCell ref="Y43:Z43"/>
    <mergeCell ref="Y42:Z42"/>
    <mergeCell ref="T41:U41"/>
    <mergeCell ref="V42:W42"/>
    <mergeCell ref="V41:W41"/>
    <mergeCell ref="V39:W39"/>
    <mergeCell ref="V43:W43"/>
    <mergeCell ref="V40:W40"/>
    <mergeCell ref="AA39:AB39"/>
    <mergeCell ref="AA40:AB40"/>
    <mergeCell ref="AA41:AB41"/>
    <mergeCell ref="AB18:AC18"/>
    <mergeCell ref="AB14:AC14"/>
    <mergeCell ref="AB23:AC23"/>
    <mergeCell ref="Y33:Z33"/>
    <mergeCell ref="S29:T29"/>
    <mergeCell ref="S30:T30"/>
    <mergeCell ref="S31:T31"/>
    <mergeCell ref="W16:X16"/>
    <mergeCell ref="W30:X30"/>
    <mergeCell ref="Y30:Z30"/>
    <mergeCell ref="S24:T24"/>
    <mergeCell ref="S25:T25"/>
    <mergeCell ref="S26:T26"/>
    <mergeCell ref="W29:X29"/>
    <mergeCell ref="Y25:Z25"/>
    <mergeCell ref="Y29:Z29"/>
    <mergeCell ref="Y26:Z26"/>
    <mergeCell ref="W22:X22"/>
    <mergeCell ref="Y20:Z20"/>
    <mergeCell ref="W21:X21"/>
    <mergeCell ref="Y16:Z16"/>
    <mergeCell ref="S17:T17"/>
    <mergeCell ref="S32:T32"/>
    <mergeCell ref="S14:T14"/>
    <mergeCell ref="Y3:AA4"/>
    <mergeCell ref="V3:W3"/>
    <mergeCell ref="Y13:Z13"/>
    <mergeCell ref="W13:X13"/>
    <mergeCell ref="V9:W9"/>
    <mergeCell ref="V8:W8"/>
    <mergeCell ref="Y27:Z27"/>
    <mergeCell ref="W25:X25"/>
    <mergeCell ref="Y17:Z17"/>
    <mergeCell ref="Y19:Z19"/>
    <mergeCell ref="Y18:Z18"/>
    <mergeCell ref="U12:Z12"/>
    <mergeCell ref="W24:X24"/>
    <mergeCell ref="W14:X14"/>
    <mergeCell ref="Y14:Z14"/>
    <mergeCell ref="W15:X15"/>
    <mergeCell ref="Y15:Z15"/>
    <mergeCell ref="W19:X19"/>
    <mergeCell ref="Y21:Z21"/>
    <mergeCell ref="R9:S9"/>
    <mergeCell ref="T3:U3"/>
    <mergeCell ref="V4:W4"/>
    <mergeCell ref="T7:U7"/>
    <mergeCell ref="T6:U6"/>
    <mergeCell ref="T5:U5"/>
    <mergeCell ref="T4:U4"/>
    <mergeCell ref="V7:W7"/>
    <mergeCell ref="V6:W6"/>
    <mergeCell ref="V5:W5"/>
    <mergeCell ref="R4:S4"/>
    <mergeCell ref="R5:S5"/>
    <mergeCell ref="R6:S6"/>
    <mergeCell ref="T9:U9"/>
    <mergeCell ref="T8:U8"/>
    <mergeCell ref="R7:S7"/>
    <mergeCell ref="S15:T15"/>
    <mergeCell ref="Q16:R16"/>
    <mergeCell ref="W26:X26"/>
    <mergeCell ref="Y22:Z22"/>
    <mergeCell ref="W27:X27"/>
    <mergeCell ref="Q14:R14"/>
    <mergeCell ref="W20:X20"/>
    <mergeCell ref="W17:X17"/>
    <mergeCell ref="S20:T20"/>
    <mergeCell ref="W18:X18"/>
    <mergeCell ref="S16:T16"/>
    <mergeCell ref="S23:T23"/>
    <mergeCell ref="Q17:R17"/>
    <mergeCell ref="Q18:R18"/>
    <mergeCell ref="Q15:R15"/>
    <mergeCell ref="Y24:Z24"/>
    <mergeCell ref="Q26:R26"/>
    <mergeCell ref="Q23:R23"/>
    <mergeCell ref="M3:O3"/>
    <mergeCell ref="F3:G3"/>
    <mergeCell ref="K30:M30"/>
    <mergeCell ref="K31:M31"/>
    <mergeCell ref="Q31:R31"/>
    <mergeCell ref="K32:M32"/>
    <mergeCell ref="Q29:R29"/>
    <mergeCell ref="Q30:R30"/>
    <mergeCell ref="K18:M18"/>
    <mergeCell ref="I17:J17"/>
    <mergeCell ref="K19:M19"/>
    <mergeCell ref="K17:M17"/>
    <mergeCell ref="K29:M29"/>
    <mergeCell ref="Q28:R28"/>
    <mergeCell ref="K14:M14"/>
    <mergeCell ref="P7:Q7"/>
    <mergeCell ref="Q27:R27"/>
    <mergeCell ref="Q13:R13"/>
    <mergeCell ref="P3:Q3"/>
    <mergeCell ref="R3:S3"/>
    <mergeCell ref="P4:Q4"/>
    <mergeCell ref="P5:Q5"/>
    <mergeCell ref="P6:Q6"/>
    <mergeCell ref="M4:O4"/>
    <mergeCell ref="F4:G4"/>
    <mergeCell ref="H6:I6"/>
    <mergeCell ref="D9:E9"/>
    <mergeCell ref="J5:K5"/>
    <mergeCell ref="J7:K7"/>
    <mergeCell ref="H5:I5"/>
    <mergeCell ref="J6:K6"/>
    <mergeCell ref="H7:I7"/>
    <mergeCell ref="H9:I9"/>
    <mergeCell ref="J4:K4"/>
    <mergeCell ref="F5:G5"/>
    <mergeCell ref="F6:G6"/>
    <mergeCell ref="F7:G7"/>
    <mergeCell ref="D8:E8"/>
    <mergeCell ref="B5:E5"/>
    <mergeCell ref="B6:E6"/>
    <mergeCell ref="B7:E7"/>
    <mergeCell ref="B4:E4"/>
    <mergeCell ref="B8:C10"/>
    <mergeCell ref="F9:G9"/>
    <mergeCell ref="F8:G8"/>
    <mergeCell ref="H8:I8"/>
    <mergeCell ref="J9:K9"/>
    <mergeCell ref="J8:K8"/>
    <mergeCell ref="J3:K3"/>
    <mergeCell ref="H4:I4"/>
    <mergeCell ref="V70:W71"/>
    <mergeCell ref="H3:I3"/>
    <mergeCell ref="D18:F18"/>
    <mergeCell ref="D19:F19"/>
    <mergeCell ref="Q33:R33"/>
    <mergeCell ref="B33:M33"/>
    <mergeCell ref="D32:H32"/>
    <mergeCell ref="D31:H31"/>
    <mergeCell ref="D30:H30"/>
    <mergeCell ref="D12:F13"/>
    <mergeCell ref="G14:H14"/>
    <mergeCell ref="G16:H16"/>
    <mergeCell ref="G15:H15"/>
    <mergeCell ref="D10:E10"/>
    <mergeCell ref="J10:K10"/>
    <mergeCell ref="Q32:R32"/>
    <mergeCell ref="I28:J28"/>
    <mergeCell ref="B65:C65"/>
    <mergeCell ref="D65:E65"/>
    <mergeCell ref="B3:E3"/>
    <mergeCell ref="M9:O9"/>
    <mergeCell ref="B15:C15"/>
    <mergeCell ref="G22:H22"/>
    <mergeCell ref="G21:H21"/>
    <mergeCell ref="F10:G10"/>
    <mergeCell ref="G19:H19"/>
    <mergeCell ref="D14:F14"/>
    <mergeCell ref="D15:F15"/>
    <mergeCell ref="D16:F16"/>
    <mergeCell ref="D17:F17"/>
    <mergeCell ref="B12:C13"/>
    <mergeCell ref="G12:H13"/>
    <mergeCell ref="B18:C18"/>
    <mergeCell ref="B17:C17"/>
    <mergeCell ref="B16:C16"/>
    <mergeCell ref="B14:C14"/>
    <mergeCell ref="B19:C19"/>
    <mergeCell ref="G18:H18"/>
    <mergeCell ref="G20:H20"/>
    <mergeCell ref="B20:C23"/>
    <mergeCell ref="G23:H23"/>
    <mergeCell ref="H10:I10"/>
    <mergeCell ref="I12:J13"/>
    <mergeCell ref="D23:F23"/>
    <mergeCell ref="I18:J18"/>
    <mergeCell ref="I21:J21"/>
    <mergeCell ref="Z58:AA58"/>
    <mergeCell ref="AB58:AC58"/>
    <mergeCell ref="X58:Y58"/>
    <mergeCell ref="X62:Y62"/>
    <mergeCell ref="X54:Y54"/>
    <mergeCell ref="Z54:AA54"/>
    <mergeCell ref="Z59:AA59"/>
    <mergeCell ref="AB59:AC59"/>
    <mergeCell ref="AB60:AC60"/>
    <mergeCell ref="Z57:AA57"/>
    <mergeCell ref="T56:AC56"/>
    <mergeCell ref="T59:U59"/>
    <mergeCell ref="T57:U57"/>
    <mergeCell ref="K16:M16"/>
    <mergeCell ref="Z53:AA53"/>
    <mergeCell ref="X50:Y50"/>
    <mergeCell ref="Z50:AA50"/>
    <mergeCell ref="AB53:AC53"/>
    <mergeCell ref="V52:W52"/>
    <mergeCell ref="X52:Y52"/>
    <mergeCell ref="Z52:AA52"/>
    <mergeCell ref="AB52:AC52"/>
    <mergeCell ref="AB51:AC51"/>
    <mergeCell ref="V50:W50"/>
    <mergeCell ref="AB50:AC50"/>
    <mergeCell ref="Q25:R25"/>
    <mergeCell ref="Q19:R19"/>
    <mergeCell ref="Q20:R20"/>
    <mergeCell ref="Q21:R21"/>
    <mergeCell ref="T53:U53"/>
    <mergeCell ref="V53:W53"/>
    <mergeCell ref="X53:Y53"/>
    <mergeCell ref="K51:L51"/>
    <mergeCell ref="Y23:Z23"/>
    <mergeCell ref="W23:X23"/>
    <mergeCell ref="S21:T21"/>
    <mergeCell ref="S19:T19"/>
    <mergeCell ref="N12:T12"/>
    <mergeCell ref="S13:T13"/>
    <mergeCell ref="W28:X28"/>
    <mergeCell ref="Y28:Z28"/>
    <mergeCell ref="I54:J54"/>
    <mergeCell ref="I55:J55"/>
    <mergeCell ref="E50:G50"/>
    <mergeCell ref="E51:G51"/>
    <mergeCell ref="M7:O8"/>
    <mergeCell ref="K50:L50"/>
    <mergeCell ref="K49:L49"/>
    <mergeCell ref="M55:N55"/>
    <mergeCell ref="K48:L48"/>
    <mergeCell ref="K54:L54"/>
    <mergeCell ref="M51:N51"/>
    <mergeCell ref="K55:L55"/>
    <mergeCell ref="M48:N48"/>
    <mergeCell ref="M54:N54"/>
    <mergeCell ref="M50:N50"/>
    <mergeCell ref="M49:N49"/>
    <mergeCell ref="T51:U51"/>
    <mergeCell ref="V51:W51"/>
    <mergeCell ref="X51:Y51"/>
    <mergeCell ref="Z51:AA51"/>
    <mergeCell ref="M6:O6"/>
    <mergeCell ref="M5:O5"/>
    <mergeCell ref="O44:P44"/>
    <mergeCell ref="O42:P42"/>
    <mergeCell ref="M42:N42"/>
    <mergeCell ref="M43:N43"/>
    <mergeCell ref="O43:P43"/>
    <mergeCell ref="I42:J42"/>
    <mergeCell ref="K44:L44"/>
    <mergeCell ref="M44:N44"/>
    <mergeCell ref="K42:L42"/>
    <mergeCell ref="K43:L43"/>
    <mergeCell ref="K26:M26"/>
    <mergeCell ref="K25:M25"/>
    <mergeCell ref="K22:M22"/>
    <mergeCell ref="I16:J16"/>
    <mergeCell ref="K15:M15"/>
    <mergeCell ref="I14:J14"/>
    <mergeCell ref="K12:M13"/>
    <mergeCell ref="G26:J26"/>
    <mergeCell ref="G25:J25"/>
    <mergeCell ref="K20:M20"/>
    <mergeCell ref="K21:M21"/>
    <mergeCell ref="I15:J15"/>
    <mergeCell ref="M56:N56"/>
    <mergeCell ref="T52:U52"/>
    <mergeCell ref="T50:U50"/>
    <mergeCell ref="T61:U61"/>
    <mergeCell ref="T48:AC48"/>
    <mergeCell ref="O65:S65"/>
    <mergeCell ref="AB49:AC49"/>
    <mergeCell ref="Z49:AA49"/>
    <mergeCell ref="X49:Y49"/>
    <mergeCell ref="AB54:AC54"/>
    <mergeCell ref="O51:P51"/>
    <mergeCell ref="O50:P50"/>
    <mergeCell ref="AB57:AC57"/>
    <mergeCell ref="X57:Y57"/>
    <mergeCell ref="M57:N57"/>
    <mergeCell ref="R54:S54"/>
    <mergeCell ref="T54:U54"/>
    <mergeCell ref="O48:P48"/>
    <mergeCell ref="R48:S49"/>
    <mergeCell ref="R50:S50"/>
    <mergeCell ref="V54:W54"/>
    <mergeCell ref="R51:S51"/>
    <mergeCell ref="V57:W57"/>
    <mergeCell ref="M59:N59"/>
    <mergeCell ref="AB77:AC77"/>
    <mergeCell ref="V59:W59"/>
    <mergeCell ref="X59:Y59"/>
    <mergeCell ref="V60:W60"/>
    <mergeCell ref="Z60:AA60"/>
    <mergeCell ref="AB80:AC80"/>
    <mergeCell ref="Z62:AA62"/>
    <mergeCell ref="AB62:AC62"/>
    <mergeCell ref="V62:W62"/>
    <mergeCell ref="Z70:AA71"/>
    <mergeCell ref="Z72:AA73"/>
    <mergeCell ref="V72:W72"/>
    <mergeCell ref="X70:Y71"/>
    <mergeCell ref="AB76:AC76"/>
    <mergeCell ref="AB70:AC70"/>
    <mergeCell ref="AB71:AC71"/>
    <mergeCell ref="Z76:AA76"/>
    <mergeCell ref="V76:W76"/>
    <mergeCell ref="AB72:AC72"/>
    <mergeCell ref="V73:W73"/>
    <mergeCell ref="AB73:AC73"/>
    <mergeCell ref="X72:Y73"/>
    <mergeCell ref="AB61:AC61"/>
    <mergeCell ref="AB78:AC78"/>
    <mergeCell ref="AB90:AC90"/>
    <mergeCell ref="AB91:AC91"/>
    <mergeCell ref="AB87:AC87"/>
    <mergeCell ref="AB88:AC88"/>
    <mergeCell ref="AB83:AC83"/>
    <mergeCell ref="AB82:AC82"/>
    <mergeCell ref="AB81:AC81"/>
    <mergeCell ref="X86:Y86"/>
    <mergeCell ref="X83:Y83"/>
    <mergeCell ref="Z83:AA83"/>
    <mergeCell ref="X82:Y82"/>
    <mergeCell ref="X89:Y89"/>
    <mergeCell ref="X88:Y88"/>
    <mergeCell ref="AB89:AC89"/>
    <mergeCell ref="X87:Y87"/>
    <mergeCell ref="AB79:AC79"/>
    <mergeCell ref="AB86:AC86"/>
    <mergeCell ref="Z86:AA86"/>
    <mergeCell ref="Z79:AA79"/>
    <mergeCell ref="Z81:AA81"/>
    <mergeCell ref="Z78:AA78"/>
    <mergeCell ref="X79:Y79"/>
    <mergeCell ref="X80:Y80"/>
    <mergeCell ref="X78:Y78"/>
    <mergeCell ref="Z80:AA80"/>
    <mergeCell ref="X81:Y81"/>
    <mergeCell ref="M74:N74"/>
    <mergeCell ref="M75:N75"/>
    <mergeCell ref="M70:N71"/>
    <mergeCell ref="H71:I71"/>
    <mergeCell ref="K80:T80"/>
    <mergeCell ref="Q81:R81"/>
    <mergeCell ref="H72:I72"/>
    <mergeCell ref="D72:E77"/>
    <mergeCell ref="M81:N81"/>
    <mergeCell ref="J77:K77"/>
    <mergeCell ref="J76:K76"/>
    <mergeCell ref="M77:N77"/>
    <mergeCell ref="K81:L81"/>
    <mergeCell ref="S77:T77"/>
    <mergeCell ref="V81:W81"/>
    <mergeCell ref="V80:W80"/>
    <mergeCell ref="X60:Y60"/>
    <mergeCell ref="X61:Y61"/>
    <mergeCell ref="Z61:AA61"/>
    <mergeCell ref="S75:T75"/>
    <mergeCell ref="K62:L62"/>
    <mergeCell ref="T62:U62"/>
    <mergeCell ref="T60:U60"/>
    <mergeCell ref="V61:W61"/>
    <mergeCell ref="J73:K73"/>
    <mergeCell ref="J72:K72"/>
    <mergeCell ref="J74:K74"/>
    <mergeCell ref="J75:K75"/>
    <mergeCell ref="S70:T70"/>
    <mergeCell ref="Q70:R71"/>
    <mergeCell ref="M61:N61"/>
    <mergeCell ref="M67:N67"/>
    <mergeCell ref="M66:N66"/>
    <mergeCell ref="M60:N60"/>
    <mergeCell ref="S71:T71"/>
    <mergeCell ref="M65:N65"/>
    <mergeCell ref="M62:N62"/>
    <mergeCell ref="O81:P81"/>
    <mergeCell ref="AB92:AC92"/>
    <mergeCell ref="Z91:AA92"/>
    <mergeCell ref="Z89:AA90"/>
    <mergeCell ref="V79:W79"/>
    <mergeCell ref="V77:W77"/>
    <mergeCell ref="S76:T76"/>
    <mergeCell ref="S81:T81"/>
    <mergeCell ref="Q72:R77"/>
    <mergeCell ref="S74:T74"/>
    <mergeCell ref="V78:W78"/>
    <mergeCell ref="V83:W83"/>
    <mergeCell ref="V82:W82"/>
    <mergeCell ref="V86:W86"/>
    <mergeCell ref="V91:W92"/>
    <mergeCell ref="V89:W90"/>
    <mergeCell ref="V87:W88"/>
    <mergeCell ref="P89:Q89"/>
    <mergeCell ref="S72:T72"/>
    <mergeCell ref="Z82:AA82"/>
    <mergeCell ref="Z87:AA88"/>
    <mergeCell ref="Z77:AA77"/>
    <mergeCell ref="X76:Y76"/>
    <mergeCell ref="S73:T73"/>
    <mergeCell ref="X77:Y77"/>
    <mergeCell ref="X92:Y92"/>
    <mergeCell ref="X91:Y91"/>
    <mergeCell ref="X90:Y90"/>
    <mergeCell ref="O84:P84"/>
    <mergeCell ref="M84:N84"/>
    <mergeCell ref="F82:G82"/>
    <mergeCell ref="F83:G83"/>
    <mergeCell ref="H92:I92"/>
    <mergeCell ref="J92:K92"/>
    <mergeCell ref="J91:K91"/>
    <mergeCell ref="R88:S88"/>
    <mergeCell ref="P92:Q92"/>
    <mergeCell ref="O85:P85"/>
    <mergeCell ref="K85:L85"/>
    <mergeCell ref="M85:N85"/>
    <mergeCell ref="S85:T85"/>
    <mergeCell ref="R91:S91"/>
    <mergeCell ref="R92:S92"/>
    <mergeCell ref="S84:T84"/>
    <mergeCell ref="S83:T83"/>
    <mergeCell ref="K82:L82"/>
    <mergeCell ref="M82:N82"/>
    <mergeCell ref="Q85:R85"/>
    <mergeCell ref="Q84:R84"/>
    <mergeCell ref="B70:C71"/>
    <mergeCell ref="P91:Q91"/>
    <mergeCell ref="P90:Q90"/>
    <mergeCell ref="F90:G90"/>
    <mergeCell ref="F91:G91"/>
    <mergeCell ref="H88:K88"/>
    <mergeCell ref="I84:J84"/>
    <mergeCell ref="I83:J83"/>
    <mergeCell ref="H89:I89"/>
    <mergeCell ref="P88:Q88"/>
    <mergeCell ref="M88:O88"/>
    <mergeCell ref="J89:K89"/>
    <mergeCell ref="K84:L84"/>
    <mergeCell ref="Q83:R83"/>
    <mergeCell ref="M83:N83"/>
    <mergeCell ref="O83:P83"/>
    <mergeCell ref="K83:L83"/>
    <mergeCell ref="D81:E81"/>
    <mergeCell ref="F72:G77"/>
    <mergeCell ref="F70:G71"/>
    <mergeCell ref="H76:I76"/>
    <mergeCell ref="H74:I74"/>
    <mergeCell ref="I80:J81"/>
    <mergeCell ref="H77:I77"/>
    <mergeCell ref="R89:S89"/>
    <mergeCell ref="I85:J85"/>
    <mergeCell ref="O82:P82"/>
    <mergeCell ref="B90:E90"/>
    <mergeCell ref="H90:I90"/>
    <mergeCell ref="J90:K90"/>
    <mergeCell ref="Q82:R82"/>
    <mergeCell ref="S82:T82"/>
    <mergeCell ref="B85:C85"/>
    <mergeCell ref="B84:C84"/>
    <mergeCell ref="D82:E85"/>
    <mergeCell ref="F84:G84"/>
    <mergeCell ref="B72:C72"/>
    <mergeCell ref="B95:D95"/>
    <mergeCell ref="I24:J24"/>
    <mergeCell ref="I23:J23"/>
    <mergeCell ref="B51:D51"/>
    <mergeCell ref="D37:E37"/>
    <mergeCell ref="E60:G60"/>
    <mergeCell ref="E56:G56"/>
    <mergeCell ref="H65:I65"/>
    <mergeCell ref="F66:G67"/>
    <mergeCell ref="D66:E67"/>
    <mergeCell ref="F65:G65"/>
    <mergeCell ref="B57:D57"/>
    <mergeCell ref="B60:D60"/>
    <mergeCell ref="E59:G59"/>
    <mergeCell ref="H70:K70"/>
    <mergeCell ref="I60:J60"/>
    <mergeCell ref="D70:E71"/>
    <mergeCell ref="J71:K71"/>
    <mergeCell ref="K60:L60"/>
    <mergeCell ref="B92:E92"/>
    <mergeCell ref="K24:M24"/>
    <mergeCell ref="K23:M23"/>
    <mergeCell ref="H75:I75"/>
    <mergeCell ref="R58:S58"/>
    <mergeCell ref="O49:P49"/>
    <mergeCell ref="R52:S52"/>
    <mergeCell ref="H73:I73"/>
    <mergeCell ref="M76:N76"/>
    <mergeCell ref="I61:J61"/>
    <mergeCell ref="M58:N58"/>
    <mergeCell ref="I58:J58"/>
    <mergeCell ref="R62:S62"/>
    <mergeCell ref="K57:L57"/>
    <mergeCell ref="K58:L58"/>
    <mergeCell ref="K67:L67"/>
    <mergeCell ref="K61:L61"/>
    <mergeCell ref="K66:L66"/>
    <mergeCell ref="K65:L65"/>
    <mergeCell ref="O70:P71"/>
    <mergeCell ref="H66:I67"/>
    <mergeCell ref="K59:L59"/>
    <mergeCell ref="K56:L56"/>
    <mergeCell ref="I62:J62"/>
    <mergeCell ref="I59:J59"/>
    <mergeCell ref="R56:S57"/>
    <mergeCell ref="R61:S61"/>
    <mergeCell ref="M73:N73"/>
    <mergeCell ref="B55:D55"/>
    <mergeCell ref="C44:D44"/>
    <mergeCell ref="F88:G89"/>
    <mergeCell ref="F85:G85"/>
    <mergeCell ref="F81:G81"/>
    <mergeCell ref="B94:O94"/>
    <mergeCell ref="G95:J95"/>
    <mergeCell ref="H91:I91"/>
    <mergeCell ref="K95:M95"/>
    <mergeCell ref="M89:O89"/>
    <mergeCell ref="M92:O92"/>
    <mergeCell ref="M91:O91"/>
    <mergeCell ref="O72:P77"/>
    <mergeCell ref="M72:N72"/>
    <mergeCell ref="B81:C81"/>
    <mergeCell ref="B58:D58"/>
    <mergeCell ref="B59:D59"/>
    <mergeCell ref="B83:C83"/>
    <mergeCell ref="F92:G92"/>
    <mergeCell ref="M90:O90"/>
    <mergeCell ref="B88:E89"/>
    <mergeCell ref="B82:C82"/>
    <mergeCell ref="O67:S67"/>
    <mergeCell ref="I82:J82"/>
    <mergeCell ref="B49:D49"/>
    <mergeCell ref="B50:D50"/>
    <mergeCell ref="Q24:R24"/>
    <mergeCell ref="T49:U49"/>
    <mergeCell ref="D29:F29"/>
    <mergeCell ref="E43:F43"/>
    <mergeCell ref="G43:H43"/>
    <mergeCell ref="C42:D42"/>
    <mergeCell ref="E48:G48"/>
    <mergeCell ref="B25:C26"/>
    <mergeCell ref="B24:C24"/>
    <mergeCell ref="D28:F28"/>
    <mergeCell ref="B27:F27"/>
    <mergeCell ref="G29:H29"/>
    <mergeCell ref="G28:H28"/>
    <mergeCell ref="G27:J27"/>
    <mergeCell ref="I29:J29"/>
    <mergeCell ref="I43:J43"/>
    <mergeCell ref="S27:T27"/>
    <mergeCell ref="S33:T33"/>
    <mergeCell ref="R39:S39"/>
    <mergeCell ref="V49:W49"/>
    <mergeCell ref="I32:J32"/>
    <mergeCell ref="E101:F101"/>
    <mergeCell ref="E100:F100"/>
    <mergeCell ref="E99:F99"/>
    <mergeCell ref="I57:J57"/>
    <mergeCell ref="I30:J30"/>
    <mergeCell ref="I56:J56"/>
    <mergeCell ref="B28:C29"/>
    <mergeCell ref="G42:H42"/>
    <mergeCell ref="I44:J44"/>
    <mergeCell ref="B66:C66"/>
    <mergeCell ref="B54:D54"/>
    <mergeCell ref="E49:G49"/>
    <mergeCell ref="B73:C73"/>
    <mergeCell ref="B74:C74"/>
    <mergeCell ref="E54:G54"/>
    <mergeCell ref="E57:G57"/>
    <mergeCell ref="B56:D56"/>
    <mergeCell ref="B67:C67"/>
    <mergeCell ref="B75:C75"/>
    <mergeCell ref="B76:C76"/>
    <mergeCell ref="B77:C77"/>
    <mergeCell ref="E55:G55"/>
    <mergeCell ref="E96:F96"/>
    <mergeCell ref="E97:F97"/>
    <mergeCell ref="AB24:AC24"/>
    <mergeCell ref="G97:H97"/>
    <mergeCell ref="E95:F95"/>
    <mergeCell ref="T58:U58"/>
    <mergeCell ref="O66:S66"/>
    <mergeCell ref="R59:S59"/>
    <mergeCell ref="R60:S60"/>
    <mergeCell ref="N95:O95"/>
    <mergeCell ref="R90:S90"/>
    <mergeCell ref="B91:E91"/>
    <mergeCell ref="R43:S43"/>
    <mergeCell ref="V58:W58"/>
    <mergeCell ref="R53:S53"/>
    <mergeCell ref="B52:D52"/>
    <mergeCell ref="E52:G52"/>
    <mergeCell ref="B53:D53"/>
    <mergeCell ref="C43:D43"/>
    <mergeCell ref="E44:F44"/>
    <mergeCell ref="G44:H44"/>
    <mergeCell ref="B48:D48"/>
    <mergeCell ref="D38:E38"/>
    <mergeCell ref="B30:C32"/>
    <mergeCell ref="N98:O98"/>
    <mergeCell ref="K96:M96"/>
    <mergeCell ref="K97:M97"/>
    <mergeCell ref="N97:O97"/>
    <mergeCell ref="N96:O96"/>
    <mergeCell ref="G98:H98"/>
    <mergeCell ref="G100:H100"/>
    <mergeCell ref="G99:H99"/>
    <mergeCell ref="I101:J101"/>
    <mergeCell ref="I100:J100"/>
    <mergeCell ref="I99:J99"/>
    <mergeCell ref="I96:J96"/>
    <mergeCell ref="K98:M98"/>
    <mergeCell ref="K99:M99"/>
    <mergeCell ref="K100:M100"/>
    <mergeCell ref="K101:M101"/>
    <mergeCell ref="N101:O101"/>
    <mergeCell ref="N100:O100"/>
    <mergeCell ref="N99:O99"/>
    <mergeCell ref="B1:AC1"/>
    <mergeCell ref="B101:D101"/>
    <mergeCell ref="B100:D100"/>
    <mergeCell ref="B99:D99"/>
    <mergeCell ref="B98:D98"/>
    <mergeCell ref="B97:D97"/>
    <mergeCell ref="B96:D96"/>
    <mergeCell ref="G96:H96"/>
    <mergeCell ref="G101:H101"/>
    <mergeCell ref="AB22:AC22"/>
    <mergeCell ref="I98:J98"/>
    <mergeCell ref="I97:J97"/>
    <mergeCell ref="AB27:AC27"/>
    <mergeCell ref="E98:F98"/>
    <mergeCell ref="E58:G58"/>
    <mergeCell ref="E53:G53"/>
    <mergeCell ref="R40:S40"/>
    <mergeCell ref="T40:U40"/>
    <mergeCell ref="R41:S41"/>
    <mergeCell ref="R44:S44"/>
    <mergeCell ref="T44:U44"/>
    <mergeCell ref="T43:U43"/>
    <mergeCell ref="V44:W44"/>
    <mergeCell ref="E42:F42"/>
    <mergeCell ref="Y2:AB2"/>
    <mergeCell ref="D36:P36"/>
    <mergeCell ref="D39:P39"/>
    <mergeCell ref="F38:P38"/>
    <mergeCell ref="F37:P37"/>
    <mergeCell ref="R42:S42"/>
    <mergeCell ref="T42:U42"/>
    <mergeCell ref="I31:J31"/>
    <mergeCell ref="G24:H24"/>
    <mergeCell ref="D24:F24"/>
    <mergeCell ref="S18:T18"/>
    <mergeCell ref="G17:H17"/>
    <mergeCell ref="AB21:AC21"/>
    <mergeCell ref="Q22:R22"/>
    <mergeCell ref="S22:T22"/>
    <mergeCell ref="K27:M27"/>
    <mergeCell ref="D26:F26"/>
    <mergeCell ref="K28:M28"/>
    <mergeCell ref="D25:F25"/>
    <mergeCell ref="D22:F22"/>
    <mergeCell ref="D20:F21"/>
    <mergeCell ref="I19:J19"/>
    <mergeCell ref="I20:J20"/>
    <mergeCell ref="I22:J22"/>
  </mergeCells>
  <phoneticPr fontId="2" type="noConversion"/>
  <dataValidations disablePrompts="1" count="14">
    <dataValidation type="list" allowBlank="1" showInputMessage="1" showErrorMessage="1" sqref="K19">
      <formula1>"수정도화 OK, 수정도화 NO"</formula1>
    </dataValidation>
    <dataValidation type="list" allowBlank="1" showInputMessage="1" showErrorMessage="1" sqref="K22:K23">
      <formula1>"부분수정편집 OK, 부분수정편집 NO"</formula1>
    </dataValidation>
    <dataValidation type="list" allowBlank="1" showInputMessage="1" showErrorMessage="1" sqref="I19:J19">
      <formula1>"일반도화, 수치도화"</formula1>
    </dataValidation>
    <dataValidation type="list" allowBlank="1" showInputMessage="1" showErrorMessage="1" sqref="I17:J17">
      <formula1>공공지형축척</formula1>
    </dataValidation>
    <dataValidation type="list" allowBlank="1" showInputMessage="1" showErrorMessage="1" sqref="I20:J22">
      <formula1>공공수치축척</formula1>
    </dataValidation>
    <dataValidation type="list" allowBlank="1" showInputMessage="1" showErrorMessage="1" sqref="I24:J24">
      <formula1>공공지하축척</formula1>
    </dataValidation>
    <dataValidation type="list" allowBlank="1" showInputMessage="1" showErrorMessage="1" sqref="G25:J26">
      <formula1>공공영상축척</formula1>
    </dataValidation>
    <dataValidation type="list" allowBlank="1" showInputMessage="1" showErrorMessage="1" sqref="G27:J27">
      <formula1>공공수치취득방법</formula1>
    </dataValidation>
    <dataValidation type="list" allowBlank="1" showInputMessage="1" showErrorMessage="1" sqref="I29:J29">
      <formula1>공공좌표축척</formula1>
    </dataValidation>
    <dataValidation type="list" allowBlank="1" showInputMessage="1" showErrorMessage="1" sqref="I30:J30">
      <formula1>$X$87:$X$88</formula1>
    </dataValidation>
    <dataValidation type="list" allowBlank="1" showInputMessage="1" showErrorMessage="1" sqref="I31:J31">
      <formula1>$X$89:$X$90</formula1>
    </dataValidation>
    <dataValidation type="list" allowBlank="1" showInputMessage="1" showErrorMessage="1" sqref="I32:J32">
      <formula1>$X$91:$X$92</formula1>
    </dataValidation>
    <dataValidation type="list" allowBlank="1" showInputMessage="1" showErrorMessage="1" sqref="I23:J23">
      <formula1>공공수치지형축척</formula1>
    </dataValidation>
    <dataValidation type="list" allowBlank="1" showInputMessage="1" showErrorMessage="1" sqref="Y3:AA4">
      <formula1>"실시, 미실시"</formula1>
    </dataValidation>
  </dataValidations>
  <pageMargins left="0.47244094488188981" right="0.31496062992125984" top="0.59055118110236227" bottom="0.31496062992125984" header="0.31496062992125984" footer="0.31496062992125984"/>
  <pageSetup paperSize="9" orientation="landscape" r:id="rId1"/>
  <rowBreaks count="2" manualBreakCount="2">
    <brk id="45" max="16383" man="1"/>
    <brk id="92" max="16383" man="1"/>
  </rowBreak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H20"/>
  <sheetViews>
    <sheetView view="pageBreakPreview" zoomScaleNormal="100" zoomScaleSheetLayoutView="100" workbookViewId="0">
      <selection activeCell="B4" sqref="B4"/>
    </sheetView>
  </sheetViews>
  <sheetFormatPr defaultColWidth="8" defaultRowHeight="17.399999999999999"/>
  <cols>
    <col min="1" max="8" width="15.59765625" style="54" customWidth="1"/>
    <col min="9" max="9" width="13.8984375" style="54" customWidth="1"/>
    <col min="10" max="16384" width="8" style="54"/>
  </cols>
  <sheetData>
    <row r="1" spans="1:8" ht="25.2">
      <c r="A1" s="1484" t="s">
        <v>176</v>
      </c>
      <c r="B1" s="1484"/>
      <c r="C1" s="1484"/>
      <c r="D1" s="1484"/>
      <c r="E1" s="1484"/>
      <c r="F1" s="1484"/>
      <c r="G1" s="1484"/>
      <c r="H1" s="1484"/>
    </row>
    <row r="2" spans="1:8" ht="24" customHeight="1">
      <c r="A2" s="277" t="s">
        <v>575</v>
      </c>
      <c r="B2" s="53"/>
      <c r="C2" s="55"/>
      <c r="D2" s="55"/>
      <c r="E2" s="55"/>
      <c r="F2" s="55"/>
      <c r="G2" s="55"/>
      <c r="H2" s="55"/>
    </row>
    <row r="3" spans="1:8" ht="24" customHeight="1">
      <c r="A3" s="164" t="s">
        <v>177</v>
      </c>
      <c r="B3" s="164" t="str">
        <f>기초자료입력!B5</f>
        <v>원남면 하노2리  일원</v>
      </c>
      <c r="C3" s="164"/>
      <c r="D3" s="55"/>
      <c r="E3" s="55"/>
      <c r="F3" s="55"/>
      <c r="G3" s="55"/>
      <c r="H3" s="55"/>
    </row>
    <row r="4" spans="1:8" ht="24" customHeight="1">
      <c r="A4" s="164" t="s">
        <v>178</v>
      </c>
      <c r="B4" s="324">
        <v>0</v>
      </c>
      <c r="C4" s="164" t="s">
        <v>344</v>
      </c>
      <c r="D4" s="55"/>
      <c r="E4" s="55"/>
      <c r="F4" s="55"/>
      <c r="G4" s="55"/>
      <c r="H4" s="55"/>
    </row>
    <row r="5" spans="1:8" ht="24" customHeight="1">
      <c r="A5" s="164" t="s">
        <v>179</v>
      </c>
      <c r="B5" s="324">
        <v>0</v>
      </c>
      <c r="C5" s="164" t="s">
        <v>345</v>
      </c>
      <c r="D5" s="55"/>
      <c r="E5" s="55"/>
      <c r="F5" s="55"/>
      <c r="G5" s="55"/>
      <c r="H5" s="55"/>
    </row>
    <row r="6" spans="1:8" ht="24" customHeight="1">
      <c r="A6" s="164" t="s">
        <v>180</v>
      </c>
      <c r="B6" s="164" t="s">
        <v>181</v>
      </c>
      <c r="C6" s="164"/>
      <c r="D6" s="55"/>
      <c r="E6" s="55"/>
      <c r="F6" s="55"/>
      <c r="G6" s="55"/>
      <c r="H6" s="55"/>
    </row>
    <row r="7" spans="1:8" ht="24" customHeight="1">
      <c r="A7" s="55"/>
      <c r="B7" s="55"/>
      <c r="C7" s="55"/>
      <c r="D7" s="55"/>
      <c r="E7" s="55"/>
      <c r="F7" s="55"/>
      <c r="G7" s="55"/>
      <c r="H7" s="55"/>
    </row>
    <row r="8" spans="1:8" ht="24" customHeight="1">
      <c r="A8" s="277" t="s">
        <v>589</v>
      </c>
      <c r="B8" s="53"/>
      <c r="C8" s="55"/>
      <c r="D8" s="55"/>
      <c r="E8" s="55"/>
      <c r="F8" s="55"/>
      <c r="G8" s="55"/>
      <c r="H8" s="294" t="s">
        <v>590</v>
      </c>
    </row>
    <row r="9" spans="1:8" ht="36.75" customHeight="1">
      <c r="A9" s="452" t="s">
        <v>182</v>
      </c>
      <c r="B9" s="460" t="s">
        <v>581</v>
      </c>
      <c r="C9" s="459" t="s">
        <v>582</v>
      </c>
      <c r="D9" s="459" t="s">
        <v>583</v>
      </c>
      <c r="E9" s="459" t="s">
        <v>584</v>
      </c>
      <c r="F9" s="459" t="s">
        <v>184</v>
      </c>
      <c r="G9" s="470" t="s">
        <v>593</v>
      </c>
      <c r="H9" s="471" t="s">
        <v>185</v>
      </c>
    </row>
    <row r="10" spans="1:8" ht="24" customHeight="1">
      <c r="A10" s="464" t="s">
        <v>580</v>
      </c>
      <c r="B10" s="461" t="s">
        <v>585</v>
      </c>
      <c r="C10" s="456" t="s">
        <v>587</v>
      </c>
      <c r="D10" s="456" t="s">
        <v>187</v>
      </c>
      <c r="E10" s="456" t="s">
        <v>187</v>
      </c>
      <c r="F10" s="456">
        <v>20000</v>
      </c>
      <c r="G10" s="456">
        <v>40000</v>
      </c>
      <c r="H10" s="469">
        <v>25000</v>
      </c>
    </row>
    <row r="11" spans="1:8" ht="24" customHeight="1">
      <c r="A11" s="467" t="s">
        <v>186</v>
      </c>
      <c r="B11" s="463" t="s">
        <v>586</v>
      </c>
      <c r="C11" s="455" t="s">
        <v>588</v>
      </c>
      <c r="D11" s="455" t="s">
        <v>187</v>
      </c>
      <c r="E11" s="455" t="s">
        <v>187</v>
      </c>
      <c r="F11" s="455">
        <v>20000</v>
      </c>
      <c r="G11" s="455">
        <v>30000</v>
      </c>
      <c r="H11" s="468">
        <v>20000</v>
      </c>
    </row>
    <row r="12" spans="1:8" ht="24" customHeight="1">
      <c r="A12" s="55"/>
      <c r="B12" s="55" t="s">
        <v>591</v>
      </c>
      <c r="C12" s="55"/>
      <c r="D12" s="55"/>
      <c r="E12" s="55"/>
      <c r="F12" s="55"/>
      <c r="G12" s="55"/>
      <c r="H12" s="55"/>
    </row>
    <row r="13" spans="1:8" ht="24" customHeight="1">
      <c r="A13" s="277" t="s">
        <v>576</v>
      </c>
      <c r="B13" s="53"/>
      <c r="C13" s="55"/>
      <c r="D13" s="55"/>
      <c r="E13" s="55"/>
      <c r="F13" s="55"/>
      <c r="G13" s="55"/>
      <c r="H13" s="294" t="s">
        <v>970</v>
      </c>
    </row>
    <row r="14" spans="1:8" ht="24" customHeight="1">
      <c r="A14" s="452" t="s">
        <v>188</v>
      </c>
      <c r="B14" s="460" t="s">
        <v>189</v>
      </c>
      <c r="C14" s="459" t="s">
        <v>190</v>
      </c>
      <c r="D14" s="459" t="s">
        <v>191</v>
      </c>
      <c r="E14" s="459" t="s">
        <v>192</v>
      </c>
      <c r="F14" s="459" t="s">
        <v>193</v>
      </c>
      <c r="G14" s="1485" t="s">
        <v>153</v>
      </c>
      <c r="H14" s="1486"/>
    </row>
    <row r="15" spans="1:8" ht="24" customHeight="1">
      <c r="A15" s="464" t="s">
        <v>183</v>
      </c>
      <c r="B15" s="461" t="s">
        <v>194</v>
      </c>
      <c r="C15" s="456">
        <f>B4*B5</f>
        <v>0</v>
      </c>
      <c r="D15" s="456" t="s">
        <v>346</v>
      </c>
      <c r="E15" s="457">
        <v>10000</v>
      </c>
      <c r="F15" s="458">
        <f>E15*C15</f>
        <v>0</v>
      </c>
      <c r="G15" s="1491" t="s">
        <v>971</v>
      </c>
      <c r="H15" s="1492"/>
    </row>
    <row r="16" spans="1:8" ht="24" customHeight="1">
      <c r="A16" s="465" t="s">
        <v>196</v>
      </c>
      <c r="B16" s="462" t="s">
        <v>194</v>
      </c>
      <c r="C16" s="453">
        <f>C15</f>
        <v>0</v>
      </c>
      <c r="D16" s="453" t="s">
        <v>346</v>
      </c>
      <c r="E16" s="454">
        <f>F11</f>
        <v>20000</v>
      </c>
      <c r="F16" s="454">
        <f>E16*C16</f>
        <v>0</v>
      </c>
      <c r="G16" s="1489"/>
      <c r="H16" s="1490"/>
    </row>
    <row r="17" spans="1:8" ht="24" customHeight="1">
      <c r="A17" s="466" t="s">
        <v>197</v>
      </c>
      <c r="B17" s="462" t="s">
        <v>347</v>
      </c>
      <c r="C17" s="453">
        <f>C16/4</f>
        <v>0</v>
      </c>
      <c r="D17" s="453" t="s">
        <v>198</v>
      </c>
      <c r="E17" s="472">
        <f>G11</f>
        <v>30000</v>
      </c>
      <c r="F17" s="454">
        <f>E17*C17</f>
        <v>0</v>
      </c>
      <c r="G17" s="1489" t="s">
        <v>972</v>
      </c>
      <c r="H17" s="1490"/>
    </row>
    <row r="18" spans="1:8" ht="24" customHeight="1">
      <c r="A18" s="519" t="s">
        <v>199</v>
      </c>
      <c r="B18" s="520" t="s">
        <v>194</v>
      </c>
      <c r="C18" s="521">
        <f>C16</f>
        <v>0</v>
      </c>
      <c r="D18" s="521" t="s">
        <v>195</v>
      </c>
      <c r="E18" s="522">
        <f>TRUNC(H11/3,0)</f>
        <v>6666</v>
      </c>
      <c r="F18" s="522">
        <f>E18*C18</f>
        <v>0</v>
      </c>
      <c r="G18" s="1487" t="s">
        <v>969</v>
      </c>
      <c r="H18" s="1488"/>
    </row>
    <row r="19" spans="1:8" ht="24" customHeight="1">
      <c r="A19" s="452" t="s">
        <v>200</v>
      </c>
      <c r="B19" s="460"/>
      <c r="C19" s="494"/>
      <c r="D19" s="494"/>
      <c r="E19" s="523"/>
      <c r="F19" s="523">
        <f>SUM(F15:F18)</f>
        <v>0</v>
      </c>
      <c r="G19" s="1485"/>
      <c r="H19" s="1486"/>
    </row>
    <row r="20" spans="1:8" ht="25.2" customHeight="1">
      <c r="A20" s="55"/>
      <c r="B20" s="55"/>
      <c r="C20" s="55"/>
      <c r="E20" s="55"/>
      <c r="F20" s="55"/>
      <c r="G20" s="55"/>
      <c r="H20" s="55"/>
    </row>
  </sheetData>
  <mergeCells count="7">
    <mergeCell ref="A1:H1"/>
    <mergeCell ref="G19:H19"/>
    <mergeCell ref="G18:H18"/>
    <mergeCell ref="G17:H17"/>
    <mergeCell ref="G16:H16"/>
    <mergeCell ref="G15:H15"/>
    <mergeCell ref="G14:H14"/>
  </mergeCells>
  <phoneticPr fontId="1" type="noConversion"/>
  <pageMargins left="0.47244094488188981" right="0.31496062992125984" top="0.59055118110236227" bottom="0.31496062992125984" header="0.31496062992125984" footer="0.31496062992125984"/>
  <pageSetup paperSize="9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N43"/>
  <sheetViews>
    <sheetView view="pageBreakPreview" zoomScaleNormal="130" zoomScaleSheetLayoutView="100" workbookViewId="0">
      <selection activeCell="H12" sqref="H12"/>
    </sheetView>
  </sheetViews>
  <sheetFormatPr defaultColWidth="15.59765625" defaultRowHeight="13.2"/>
  <cols>
    <col min="1" max="1" width="22.09765625" style="72" customWidth="1"/>
    <col min="2" max="12" width="9.5" style="72" customWidth="1"/>
    <col min="13" max="13" width="7" style="72" customWidth="1"/>
    <col min="14" max="14" width="17.09765625" style="72" customWidth="1"/>
    <col min="15" max="15" width="11.8984375" style="72" customWidth="1"/>
    <col min="16" max="26" width="7" style="72" customWidth="1"/>
    <col min="27" max="16384" width="15.59765625" style="72"/>
  </cols>
  <sheetData>
    <row r="1" spans="1:14" ht="25.2">
      <c r="A1" s="1493" t="s">
        <v>354</v>
      </c>
      <c r="B1" s="1493"/>
      <c r="C1" s="1493"/>
      <c r="D1" s="1493"/>
      <c r="E1" s="1493"/>
      <c r="F1" s="1493"/>
      <c r="G1" s="1493"/>
      <c r="H1" s="1493"/>
      <c r="I1" s="1493"/>
      <c r="J1" s="1493"/>
      <c r="K1" s="1493"/>
      <c r="L1" s="1493"/>
    </row>
    <row r="2" spans="1:14">
      <c r="A2" s="72" t="s">
        <v>360</v>
      </c>
    </row>
    <row r="3" spans="1:14">
      <c r="A3" s="1499" t="s">
        <v>216</v>
      </c>
      <c r="B3" s="1501" t="s">
        <v>217</v>
      </c>
      <c r="C3" s="1495"/>
      <c r="D3" s="1495" t="s">
        <v>251</v>
      </c>
      <c r="E3" s="1495"/>
      <c r="F3" s="1495" t="s">
        <v>254</v>
      </c>
      <c r="G3" s="1495"/>
      <c r="H3" s="1495" t="s">
        <v>248</v>
      </c>
      <c r="I3" s="1495"/>
      <c r="J3" s="1496" t="s">
        <v>249</v>
      </c>
      <c r="K3" s="1496"/>
      <c r="L3" s="1497" t="s">
        <v>250</v>
      </c>
    </row>
    <row r="4" spans="1:14">
      <c r="A4" s="1500"/>
      <c r="B4" s="513" t="s">
        <v>218</v>
      </c>
      <c r="C4" s="512" t="s">
        <v>219</v>
      </c>
      <c r="D4" s="512" t="s">
        <v>218</v>
      </c>
      <c r="E4" s="512" t="s">
        <v>219</v>
      </c>
      <c r="F4" s="512" t="s">
        <v>218</v>
      </c>
      <c r="G4" s="512" t="s">
        <v>219</v>
      </c>
      <c r="H4" s="512" t="s">
        <v>218</v>
      </c>
      <c r="I4" s="512" t="s">
        <v>219</v>
      </c>
      <c r="J4" s="512" t="s">
        <v>218</v>
      </c>
      <c r="K4" s="512" t="s">
        <v>219</v>
      </c>
      <c r="L4" s="1498"/>
    </row>
    <row r="5" spans="1:14">
      <c r="A5" s="515" t="str">
        <f>기초자료입력!B8</f>
        <v>도로공사</v>
      </c>
      <c r="B5" s="514">
        <f>VLOOKUP($A$5,손해배상공제보험료기준,2,0)</f>
        <v>0.86499999999999999</v>
      </c>
      <c r="C5" s="510">
        <f>VLOOKUP($A$5,손해배상공제보험료기준,3,0)</f>
        <v>0.13800000000000001</v>
      </c>
      <c r="D5" s="510">
        <f>VLOOKUP($A$5,손해배상공제보험료기준,4,0)</f>
        <v>0.83899999999999997</v>
      </c>
      <c r="E5" s="510">
        <f>VLOOKUP($A$5,손해배상공제보험료기준,5,0)</f>
        <v>0.13400000000000001</v>
      </c>
      <c r="F5" s="510">
        <f>VLOOKUP($A$5,손해배상공제보험료기준,6,0)</f>
        <v>0.81299999999999994</v>
      </c>
      <c r="G5" s="510">
        <f>VLOOKUP($A$5,손해배상공제보험료기준,7,0)</f>
        <v>0.13</v>
      </c>
      <c r="H5" s="510">
        <f>VLOOKUP($A$5,손해배상공제보험료기준,8,0)</f>
        <v>0.78800000000000003</v>
      </c>
      <c r="I5" s="510">
        <f>VLOOKUP($A$5,손해배상공제보험료기준,9,0)</f>
        <v>0.125</v>
      </c>
      <c r="J5" s="510">
        <f>VLOOKUP($A$5,손해배상공제보험료기준,10,0)</f>
        <v>0.76100000000000001</v>
      </c>
      <c r="K5" s="510">
        <f>VLOOKUP($A$5,손해배상공제보험료기준,11,0)</f>
        <v>0.122</v>
      </c>
      <c r="L5" s="511">
        <f>VLOOKUP($A$5,손해배상공제보험료기준,12,0)</f>
        <v>3</v>
      </c>
    </row>
    <row r="6" spans="1:14">
      <c r="A6" s="72" t="s">
        <v>359</v>
      </c>
      <c r="B6" s="72" t="s">
        <v>361</v>
      </c>
    </row>
    <row r="7" spans="1:14">
      <c r="A7" s="72" t="s">
        <v>260</v>
      </c>
      <c r="B7" s="72" t="s">
        <v>362</v>
      </c>
    </row>
    <row r="8" spans="1:14">
      <c r="A8" s="72" t="s">
        <v>259</v>
      </c>
      <c r="B8" s="72" t="s">
        <v>226</v>
      </c>
    </row>
    <row r="9" spans="1:14">
      <c r="A9" s="72" t="s">
        <v>355</v>
      </c>
      <c r="B9" s="1502">
        <f>순용역금액</f>
        <v>20534418</v>
      </c>
      <c r="C9" s="1502"/>
      <c r="D9" s="72" t="s">
        <v>57</v>
      </c>
    </row>
    <row r="10" spans="1:14">
      <c r="A10" s="72" t="s">
        <v>356</v>
      </c>
      <c r="B10" s="1494">
        <f>E10/30</f>
        <v>3</v>
      </c>
      <c r="C10" s="1494"/>
      <c r="D10" s="72" t="s">
        <v>231</v>
      </c>
      <c r="E10" s="60">
        <f>기초자료입력!B7</f>
        <v>90</v>
      </c>
      <c r="F10" s="72" t="s">
        <v>363</v>
      </c>
    </row>
    <row r="11" spans="1:14">
      <c r="A11" s="72" t="s">
        <v>357</v>
      </c>
      <c r="B11" s="1494">
        <f>L5</f>
        <v>3</v>
      </c>
      <c r="C11" s="1494"/>
      <c r="D11" s="72" t="s">
        <v>233</v>
      </c>
    </row>
    <row r="12" spans="1:14">
      <c r="A12" s="72" t="s">
        <v>358</v>
      </c>
      <c r="B12" s="1494">
        <f>IF(E10&gt;=(365*B11),E10-365*B11,0)</f>
        <v>0</v>
      </c>
      <c r="C12" s="1494"/>
      <c r="D12" s="72" t="s">
        <v>235</v>
      </c>
    </row>
    <row r="13" spans="1:14">
      <c r="A13" s="516" t="s">
        <v>253</v>
      </c>
      <c r="B13" s="1509">
        <f>IF(순용역금액&gt;=500000000,500000000,순용역금액)</f>
        <v>20534418</v>
      </c>
      <c r="C13" s="1510"/>
      <c r="D13" s="166">
        <f>B5</f>
        <v>0.86499999999999999</v>
      </c>
      <c r="E13" s="167" t="s">
        <v>258</v>
      </c>
      <c r="F13" s="166">
        <f>C5</f>
        <v>0.13800000000000001</v>
      </c>
      <c r="G13" s="167" t="str">
        <f>IF(B12="","","×")</f>
        <v>×</v>
      </c>
      <c r="H13" s="168">
        <f>IF($B$12="","",$B$12)</f>
        <v>0</v>
      </c>
      <c r="I13" s="169" t="str">
        <f>IF(H13="",""," / 365 ) =")</f>
        <v xml:space="preserve"> / 365 ) =</v>
      </c>
      <c r="J13" s="1518">
        <f>TRUNC(B13*((D13+(F13*H13/365))/100),0)</f>
        <v>177622</v>
      </c>
      <c r="K13" s="1518"/>
      <c r="L13" s="170"/>
    </row>
    <row r="14" spans="1:14">
      <c r="A14" s="517" t="s">
        <v>252</v>
      </c>
      <c r="B14" s="1507" t="str">
        <f>IF(B13&lt;500000000,"",IF(순용역금액&gt;=1000000000,500000000,순용역금액-B13))</f>
        <v/>
      </c>
      <c r="C14" s="1508"/>
      <c r="D14" s="171" t="str">
        <f>IF($B$14="","",D5)</f>
        <v/>
      </c>
      <c r="E14" s="172" t="str">
        <f>IF($B$14="","","+")</f>
        <v/>
      </c>
      <c r="F14" s="171" t="str">
        <f>IF($B$14="","",E5)</f>
        <v/>
      </c>
      <c r="G14" s="172" t="str">
        <f>IF($B$14="","","×")</f>
        <v/>
      </c>
      <c r="H14" s="173" t="str">
        <f>IF($B$14="","",IF($B$12="","",$B$12))</f>
        <v/>
      </c>
      <c r="I14" s="174" t="str">
        <f>IF(H14="",""," / 365 ) =")</f>
        <v/>
      </c>
      <c r="J14" s="1506" t="str">
        <f>IF(B14="","",TRUNC(B14*((D14+(F14*H14/365))/100),0))</f>
        <v/>
      </c>
      <c r="K14" s="1506"/>
      <c r="L14" s="175"/>
    </row>
    <row r="15" spans="1:14">
      <c r="A15" s="517" t="s">
        <v>255</v>
      </c>
      <c r="B15" s="1507" t="str">
        <f>IF(B14="","",IF(B14&lt;500000000,"",IF(순용역금액&gt;=2000000000,1000000000,순용역금액-B14-B13)))</f>
        <v/>
      </c>
      <c r="C15" s="1508"/>
      <c r="D15" s="171" t="str">
        <f>IF($B$15="","",F5)</f>
        <v/>
      </c>
      <c r="E15" s="172" t="str">
        <f>IF($B$15="","","+")</f>
        <v/>
      </c>
      <c r="F15" s="171" t="str">
        <f>IF($B$15="","",G5)</f>
        <v/>
      </c>
      <c r="G15" s="172" t="str">
        <f>IF($B$15="","","×")</f>
        <v/>
      </c>
      <c r="H15" s="173" t="str">
        <f>IF(B15="","",IF($B$12="","",$B$12))</f>
        <v/>
      </c>
      <c r="I15" s="174" t="str">
        <f>IF(H15="",""," / 365 ) =")</f>
        <v/>
      </c>
      <c r="J15" s="1506" t="str">
        <f>IF(B15="","",TRUNC(B15*((D15+(F15*H15/365))/100),0))</f>
        <v/>
      </c>
      <c r="K15" s="1506"/>
      <c r="L15" s="175"/>
      <c r="N15" s="165"/>
    </row>
    <row r="16" spans="1:14">
      <c r="A16" s="517" t="s">
        <v>256</v>
      </c>
      <c r="B16" s="1507" t="str">
        <f>IF(B15="","",IF(B15&lt;1000000000,"",IF(순용역금액&gt;=3000000000,1000000000,순용역금액-B15-B14-B13)))</f>
        <v/>
      </c>
      <c r="C16" s="1508"/>
      <c r="D16" s="171" t="str">
        <f>IF($B$16="","",H5)</f>
        <v/>
      </c>
      <c r="E16" s="172" t="str">
        <f>IF($B$16="","","+")</f>
        <v/>
      </c>
      <c r="F16" s="171" t="str">
        <f>IF($B$16="","",I5)</f>
        <v/>
      </c>
      <c r="G16" s="172" t="str">
        <f>IF($B$16="","","×")</f>
        <v/>
      </c>
      <c r="H16" s="173" t="str">
        <f>IF(B16="","",IF($B$12="","",$B$12))</f>
        <v/>
      </c>
      <c r="I16" s="174" t="str">
        <f>IF(H16="",""," / 365 ) =")</f>
        <v/>
      </c>
      <c r="J16" s="1506" t="str">
        <f>IF(B16="","",TRUNC(B16*((D16+(F16*H16/365))/100),0))</f>
        <v/>
      </c>
      <c r="K16" s="1506"/>
      <c r="L16" s="175"/>
    </row>
    <row r="17" spans="1:12">
      <c r="A17" s="517" t="s">
        <v>257</v>
      </c>
      <c r="B17" s="1507" t="str">
        <f>IF(B16="","",IF(B16&lt;1000000000,"",순용역금액-3000000000))</f>
        <v/>
      </c>
      <c r="C17" s="1508"/>
      <c r="D17" s="171" t="str">
        <f>IF($B$17="","",J5)</f>
        <v/>
      </c>
      <c r="E17" s="172" t="str">
        <f>IF($B$17="","","+")</f>
        <v/>
      </c>
      <c r="F17" s="171" t="str">
        <f>IF($B$17="","",K5)</f>
        <v/>
      </c>
      <c r="G17" s="172" t="str">
        <f>IF($B$17="","","×")</f>
        <v/>
      </c>
      <c r="H17" s="173" t="str">
        <f>IF(B17="","",IF($B$12="","",$B$12))</f>
        <v/>
      </c>
      <c r="I17" s="174" t="str">
        <f>IF(H17="",""," / 365 ) =")</f>
        <v/>
      </c>
      <c r="J17" s="1506" t="str">
        <f>IF(B17="","",TRUNC(B17*((D17+(F17*H17/365))/100),0))</f>
        <v/>
      </c>
      <c r="K17" s="1506"/>
      <c r="L17" s="175"/>
    </row>
    <row r="18" spans="1:12">
      <c r="A18" s="518" t="s">
        <v>268</v>
      </c>
      <c r="B18" s="1511"/>
      <c r="C18" s="1512"/>
      <c r="D18" s="176"/>
      <c r="E18" s="176"/>
      <c r="F18" s="176"/>
      <c r="G18" s="176"/>
      <c r="H18" s="177"/>
      <c r="I18" s="176"/>
      <c r="J18" s="1516">
        <f>SUM(J13:K17)</f>
        <v>177622</v>
      </c>
      <c r="K18" s="1517"/>
      <c r="L18" s="178"/>
    </row>
    <row r="19" spans="1:12" ht="5.25" customHeight="1">
      <c r="A19" s="73"/>
      <c r="B19" s="74"/>
      <c r="C19" s="74"/>
      <c r="D19" s="74"/>
      <c r="E19" s="74"/>
      <c r="F19" s="74"/>
      <c r="G19" s="74"/>
      <c r="H19" s="75"/>
    </row>
    <row r="20" spans="1:12">
      <c r="A20" s="1513" t="s">
        <v>348</v>
      </c>
      <c r="B20" s="1515" t="s">
        <v>215</v>
      </c>
      <c r="C20" s="1505"/>
      <c r="D20" s="1505" t="s">
        <v>349</v>
      </c>
      <c r="E20" s="1505"/>
      <c r="F20" s="1505" t="s">
        <v>350</v>
      </c>
      <c r="G20" s="1505"/>
      <c r="H20" s="1505" t="s">
        <v>351</v>
      </c>
      <c r="I20" s="1505"/>
      <c r="J20" s="1505" t="s">
        <v>352</v>
      </c>
      <c r="K20" s="1505"/>
      <c r="L20" s="1503" t="s">
        <v>353</v>
      </c>
    </row>
    <row r="21" spans="1:12">
      <c r="A21" s="1514"/>
      <c r="B21" s="503" t="s">
        <v>220</v>
      </c>
      <c r="C21" s="502" t="s">
        <v>221</v>
      </c>
      <c r="D21" s="502" t="s">
        <v>220</v>
      </c>
      <c r="E21" s="502" t="s">
        <v>221</v>
      </c>
      <c r="F21" s="502" t="s">
        <v>220</v>
      </c>
      <c r="G21" s="502" t="s">
        <v>221</v>
      </c>
      <c r="H21" s="502" t="s">
        <v>220</v>
      </c>
      <c r="I21" s="502" t="s">
        <v>221</v>
      </c>
      <c r="J21" s="502" t="s">
        <v>220</v>
      </c>
      <c r="K21" s="502" t="s">
        <v>221</v>
      </c>
      <c r="L21" s="1504"/>
    </row>
    <row r="22" spans="1:12">
      <c r="A22" s="507" t="s">
        <v>222</v>
      </c>
      <c r="B22" s="504">
        <v>0.96199999999999997</v>
      </c>
      <c r="C22" s="500">
        <v>0.153</v>
      </c>
      <c r="D22" s="500">
        <v>0.93300000000000005</v>
      </c>
      <c r="E22" s="500">
        <v>0.14899999999999999</v>
      </c>
      <c r="F22" s="500">
        <v>0.90400000000000003</v>
      </c>
      <c r="G22" s="500">
        <v>0.14399999999999999</v>
      </c>
      <c r="H22" s="500">
        <v>0.875</v>
      </c>
      <c r="I22" s="500">
        <v>0.14000000000000001</v>
      </c>
      <c r="J22" s="500">
        <v>0.84599999999999997</v>
      </c>
      <c r="K22" s="500">
        <v>0.13500000000000001</v>
      </c>
      <c r="L22" s="501">
        <v>3</v>
      </c>
    </row>
    <row r="23" spans="1:12">
      <c r="A23" s="508" t="s">
        <v>223</v>
      </c>
      <c r="B23" s="505">
        <v>1.089</v>
      </c>
      <c r="C23" s="496">
        <v>0.17299999999999999</v>
      </c>
      <c r="D23" s="496">
        <v>1.0569999999999999</v>
      </c>
      <c r="E23" s="496">
        <v>0.16900000000000001</v>
      </c>
      <c r="F23" s="496">
        <v>1.024</v>
      </c>
      <c r="G23" s="496">
        <v>0.16400000000000001</v>
      </c>
      <c r="H23" s="496">
        <v>0.99099999999999999</v>
      </c>
      <c r="I23" s="496">
        <v>0.158</v>
      </c>
      <c r="J23" s="496">
        <v>0.95899999999999996</v>
      </c>
      <c r="K23" s="496">
        <v>0.153</v>
      </c>
      <c r="L23" s="497">
        <v>5</v>
      </c>
    </row>
    <row r="24" spans="1:12">
      <c r="A24" s="508" t="s">
        <v>224</v>
      </c>
      <c r="B24" s="505">
        <v>1.2030000000000001</v>
      </c>
      <c r="C24" s="496">
        <v>0.192</v>
      </c>
      <c r="D24" s="496">
        <v>1.167</v>
      </c>
      <c r="E24" s="496">
        <v>0.186</v>
      </c>
      <c r="F24" s="496">
        <v>1.1299999999999999</v>
      </c>
      <c r="G24" s="496">
        <v>0.18</v>
      </c>
      <c r="H24" s="496">
        <v>1.0940000000000001</v>
      </c>
      <c r="I24" s="496">
        <v>0.17499999999999999</v>
      </c>
      <c r="J24" s="496">
        <v>1.0589999999999999</v>
      </c>
      <c r="K24" s="496">
        <v>0.16900000000000001</v>
      </c>
      <c r="L24" s="497">
        <v>5</v>
      </c>
    </row>
    <row r="25" spans="1:12">
      <c r="A25" s="508" t="s">
        <v>225</v>
      </c>
      <c r="B25" s="505">
        <v>0.86499999999999999</v>
      </c>
      <c r="C25" s="496">
        <v>0.13800000000000001</v>
      </c>
      <c r="D25" s="496">
        <v>0.83899999999999997</v>
      </c>
      <c r="E25" s="496">
        <v>0.13400000000000001</v>
      </c>
      <c r="F25" s="496">
        <v>0.81299999999999994</v>
      </c>
      <c r="G25" s="496">
        <v>0.13</v>
      </c>
      <c r="H25" s="496">
        <v>0.78800000000000003</v>
      </c>
      <c r="I25" s="496">
        <v>0.125</v>
      </c>
      <c r="J25" s="496">
        <v>0.76100000000000001</v>
      </c>
      <c r="K25" s="496">
        <v>0.122</v>
      </c>
      <c r="L25" s="497">
        <v>3</v>
      </c>
    </row>
    <row r="26" spans="1:12">
      <c r="A26" s="508" t="s">
        <v>227</v>
      </c>
      <c r="B26" s="505">
        <v>0.86499999999999999</v>
      </c>
      <c r="C26" s="496">
        <v>0.13800000000000001</v>
      </c>
      <c r="D26" s="496">
        <v>0.83899999999999997</v>
      </c>
      <c r="E26" s="496">
        <v>0.13400000000000001</v>
      </c>
      <c r="F26" s="496">
        <v>0.81299999999999994</v>
      </c>
      <c r="G26" s="496">
        <v>0.13</v>
      </c>
      <c r="H26" s="496">
        <v>0.78800000000000003</v>
      </c>
      <c r="I26" s="496">
        <v>0.125</v>
      </c>
      <c r="J26" s="496">
        <v>0.76100000000000001</v>
      </c>
      <c r="K26" s="496">
        <v>0.122</v>
      </c>
      <c r="L26" s="497">
        <v>3</v>
      </c>
    </row>
    <row r="27" spans="1:12">
      <c r="A27" s="508" t="s">
        <v>228</v>
      </c>
      <c r="B27" s="505">
        <v>0.98</v>
      </c>
      <c r="C27" s="496">
        <v>0.156</v>
      </c>
      <c r="D27" s="496">
        <v>0.95099999999999996</v>
      </c>
      <c r="E27" s="496">
        <v>0.152</v>
      </c>
      <c r="F27" s="496">
        <v>0.92100000000000004</v>
      </c>
      <c r="G27" s="496">
        <v>0.14699999999999999</v>
      </c>
      <c r="H27" s="496">
        <v>0.89200000000000002</v>
      </c>
      <c r="I27" s="496">
        <v>0.14299999999999999</v>
      </c>
      <c r="J27" s="496">
        <v>0.86299999999999999</v>
      </c>
      <c r="K27" s="496">
        <v>0.13700000000000001</v>
      </c>
      <c r="L27" s="497">
        <v>5</v>
      </c>
    </row>
    <row r="28" spans="1:12">
      <c r="A28" s="508" t="s">
        <v>229</v>
      </c>
      <c r="B28" s="505">
        <v>0.98</v>
      </c>
      <c r="C28" s="496">
        <v>0.156</v>
      </c>
      <c r="D28" s="496">
        <v>0.95099999999999996</v>
      </c>
      <c r="E28" s="496">
        <v>0.152</v>
      </c>
      <c r="F28" s="496">
        <v>0.92100000000000004</v>
      </c>
      <c r="G28" s="496">
        <v>0.14699999999999999</v>
      </c>
      <c r="H28" s="496">
        <v>0.89200000000000002</v>
      </c>
      <c r="I28" s="496">
        <v>0.14299999999999999</v>
      </c>
      <c r="J28" s="496">
        <v>0.86299999999999999</v>
      </c>
      <c r="K28" s="496">
        <v>0.13700000000000001</v>
      </c>
      <c r="L28" s="497">
        <v>5</v>
      </c>
    </row>
    <row r="29" spans="1:12">
      <c r="A29" s="508" t="s">
        <v>230</v>
      </c>
      <c r="B29" s="505">
        <v>0.76900000000000002</v>
      </c>
      <c r="C29" s="496">
        <v>0.122</v>
      </c>
      <c r="D29" s="496">
        <v>0.746</v>
      </c>
      <c r="E29" s="496">
        <v>0.11899999999999999</v>
      </c>
      <c r="F29" s="496">
        <v>0.72299999999999998</v>
      </c>
      <c r="G29" s="496">
        <v>0.11600000000000001</v>
      </c>
      <c r="H29" s="496">
        <v>0.7</v>
      </c>
      <c r="I29" s="496">
        <v>0.112</v>
      </c>
      <c r="J29" s="496">
        <v>0.67700000000000005</v>
      </c>
      <c r="K29" s="496">
        <v>0.108</v>
      </c>
      <c r="L29" s="497">
        <v>3</v>
      </c>
    </row>
    <row r="30" spans="1:12">
      <c r="A30" s="508" t="s">
        <v>232</v>
      </c>
      <c r="B30" s="505">
        <v>1.2030000000000001</v>
      </c>
      <c r="C30" s="496">
        <v>0.192</v>
      </c>
      <c r="D30" s="496">
        <v>1.167</v>
      </c>
      <c r="E30" s="496">
        <v>0.186</v>
      </c>
      <c r="F30" s="496">
        <v>1.1299999999999999</v>
      </c>
      <c r="G30" s="496">
        <v>0.18</v>
      </c>
      <c r="H30" s="496">
        <v>1.0940000000000001</v>
      </c>
      <c r="I30" s="496">
        <v>0.17499999999999999</v>
      </c>
      <c r="J30" s="496">
        <v>1.0589999999999999</v>
      </c>
      <c r="K30" s="496">
        <v>0.16900000000000001</v>
      </c>
      <c r="L30" s="497">
        <v>4</v>
      </c>
    </row>
    <row r="31" spans="1:12">
      <c r="A31" s="508" t="s">
        <v>234</v>
      </c>
      <c r="B31" s="505">
        <v>1.2030000000000001</v>
      </c>
      <c r="C31" s="496">
        <v>0.192</v>
      </c>
      <c r="D31" s="496">
        <v>1.167</v>
      </c>
      <c r="E31" s="496">
        <v>0.186</v>
      </c>
      <c r="F31" s="496">
        <v>1.1299999999999999</v>
      </c>
      <c r="G31" s="496">
        <v>0.18</v>
      </c>
      <c r="H31" s="496">
        <v>1.0940000000000001</v>
      </c>
      <c r="I31" s="496">
        <v>0.17499999999999999</v>
      </c>
      <c r="J31" s="496">
        <v>1.0589999999999999</v>
      </c>
      <c r="K31" s="496">
        <v>0.16900000000000001</v>
      </c>
      <c r="L31" s="497">
        <v>4</v>
      </c>
    </row>
    <row r="32" spans="1:12">
      <c r="A32" s="508" t="s">
        <v>236</v>
      </c>
      <c r="B32" s="505">
        <v>1.0249999999999999</v>
      </c>
      <c r="C32" s="496">
        <v>0.16400000000000001</v>
      </c>
      <c r="D32" s="496">
        <v>0.995</v>
      </c>
      <c r="E32" s="496">
        <v>0.158</v>
      </c>
      <c r="F32" s="496">
        <v>0.96399999999999997</v>
      </c>
      <c r="G32" s="496">
        <v>0.154</v>
      </c>
      <c r="H32" s="496">
        <v>0.93300000000000005</v>
      </c>
      <c r="I32" s="496">
        <v>0.14899999999999999</v>
      </c>
      <c r="J32" s="496">
        <v>0.90200000000000002</v>
      </c>
      <c r="K32" s="496">
        <v>0.14399999999999999</v>
      </c>
      <c r="L32" s="497">
        <v>3</v>
      </c>
    </row>
    <row r="33" spans="1:12">
      <c r="A33" s="508" t="s">
        <v>237</v>
      </c>
      <c r="B33" s="505">
        <v>1.333</v>
      </c>
      <c r="C33" s="496">
        <v>0.21199999999999999</v>
      </c>
      <c r="D33" s="496">
        <v>1.2929999999999999</v>
      </c>
      <c r="E33" s="496">
        <v>0.20599999999999999</v>
      </c>
      <c r="F33" s="496">
        <v>1.2529999999999999</v>
      </c>
      <c r="G33" s="496">
        <v>0.2</v>
      </c>
      <c r="H33" s="496">
        <v>1.2130000000000001</v>
      </c>
      <c r="I33" s="496">
        <v>0.19400000000000001</v>
      </c>
      <c r="J33" s="496">
        <v>1.1719999999999999</v>
      </c>
      <c r="K33" s="496">
        <v>0.187</v>
      </c>
      <c r="L33" s="497">
        <v>2</v>
      </c>
    </row>
    <row r="34" spans="1:12">
      <c r="A34" s="508" t="s">
        <v>238</v>
      </c>
      <c r="B34" s="505">
        <v>1.0489999999999999</v>
      </c>
      <c r="C34" s="496">
        <v>0.16700000000000001</v>
      </c>
      <c r="D34" s="496">
        <v>1.0169999999999999</v>
      </c>
      <c r="E34" s="496">
        <v>0.16200000000000001</v>
      </c>
      <c r="F34" s="496">
        <v>0.98599999999999999</v>
      </c>
      <c r="G34" s="496">
        <v>0.158</v>
      </c>
      <c r="H34" s="496">
        <v>0.95499999999999996</v>
      </c>
      <c r="I34" s="496">
        <v>0.152</v>
      </c>
      <c r="J34" s="496">
        <v>0.92300000000000004</v>
      </c>
      <c r="K34" s="496">
        <v>0.14699999999999999</v>
      </c>
      <c r="L34" s="497">
        <v>2</v>
      </c>
    </row>
    <row r="35" spans="1:12">
      <c r="A35" s="508" t="s">
        <v>239</v>
      </c>
      <c r="B35" s="505">
        <v>1.0489999999999999</v>
      </c>
      <c r="C35" s="496">
        <v>0.16700000000000001</v>
      </c>
      <c r="D35" s="496">
        <v>1.0169999999999999</v>
      </c>
      <c r="E35" s="496">
        <v>0.16200000000000001</v>
      </c>
      <c r="F35" s="496">
        <v>0.98599999999999999</v>
      </c>
      <c r="G35" s="496">
        <v>0.158</v>
      </c>
      <c r="H35" s="496">
        <v>0.95499999999999996</v>
      </c>
      <c r="I35" s="496">
        <v>0.152</v>
      </c>
      <c r="J35" s="496">
        <v>0.92300000000000004</v>
      </c>
      <c r="K35" s="496">
        <v>0.14699999999999999</v>
      </c>
      <c r="L35" s="497">
        <v>2</v>
      </c>
    </row>
    <row r="36" spans="1:12">
      <c r="A36" s="508" t="s">
        <v>240</v>
      </c>
      <c r="B36" s="505">
        <v>1.1240000000000001</v>
      </c>
      <c r="C36" s="496">
        <v>0.17899999999999999</v>
      </c>
      <c r="D36" s="496">
        <v>1.091</v>
      </c>
      <c r="E36" s="496">
        <v>0.17399999999999999</v>
      </c>
      <c r="F36" s="496">
        <v>1.0569999999999999</v>
      </c>
      <c r="G36" s="496">
        <v>0.16900000000000001</v>
      </c>
      <c r="H36" s="496">
        <v>1.0229999999999999</v>
      </c>
      <c r="I36" s="496">
        <v>0.16400000000000001</v>
      </c>
      <c r="J36" s="496">
        <v>0.98899999999999999</v>
      </c>
      <c r="K36" s="496">
        <v>0.158</v>
      </c>
      <c r="L36" s="497">
        <v>3</v>
      </c>
    </row>
    <row r="37" spans="1:12">
      <c r="A37" s="508" t="s">
        <v>241</v>
      </c>
      <c r="B37" s="505">
        <v>1.0489999999999999</v>
      </c>
      <c r="C37" s="496">
        <v>0.16700000000000001</v>
      </c>
      <c r="D37" s="496">
        <v>1.0169999999999999</v>
      </c>
      <c r="E37" s="496">
        <v>0.16200000000000001</v>
      </c>
      <c r="F37" s="496">
        <v>0.98599999999999999</v>
      </c>
      <c r="G37" s="496">
        <v>0.158</v>
      </c>
      <c r="H37" s="496">
        <v>0.95499999999999996</v>
      </c>
      <c r="I37" s="496">
        <v>0.152</v>
      </c>
      <c r="J37" s="496">
        <v>0.92300000000000004</v>
      </c>
      <c r="K37" s="496">
        <v>0.14699999999999999</v>
      </c>
      <c r="L37" s="497">
        <v>2</v>
      </c>
    </row>
    <row r="38" spans="1:12">
      <c r="A38" s="508" t="s">
        <v>242</v>
      </c>
      <c r="B38" s="505">
        <v>0.57699999999999996</v>
      </c>
      <c r="C38" s="496">
        <v>9.1999999999999998E-2</v>
      </c>
      <c r="D38" s="496">
        <v>0.56000000000000005</v>
      </c>
      <c r="E38" s="496">
        <v>8.8999999999999996E-2</v>
      </c>
      <c r="F38" s="496">
        <v>0.54200000000000004</v>
      </c>
      <c r="G38" s="496">
        <v>8.5999999999999993E-2</v>
      </c>
      <c r="H38" s="496">
        <v>0.52500000000000002</v>
      </c>
      <c r="I38" s="496">
        <v>8.4000000000000005E-2</v>
      </c>
      <c r="J38" s="496">
        <v>0.50800000000000001</v>
      </c>
      <c r="K38" s="496">
        <v>8.1000000000000003E-2</v>
      </c>
      <c r="L38" s="497">
        <v>3</v>
      </c>
    </row>
    <row r="39" spans="1:12">
      <c r="A39" s="508" t="s">
        <v>243</v>
      </c>
      <c r="B39" s="505">
        <v>0.57699999999999996</v>
      </c>
      <c r="C39" s="496">
        <v>9.1999999999999998E-2</v>
      </c>
      <c r="D39" s="496">
        <v>0.56000000000000005</v>
      </c>
      <c r="E39" s="496">
        <v>8.8999999999999996E-2</v>
      </c>
      <c r="F39" s="496">
        <v>0.54200000000000004</v>
      </c>
      <c r="G39" s="496">
        <v>8.5999999999999993E-2</v>
      </c>
      <c r="H39" s="496">
        <v>0.52500000000000002</v>
      </c>
      <c r="I39" s="496">
        <v>8.4000000000000005E-2</v>
      </c>
      <c r="J39" s="496">
        <v>0.50800000000000001</v>
      </c>
      <c r="K39" s="496">
        <v>8.1000000000000003E-2</v>
      </c>
      <c r="L39" s="497">
        <v>2</v>
      </c>
    </row>
    <row r="40" spans="1:12">
      <c r="A40" s="508" t="s">
        <v>244</v>
      </c>
      <c r="B40" s="505">
        <v>0.69199999999999995</v>
      </c>
      <c r="C40" s="496">
        <v>0.11</v>
      </c>
      <c r="D40" s="496">
        <v>0.67100000000000004</v>
      </c>
      <c r="E40" s="496">
        <v>0.107</v>
      </c>
      <c r="F40" s="496">
        <v>0.65</v>
      </c>
      <c r="G40" s="496">
        <v>0.104</v>
      </c>
      <c r="H40" s="496">
        <v>0.629</v>
      </c>
      <c r="I40" s="496">
        <v>0.10100000000000001</v>
      </c>
      <c r="J40" s="496">
        <v>0.60899999999999999</v>
      </c>
      <c r="K40" s="496">
        <v>9.7000000000000003E-2</v>
      </c>
      <c r="L40" s="497">
        <v>3</v>
      </c>
    </row>
    <row r="41" spans="1:12">
      <c r="A41" s="508" t="s">
        <v>245</v>
      </c>
      <c r="B41" s="505">
        <v>0.71799999999999997</v>
      </c>
      <c r="C41" s="496">
        <v>0.115</v>
      </c>
      <c r="D41" s="496">
        <v>0.69699999999999995</v>
      </c>
      <c r="E41" s="496">
        <v>0.111</v>
      </c>
      <c r="F41" s="496">
        <v>0.67400000000000004</v>
      </c>
      <c r="G41" s="496">
        <v>0.107</v>
      </c>
      <c r="H41" s="496">
        <v>0.65300000000000002</v>
      </c>
      <c r="I41" s="496">
        <v>0.104</v>
      </c>
      <c r="J41" s="496">
        <v>0.63200000000000001</v>
      </c>
      <c r="K41" s="496">
        <v>0.10100000000000001</v>
      </c>
      <c r="L41" s="497">
        <v>2</v>
      </c>
    </row>
    <row r="42" spans="1:12">
      <c r="A42" s="508" t="s">
        <v>246</v>
      </c>
      <c r="B42" s="505">
        <v>0.71799999999999997</v>
      </c>
      <c r="C42" s="496">
        <v>0.115</v>
      </c>
      <c r="D42" s="496">
        <v>0.69699999999999995</v>
      </c>
      <c r="E42" s="496">
        <v>0.111</v>
      </c>
      <c r="F42" s="496">
        <v>0.67400000000000004</v>
      </c>
      <c r="G42" s="496">
        <v>0.107</v>
      </c>
      <c r="H42" s="496">
        <v>0.65300000000000002</v>
      </c>
      <c r="I42" s="496">
        <v>0.104</v>
      </c>
      <c r="J42" s="496">
        <v>0.63200000000000001</v>
      </c>
      <c r="K42" s="496">
        <v>0.10100000000000001</v>
      </c>
      <c r="L42" s="497">
        <v>2</v>
      </c>
    </row>
    <row r="43" spans="1:12">
      <c r="A43" s="509" t="s">
        <v>247</v>
      </c>
      <c r="B43" s="506">
        <v>0.74399999999999999</v>
      </c>
      <c r="C43" s="498">
        <v>0.11899999999999999</v>
      </c>
      <c r="D43" s="498">
        <v>0.72199999999999998</v>
      </c>
      <c r="E43" s="498">
        <v>0.115</v>
      </c>
      <c r="F43" s="498">
        <v>0.69899999999999995</v>
      </c>
      <c r="G43" s="498">
        <v>0.112</v>
      </c>
      <c r="H43" s="498">
        <v>0.67700000000000005</v>
      </c>
      <c r="I43" s="498">
        <v>0.108</v>
      </c>
      <c r="J43" s="498">
        <v>0.65500000000000003</v>
      </c>
      <c r="K43" s="498">
        <v>0.104</v>
      </c>
      <c r="L43" s="499">
        <v>3</v>
      </c>
    </row>
  </sheetData>
  <mergeCells count="31">
    <mergeCell ref="B12:C12"/>
    <mergeCell ref="J18:K18"/>
    <mergeCell ref="B17:C17"/>
    <mergeCell ref="B16:C16"/>
    <mergeCell ref="J13:K13"/>
    <mergeCell ref="J15:K15"/>
    <mergeCell ref="J14:K14"/>
    <mergeCell ref="A20:A21"/>
    <mergeCell ref="B20:C20"/>
    <mergeCell ref="D20:E20"/>
    <mergeCell ref="F20:G20"/>
    <mergeCell ref="H20:I20"/>
    <mergeCell ref="L20:L21"/>
    <mergeCell ref="J20:K20"/>
    <mergeCell ref="J16:K16"/>
    <mergeCell ref="B14:C14"/>
    <mergeCell ref="B13:C13"/>
    <mergeCell ref="B15:C15"/>
    <mergeCell ref="J17:K17"/>
    <mergeCell ref="B18:C18"/>
    <mergeCell ref="A1:L1"/>
    <mergeCell ref="B10:C10"/>
    <mergeCell ref="B11:C11"/>
    <mergeCell ref="F3:G3"/>
    <mergeCell ref="H3:I3"/>
    <mergeCell ref="J3:K3"/>
    <mergeCell ref="L3:L4"/>
    <mergeCell ref="A3:A4"/>
    <mergeCell ref="B3:C3"/>
    <mergeCell ref="B9:C9"/>
    <mergeCell ref="D3:E3"/>
  </mergeCells>
  <phoneticPr fontId="1" type="noConversion"/>
  <pageMargins left="0.47244094488188981" right="0.31496062992125984" top="0.59055118110236227" bottom="0.31496062992125984" header="0.31496062992125984" footer="0.31496062992125984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/>
  <dimension ref="A1:AF111"/>
  <sheetViews>
    <sheetView view="pageBreakPreview" topLeftCell="C1" zoomScale="115" zoomScaleNormal="100" zoomScaleSheetLayoutView="115" workbookViewId="0">
      <selection activeCell="AB18" sqref="AB18"/>
    </sheetView>
  </sheetViews>
  <sheetFormatPr defaultColWidth="2" defaultRowHeight="13.2"/>
  <cols>
    <col min="1" max="2" width="8.09765625" style="617" hidden="1" customWidth="1"/>
    <col min="3" max="3" width="1.69921875" style="617" customWidth="1"/>
    <col min="4" max="22" width="4.3984375" style="547" customWidth="1"/>
    <col min="23" max="23" width="4.3984375" style="573" customWidth="1"/>
    <col min="24" max="122" width="4.3984375" style="547" customWidth="1"/>
    <col min="123" max="16384" width="2" style="547"/>
  </cols>
  <sheetData>
    <row r="1" spans="4:32" ht="25.2">
      <c r="D1" s="1534" t="s">
        <v>1325</v>
      </c>
      <c r="E1" s="1534"/>
      <c r="F1" s="1534"/>
      <c r="G1" s="1534"/>
      <c r="H1" s="1534"/>
      <c r="I1" s="1534"/>
      <c r="J1" s="1534"/>
      <c r="K1" s="1534"/>
      <c r="L1" s="1534"/>
      <c r="M1" s="1534"/>
      <c r="N1" s="1534"/>
      <c r="O1" s="1534"/>
      <c r="P1" s="1534"/>
      <c r="Q1" s="1534"/>
      <c r="R1" s="1534"/>
      <c r="S1" s="1534"/>
      <c r="T1" s="1534"/>
      <c r="U1" s="1534"/>
      <c r="V1" s="1534"/>
      <c r="W1" s="1534"/>
      <c r="X1" s="1534"/>
      <c r="Y1" s="1534"/>
      <c r="Z1" s="1534"/>
      <c r="AA1" s="1534"/>
      <c r="AB1" s="1534"/>
      <c r="AC1" s="1534"/>
      <c r="AD1" s="1534"/>
      <c r="AE1" s="1534"/>
      <c r="AF1" s="1534"/>
    </row>
    <row r="2" spans="4:32">
      <c r="D2" s="645"/>
      <c r="E2" s="645"/>
      <c r="F2" s="645"/>
      <c r="G2" s="645"/>
      <c r="H2" s="645"/>
      <c r="I2" s="645"/>
      <c r="J2" s="645"/>
      <c r="K2" s="645"/>
      <c r="L2" s="645"/>
      <c r="M2" s="645"/>
      <c r="N2" s="645"/>
      <c r="O2" s="645"/>
      <c r="P2" s="645"/>
      <c r="Q2" s="645"/>
      <c r="R2" s="645"/>
      <c r="S2" s="645"/>
      <c r="T2" s="645"/>
      <c r="U2" s="645"/>
      <c r="V2" s="645"/>
      <c r="W2" s="645"/>
      <c r="X2" s="645"/>
      <c r="Y2" s="645"/>
      <c r="Z2" s="645"/>
      <c r="AA2" s="645"/>
      <c r="AB2" s="645"/>
      <c r="AC2" s="645"/>
      <c r="AD2" s="645"/>
      <c r="AE2" s="645"/>
      <c r="AF2" s="645"/>
    </row>
    <row r="3" spans="4:32" ht="19.2">
      <c r="D3" s="643" t="s">
        <v>1326</v>
      </c>
      <c r="F3" s="573"/>
      <c r="H3" s="575"/>
      <c r="I3" s="1535" t="s">
        <v>1241</v>
      </c>
      <c r="J3" s="1535"/>
      <c r="K3" s="626">
        <f>IF(I3="면적기준",4,13)</f>
        <v>13</v>
      </c>
      <c r="M3" s="564"/>
      <c r="N3" s="565"/>
      <c r="P3" s="565"/>
      <c r="Q3" s="1551">
        <f>SUM(Q4:R5)</f>
        <v>0.18</v>
      </c>
      <c r="R3" s="1551"/>
      <c r="S3" s="576" t="s">
        <v>985</v>
      </c>
      <c r="W3" s="547"/>
    </row>
    <row r="4" spans="4:32">
      <c r="D4" s="558"/>
      <c r="E4" s="568" t="s">
        <v>986</v>
      </c>
      <c r="F4" s="547" t="s">
        <v>987</v>
      </c>
      <c r="H4" s="575" t="s">
        <v>984</v>
      </c>
      <c r="I4" s="1546">
        <v>0.35</v>
      </c>
      <c r="J4" s="1546"/>
      <c r="K4" s="551" t="s">
        <v>1234</v>
      </c>
      <c r="L4" s="578" t="s">
        <v>988</v>
      </c>
      <c r="M4" s="1550">
        <v>4</v>
      </c>
      <c r="N4" s="1550"/>
      <c r="O4" s="579" t="s">
        <v>1234</v>
      </c>
      <c r="P4" s="580" t="s">
        <v>989</v>
      </c>
      <c r="Q4" s="1551">
        <f>ROUND(I4/M4,3)</f>
        <v>8.7999999999999995E-2</v>
      </c>
      <c r="R4" s="1551"/>
      <c r="S4" s="576" t="s">
        <v>985</v>
      </c>
      <c r="W4" s="547"/>
    </row>
    <row r="5" spans="4:32">
      <c r="D5" s="558"/>
      <c r="E5" s="568" t="s">
        <v>986</v>
      </c>
      <c r="F5" s="547" t="s">
        <v>990</v>
      </c>
      <c r="H5" s="559" t="s">
        <v>984</v>
      </c>
      <c r="I5" s="1545">
        <v>0.91500000000000004</v>
      </c>
      <c r="J5" s="1545"/>
      <c r="K5" s="551" t="s">
        <v>1234</v>
      </c>
      <c r="L5" s="578" t="s">
        <v>988</v>
      </c>
      <c r="M5" s="1550">
        <v>10</v>
      </c>
      <c r="N5" s="1550"/>
      <c r="O5" s="551" t="s">
        <v>1234</v>
      </c>
      <c r="P5" s="581" t="str">
        <f>P4</f>
        <v>=</v>
      </c>
      <c r="Q5" s="1551">
        <f>ROUND(I5/M5,3)</f>
        <v>9.1999999999999998E-2</v>
      </c>
      <c r="R5" s="1551"/>
      <c r="S5" s="576" t="s">
        <v>985</v>
      </c>
      <c r="W5" s="547"/>
    </row>
    <row r="6" spans="4:32">
      <c r="D6" s="558"/>
      <c r="E6" s="619" t="s">
        <v>1348</v>
      </c>
      <c r="G6" s="577"/>
      <c r="H6" s="577"/>
      <c r="I6" s="577"/>
      <c r="J6" s="577"/>
      <c r="K6" s="577"/>
      <c r="L6" s="559"/>
      <c r="M6" s="582"/>
      <c r="N6" s="582"/>
      <c r="O6" s="582"/>
      <c r="P6" s="551"/>
      <c r="Q6" s="551"/>
      <c r="R6" s="551"/>
      <c r="S6" s="600"/>
      <c r="T6" s="600"/>
      <c r="U6" s="600"/>
      <c r="V6" s="551"/>
      <c r="W6" s="565"/>
      <c r="X6" s="581"/>
      <c r="Z6" s="583"/>
      <c r="AA6" s="583"/>
      <c r="AB6" s="583"/>
      <c r="AC6" s="576"/>
    </row>
    <row r="7" spans="4:32">
      <c r="D7" s="558"/>
      <c r="F7" s="573"/>
      <c r="H7" s="574"/>
      <c r="L7" s="582"/>
      <c r="M7" s="582"/>
      <c r="N7" s="584"/>
      <c r="O7" s="579"/>
      <c r="P7" s="579"/>
      <c r="Q7" s="585"/>
      <c r="R7" s="586"/>
      <c r="S7" s="576"/>
      <c r="T7" s="563"/>
      <c r="U7" s="564"/>
      <c r="V7" s="564"/>
      <c r="W7" s="565"/>
      <c r="X7" s="565"/>
      <c r="Y7" s="565"/>
      <c r="Z7" s="565"/>
      <c r="AA7" s="566"/>
      <c r="AB7" s="565"/>
      <c r="AC7" s="565"/>
      <c r="AD7" s="565"/>
      <c r="AE7" s="565"/>
    </row>
    <row r="8" spans="4:32" ht="19.2">
      <c r="D8" s="644" t="s">
        <v>1327</v>
      </c>
      <c r="F8" s="573"/>
      <c r="P8" s="562"/>
      <c r="Q8" s="562"/>
      <c r="R8" s="562"/>
      <c r="S8" s="565"/>
      <c r="T8" s="565"/>
      <c r="U8" s="565"/>
      <c r="V8" s="565"/>
      <c r="W8" s="565"/>
      <c r="X8" s="565"/>
      <c r="Y8" s="565"/>
      <c r="Z8" s="565"/>
      <c r="AA8" s="565"/>
      <c r="AB8" s="565"/>
      <c r="AC8" s="565"/>
      <c r="AD8" s="565"/>
      <c r="AE8" s="565"/>
      <c r="AF8" s="565"/>
    </row>
    <row r="9" spans="4:32">
      <c r="E9" s="1547" t="s">
        <v>991</v>
      </c>
      <c r="F9" s="1539"/>
      <c r="G9" s="1539"/>
      <c r="H9" s="1540"/>
      <c r="I9" s="1538" t="s">
        <v>1159</v>
      </c>
      <c r="J9" s="1520"/>
      <c r="K9" s="1520"/>
      <c r="L9" s="1520" t="s">
        <v>1147</v>
      </c>
      <c r="M9" s="1520"/>
      <c r="N9" s="1520" t="s">
        <v>1153</v>
      </c>
      <c r="O9" s="1520"/>
      <c r="P9" s="1520" t="s">
        <v>1154</v>
      </c>
      <c r="Q9" s="1520"/>
      <c r="R9" s="1520" t="s">
        <v>1155</v>
      </c>
      <c r="S9" s="1520"/>
      <c r="T9" s="1539" t="s">
        <v>1242</v>
      </c>
      <c r="U9" s="1540"/>
    </row>
    <row r="10" spans="4:32">
      <c r="E10" s="1552" t="s">
        <v>1156</v>
      </c>
      <c r="F10" s="1521"/>
      <c r="G10" s="1521" t="s">
        <v>1157</v>
      </c>
      <c r="H10" s="1522"/>
      <c r="I10" s="627">
        <f>A36</f>
        <v>0.1</v>
      </c>
      <c r="J10" s="1530" t="str">
        <f>VLOOKUP(I10,E20:G35,2)</f>
        <v>배 미만</v>
      </c>
      <c r="K10" s="1531"/>
      <c r="L10" s="1548">
        <f>VLOOKUP($I10,$E$20:$X$35,$K$3,0)</f>
        <v>0.28999999999999998</v>
      </c>
      <c r="M10" s="1549"/>
      <c r="N10" s="1548">
        <f>VLOOKUP($I10,$E$20:$X$35,$K$3+2,0)</f>
        <v>0.28999999999999998</v>
      </c>
      <c r="O10" s="1549"/>
      <c r="P10" s="1548">
        <f>VLOOKUP($I10,$E$20:$X$35,$K$3+4,0)</f>
        <v>0.37</v>
      </c>
      <c r="Q10" s="1549"/>
      <c r="R10" s="1548">
        <f>VLOOKUP($I10,$E$20:$X$35,$K$3+6,0)</f>
        <v>0.37</v>
      </c>
      <c r="S10" s="1549"/>
      <c r="T10" s="1541"/>
      <c r="U10" s="1542"/>
      <c r="W10" s="547"/>
    </row>
    <row r="11" spans="4:32">
      <c r="E11" s="1553"/>
      <c r="F11" s="1525"/>
      <c r="G11" s="1525" t="s">
        <v>1158</v>
      </c>
      <c r="H11" s="1526"/>
      <c r="I11" s="629">
        <f>B36</f>
        <v>0.2</v>
      </c>
      <c r="J11" s="1532" t="str">
        <f>VLOOKUP(I11,E20:G35,2)</f>
        <v>배 미만</v>
      </c>
      <c r="K11" s="1533"/>
      <c r="L11" s="1523">
        <f>VLOOKUP($I11,$E$20:$X$35,$K$3,0)</f>
        <v>0.39</v>
      </c>
      <c r="M11" s="1524"/>
      <c r="N11" s="1523">
        <f>VLOOKUP($I11,$E$20:$X$35,$K$3+2,0)</f>
        <v>0.39</v>
      </c>
      <c r="O11" s="1524"/>
      <c r="P11" s="1523">
        <f>VLOOKUP($I11,$E$20:$X$35,$K$3+4,0)</f>
        <v>0.49</v>
      </c>
      <c r="Q11" s="1524"/>
      <c r="R11" s="1523">
        <f>VLOOKUP($I11,$E$20:$X$35,$K$3+6,0)</f>
        <v>0.49</v>
      </c>
      <c r="S11" s="1524"/>
      <c r="T11" s="1543"/>
      <c r="U11" s="1544"/>
      <c r="W11" s="547"/>
    </row>
    <row r="12" spans="4:32">
      <c r="E12" s="1527" t="s">
        <v>1244</v>
      </c>
      <c r="F12" s="1528"/>
      <c r="G12" s="1528"/>
      <c r="H12" s="1529"/>
      <c r="I12" s="1536" t="str">
        <f>Q3&amp;S3</f>
        <v>0.18배</v>
      </c>
      <c r="J12" s="1537"/>
      <c r="K12" s="1537"/>
      <c r="L12" s="1519">
        <f>IF($I$11=0.1,L10,IF($I$10=50,L11,ROUND(L10+($Q$3-$I$10)*(L11-L10)/($I$11-$I$10),2)))</f>
        <v>0.37</v>
      </c>
      <c r="M12" s="1519"/>
      <c r="N12" s="1519">
        <f>IF($I$11=0.1,N10,IF($I$10=50,N11,ROUND(N10+($Q$3-$I$10)*(N11-N10)/($I$11-$I$10),2)))</f>
        <v>0.37</v>
      </c>
      <c r="O12" s="1519"/>
      <c r="P12" s="1519">
        <f>IF($I$11=0.1,P10,IF($I$10=50,P11,ROUND(P10+($Q$3-$I$10)*(P11-P10)/($I$11-$I$10),2)))</f>
        <v>0.47</v>
      </c>
      <c r="Q12" s="1519"/>
      <c r="R12" s="1519">
        <f>IF($I$11=0.1,R10,IF($I$10=50,R11,ROUND(R10+($Q$3-$I$10)*(R11-R10)/($I$11-$I$10),2)))</f>
        <v>0.47</v>
      </c>
      <c r="S12" s="1519"/>
      <c r="T12" s="1528"/>
      <c r="U12" s="1529"/>
      <c r="W12" s="547"/>
    </row>
    <row r="13" spans="4:32">
      <c r="D13" s="559"/>
      <c r="E13" s="547" t="s">
        <v>1243</v>
      </c>
      <c r="F13" s="588"/>
      <c r="H13" s="559"/>
      <c r="I13" s="589"/>
      <c r="J13" s="589"/>
      <c r="K13" s="589"/>
      <c r="L13" s="590"/>
      <c r="M13" s="590"/>
      <c r="N13" s="590"/>
      <c r="O13" s="590"/>
      <c r="P13" s="590"/>
      <c r="Q13" s="590"/>
      <c r="R13" s="590"/>
      <c r="W13" s="547"/>
    </row>
    <row r="14" spans="4:32" ht="14.4">
      <c r="D14" s="559"/>
      <c r="E14" s="559"/>
      <c r="F14" s="559"/>
      <c r="G14" s="1576" t="s">
        <v>1235</v>
      </c>
      <c r="H14" s="1576"/>
      <c r="I14" s="1578" t="s">
        <v>1349</v>
      </c>
      <c r="J14" s="1578"/>
      <c r="K14" s="1578"/>
      <c r="L14" s="1578"/>
      <c r="N14" s="591" t="s">
        <v>992</v>
      </c>
      <c r="O14" s="552" t="s">
        <v>993</v>
      </c>
      <c r="P14" s="552"/>
      <c r="Q14" s="552"/>
      <c r="R14" s="591" t="s">
        <v>1237</v>
      </c>
      <c r="S14" s="593" t="s">
        <v>994</v>
      </c>
      <c r="U14" s="592"/>
      <c r="V14" s="596" t="s">
        <v>1239</v>
      </c>
      <c r="W14" s="594" t="s">
        <v>995</v>
      </c>
      <c r="X14" s="552"/>
      <c r="AB14" s="565"/>
      <c r="AC14" s="565"/>
    </row>
    <row r="15" spans="4:32" ht="14.4">
      <c r="D15" s="559"/>
      <c r="E15" s="559"/>
      <c r="F15" s="559"/>
      <c r="G15" s="1576"/>
      <c r="H15" s="1576"/>
      <c r="I15" s="1577" t="s">
        <v>1236</v>
      </c>
      <c r="J15" s="1577"/>
      <c r="K15" s="1577"/>
      <c r="L15" s="1577"/>
      <c r="N15" s="591" t="s">
        <v>996</v>
      </c>
      <c r="O15" s="593" t="s">
        <v>997</v>
      </c>
      <c r="P15" s="552"/>
      <c r="Q15" s="552"/>
      <c r="R15" s="591" t="s">
        <v>1238</v>
      </c>
      <c r="S15" s="593" t="s">
        <v>998</v>
      </c>
      <c r="U15" s="592"/>
      <c r="V15" s="596" t="s">
        <v>1240</v>
      </c>
      <c r="W15" s="594" t="s">
        <v>999</v>
      </c>
      <c r="X15" s="552"/>
      <c r="AB15" s="565"/>
    </row>
    <row r="16" spans="4:32">
      <c r="D16" s="559"/>
      <c r="I16" s="589"/>
      <c r="W16" s="547"/>
      <c r="AC16" s="592"/>
      <c r="AD16" s="552"/>
      <c r="AE16" s="552"/>
      <c r="AF16" s="552"/>
    </row>
    <row r="17" spans="1:31" ht="19.2">
      <c r="D17" s="643" t="s">
        <v>1328</v>
      </c>
      <c r="F17" s="573"/>
      <c r="G17" s="559"/>
      <c r="O17" s="561"/>
      <c r="P17" s="562"/>
      <c r="Q17" s="562"/>
      <c r="R17" s="562"/>
      <c r="S17" s="562"/>
      <c r="T17" s="561"/>
      <c r="U17" s="559"/>
      <c r="V17" s="564"/>
      <c r="W17" s="565"/>
      <c r="X17" s="565"/>
      <c r="Y17" s="565"/>
      <c r="Z17" s="565"/>
      <c r="AA17" s="566"/>
      <c r="AB17" s="565"/>
      <c r="AC17" s="565"/>
      <c r="AD17" s="565"/>
      <c r="AE17" s="565"/>
    </row>
    <row r="18" spans="1:31">
      <c r="D18" s="595"/>
      <c r="E18" s="547" t="s">
        <v>1163</v>
      </c>
      <c r="F18" s="573"/>
      <c r="Q18" s="551" t="s">
        <v>1151</v>
      </c>
      <c r="R18" s="562"/>
      <c r="U18" s="551"/>
      <c r="W18" s="547"/>
      <c r="AA18" s="566"/>
      <c r="AB18" s="565"/>
      <c r="AC18" s="565"/>
      <c r="AD18" s="565"/>
    </row>
    <row r="19" spans="1:31">
      <c r="E19" s="1683" t="s">
        <v>1000</v>
      </c>
      <c r="F19" s="1520"/>
      <c r="G19" s="1680"/>
      <c r="H19" s="1538" t="s">
        <v>1147</v>
      </c>
      <c r="I19" s="1520"/>
      <c r="J19" s="1520" t="s">
        <v>1148</v>
      </c>
      <c r="K19" s="1520"/>
      <c r="L19" s="1520" t="s">
        <v>1149</v>
      </c>
      <c r="M19" s="1520"/>
      <c r="N19" s="1520" t="s">
        <v>1150</v>
      </c>
      <c r="O19" s="1680"/>
      <c r="Q19" s="1683" t="s">
        <v>1152</v>
      </c>
      <c r="R19" s="1520"/>
      <c r="S19" s="1520" t="s">
        <v>1153</v>
      </c>
      <c r="T19" s="1520"/>
      <c r="U19" s="1520" t="s">
        <v>1154</v>
      </c>
      <c r="V19" s="1520"/>
      <c r="W19" s="1520" t="s">
        <v>1155</v>
      </c>
      <c r="X19" s="1680"/>
      <c r="AA19" s="566"/>
      <c r="AB19" s="565"/>
      <c r="AC19" s="565"/>
      <c r="AD19" s="565"/>
    </row>
    <row r="20" spans="1:31">
      <c r="A20" s="617">
        <f>IF($Q$3&lt;E20,"",E20)</f>
        <v>0.1</v>
      </c>
      <c r="B20" s="617">
        <f>IF($Q$3&lt;E20,"",E21)</f>
        <v>0.2</v>
      </c>
      <c r="E20" s="631">
        <v>0.1</v>
      </c>
      <c r="F20" s="1690" t="s">
        <v>1160</v>
      </c>
      <c r="G20" s="1691"/>
      <c r="H20" s="1685">
        <v>0.4</v>
      </c>
      <c r="I20" s="1548"/>
      <c r="J20" s="1548">
        <v>0.4</v>
      </c>
      <c r="K20" s="1548"/>
      <c r="L20" s="1548">
        <v>0.52</v>
      </c>
      <c r="M20" s="1548"/>
      <c r="N20" s="1548">
        <v>0.52</v>
      </c>
      <c r="O20" s="1682"/>
      <c r="P20" s="601"/>
      <c r="Q20" s="1681">
        <v>0.28999999999999998</v>
      </c>
      <c r="R20" s="1548"/>
      <c r="S20" s="1548">
        <v>0.28999999999999998</v>
      </c>
      <c r="T20" s="1548"/>
      <c r="U20" s="1548">
        <v>0.37</v>
      </c>
      <c r="V20" s="1548"/>
      <c r="W20" s="1548">
        <v>0.37</v>
      </c>
      <c r="X20" s="1682"/>
      <c r="AA20" s="566"/>
      <c r="AB20" s="565"/>
      <c r="AC20" s="565"/>
      <c r="AD20" s="565"/>
    </row>
    <row r="21" spans="1:31">
      <c r="A21" s="617" t="str">
        <f>IF($Q$3&lt;E21,"",E21)</f>
        <v/>
      </c>
      <c r="B21" s="617" t="str">
        <f>IF($Q$3&lt;E21,"",E22)</f>
        <v/>
      </c>
      <c r="E21" s="628">
        <v>0.2</v>
      </c>
      <c r="F21" s="1686" t="s">
        <v>1160</v>
      </c>
      <c r="G21" s="1687"/>
      <c r="H21" s="1684">
        <v>0.48</v>
      </c>
      <c r="I21" s="1677"/>
      <c r="J21" s="1677">
        <v>0.48</v>
      </c>
      <c r="K21" s="1677"/>
      <c r="L21" s="1677">
        <v>0.57999999999999996</v>
      </c>
      <c r="M21" s="1677"/>
      <c r="N21" s="1677">
        <v>0.57999999999999996</v>
      </c>
      <c r="O21" s="1678"/>
      <c r="P21" s="601"/>
      <c r="Q21" s="1679">
        <v>0.39</v>
      </c>
      <c r="R21" s="1677"/>
      <c r="S21" s="1677">
        <v>0.39</v>
      </c>
      <c r="T21" s="1677"/>
      <c r="U21" s="1677">
        <v>0.49</v>
      </c>
      <c r="V21" s="1677"/>
      <c r="W21" s="1677">
        <v>0.49</v>
      </c>
      <c r="X21" s="1678"/>
      <c r="AA21" s="566"/>
      <c r="AB21" s="565"/>
      <c r="AC21" s="565"/>
      <c r="AD21" s="565"/>
    </row>
    <row r="22" spans="1:31">
      <c r="A22" s="617" t="str">
        <f>IF($Q$3&lt;E22,"",E22)</f>
        <v/>
      </c>
      <c r="B22" s="617" t="str">
        <f>IF($Q$3&lt;E22,"",E23)</f>
        <v/>
      </c>
      <c r="E22" s="628">
        <v>0.5</v>
      </c>
      <c r="F22" s="1686" t="s">
        <v>1160</v>
      </c>
      <c r="G22" s="1687"/>
      <c r="H22" s="1684">
        <v>0.59</v>
      </c>
      <c r="I22" s="1677"/>
      <c r="J22" s="1677">
        <v>0.59</v>
      </c>
      <c r="K22" s="1677"/>
      <c r="L22" s="1677">
        <v>0.67</v>
      </c>
      <c r="M22" s="1677"/>
      <c r="N22" s="1677">
        <v>0.67</v>
      </c>
      <c r="O22" s="1678"/>
      <c r="P22" s="601"/>
      <c r="Q22" s="1679">
        <v>0.53</v>
      </c>
      <c r="R22" s="1677"/>
      <c r="S22" s="1677">
        <v>0.53</v>
      </c>
      <c r="T22" s="1677"/>
      <c r="U22" s="1677">
        <v>0.66</v>
      </c>
      <c r="V22" s="1677"/>
      <c r="W22" s="1677">
        <v>0.66</v>
      </c>
      <c r="X22" s="1678"/>
      <c r="AA22" s="566"/>
      <c r="AB22" s="565"/>
      <c r="AC22" s="565"/>
      <c r="AD22" s="565"/>
    </row>
    <row r="23" spans="1:31">
      <c r="A23" s="617" t="str">
        <f>IF($Q$3&lt;E23,"",E23)</f>
        <v/>
      </c>
      <c r="B23" s="617" t="str">
        <f>IF($Q$3&lt;E23,"",E24)</f>
        <v/>
      </c>
      <c r="E23" s="628">
        <v>1</v>
      </c>
      <c r="F23" s="1686" t="s">
        <v>1160</v>
      </c>
      <c r="G23" s="1687"/>
      <c r="H23" s="1684">
        <v>0.76</v>
      </c>
      <c r="I23" s="1677"/>
      <c r="J23" s="1677">
        <v>0.76</v>
      </c>
      <c r="K23" s="1677"/>
      <c r="L23" s="1677">
        <v>0.8</v>
      </c>
      <c r="M23" s="1677"/>
      <c r="N23" s="1677">
        <v>0.8</v>
      </c>
      <c r="O23" s="1678"/>
      <c r="P23" s="601"/>
      <c r="Q23" s="1679">
        <v>0.8</v>
      </c>
      <c r="R23" s="1677"/>
      <c r="S23" s="1677">
        <v>0.8</v>
      </c>
      <c r="T23" s="1677"/>
      <c r="U23" s="1677">
        <v>0.97</v>
      </c>
      <c r="V23" s="1677"/>
      <c r="W23" s="1677">
        <v>0.97</v>
      </c>
      <c r="X23" s="1678"/>
      <c r="AA23" s="566"/>
      <c r="AB23" s="565"/>
      <c r="AC23" s="565"/>
      <c r="AD23" s="565"/>
    </row>
    <row r="24" spans="1:31">
      <c r="A24" s="617" t="str">
        <f>IF($Q$3&lt;=E24,"",E24)</f>
        <v/>
      </c>
      <c r="B24" s="617" t="str">
        <f>IF($Q$3&lt;=E24,"",E25)</f>
        <v/>
      </c>
      <c r="D24" s="617"/>
      <c r="E24" s="628">
        <v>1.5</v>
      </c>
      <c r="F24" s="1686" t="s">
        <v>1161</v>
      </c>
      <c r="G24" s="1687"/>
      <c r="H24" s="1684">
        <v>1</v>
      </c>
      <c r="I24" s="1677"/>
      <c r="J24" s="1677">
        <v>1</v>
      </c>
      <c r="K24" s="1677"/>
      <c r="L24" s="1677">
        <v>1</v>
      </c>
      <c r="M24" s="1677"/>
      <c r="N24" s="1677">
        <v>1</v>
      </c>
      <c r="O24" s="1678"/>
      <c r="P24" s="601"/>
      <c r="Q24" s="1679">
        <v>1.21</v>
      </c>
      <c r="R24" s="1677"/>
      <c r="S24" s="1677">
        <v>1.21</v>
      </c>
      <c r="T24" s="1677"/>
      <c r="U24" s="1677">
        <v>1.45</v>
      </c>
      <c r="V24" s="1677"/>
      <c r="W24" s="1677">
        <v>1.45</v>
      </c>
      <c r="X24" s="1678"/>
      <c r="AA24" s="566"/>
      <c r="AB24" s="565"/>
      <c r="AC24" s="565"/>
      <c r="AD24" s="565"/>
    </row>
    <row r="25" spans="1:31">
      <c r="A25" s="617" t="str">
        <f t="shared" ref="A25:A35" si="0">IF($Q$3&lt;=E25,"",E25)</f>
        <v/>
      </c>
      <c r="B25" s="617" t="str">
        <f t="shared" ref="B25:B33" si="1">IF($Q$3&lt;=E25,"",E26)</f>
        <v/>
      </c>
      <c r="E25" s="628">
        <v>2</v>
      </c>
      <c r="F25" s="1686" t="s">
        <v>1161</v>
      </c>
      <c r="G25" s="1687"/>
      <c r="H25" s="1684">
        <v>1.07</v>
      </c>
      <c r="I25" s="1677"/>
      <c r="J25" s="1677">
        <v>1.07</v>
      </c>
      <c r="K25" s="1677"/>
      <c r="L25" s="1677">
        <v>1.1200000000000001</v>
      </c>
      <c r="M25" s="1677"/>
      <c r="N25" s="1677">
        <v>1.1200000000000001</v>
      </c>
      <c r="O25" s="1678"/>
      <c r="P25" s="601"/>
      <c r="Q25" s="1679">
        <v>1.39</v>
      </c>
      <c r="R25" s="1677"/>
      <c r="S25" s="1677">
        <v>1.39</v>
      </c>
      <c r="T25" s="1677"/>
      <c r="U25" s="1677">
        <v>1.68</v>
      </c>
      <c r="V25" s="1677"/>
      <c r="W25" s="1677">
        <v>1.68</v>
      </c>
      <c r="X25" s="1678"/>
      <c r="AA25" s="566"/>
      <c r="AB25" s="565"/>
      <c r="AC25" s="565"/>
      <c r="AD25" s="565"/>
    </row>
    <row r="26" spans="1:31">
      <c r="A26" s="617" t="str">
        <f t="shared" si="0"/>
        <v/>
      </c>
      <c r="B26" s="617" t="str">
        <f t="shared" si="1"/>
        <v/>
      </c>
      <c r="E26" s="628">
        <v>3</v>
      </c>
      <c r="F26" s="1686" t="s">
        <v>1161</v>
      </c>
      <c r="G26" s="1687"/>
      <c r="H26" s="1684">
        <v>1.21</v>
      </c>
      <c r="I26" s="1677"/>
      <c r="J26" s="1677">
        <v>1.21</v>
      </c>
      <c r="K26" s="1677"/>
      <c r="L26" s="1677">
        <v>1.31</v>
      </c>
      <c r="M26" s="1677"/>
      <c r="N26" s="1677">
        <v>1.31</v>
      </c>
      <c r="O26" s="1678"/>
      <c r="P26" s="601"/>
      <c r="Q26" s="1679">
        <v>1.69</v>
      </c>
      <c r="R26" s="1677"/>
      <c r="S26" s="1677">
        <v>1.69</v>
      </c>
      <c r="T26" s="1677"/>
      <c r="U26" s="1677">
        <v>2.06</v>
      </c>
      <c r="V26" s="1677"/>
      <c r="W26" s="1677">
        <v>2.06</v>
      </c>
      <c r="X26" s="1678"/>
      <c r="AA26" s="566"/>
      <c r="AB26" s="565"/>
      <c r="AC26" s="565"/>
      <c r="AD26" s="565"/>
    </row>
    <row r="27" spans="1:31">
      <c r="A27" s="617" t="str">
        <f t="shared" si="0"/>
        <v/>
      </c>
      <c r="B27" s="617" t="str">
        <f t="shared" si="1"/>
        <v/>
      </c>
      <c r="E27" s="628">
        <v>5</v>
      </c>
      <c r="F27" s="1686" t="s">
        <v>1161</v>
      </c>
      <c r="G27" s="1687"/>
      <c r="H27" s="1684">
        <v>1.42</v>
      </c>
      <c r="I27" s="1677"/>
      <c r="J27" s="1677">
        <v>1.42</v>
      </c>
      <c r="K27" s="1677"/>
      <c r="L27" s="1677">
        <v>1.61</v>
      </c>
      <c r="M27" s="1677"/>
      <c r="N27" s="1677">
        <v>1.61</v>
      </c>
      <c r="O27" s="1678"/>
      <c r="P27" s="601"/>
      <c r="Q27" s="1679">
        <v>2.17</v>
      </c>
      <c r="R27" s="1677"/>
      <c r="S27" s="1677">
        <v>2.17</v>
      </c>
      <c r="T27" s="1677"/>
      <c r="U27" s="1677">
        <v>2.67</v>
      </c>
      <c r="V27" s="1677"/>
      <c r="W27" s="1677">
        <v>2.67</v>
      </c>
      <c r="X27" s="1678"/>
      <c r="AA27" s="566"/>
      <c r="AB27" s="565"/>
      <c r="AC27" s="565"/>
      <c r="AD27" s="565"/>
    </row>
    <row r="28" spans="1:31">
      <c r="A28" s="617" t="str">
        <f t="shared" si="0"/>
        <v/>
      </c>
      <c r="B28" s="617" t="str">
        <f t="shared" si="1"/>
        <v/>
      </c>
      <c r="E28" s="628">
        <v>7</v>
      </c>
      <c r="F28" s="1686" t="s">
        <v>1161</v>
      </c>
      <c r="G28" s="1687"/>
      <c r="H28" s="1684">
        <v>1.58</v>
      </c>
      <c r="I28" s="1677"/>
      <c r="J28" s="1677">
        <v>1.58</v>
      </c>
      <c r="K28" s="1677"/>
      <c r="L28" s="1677">
        <v>1.84</v>
      </c>
      <c r="M28" s="1677"/>
      <c r="N28" s="1677">
        <v>1.84</v>
      </c>
      <c r="O28" s="1678"/>
      <c r="P28" s="601"/>
      <c r="Q28" s="1679">
        <v>2.5499999999999998</v>
      </c>
      <c r="R28" s="1677"/>
      <c r="S28" s="1677">
        <v>2.5499999999999998</v>
      </c>
      <c r="T28" s="1677"/>
      <c r="U28" s="1677">
        <v>3.16</v>
      </c>
      <c r="V28" s="1677"/>
      <c r="W28" s="1677">
        <v>3.16</v>
      </c>
      <c r="X28" s="1678"/>
      <c r="AA28" s="566"/>
      <c r="AB28" s="565"/>
      <c r="AC28" s="565"/>
      <c r="AD28" s="565"/>
    </row>
    <row r="29" spans="1:31">
      <c r="A29" s="617" t="str">
        <f t="shared" si="0"/>
        <v/>
      </c>
      <c r="B29" s="617" t="str">
        <f t="shared" si="1"/>
        <v/>
      </c>
      <c r="E29" s="628">
        <v>10</v>
      </c>
      <c r="F29" s="1686" t="s">
        <v>1161</v>
      </c>
      <c r="G29" s="1687"/>
      <c r="H29" s="1684">
        <v>1.76</v>
      </c>
      <c r="I29" s="1677"/>
      <c r="J29" s="1677">
        <v>1.76</v>
      </c>
      <c r="K29" s="1677"/>
      <c r="L29" s="1677">
        <v>2.11</v>
      </c>
      <c r="M29" s="1677"/>
      <c r="N29" s="1677">
        <v>2.11</v>
      </c>
      <c r="O29" s="1678"/>
      <c r="P29" s="601"/>
      <c r="Q29" s="1679">
        <v>3.02</v>
      </c>
      <c r="R29" s="1677"/>
      <c r="S29" s="1677">
        <v>3.02</v>
      </c>
      <c r="T29" s="1677"/>
      <c r="U29" s="1677">
        <v>3.78</v>
      </c>
      <c r="V29" s="1677"/>
      <c r="W29" s="1677">
        <v>3.78</v>
      </c>
      <c r="X29" s="1678"/>
      <c r="AA29" s="566"/>
      <c r="AB29" s="565"/>
      <c r="AC29" s="565"/>
      <c r="AD29" s="565"/>
    </row>
    <row r="30" spans="1:31">
      <c r="A30" s="617" t="str">
        <f t="shared" si="0"/>
        <v/>
      </c>
      <c r="B30" s="617" t="str">
        <f t="shared" si="1"/>
        <v/>
      </c>
      <c r="E30" s="628">
        <v>15</v>
      </c>
      <c r="F30" s="1686" t="s">
        <v>1161</v>
      </c>
      <c r="G30" s="1687"/>
      <c r="H30" s="1684">
        <v>2</v>
      </c>
      <c r="I30" s="1677"/>
      <c r="J30" s="1677">
        <v>2</v>
      </c>
      <c r="K30" s="1677"/>
      <c r="L30" s="1677">
        <v>2.4900000000000002</v>
      </c>
      <c r="M30" s="1677"/>
      <c r="N30" s="1677">
        <v>2.4900000000000002</v>
      </c>
      <c r="O30" s="1678"/>
      <c r="P30" s="601"/>
      <c r="Q30" s="1679">
        <v>3.68</v>
      </c>
      <c r="R30" s="1677"/>
      <c r="S30" s="1677">
        <v>3.68</v>
      </c>
      <c r="T30" s="1677"/>
      <c r="U30" s="1677">
        <v>4.6399999999999997</v>
      </c>
      <c r="V30" s="1677"/>
      <c r="W30" s="1677">
        <v>4.6399999999999997</v>
      </c>
      <c r="X30" s="1678"/>
      <c r="AA30" s="566"/>
      <c r="AB30" s="565"/>
      <c r="AC30" s="565"/>
      <c r="AD30" s="565"/>
    </row>
    <row r="31" spans="1:31">
      <c r="A31" s="617" t="str">
        <f t="shared" si="0"/>
        <v/>
      </c>
      <c r="B31" s="617" t="str">
        <f t="shared" si="1"/>
        <v/>
      </c>
      <c r="E31" s="628">
        <v>20</v>
      </c>
      <c r="F31" s="1686" t="s">
        <v>1161</v>
      </c>
      <c r="G31" s="1687"/>
      <c r="H31" s="1684">
        <v>2.1800000000000002</v>
      </c>
      <c r="I31" s="1677"/>
      <c r="J31" s="1677">
        <v>2.1800000000000002</v>
      </c>
      <c r="K31" s="1677"/>
      <c r="L31" s="1677">
        <v>2.79</v>
      </c>
      <c r="M31" s="1677"/>
      <c r="N31" s="1677">
        <v>2.79</v>
      </c>
      <c r="O31" s="1678"/>
      <c r="P31" s="601"/>
      <c r="Q31" s="1679">
        <v>4.22</v>
      </c>
      <c r="R31" s="1677"/>
      <c r="S31" s="1677">
        <v>4.22</v>
      </c>
      <c r="T31" s="1677"/>
      <c r="U31" s="1677">
        <v>5.36</v>
      </c>
      <c r="V31" s="1677"/>
      <c r="W31" s="1677">
        <v>5.36</v>
      </c>
      <c r="X31" s="1678"/>
      <c r="AA31" s="566"/>
      <c r="AB31" s="565"/>
      <c r="AC31" s="565"/>
      <c r="AD31" s="565"/>
    </row>
    <row r="32" spans="1:31">
      <c r="A32" s="617" t="str">
        <f t="shared" si="0"/>
        <v/>
      </c>
      <c r="B32" s="617" t="str">
        <f t="shared" si="1"/>
        <v/>
      </c>
      <c r="E32" s="628">
        <v>25</v>
      </c>
      <c r="F32" s="1686" t="s">
        <v>1161</v>
      </c>
      <c r="G32" s="1687"/>
      <c r="H32" s="1684">
        <v>2.34</v>
      </c>
      <c r="I32" s="1677"/>
      <c r="J32" s="1677">
        <v>2.34</v>
      </c>
      <c r="K32" s="1677"/>
      <c r="L32" s="1677">
        <v>3.05</v>
      </c>
      <c r="M32" s="1677"/>
      <c r="N32" s="1677">
        <v>3.05</v>
      </c>
      <c r="O32" s="1678"/>
      <c r="P32" s="601"/>
      <c r="Q32" s="1679">
        <v>4.7</v>
      </c>
      <c r="R32" s="1677"/>
      <c r="S32" s="1677">
        <v>4.7</v>
      </c>
      <c r="T32" s="1677"/>
      <c r="U32" s="1677">
        <v>6</v>
      </c>
      <c r="V32" s="1677"/>
      <c r="W32" s="1677">
        <v>6</v>
      </c>
      <c r="X32" s="1678"/>
      <c r="AA32" s="566"/>
      <c r="AB32" s="565"/>
      <c r="AC32" s="565"/>
      <c r="AD32" s="565"/>
    </row>
    <row r="33" spans="1:32">
      <c r="A33" s="617" t="str">
        <f t="shared" si="0"/>
        <v/>
      </c>
      <c r="B33" s="617" t="str">
        <f t="shared" si="1"/>
        <v/>
      </c>
      <c r="E33" s="628">
        <v>30</v>
      </c>
      <c r="F33" s="1686" t="s">
        <v>1161</v>
      </c>
      <c r="G33" s="1687"/>
      <c r="H33" s="1684">
        <v>2.48</v>
      </c>
      <c r="I33" s="1677"/>
      <c r="J33" s="1677">
        <v>2.48</v>
      </c>
      <c r="K33" s="1677"/>
      <c r="L33" s="1677">
        <v>3.28</v>
      </c>
      <c r="M33" s="1677"/>
      <c r="N33" s="1677">
        <v>3.28</v>
      </c>
      <c r="O33" s="1678"/>
      <c r="P33" s="601"/>
      <c r="Q33" s="1679">
        <v>5.13</v>
      </c>
      <c r="R33" s="1677"/>
      <c r="S33" s="1677">
        <v>5.13</v>
      </c>
      <c r="T33" s="1677"/>
      <c r="U33" s="1677">
        <v>6.57</v>
      </c>
      <c r="V33" s="1677"/>
      <c r="W33" s="1677">
        <v>6.57</v>
      </c>
      <c r="X33" s="1678"/>
      <c r="AA33" s="566"/>
      <c r="AB33" s="565"/>
      <c r="AC33" s="565"/>
      <c r="AD33" s="565"/>
    </row>
    <row r="34" spans="1:32">
      <c r="A34" s="617" t="str">
        <f t="shared" si="0"/>
        <v/>
      </c>
      <c r="B34" s="617" t="str">
        <f>IF($Q$3&lt;=E34,"",E35)</f>
        <v/>
      </c>
      <c r="E34" s="628">
        <v>50</v>
      </c>
      <c r="F34" s="1686" t="s">
        <v>1161</v>
      </c>
      <c r="G34" s="1687"/>
      <c r="H34" s="1684">
        <v>2.6</v>
      </c>
      <c r="I34" s="1677"/>
      <c r="J34" s="1677">
        <v>2.6</v>
      </c>
      <c r="K34" s="1677"/>
      <c r="L34" s="1677">
        <v>3.49</v>
      </c>
      <c r="M34" s="1677"/>
      <c r="N34" s="1677">
        <v>3.49</v>
      </c>
      <c r="O34" s="1678"/>
      <c r="P34" s="601"/>
      <c r="Q34" s="1679">
        <v>5.52</v>
      </c>
      <c r="R34" s="1677"/>
      <c r="S34" s="1677">
        <v>5.52</v>
      </c>
      <c r="T34" s="1677"/>
      <c r="U34" s="1677">
        <v>7</v>
      </c>
      <c r="V34" s="1677"/>
      <c r="W34" s="1677">
        <v>7</v>
      </c>
      <c r="X34" s="1678"/>
      <c r="AA34" s="566"/>
      <c r="AB34" s="565"/>
      <c r="AC34" s="565"/>
      <c r="AD34" s="565"/>
    </row>
    <row r="35" spans="1:32">
      <c r="A35" s="617" t="str">
        <f t="shared" si="0"/>
        <v/>
      </c>
      <c r="B35" s="617" t="str">
        <f>IF($Q$3&lt;=E35,"",E35)</f>
        <v/>
      </c>
      <c r="E35" s="630">
        <v>50</v>
      </c>
      <c r="F35" s="1688" t="s">
        <v>1162</v>
      </c>
      <c r="G35" s="1689"/>
      <c r="H35" s="1692">
        <v>2.81</v>
      </c>
      <c r="I35" s="1675"/>
      <c r="J35" s="1675">
        <v>2.81</v>
      </c>
      <c r="K35" s="1675"/>
      <c r="L35" s="1675">
        <v>3.77</v>
      </c>
      <c r="M35" s="1675"/>
      <c r="N35" s="1675">
        <v>3.77</v>
      </c>
      <c r="O35" s="1676"/>
      <c r="P35" s="601"/>
      <c r="Q35" s="1674">
        <v>6.29</v>
      </c>
      <c r="R35" s="1675"/>
      <c r="S35" s="1675">
        <v>6.29</v>
      </c>
      <c r="T35" s="1675"/>
      <c r="U35" s="1675">
        <v>7.99</v>
      </c>
      <c r="V35" s="1675"/>
      <c r="W35" s="1675">
        <v>7.99</v>
      </c>
      <c r="X35" s="1676"/>
      <c r="AA35" s="566"/>
      <c r="AB35" s="565"/>
      <c r="AC35" s="565"/>
      <c r="AD35" s="565"/>
    </row>
    <row r="36" spans="1:32">
      <c r="A36" s="617">
        <f>IF(SUM(A20:A35)=0,0.1,MAX(A20:A35))</f>
        <v>0.1</v>
      </c>
      <c r="B36" s="617">
        <f>IF(SUM(B20:B35)=0,0.1,MAX(B20:B35))</f>
        <v>0.2</v>
      </c>
    </row>
    <row r="41" spans="1:32" ht="19.2">
      <c r="D41" s="644" t="s">
        <v>1230</v>
      </c>
    </row>
    <row r="42" spans="1:32" ht="17.399999999999999">
      <c r="D42" s="646" t="s">
        <v>1329</v>
      </c>
    </row>
    <row r="43" spans="1:32">
      <c r="D43" s="1557" t="s">
        <v>981</v>
      </c>
      <c r="E43" s="1558"/>
      <c r="F43" s="1558"/>
      <c r="G43" s="1558"/>
      <c r="H43" s="1558"/>
      <c r="I43" s="1558"/>
      <c r="J43" s="1559"/>
      <c r="K43" s="1625" t="s">
        <v>1164</v>
      </c>
      <c r="L43" s="1626"/>
      <c r="M43" s="1626"/>
      <c r="N43" s="1626"/>
      <c r="O43" s="1626"/>
      <c r="P43" s="1626"/>
      <c r="Q43" s="1626"/>
      <c r="R43" s="1627"/>
      <c r="S43" s="1625" t="s">
        <v>982</v>
      </c>
      <c r="T43" s="1626"/>
      <c r="U43" s="1626"/>
      <c r="V43" s="1626"/>
      <c r="W43" s="1626"/>
      <c r="X43" s="1626"/>
      <c r="Y43" s="1626"/>
      <c r="Z43" s="1627"/>
      <c r="AA43" s="1610" t="s">
        <v>1191</v>
      </c>
      <c r="AB43" s="1611"/>
      <c r="AC43" s="1644" t="s">
        <v>1169</v>
      </c>
      <c r="AD43" s="1645"/>
      <c r="AE43" s="1645"/>
      <c r="AF43" s="1646"/>
    </row>
    <row r="44" spans="1:32">
      <c r="D44" s="1560"/>
      <c r="E44" s="1561"/>
      <c r="F44" s="1561"/>
      <c r="G44" s="1561"/>
      <c r="H44" s="1561"/>
      <c r="I44" s="1561"/>
      <c r="J44" s="1562"/>
      <c r="K44" s="1628" t="s">
        <v>1147</v>
      </c>
      <c r="L44" s="1623"/>
      <c r="M44" s="1623" t="s">
        <v>1148</v>
      </c>
      <c r="N44" s="1623"/>
      <c r="O44" s="1623" t="s">
        <v>1149</v>
      </c>
      <c r="P44" s="1623"/>
      <c r="Q44" s="1623" t="s">
        <v>1150</v>
      </c>
      <c r="R44" s="1624"/>
      <c r="S44" s="1628" t="s">
        <v>1147</v>
      </c>
      <c r="T44" s="1623"/>
      <c r="U44" s="1623" t="s">
        <v>1148</v>
      </c>
      <c r="V44" s="1623"/>
      <c r="W44" s="1623" t="s">
        <v>1149</v>
      </c>
      <c r="X44" s="1623"/>
      <c r="Y44" s="1623" t="s">
        <v>1150</v>
      </c>
      <c r="Z44" s="1624"/>
      <c r="AA44" s="1612"/>
      <c r="AB44" s="1613"/>
      <c r="AC44" s="1632"/>
      <c r="AD44" s="1633"/>
      <c r="AE44" s="1633"/>
      <c r="AF44" s="1634"/>
    </row>
    <row r="45" spans="1:32" s="587" customFormat="1">
      <c r="D45" s="1568" t="s">
        <v>1170</v>
      </c>
      <c r="E45" s="1569"/>
      <c r="F45" s="1569"/>
      <c r="G45" s="1569"/>
      <c r="H45" s="1569"/>
      <c r="I45" s="1569"/>
      <c r="J45" s="1570"/>
      <c r="K45" s="1673">
        <v>1</v>
      </c>
      <c r="L45" s="1659"/>
      <c r="M45" s="1659">
        <v>1.5</v>
      </c>
      <c r="N45" s="1659"/>
      <c r="O45" s="1659">
        <v>2</v>
      </c>
      <c r="P45" s="1659"/>
      <c r="Q45" s="1659">
        <v>2</v>
      </c>
      <c r="R45" s="1660"/>
      <c r="S45" s="1673">
        <f>ROUND(K45*$AA45,1)</f>
        <v>0.2</v>
      </c>
      <c r="T45" s="1659"/>
      <c r="U45" s="1659">
        <f>ROUND(M45*$AA45,1)</f>
        <v>0.3</v>
      </c>
      <c r="V45" s="1659"/>
      <c r="W45" s="1659">
        <f>ROUND(O45*$AA45,1)</f>
        <v>0.4</v>
      </c>
      <c r="X45" s="1659"/>
      <c r="Y45" s="1659">
        <f>ROUND(Q45*$AA45,1)</f>
        <v>0.4</v>
      </c>
      <c r="Z45" s="1660"/>
      <c r="AA45" s="1653">
        <v>0.2</v>
      </c>
      <c r="AB45" s="1654"/>
      <c r="AC45" s="1647"/>
      <c r="AD45" s="1541"/>
      <c r="AE45" s="1541"/>
      <c r="AF45" s="1542"/>
    </row>
    <row r="46" spans="1:32" s="587" customFormat="1">
      <c r="D46" s="1571" t="s">
        <v>1172</v>
      </c>
      <c r="E46" s="1572"/>
      <c r="F46" s="1572"/>
      <c r="G46" s="1572"/>
      <c r="H46" s="1572"/>
      <c r="I46" s="1572"/>
      <c r="J46" s="1573"/>
      <c r="K46" s="1638">
        <v>2</v>
      </c>
      <c r="L46" s="1639"/>
      <c r="M46" s="1639">
        <v>2</v>
      </c>
      <c r="N46" s="1639"/>
      <c r="O46" s="1639">
        <v>4</v>
      </c>
      <c r="P46" s="1639"/>
      <c r="Q46" s="1639">
        <v>4</v>
      </c>
      <c r="R46" s="1640"/>
      <c r="S46" s="1638">
        <f t="shared" ref="S46:S62" si="2">ROUND(K46*$AA46,1)</f>
        <v>0.4</v>
      </c>
      <c r="T46" s="1639"/>
      <c r="U46" s="1639">
        <f t="shared" ref="U46:U62" si="3">ROUND(M46*$AA46,1)</f>
        <v>0.4</v>
      </c>
      <c r="V46" s="1639"/>
      <c r="W46" s="1639">
        <f t="shared" ref="W46:W62" si="4">ROUND(O46*$AA46,1)</f>
        <v>0.8</v>
      </c>
      <c r="X46" s="1639"/>
      <c r="Y46" s="1639">
        <f t="shared" ref="Y46:Y62" si="5">ROUND(Q46*$AA46,1)</f>
        <v>0.8</v>
      </c>
      <c r="Z46" s="1640"/>
      <c r="AA46" s="1655">
        <v>0.2</v>
      </c>
      <c r="AB46" s="1656"/>
      <c r="AC46" s="1599"/>
      <c r="AD46" s="1600"/>
      <c r="AE46" s="1600"/>
      <c r="AF46" s="1601"/>
    </row>
    <row r="47" spans="1:32" s="587" customFormat="1">
      <c r="D47" s="1571" t="s">
        <v>1173</v>
      </c>
      <c r="E47" s="1572"/>
      <c r="F47" s="1572"/>
      <c r="G47" s="1572"/>
      <c r="H47" s="1572"/>
      <c r="I47" s="1572"/>
      <c r="J47" s="1573"/>
      <c r="K47" s="1638">
        <v>0.5</v>
      </c>
      <c r="L47" s="1639"/>
      <c r="M47" s="1639">
        <v>0.5</v>
      </c>
      <c r="N47" s="1639"/>
      <c r="O47" s="1639">
        <v>1</v>
      </c>
      <c r="P47" s="1639"/>
      <c r="Q47" s="1639">
        <v>1</v>
      </c>
      <c r="R47" s="1640"/>
      <c r="S47" s="1638">
        <f t="shared" si="2"/>
        <v>0.5</v>
      </c>
      <c r="T47" s="1639"/>
      <c r="U47" s="1639">
        <f t="shared" si="3"/>
        <v>0.5</v>
      </c>
      <c r="V47" s="1639"/>
      <c r="W47" s="1639">
        <f t="shared" si="4"/>
        <v>1</v>
      </c>
      <c r="X47" s="1639"/>
      <c r="Y47" s="1639">
        <f t="shared" si="5"/>
        <v>1</v>
      </c>
      <c r="Z47" s="1640"/>
      <c r="AA47" s="1655">
        <v>1</v>
      </c>
      <c r="AB47" s="1656"/>
      <c r="AC47" s="1599"/>
      <c r="AD47" s="1600"/>
      <c r="AE47" s="1600"/>
      <c r="AF47" s="1601"/>
    </row>
    <row r="48" spans="1:32" s="587" customFormat="1">
      <c r="D48" s="1571" t="s">
        <v>1174</v>
      </c>
      <c r="E48" s="1572"/>
      <c r="F48" s="1572"/>
      <c r="G48" s="1572"/>
      <c r="H48" s="1572"/>
      <c r="I48" s="1572"/>
      <c r="J48" s="1573"/>
      <c r="K48" s="1638">
        <v>1</v>
      </c>
      <c r="L48" s="1639"/>
      <c r="M48" s="1639">
        <v>2</v>
      </c>
      <c r="N48" s="1639"/>
      <c r="O48" s="1639">
        <v>2</v>
      </c>
      <c r="P48" s="1639"/>
      <c r="Q48" s="1639">
        <v>1</v>
      </c>
      <c r="R48" s="1640"/>
      <c r="S48" s="1638">
        <f t="shared" si="2"/>
        <v>1</v>
      </c>
      <c r="T48" s="1639"/>
      <c r="U48" s="1639">
        <f t="shared" si="3"/>
        <v>2</v>
      </c>
      <c r="V48" s="1639"/>
      <c r="W48" s="1639">
        <f t="shared" si="4"/>
        <v>2</v>
      </c>
      <c r="X48" s="1639"/>
      <c r="Y48" s="1639">
        <f t="shared" si="5"/>
        <v>1</v>
      </c>
      <c r="Z48" s="1640"/>
      <c r="AA48" s="1655">
        <v>1</v>
      </c>
      <c r="AB48" s="1656"/>
      <c r="AC48" s="1599"/>
      <c r="AD48" s="1600"/>
      <c r="AE48" s="1600"/>
      <c r="AF48" s="1601"/>
    </row>
    <row r="49" spans="4:32" s="587" customFormat="1">
      <c r="D49" s="1571" t="s">
        <v>1175</v>
      </c>
      <c r="E49" s="1572"/>
      <c r="F49" s="1572"/>
      <c r="G49" s="1572"/>
      <c r="H49" s="1572"/>
      <c r="I49" s="1572"/>
      <c r="J49" s="1573"/>
      <c r="K49" s="1638">
        <f>SUM(K50:L51)</f>
        <v>12.5</v>
      </c>
      <c r="L49" s="1639"/>
      <c r="M49" s="1639">
        <f>SUM(M50:N51)</f>
        <v>22</v>
      </c>
      <c r="N49" s="1639"/>
      <c r="O49" s="1639">
        <f>SUM(O50:P51)</f>
        <v>27</v>
      </c>
      <c r="P49" s="1639"/>
      <c r="Q49" s="1639">
        <f>SUM(Q50:R51)</f>
        <v>21</v>
      </c>
      <c r="R49" s="1640"/>
      <c r="S49" s="1638">
        <f>SUM(S50:T51)</f>
        <v>8.3000000000000007</v>
      </c>
      <c r="T49" s="1639"/>
      <c r="U49" s="1639">
        <f>SUM(U50:V51)</f>
        <v>14.4</v>
      </c>
      <c r="V49" s="1639"/>
      <c r="W49" s="1639">
        <f>SUM(W50:X51)</f>
        <v>17.399999999999999</v>
      </c>
      <c r="X49" s="1639"/>
      <c r="Y49" s="1639">
        <f>SUM(Y50:Z51)</f>
        <v>13.4</v>
      </c>
      <c r="Z49" s="1640"/>
      <c r="AA49" s="1657"/>
      <c r="AB49" s="1658"/>
      <c r="AC49" s="1599"/>
      <c r="AD49" s="1600"/>
      <c r="AE49" s="1600"/>
      <c r="AF49" s="1601"/>
    </row>
    <row r="50" spans="4:32">
      <c r="D50" s="1565" t="s">
        <v>1171</v>
      </c>
      <c r="E50" s="1566"/>
      <c r="F50" s="1566"/>
      <c r="G50" s="1566"/>
      <c r="H50" s="1566"/>
      <c r="I50" s="1566"/>
      <c r="J50" s="1567"/>
      <c r="K50" s="1563">
        <v>2</v>
      </c>
      <c r="L50" s="1564"/>
      <c r="M50" s="1564">
        <v>3</v>
      </c>
      <c r="N50" s="1564"/>
      <c r="O50" s="1564">
        <v>3</v>
      </c>
      <c r="P50" s="1564"/>
      <c r="Q50" s="1564">
        <v>2</v>
      </c>
      <c r="R50" s="1648"/>
      <c r="S50" s="1563">
        <f t="shared" si="2"/>
        <v>2</v>
      </c>
      <c r="T50" s="1564"/>
      <c r="U50" s="1564">
        <f t="shared" si="3"/>
        <v>3</v>
      </c>
      <c r="V50" s="1564"/>
      <c r="W50" s="1564">
        <f t="shared" si="4"/>
        <v>3</v>
      </c>
      <c r="X50" s="1564"/>
      <c r="Y50" s="1564">
        <f t="shared" si="5"/>
        <v>2</v>
      </c>
      <c r="Z50" s="1648"/>
      <c r="AA50" s="1651">
        <v>1</v>
      </c>
      <c r="AB50" s="1652"/>
      <c r="AC50" s="1599"/>
      <c r="AD50" s="1600"/>
      <c r="AE50" s="1600"/>
      <c r="AF50" s="1601"/>
    </row>
    <row r="51" spans="4:32">
      <c r="D51" s="1565" t="s">
        <v>1181</v>
      </c>
      <c r="E51" s="1566"/>
      <c r="F51" s="1566"/>
      <c r="G51" s="1566"/>
      <c r="H51" s="1566"/>
      <c r="I51" s="1566"/>
      <c r="J51" s="1567"/>
      <c r="K51" s="1563">
        <f>SUM(K52:L57)</f>
        <v>10.5</v>
      </c>
      <c r="L51" s="1564"/>
      <c r="M51" s="1564">
        <f>SUM(M52:N57)</f>
        <v>19</v>
      </c>
      <c r="N51" s="1564"/>
      <c r="O51" s="1564">
        <f>SUM(O52:P57)</f>
        <v>24</v>
      </c>
      <c r="P51" s="1564"/>
      <c r="Q51" s="1564">
        <f>SUM(Q52:R57)</f>
        <v>19</v>
      </c>
      <c r="R51" s="1648"/>
      <c r="S51" s="1563">
        <f>SUM(S52:T57)</f>
        <v>6.3</v>
      </c>
      <c r="T51" s="1564"/>
      <c r="U51" s="1564">
        <f>SUM(U52:V57)</f>
        <v>11.4</v>
      </c>
      <c r="V51" s="1564"/>
      <c r="W51" s="1564">
        <f>SUM(W52:X57)</f>
        <v>14.4</v>
      </c>
      <c r="X51" s="1564"/>
      <c r="Y51" s="1564">
        <f>SUM(Y52:Z57)</f>
        <v>11.4</v>
      </c>
      <c r="Z51" s="1648"/>
      <c r="AA51" s="1649"/>
      <c r="AB51" s="1650"/>
      <c r="AC51" s="1599"/>
      <c r="AD51" s="1600"/>
      <c r="AE51" s="1600"/>
      <c r="AF51" s="1601"/>
    </row>
    <row r="52" spans="4:32">
      <c r="D52" s="1565" t="s">
        <v>1182</v>
      </c>
      <c r="E52" s="1566"/>
      <c r="F52" s="1566"/>
      <c r="G52" s="1566"/>
      <c r="H52" s="1566"/>
      <c r="I52" s="1566"/>
      <c r="J52" s="1567"/>
      <c r="K52" s="1563">
        <v>1</v>
      </c>
      <c r="L52" s="1564"/>
      <c r="M52" s="1564">
        <v>3</v>
      </c>
      <c r="N52" s="1564"/>
      <c r="O52" s="1564">
        <v>4</v>
      </c>
      <c r="P52" s="1564"/>
      <c r="Q52" s="1564">
        <v>3</v>
      </c>
      <c r="R52" s="1648"/>
      <c r="S52" s="1563">
        <f t="shared" si="2"/>
        <v>0.6</v>
      </c>
      <c r="T52" s="1564"/>
      <c r="U52" s="1564">
        <f t="shared" si="3"/>
        <v>1.8</v>
      </c>
      <c r="V52" s="1564"/>
      <c r="W52" s="1564">
        <f t="shared" si="4"/>
        <v>2.4</v>
      </c>
      <c r="X52" s="1564"/>
      <c r="Y52" s="1564">
        <f t="shared" si="5"/>
        <v>1.8</v>
      </c>
      <c r="Z52" s="1648"/>
      <c r="AA52" s="1651">
        <v>0.6</v>
      </c>
      <c r="AB52" s="1652"/>
      <c r="AC52" s="1599"/>
      <c r="AD52" s="1600"/>
      <c r="AE52" s="1600"/>
      <c r="AF52" s="1601"/>
    </row>
    <row r="53" spans="4:32">
      <c r="D53" s="1565" t="s">
        <v>1183</v>
      </c>
      <c r="E53" s="1566"/>
      <c r="F53" s="1566"/>
      <c r="G53" s="1566"/>
      <c r="H53" s="1566"/>
      <c r="I53" s="1566"/>
      <c r="J53" s="1567"/>
      <c r="K53" s="1563">
        <v>3</v>
      </c>
      <c r="L53" s="1564"/>
      <c r="M53" s="1564">
        <v>5</v>
      </c>
      <c r="N53" s="1564"/>
      <c r="O53" s="1564">
        <v>6</v>
      </c>
      <c r="P53" s="1564"/>
      <c r="Q53" s="1564">
        <v>5</v>
      </c>
      <c r="R53" s="1648"/>
      <c r="S53" s="1563">
        <f t="shared" si="2"/>
        <v>1.8</v>
      </c>
      <c r="T53" s="1564"/>
      <c r="U53" s="1564">
        <f t="shared" si="3"/>
        <v>3</v>
      </c>
      <c r="V53" s="1564"/>
      <c r="W53" s="1564">
        <f t="shared" si="4"/>
        <v>3.6</v>
      </c>
      <c r="X53" s="1564"/>
      <c r="Y53" s="1564">
        <f t="shared" si="5"/>
        <v>3</v>
      </c>
      <c r="Z53" s="1648"/>
      <c r="AA53" s="1651">
        <v>0.6</v>
      </c>
      <c r="AB53" s="1652"/>
      <c r="AC53" s="1599"/>
      <c r="AD53" s="1600"/>
      <c r="AE53" s="1600"/>
      <c r="AF53" s="1601"/>
    </row>
    <row r="54" spans="4:32">
      <c r="D54" s="1565" t="s">
        <v>1184</v>
      </c>
      <c r="E54" s="1566"/>
      <c r="F54" s="1566"/>
      <c r="G54" s="1566"/>
      <c r="H54" s="1566"/>
      <c r="I54" s="1566"/>
      <c r="J54" s="1567"/>
      <c r="K54" s="1563">
        <v>1.5</v>
      </c>
      <c r="L54" s="1564"/>
      <c r="M54" s="1564">
        <v>3</v>
      </c>
      <c r="N54" s="1564"/>
      <c r="O54" s="1564">
        <v>4</v>
      </c>
      <c r="P54" s="1564"/>
      <c r="Q54" s="1564">
        <v>3</v>
      </c>
      <c r="R54" s="1648"/>
      <c r="S54" s="1563">
        <f t="shared" si="2"/>
        <v>0.9</v>
      </c>
      <c r="T54" s="1564"/>
      <c r="U54" s="1564">
        <f t="shared" si="3"/>
        <v>1.8</v>
      </c>
      <c r="V54" s="1564"/>
      <c r="W54" s="1564">
        <f t="shared" si="4"/>
        <v>2.4</v>
      </c>
      <c r="X54" s="1564"/>
      <c r="Y54" s="1564">
        <f t="shared" si="5"/>
        <v>1.8</v>
      </c>
      <c r="Z54" s="1648"/>
      <c r="AA54" s="1651">
        <v>0.6</v>
      </c>
      <c r="AB54" s="1652"/>
      <c r="AC54" s="1599"/>
      <c r="AD54" s="1600"/>
      <c r="AE54" s="1600"/>
      <c r="AF54" s="1601"/>
    </row>
    <row r="55" spans="4:32">
      <c r="D55" s="1565" t="s">
        <v>1185</v>
      </c>
      <c r="E55" s="1566"/>
      <c r="F55" s="1566"/>
      <c r="G55" s="1566"/>
      <c r="H55" s="1566"/>
      <c r="I55" s="1566"/>
      <c r="J55" s="1567"/>
      <c r="K55" s="1563">
        <v>3</v>
      </c>
      <c r="L55" s="1564"/>
      <c r="M55" s="1564">
        <v>4</v>
      </c>
      <c r="N55" s="1564"/>
      <c r="O55" s="1564">
        <v>5</v>
      </c>
      <c r="P55" s="1564"/>
      <c r="Q55" s="1564">
        <v>3</v>
      </c>
      <c r="R55" s="1648"/>
      <c r="S55" s="1563">
        <f t="shared" si="2"/>
        <v>1.8</v>
      </c>
      <c r="T55" s="1564"/>
      <c r="U55" s="1564">
        <f t="shared" si="3"/>
        <v>2.4</v>
      </c>
      <c r="V55" s="1564"/>
      <c r="W55" s="1564">
        <f t="shared" si="4"/>
        <v>3</v>
      </c>
      <c r="X55" s="1564"/>
      <c r="Y55" s="1564">
        <f t="shared" si="5"/>
        <v>1.8</v>
      </c>
      <c r="Z55" s="1648"/>
      <c r="AA55" s="1651">
        <v>0.6</v>
      </c>
      <c r="AB55" s="1652"/>
      <c r="AC55" s="1599"/>
      <c r="AD55" s="1600"/>
      <c r="AE55" s="1600"/>
      <c r="AF55" s="1601"/>
    </row>
    <row r="56" spans="4:32">
      <c r="D56" s="1565" t="s">
        <v>1186</v>
      </c>
      <c r="E56" s="1566"/>
      <c r="F56" s="1566"/>
      <c r="G56" s="1566"/>
      <c r="H56" s="1566"/>
      <c r="I56" s="1566"/>
      <c r="J56" s="1567"/>
      <c r="K56" s="1563">
        <v>2</v>
      </c>
      <c r="L56" s="1564"/>
      <c r="M56" s="1564">
        <v>3</v>
      </c>
      <c r="N56" s="1564"/>
      <c r="O56" s="1564">
        <v>4</v>
      </c>
      <c r="P56" s="1564"/>
      <c r="Q56" s="1564">
        <v>3</v>
      </c>
      <c r="R56" s="1648"/>
      <c r="S56" s="1563">
        <f t="shared" si="2"/>
        <v>1.2</v>
      </c>
      <c r="T56" s="1564"/>
      <c r="U56" s="1564">
        <f t="shared" si="3"/>
        <v>1.8</v>
      </c>
      <c r="V56" s="1564"/>
      <c r="W56" s="1564">
        <f t="shared" si="4"/>
        <v>2.4</v>
      </c>
      <c r="X56" s="1564"/>
      <c r="Y56" s="1564">
        <f t="shared" si="5"/>
        <v>1.8</v>
      </c>
      <c r="Z56" s="1648"/>
      <c r="AA56" s="1651">
        <v>0.6</v>
      </c>
      <c r="AB56" s="1652"/>
      <c r="AC56" s="1599"/>
      <c r="AD56" s="1600"/>
      <c r="AE56" s="1600"/>
      <c r="AF56" s="1601"/>
    </row>
    <row r="57" spans="4:32">
      <c r="D57" s="1565" t="s">
        <v>1187</v>
      </c>
      <c r="E57" s="1566"/>
      <c r="F57" s="1566"/>
      <c r="G57" s="1566"/>
      <c r="H57" s="1566"/>
      <c r="I57" s="1566"/>
      <c r="J57" s="1567"/>
      <c r="K57" s="1563">
        <v>0</v>
      </c>
      <c r="L57" s="1564"/>
      <c r="M57" s="1564">
        <v>1</v>
      </c>
      <c r="N57" s="1564"/>
      <c r="O57" s="1564">
        <v>1</v>
      </c>
      <c r="P57" s="1564"/>
      <c r="Q57" s="1564">
        <v>2</v>
      </c>
      <c r="R57" s="1648"/>
      <c r="S57" s="1563">
        <f t="shared" si="2"/>
        <v>0</v>
      </c>
      <c r="T57" s="1564"/>
      <c r="U57" s="1564">
        <f t="shared" si="3"/>
        <v>0.6</v>
      </c>
      <c r="V57" s="1564"/>
      <c r="W57" s="1564">
        <f t="shared" si="4"/>
        <v>0.6</v>
      </c>
      <c r="X57" s="1564"/>
      <c r="Y57" s="1564">
        <f t="shared" si="5"/>
        <v>1.2</v>
      </c>
      <c r="Z57" s="1648"/>
      <c r="AA57" s="1651">
        <v>0.6</v>
      </c>
      <c r="AB57" s="1652"/>
      <c r="AC57" s="1599"/>
      <c r="AD57" s="1600"/>
      <c r="AE57" s="1600"/>
      <c r="AF57" s="1601"/>
    </row>
    <row r="58" spans="4:32">
      <c r="D58" s="1565" t="s">
        <v>1188</v>
      </c>
      <c r="E58" s="1566"/>
      <c r="F58" s="1566"/>
      <c r="G58" s="1566"/>
      <c r="H58" s="1566"/>
      <c r="I58" s="1566"/>
      <c r="J58" s="1567"/>
      <c r="K58" s="1563">
        <v>1</v>
      </c>
      <c r="L58" s="1564"/>
      <c r="M58" s="1564">
        <v>2</v>
      </c>
      <c r="N58" s="1564"/>
      <c r="O58" s="1564">
        <v>3</v>
      </c>
      <c r="P58" s="1564"/>
      <c r="Q58" s="1564">
        <v>2</v>
      </c>
      <c r="R58" s="1648"/>
      <c r="S58" s="1563">
        <f t="shared" si="2"/>
        <v>1</v>
      </c>
      <c r="T58" s="1564"/>
      <c r="U58" s="1564">
        <f t="shared" si="3"/>
        <v>2</v>
      </c>
      <c r="V58" s="1564"/>
      <c r="W58" s="1564">
        <f t="shared" si="4"/>
        <v>3</v>
      </c>
      <c r="X58" s="1564"/>
      <c r="Y58" s="1564">
        <f t="shared" si="5"/>
        <v>2</v>
      </c>
      <c r="Z58" s="1648"/>
      <c r="AA58" s="1651">
        <v>1</v>
      </c>
      <c r="AB58" s="1652"/>
      <c r="AC58" s="1599"/>
      <c r="AD58" s="1600"/>
      <c r="AE58" s="1600"/>
      <c r="AF58" s="1601"/>
    </row>
    <row r="59" spans="4:32" s="587" customFormat="1">
      <c r="D59" s="1571" t="s">
        <v>1176</v>
      </c>
      <c r="E59" s="1572"/>
      <c r="F59" s="1572"/>
      <c r="G59" s="1572"/>
      <c r="H59" s="1572"/>
      <c r="I59" s="1572"/>
      <c r="J59" s="1573"/>
      <c r="K59" s="1638">
        <v>1</v>
      </c>
      <c r="L59" s="1639"/>
      <c r="M59" s="1639">
        <v>2</v>
      </c>
      <c r="N59" s="1639"/>
      <c r="O59" s="1639">
        <v>2.5</v>
      </c>
      <c r="P59" s="1639"/>
      <c r="Q59" s="1639">
        <v>2</v>
      </c>
      <c r="R59" s="1640"/>
      <c r="S59" s="1638">
        <f t="shared" si="2"/>
        <v>0.2</v>
      </c>
      <c r="T59" s="1639"/>
      <c r="U59" s="1639">
        <f t="shared" si="3"/>
        <v>0.4</v>
      </c>
      <c r="V59" s="1639"/>
      <c r="W59" s="1639">
        <f t="shared" si="4"/>
        <v>0.5</v>
      </c>
      <c r="X59" s="1639"/>
      <c r="Y59" s="1639">
        <f t="shared" si="5"/>
        <v>0.4</v>
      </c>
      <c r="Z59" s="1640"/>
      <c r="AA59" s="1655">
        <v>0.2</v>
      </c>
      <c r="AB59" s="1656"/>
      <c r="AC59" s="1635" t="s">
        <v>1189</v>
      </c>
      <c r="AD59" s="1636"/>
      <c r="AE59" s="1636"/>
      <c r="AF59" s="1637"/>
    </row>
    <row r="60" spans="4:32" s="587" customFormat="1">
      <c r="D60" s="1571" t="s">
        <v>1177</v>
      </c>
      <c r="E60" s="1572"/>
      <c r="F60" s="1572"/>
      <c r="G60" s="1572"/>
      <c r="H60" s="1572"/>
      <c r="I60" s="1572"/>
      <c r="J60" s="1573"/>
      <c r="K60" s="1638">
        <v>1</v>
      </c>
      <c r="L60" s="1639"/>
      <c r="M60" s="1639">
        <v>2</v>
      </c>
      <c r="N60" s="1639"/>
      <c r="O60" s="1639">
        <v>2.5</v>
      </c>
      <c r="P60" s="1639"/>
      <c r="Q60" s="1639">
        <v>2</v>
      </c>
      <c r="R60" s="1640"/>
      <c r="S60" s="1638">
        <f t="shared" si="2"/>
        <v>0.2</v>
      </c>
      <c r="T60" s="1639"/>
      <c r="U60" s="1639">
        <f t="shared" si="3"/>
        <v>0.4</v>
      </c>
      <c r="V60" s="1639"/>
      <c r="W60" s="1639">
        <f t="shared" si="4"/>
        <v>0.5</v>
      </c>
      <c r="X60" s="1639"/>
      <c r="Y60" s="1639">
        <f t="shared" si="5"/>
        <v>0.4</v>
      </c>
      <c r="Z60" s="1640"/>
      <c r="AA60" s="1655">
        <v>0.2</v>
      </c>
      <c r="AB60" s="1656"/>
      <c r="AC60" s="1635" t="s">
        <v>1190</v>
      </c>
      <c r="AD60" s="1636"/>
      <c r="AE60" s="1636"/>
      <c r="AF60" s="1637"/>
    </row>
    <row r="61" spans="4:32" s="587" customFormat="1">
      <c r="D61" s="1571" t="s">
        <v>1178</v>
      </c>
      <c r="E61" s="1572"/>
      <c r="F61" s="1572"/>
      <c r="G61" s="1572"/>
      <c r="H61" s="1572"/>
      <c r="I61" s="1572"/>
      <c r="J61" s="1573"/>
      <c r="K61" s="1638">
        <v>1</v>
      </c>
      <c r="L61" s="1639"/>
      <c r="M61" s="1639">
        <v>1</v>
      </c>
      <c r="N61" s="1639"/>
      <c r="O61" s="1639">
        <v>1.5</v>
      </c>
      <c r="P61" s="1639"/>
      <c r="Q61" s="1639">
        <v>1</v>
      </c>
      <c r="R61" s="1640"/>
      <c r="S61" s="1638">
        <f t="shared" si="2"/>
        <v>1</v>
      </c>
      <c r="T61" s="1639"/>
      <c r="U61" s="1639">
        <f t="shared" si="3"/>
        <v>1</v>
      </c>
      <c r="V61" s="1639"/>
      <c r="W61" s="1639">
        <f t="shared" si="4"/>
        <v>1.5</v>
      </c>
      <c r="X61" s="1639"/>
      <c r="Y61" s="1639">
        <f t="shared" si="5"/>
        <v>1</v>
      </c>
      <c r="Z61" s="1640"/>
      <c r="AA61" s="1655">
        <v>1</v>
      </c>
      <c r="AB61" s="1656"/>
      <c r="AC61" s="1599"/>
      <c r="AD61" s="1600"/>
      <c r="AE61" s="1600"/>
      <c r="AF61" s="1601"/>
    </row>
    <row r="62" spans="4:32" s="587" customFormat="1">
      <c r="D62" s="1667" t="s">
        <v>1179</v>
      </c>
      <c r="E62" s="1668"/>
      <c r="F62" s="1668"/>
      <c r="G62" s="1668"/>
      <c r="H62" s="1668"/>
      <c r="I62" s="1668"/>
      <c r="J62" s="1669"/>
      <c r="K62" s="1641"/>
      <c r="L62" s="1642"/>
      <c r="M62" s="1642">
        <v>0.5</v>
      </c>
      <c r="N62" s="1642"/>
      <c r="O62" s="1642">
        <v>1</v>
      </c>
      <c r="P62" s="1642"/>
      <c r="Q62" s="1642">
        <v>1</v>
      </c>
      <c r="R62" s="1643"/>
      <c r="S62" s="1641">
        <f t="shared" si="2"/>
        <v>0</v>
      </c>
      <c r="T62" s="1642"/>
      <c r="U62" s="1642">
        <f t="shared" si="3"/>
        <v>0.1</v>
      </c>
      <c r="V62" s="1642"/>
      <c r="W62" s="1642">
        <f t="shared" si="4"/>
        <v>0.2</v>
      </c>
      <c r="X62" s="1642"/>
      <c r="Y62" s="1642">
        <f t="shared" si="5"/>
        <v>0.2</v>
      </c>
      <c r="Z62" s="1643"/>
      <c r="AA62" s="1661">
        <v>0.2</v>
      </c>
      <c r="AB62" s="1662"/>
      <c r="AC62" s="1632"/>
      <c r="AD62" s="1633"/>
      <c r="AE62" s="1633"/>
      <c r="AF62" s="1634"/>
    </row>
    <row r="63" spans="4:32" s="587" customFormat="1">
      <c r="D63" s="1579" t="s">
        <v>1229</v>
      </c>
      <c r="E63" s="1580"/>
      <c r="F63" s="1580"/>
      <c r="G63" s="1580"/>
      <c r="H63" s="1580"/>
      <c r="I63" s="1580"/>
      <c r="J63" s="1581"/>
      <c r="K63" s="1641">
        <f>SUM(K45:L49,K59:L62)</f>
        <v>20</v>
      </c>
      <c r="L63" s="1642"/>
      <c r="M63" s="1663">
        <f>SUM(M45:N49,M59:N62)</f>
        <v>33.5</v>
      </c>
      <c r="N63" s="1642"/>
      <c r="O63" s="1663">
        <f>SUM(O45:P49,O59:P62)</f>
        <v>43.5</v>
      </c>
      <c r="P63" s="1642"/>
      <c r="Q63" s="1663">
        <f>SUM(Q45:R49,Q59:R62)</f>
        <v>35</v>
      </c>
      <c r="R63" s="1643"/>
      <c r="S63" s="1641">
        <f>SUM(S45:T49,S59:T62)</f>
        <v>11.799999999999999</v>
      </c>
      <c r="T63" s="1642"/>
      <c r="U63" s="1663">
        <f>SUM(U45:V49,U59:V62)</f>
        <v>19.5</v>
      </c>
      <c r="V63" s="1642"/>
      <c r="W63" s="1663">
        <f>SUM(W45:X49,W59:X62)</f>
        <v>24.299999999999997</v>
      </c>
      <c r="X63" s="1642"/>
      <c r="Y63" s="1663">
        <f>SUM(Y45:Z49,Y59:Z62)</f>
        <v>18.599999999999998</v>
      </c>
      <c r="Z63" s="1643"/>
      <c r="AA63" s="1665"/>
      <c r="AB63" s="1666"/>
      <c r="AC63" s="1629"/>
      <c r="AD63" s="1630"/>
      <c r="AE63" s="1630"/>
      <c r="AF63" s="1631"/>
    </row>
    <row r="64" spans="4:32">
      <c r="D64" s="551" t="s">
        <v>1165</v>
      </c>
    </row>
    <row r="66" spans="4:32" ht="17.399999999999999">
      <c r="D66" s="646" t="s">
        <v>1330</v>
      </c>
    </row>
    <row r="67" spans="4:32">
      <c r="D67" s="1557" t="s">
        <v>981</v>
      </c>
      <c r="E67" s="1558"/>
      <c r="F67" s="1558"/>
      <c r="G67" s="1558"/>
      <c r="H67" s="1558"/>
      <c r="I67" s="1558"/>
      <c r="J67" s="1559"/>
      <c r="K67" s="1625" t="s">
        <v>1164</v>
      </c>
      <c r="L67" s="1626"/>
      <c r="M67" s="1626"/>
      <c r="N67" s="1626"/>
      <c r="O67" s="1626"/>
      <c r="P67" s="1626"/>
      <c r="Q67" s="1626"/>
      <c r="R67" s="1627"/>
      <c r="S67" s="1625" t="s">
        <v>982</v>
      </c>
      <c r="T67" s="1626"/>
      <c r="U67" s="1626"/>
      <c r="V67" s="1626"/>
      <c r="W67" s="1626"/>
      <c r="X67" s="1626"/>
      <c r="Y67" s="1626"/>
      <c r="Z67" s="1627"/>
      <c r="AA67" s="1610" t="s">
        <v>1168</v>
      </c>
      <c r="AB67" s="1611"/>
      <c r="AC67" s="1619" t="s">
        <v>983</v>
      </c>
      <c r="AD67" s="1620"/>
      <c r="AE67" s="1620"/>
      <c r="AF67" s="1611"/>
    </row>
    <row r="68" spans="4:32">
      <c r="D68" s="1560"/>
      <c r="E68" s="1561"/>
      <c r="F68" s="1561"/>
      <c r="G68" s="1561"/>
      <c r="H68" s="1561"/>
      <c r="I68" s="1561"/>
      <c r="J68" s="1562"/>
      <c r="K68" s="1628" t="s">
        <v>1147</v>
      </c>
      <c r="L68" s="1623"/>
      <c r="M68" s="1623" t="s">
        <v>1148</v>
      </c>
      <c r="N68" s="1623"/>
      <c r="O68" s="1623" t="s">
        <v>1149</v>
      </c>
      <c r="P68" s="1623"/>
      <c r="Q68" s="1623" t="s">
        <v>1150</v>
      </c>
      <c r="R68" s="1624"/>
      <c r="S68" s="1628" t="s">
        <v>1147</v>
      </c>
      <c r="T68" s="1623"/>
      <c r="U68" s="1623" t="s">
        <v>1148</v>
      </c>
      <c r="V68" s="1623"/>
      <c r="W68" s="1623" t="s">
        <v>1149</v>
      </c>
      <c r="X68" s="1623"/>
      <c r="Y68" s="1623" t="s">
        <v>1150</v>
      </c>
      <c r="Z68" s="1624"/>
      <c r="AA68" s="1612"/>
      <c r="AB68" s="1613"/>
      <c r="AC68" s="1621"/>
      <c r="AD68" s="1622"/>
      <c r="AE68" s="1622"/>
      <c r="AF68" s="1613"/>
    </row>
    <row r="69" spans="4:32" s="587" customFormat="1">
      <c r="D69" s="1670" t="s">
        <v>1198</v>
      </c>
      <c r="E69" s="1671"/>
      <c r="F69" s="1671"/>
      <c r="G69" s="1671"/>
      <c r="H69" s="1671"/>
      <c r="I69" s="1671"/>
      <c r="J69" s="1672"/>
      <c r="K69" s="1616">
        <v>1</v>
      </c>
      <c r="L69" s="1617"/>
      <c r="M69" s="1617">
        <v>1.5</v>
      </c>
      <c r="N69" s="1617"/>
      <c r="O69" s="1617">
        <v>2</v>
      </c>
      <c r="P69" s="1617"/>
      <c r="Q69" s="1617">
        <v>2</v>
      </c>
      <c r="R69" s="1618"/>
      <c r="S69" s="1616">
        <f>IF($AA69="중점항목",ROUND(K69*$AE$70*$L$12,1),IF($AA69="해당없음",0,IF($AA69="일반항목",ROUND(K69*$AE$69*$L$12,1), ROUND(K69*$L$12,1))))</f>
        <v>0.4</v>
      </c>
      <c r="T69" s="1617"/>
      <c r="U69" s="1617">
        <f>IF($AA69="중점항목",ROUND(M69*$AE$70*$N$12,1),IF($AA69="해당없음",0,IF($AA69="일반항목",ROUND(M69*$AE$69*$N$12,1), ROUND(M69*$N$12,1))))</f>
        <v>0.6</v>
      </c>
      <c r="V69" s="1617"/>
      <c r="W69" s="1617">
        <f>IF($AA69="중점항목",ROUND(O69*$AE$70*$P$12,1),IF($AA69="해당없음",0,IF($AA69="일반항목",ROUND(O69*$AE$69*$P$12,1),O69*$P$12)))</f>
        <v>0.9</v>
      </c>
      <c r="X69" s="1617"/>
      <c r="Y69" s="1617">
        <f>IF($AA69="중점항목",ROUND(Q69*$AE$70*$R$12,1),IF($AA69="해당없음",0,IF($AA69="일반항목",ROUND(Q69*$AE$69*$R$12,1),Q69*$R$12)))</f>
        <v>0.9</v>
      </c>
      <c r="Z69" s="1618"/>
      <c r="AA69" s="1591" t="s">
        <v>1192</v>
      </c>
      <c r="AB69" s="1592"/>
      <c r="AC69" s="1604" t="s">
        <v>1166</v>
      </c>
      <c r="AD69" s="1604"/>
      <c r="AE69" s="1614">
        <v>0.4</v>
      </c>
      <c r="AF69" s="1615"/>
    </row>
    <row r="70" spans="4:32" s="587" customFormat="1">
      <c r="D70" s="1582" t="s">
        <v>1201</v>
      </c>
      <c r="E70" s="1583"/>
      <c r="F70" s="1583"/>
      <c r="G70" s="1583"/>
      <c r="H70" s="1583"/>
      <c r="I70" s="1583"/>
      <c r="J70" s="1584"/>
      <c r="K70" s="1638">
        <v>2</v>
      </c>
      <c r="L70" s="1639"/>
      <c r="M70" s="1639">
        <v>2</v>
      </c>
      <c r="N70" s="1639"/>
      <c r="O70" s="1639">
        <v>4</v>
      </c>
      <c r="P70" s="1639"/>
      <c r="Q70" s="1639">
        <v>4</v>
      </c>
      <c r="R70" s="1640"/>
      <c r="S70" s="1638">
        <f>IF($AA70="중점항목",ROUND(K70*$AE$70*$L$12,1),IF($AA70="해당없음",0,IF($AA70="일반항목",ROUND(K70*$AE$69*$L$12,1), ROUND(K70*$L$12,1))))</f>
        <v>0.7</v>
      </c>
      <c r="T70" s="1639"/>
      <c r="U70" s="1639">
        <f>IF($AA70="중점항목",ROUND(M70*$AE$70*$N$12,1),IF($AA70="해당없음",0,IF($AA70="일반항목",ROUND(M70*$AE$69*$N$12,1), ROUND(M70*$N$12,1))))</f>
        <v>0.7</v>
      </c>
      <c r="V70" s="1639"/>
      <c r="W70" s="1639">
        <f>IF($AA70="중점항목",ROUND(O70*$AE$70*$P$12,1),IF($AA70="해당없음",0,IF($AA70="일반항목",ROUND(O70*$AE$69*$P$12,1),O70*$P$12)))</f>
        <v>1.9</v>
      </c>
      <c r="X70" s="1639"/>
      <c r="Y70" s="1639">
        <f>IF($AA70="중점항목",ROUND(Q70*$AE$70*$R$12,1),IF($AA70="해당없음",0,IF($AA70="일반항목",ROUND(Q70*$AE$69*$R$12,1),Q70*$R$12)))</f>
        <v>1.9</v>
      </c>
      <c r="Z70" s="1640"/>
      <c r="AA70" s="1591" t="s">
        <v>1192</v>
      </c>
      <c r="AB70" s="1592"/>
      <c r="AC70" s="1604" t="s">
        <v>1167</v>
      </c>
      <c r="AD70" s="1604"/>
      <c r="AE70" s="1605">
        <v>1</v>
      </c>
      <c r="AF70" s="1606"/>
    </row>
    <row r="71" spans="4:32" s="587" customFormat="1">
      <c r="D71" s="1582" t="s">
        <v>1202</v>
      </c>
      <c r="E71" s="1583"/>
      <c r="F71" s="1583"/>
      <c r="G71" s="1583"/>
      <c r="H71" s="1583"/>
      <c r="I71" s="1583"/>
      <c r="J71" s="1584"/>
      <c r="K71" s="1638">
        <v>0.5</v>
      </c>
      <c r="L71" s="1639"/>
      <c r="M71" s="1639">
        <v>0.5</v>
      </c>
      <c r="N71" s="1639"/>
      <c r="O71" s="1639">
        <v>1</v>
      </c>
      <c r="P71" s="1639"/>
      <c r="Q71" s="1639">
        <v>1</v>
      </c>
      <c r="R71" s="1640"/>
      <c r="S71" s="1638">
        <f>IF($AA71="중점항목",ROUND(K71*$AE$70*$L$12,1),IF($AA71="해당없음",0,IF($AA71="일반항목",ROUND(K71*$AE$69*$L$12,1), ROUND(K71*$L$12,1))))</f>
        <v>0.2</v>
      </c>
      <c r="T71" s="1639"/>
      <c r="U71" s="1639">
        <f>IF($AA71="중점항목",ROUND(M71*$AE$70*$N$12,1),IF($AA71="해당없음",0,IF($AA71="일반항목",ROUND(M71*$AE$69*$N$12,1), ROUND(M71*$N$12,1))))</f>
        <v>0.2</v>
      </c>
      <c r="V71" s="1639"/>
      <c r="W71" s="1639">
        <f>IF($AA71="중점항목",ROUND(O71*$AE$70*$P$12,1),IF($AA71="해당없음",0,IF($AA71="일반항목",ROUND(O71*$AE$69*$P$12,1),O71*$P$12)))</f>
        <v>0.5</v>
      </c>
      <c r="X71" s="1639"/>
      <c r="Y71" s="1639">
        <f>IF($AA71="중점항목",ROUND(Q71*$AE$70*$R$12,1),IF($AA71="해당없음",0,IF($AA71="일반항목",ROUND(Q71*$AE$69*$R$12,1),Q71*$R$12)))</f>
        <v>0.5</v>
      </c>
      <c r="Z71" s="1640"/>
      <c r="AA71" s="1591" t="s">
        <v>1192</v>
      </c>
      <c r="AB71" s="1592"/>
      <c r="AC71" s="1588"/>
      <c r="AD71" s="1589"/>
      <c r="AE71" s="1589"/>
      <c r="AF71" s="1590"/>
    </row>
    <row r="72" spans="4:32" s="587" customFormat="1">
      <c r="D72" s="1582" t="s">
        <v>1203</v>
      </c>
      <c r="E72" s="1583"/>
      <c r="F72" s="1583"/>
      <c r="G72" s="1583"/>
      <c r="H72" s="1583"/>
      <c r="I72" s="1583"/>
      <c r="J72" s="1584"/>
      <c r="K72" s="1638">
        <f>K73+K77+K81+K85+K91+K99</f>
        <v>23.2</v>
      </c>
      <c r="L72" s="1639"/>
      <c r="M72" s="1639">
        <f>M73+M77+M81+M85+M91+M99</f>
        <v>61.1</v>
      </c>
      <c r="N72" s="1639"/>
      <c r="O72" s="1639">
        <f>O73+O77+O81+O85+O91+O99</f>
        <v>79.8</v>
      </c>
      <c r="P72" s="1639"/>
      <c r="Q72" s="1639">
        <f>Q73+Q77+Q81+Q85+Q91+Q99</f>
        <v>28.6</v>
      </c>
      <c r="R72" s="1640"/>
      <c r="S72" s="1638">
        <f>S73+S77+S81+S85+S91+S99</f>
        <v>5.0999999999999996</v>
      </c>
      <c r="T72" s="1639"/>
      <c r="U72" s="1639">
        <f>U73+U77+U81+U85+U91+U99</f>
        <v>13.4</v>
      </c>
      <c r="V72" s="1639"/>
      <c r="W72" s="1639">
        <f>W73+W77+W81+W85+W91+W99</f>
        <v>22.000000000000004</v>
      </c>
      <c r="X72" s="1639"/>
      <c r="Y72" s="1639">
        <f>Y73+Y77+Y81+Y85+Y91+Y99</f>
        <v>8.6</v>
      </c>
      <c r="Z72" s="1640"/>
      <c r="AA72" s="1602"/>
      <c r="AB72" s="1603"/>
      <c r="AC72" s="1607" t="s">
        <v>1233</v>
      </c>
      <c r="AD72" s="1608"/>
      <c r="AE72" s="1608"/>
      <c r="AF72" s="1609"/>
    </row>
    <row r="73" spans="4:32">
      <c r="D73" s="1554" t="s">
        <v>1180</v>
      </c>
      <c r="E73" s="1555"/>
      <c r="F73" s="1555"/>
      <c r="G73" s="1555"/>
      <c r="H73" s="1555"/>
      <c r="I73" s="1555"/>
      <c r="J73" s="1556"/>
      <c r="K73" s="1563">
        <f>SUM(K74:L76)</f>
        <v>2</v>
      </c>
      <c r="L73" s="1564"/>
      <c r="M73" s="1564">
        <f>SUM(M74:N76)</f>
        <v>5</v>
      </c>
      <c r="N73" s="1564"/>
      <c r="O73" s="1564">
        <f>SUM(O74:P76)</f>
        <v>8.5</v>
      </c>
      <c r="P73" s="1564"/>
      <c r="Q73" s="1564">
        <f>SUM(Q74:R76)</f>
        <v>4.3</v>
      </c>
      <c r="R73" s="1648"/>
      <c r="S73" s="1563">
        <f>SUM(S74:T76)</f>
        <v>0.5</v>
      </c>
      <c r="T73" s="1564"/>
      <c r="U73" s="1564">
        <f>SUM(U74:V76)</f>
        <v>1.4000000000000001</v>
      </c>
      <c r="V73" s="1564"/>
      <c r="W73" s="1564">
        <f>SUM(W74:X76)</f>
        <v>3.3</v>
      </c>
      <c r="X73" s="1564"/>
      <c r="Y73" s="1564">
        <f>SUM(Y74:Z76)</f>
        <v>1.8</v>
      </c>
      <c r="Z73" s="1648"/>
      <c r="AA73" s="1602"/>
      <c r="AB73" s="1603"/>
      <c r="AC73" s="1599"/>
      <c r="AD73" s="1600"/>
      <c r="AE73" s="1600"/>
      <c r="AF73" s="1601"/>
    </row>
    <row r="74" spans="4:32">
      <c r="D74" s="1554" t="s">
        <v>1204</v>
      </c>
      <c r="E74" s="1555"/>
      <c r="F74" s="1555"/>
      <c r="G74" s="1555"/>
      <c r="H74" s="1555"/>
      <c r="I74" s="1555"/>
      <c r="J74" s="1556"/>
      <c r="K74" s="1563">
        <v>0</v>
      </c>
      <c r="L74" s="1564"/>
      <c r="M74" s="1564">
        <v>1</v>
      </c>
      <c r="N74" s="1564"/>
      <c r="O74" s="1564">
        <v>2</v>
      </c>
      <c r="P74" s="1564"/>
      <c r="Q74" s="1564">
        <v>0.8</v>
      </c>
      <c r="R74" s="1648"/>
      <c r="S74" s="1563">
        <f>IF($AA74="중점항목",ROUND(K74*$AE$70*$L$12,1),IF($AA74="해당없음",0,IF($AA74="일반항목",ROUND(K74*$AE$69*$L$12,1), ROUND(K74*$L$12,1))))</f>
        <v>0</v>
      </c>
      <c r="T74" s="1564"/>
      <c r="U74" s="1564">
        <f>IF($AA74="중점항목",ROUND(M74*$AE$70*$N$12,1),IF($AA74="해당없음",0,IF($AA74="일반항목",ROUND(M74*$AE$69*$N$12,1), ROUND(M74*$N$12,1))))</f>
        <v>0.4</v>
      </c>
      <c r="V74" s="1564"/>
      <c r="W74" s="1564">
        <f>IF($AA74="중점항목",ROUND(O74*$AE$70*$P$12,1),IF($AA74="해당없음",0,IF($AA74="일반항목",ROUND(O74*$AE$69*$P$12,1),O74*$P$12)))</f>
        <v>0.9</v>
      </c>
      <c r="X74" s="1564"/>
      <c r="Y74" s="1564">
        <f>IF($AA74="중점항목",ROUND(Q74*$AE$70*$R$12,1),IF($AA74="해당없음",0,IF($AA74="일반항목",ROUND(Q74*$AE$69*$R$12,1),Q74*$R$12)))</f>
        <v>0.4</v>
      </c>
      <c r="Z74" s="1648"/>
      <c r="AA74" s="1591" t="s">
        <v>1192</v>
      </c>
      <c r="AB74" s="1592"/>
      <c r="AC74" s="1599"/>
      <c r="AD74" s="1600"/>
      <c r="AE74" s="1600"/>
      <c r="AF74" s="1601"/>
    </row>
    <row r="75" spans="4:32">
      <c r="D75" s="1554" t="s">
        <v>1205</v>
      </c>
      <c r="E75" s="1555"/>
      <c r="F75" s="1555"/>
      <c r="G75" s="1555"/>
      <c r="H75" s="1555"/>
      <c r="I75" s="1555"/>
      <c r="J75" s="1556"/>
      <c r="K75" s="1563">
        <v>1</v>
      </c>
      <c r="L75" s="1564"/>
      <c r="M75" s="1564">
        <v>2</v>
      </c>
      <c r="N75" s="1564"/>
      <c r="O75" s="1564">
        <v>4</v>
      </c>
      <c r="P75" s="1564"/>
      <c r="Q75" s="1564">
        <v>2.5</v>
      </c>
      <c r="R75" s="1648"/>
      <c r="S75" s="1563">
        <f>IF($AA75="중점항목",ROUND(K75*$AE$70*$L$12,1),IF($AA75="해당없음",0,IF($AA75="일반항목",ROUND(K75*$AE$69*$L$12,1), ROUND(K75*$L$12,1))))</f>
        <v>0.4</v>
      </c>
      <c r="T75" s="1564"/>
      <c r="U75" s="1564">
        <f>IF($AA75="중점항목",ROUND(M75*$AE$70*$N$12,1),IF($AA75="해당없음",0,IF($AA75="일반항목",ROUND(M75*$AE$69*$N$12,1), ROUND(M75*$N$12,1))))</f>
        <v>0.7</v>
      </c>
      <c r="V75" s="1564"/>
      <c r="W75" s="1564">
        <f>IF($AA75="중점항목",ROUND(O75*$AE$70*$P$12,1),IF($AA75="해당없음",0,IF($AA75="일반항목",ROUND(O75*$AE$69*$P$12,1),O75*$P$12)))</f>
        <v>1.9</v>
      </c>
      <c r="X75" s="1564"/>
      <c r="Y75" s="1564">
        <f>IF($AA75="중점항목",ROUND(Q75*$AE$70*$R$12,1),IF($AA75="해당없음",0,IF($AA75="일반항목",ROUND(Q75*$AE$69*$R$12,1),Q75*$R$12)))</f>
        <v>1.2</v>
      </c>
      <c r="Z75" s="1648"/>
      <c r="AA75" s="1591" t="s">
        <v>1192</v>
      </c>
      <c r="AB75" s="1592"/>
      <c r="AC75" s="1599"/>
      <c r="AD75" s="1600"/>
      <c r="AE75" s="1600"/>
      <c r="AF75" s="1601"/>
    </row>
    <row r="76" spans="4:32">
      <c r="D76" s="1554" t="s">
        <v>1206</v>
      </c>
      <c r="E76" s="1555"/>
      <c r="F76" s="1555"/>
      <c r="G76" s="1555"/>
      <c r="H76" s="1555"/>
      <c r="I76" s="1555"/>
      <c r="J76" s="1556"/>
      <c r="K76" s="1563">
        <v>1</v>
      </c>
      <c r="L76" s="1564"/>
      <c r="M76" s="1564">
        <v>2</v>
      </c>
      <c r="N76" s="1564"/>
      <c r="O76" s="1564">
        <v>2.5</v>
      </c>
      <c r="P76" s="1564"/>
      <c r="Q76" s="1564">
        <v>1</v>
      </c>
      <c r="R76" s="1648"/>
      <c r="S76" s="1563">
        <f>IF($AA76="중점항목",ROUND(K76*$AE$70*$L$12,1),IF($AA76="해당없음",0,IF($AA76="일반항목",ROUND(K76*$AE$69*$L$12,1), ROUND(K76*$L$12,1))))</f>
        <v>0.1</v>
      </c>
      <c r="T76" s="1564"/>
      <c r="U76" s="1564">
        <f>IF($AA76="중점항목",ROUND(M76*$AE$70*$N$12,1),IF($AA76="해당없음",0,IF($AA76="일반항목",ROUND(M76*$AE$69*$N$12,1), ROUND(M76*$N$12,1))))</f>
        <v>0.3</v>
      </c>
      <c r="V76" s="1564"/>
      <c r="W76" s="1564">
        <f>IF($AA76="중점항목",ROUND(O76*$AE$70*$P$12,1),IF($AA76="해당없음",0,IF($AA76="일반항목",ROUND(O76*$AE$69*$P$12,1),O76*$P$12)))</f>
        <v>0.5</v>
      </c>
      <c r="X76" s="1564"/>
      <c r="Y76" s="1564">
        <f>IF($AA76="중점항목",ROUND(Q76*$AE$70*$R$12,1),IF($AA76="해당없음",0,IF($AA76="일반항목",ROUND(Q76*$AE$69*$R$12,1),Q76*$R$12)))</f>
        <v>0.2</v>
      </c>
      <c r="Z76" s="1648"/>
      <c r="AA76" s="1591" t="s">
        <v>1231</v>
      </c>
      <c r="AB76" s="1592"/>
      <c r="AC76" s="1599"/>
      <c r="AD76" s="1600"/>
      <c r="AE76" s="1600"/>
      <c r="AF76" s="1601"/>
    </row>
    <row r="77" spans="4:32">
      <c r="D77" s="1554" t="s">
        <v>1207</v>
      </c>
      <c r="E77" s="1555"/>
      <c r="F77" s="1555"/>
      <c r="G77" s="1555"/>
      <c r="H77" s="1555"/>
      <c r="I77" s="1555"/>
      <c r="J77" s="1556"/>
      <c r="K77" s="1563">
        <f>SUM(K78:L80)</f>
        <v>4.8</v>
      </c>
      <c r="L77" s="1564"/>
      <c r="M77" s="1564">
        <f>SUM(M78:N80)</f>
        <v>10.5</v>
      </c>
      <c r="N77" s="1564"/>
      <c r="O77" s="1564">
        <f>SUM(O78:P80)</f>
        <v>11.5</v>
      </c>
      <c r="P77" s="1564"/>
      <c r="Q77" s="1564">
        <f>SUM(Q78:R80)</f>
        <v>4</v>
      </c>
      <c r="R77" s="1648"/>
      <c r="S77" s="1563">
        <f>SUM(S78:T80)</f>
        <v>0.30000000000000004</v>
      </c>
      <c r="T77" s="1564"/>
      <c r="U77" s="1564">
        <f>SUM(U78:V80)</f>
        <v>0.8</v>
      </c>
      <c r="V77" s="1564"/>
      <c r="W77" s="1564">
        <f>SUM(W78:X80)</f>
        <v>1.2999999999999998</v>
      </c>
      <c r="X77" s="1564"/>
      <c r="Y77" s="1564">
        <f>SUM(Y78:Z80)</f>
        <v>0.7</v>
      </c>
      <c r="Z77" s="1648"/>
      <c r="AA77" s="1602"/>
      <c r="AB77" s="1603"/>
      <c r="AC77" s="1599"/>
      <c r="AD77" s="1600"/>
      <c r="AE77" s="1600"/>
      <c r="AF77" s="1601"/>
    </row>
    <row r="78" spans="4:32">
      <c r="D78" s="1554" t="s">
        <v>1208</v>
      </c>
      <c r="E78" s="1555"/>
      <c r="F78" s="1555"/>
      <c r="G78" s="1555"/>
      <c r="H78" s="1555"/>
      <c r="I78" s="1555"/>
      <c r="J78" s="1556"/>
      <c r="K78" s="1563">
        <v>1.3</v>
      </c>
      <c r="L78" s="1564"/>
      <c r="M78" s="1564">
        <v>3.5</v>
      </c>
      <c r="N78" s="1564"/>
      <c r="O78" s="1564">
        <v>3.5</v>
      </c>
      <c r="P78" s="1564"/>
      <c r="Q78" s="1564">
        <v>2.5</v>
      </c>
      <c r="R78" s="1648"/>
      <c r="S78" s="1563">
        <f>IF($AA78="중점항목",ROUND(K78*$AE$70*$L$12,1),IF($AA78="해당없음",0,IF($AA78="일반항목",ROUND(K78*$AE$69*$L$12,1), ROUND(K78*$L$12,1))))</f>
        <v>0.2</v>
      </c>
      <c r="T78" s="1564"/>
      <c r="U78" s="1564">
        <f>IF($AA78="중점항목",ROUND(M78*$AE$70*$N$12,1),IF($AA78="해당없음",0,IF($AA78="일반항목",ROUND(M78*$AE$69*$N$12,1), ROUND(M78*$N$12,1))))</f>
        <v>0.5</v>
      </c>
      <c r="V78" s="1564"/>
      <c r="W78" s="1564">
        <f>IF($AA78="중점항목",ROUND(O78*$AE$70*$P$12,1),IF($AA78="해당없음",0,IF($AA78="일반항목",ROUND(O78*$AE$69*$P$12,1),O78*$P$12)))</f>
        <v>0.7</v>
      </c>
      <c r="X78" s="1564"/>
      <c r="Y78" s="1564">
        <f>IF($AA78="중점항목",ROUND(Q78*$AE$70*$R$12,1),IF($AA78="해당없음",0,IF($AA78="일반항목",ROUND(Q78*$AE$69*$R$12,1),Q78*$R$12)))</f>
        <v>0.5</v>
      </c>
      <c r="Z78" s="1648"/>
      <c r="AA78" s="1591" t="s">
        <v>1231</v>
      </c>
      <c r="AB78" s="1592"/>
      <c r="AC78" s="1599"/>
      <c r="AD78" s="1600"/>
      <c r="AE78" s="1600"/>
      <c r="AF78" s="1601"/>
    </row>
    <row r="79" spans="4:32">
      <c r="D79" s="1554" t="s">
        <v>1209</v>
      </c>
      <c r="E79" s="1555"/>
      <c r="F79" s="1555"/>
      <c r="G79" s="1555"/>
      <c r="H79" s="1555"/>
      <c r="I79" s="1555"/>
      <c r="J79" s="1556"/>
      <c r="K79" s="1563">
        <v>1</v>
      </c>
      <c r="L79" s="1564"/>
      <c r="M79" s="1564">
        <v>2</v>
      </c>
      <c r="N79" s="1564"/>
      <c r="O79" s="1564">
        <v>3</v>
      </c>
      <c r="P79" s="1564"/>
      <c r="Q79" s="1564">
        <v>1</v>
      </c>
      <c r="R79" s="1648"/>
      <c r="S79" s="1563">
        <f>IF($AA79="중점항목",ROUND(K79*$AE$70*$L$12,1),IF($AA79="해당없음",0,IF($AA79="일반항목",ROUND(K79*$AE$69*$L$12,1), ROUND(K79*$L$12,1))))</f>
        <v>0.1</v>
      </c>
      <c r="T79" s="1564"/>
      <c r="U79" s="1564">
        <f>IF($AA79="중점항목",ROUND(M79*$AE$70*$N$12,1),IF($AA79="해당없음",0,IF($AA79="일반항목",ROUND(M79*$AE$69*$N$12,1), ROUND(M79*$N$12,1))))</f>
        <v>0.3</v>
      </c>
      <c r="V79" s="1564"/>
      <c r="W79" s="1564">
        <f>IF($AA79="중점항목",ROUND(O79*$AE$70*$P$12,1),IF($AA79="해당없음",0,IF($AA79="일반항목",ROUND(O79*$AE$69*$P$12,1),O79*$P$12)))</f>
        <v>0.6</v>
      </c>
      <c r="X79" s="1564"/>
      <c r="Y79" s="1564">
        <f>IF($AA79="중점항목",ROUND(Q79*$AE$70*$R$12,1),IF($AA79="해당없음",0,IF($AA79="일반항목",ROUND(Q79*$AE$69*$R$12,1),Q79*$R$12)))</f>
        <v>0.2</v>
      </c>
      <c r="Z79" s="1648"/>
      <c r="AA79" s="1591" t="s">
        <v>1231</v>
      </c>
      <c r="AB79" s="1592"/>
      <c r="AC79" s="1599"/>
      <c r="AD79" s="1600"/>
      <c r="AE79" s="1600"/>
      <c r="AF79" s="1601"/>
    </row>
    <row r="80" spans="4:32">
      <c r="D80" s="1554" t="s">
        <v>1210</v>
      </c>
      <c r="E80" s="1555"/>
      <c r="F80" s="1555"/>
      <c r="G80" s="1555"/>
      <c r="H80" s="1555"/>
      <c r="I80" s="1555"/>
      <c r="J80" s="1556"/>
      <c r="K80" s="1563">
        <v>2.5</v>
      </c>
      <c r="L80" s="1564"/>
      <c r="M80" s="1564">
        <v>5</v>
      </c>
      <c r="N80" s="1564"/>
      <c r="O80" s="1564">
        <v>5</v>
      </c>
      <c r="P80" s="1564"/>
      <c r="Q80" s="1564">
        <v>0.5</v>
      </c>
      <c r="R80" s="1648"/>
      <c r="S80" s="1563">
        <f>IF($AA80="중점항목",ROUND(K80*$AE$70*$L$12,1),IF($AA80="해당없음",0,IF($AA80="일반항목",ROUND(K80*$AE$69*$L$12,1), ROUND(K80*$L$12,1))))</f>
        <v>0</v>
      </c>
      <c r="T80" s="1564"/>
      <c r="U80" s="1564">
        <f>IF($AA80="중점항목",ROUND(M80*$AE$70*$N$12,1),IF($AA80="해당없음",0,IF($AA80="일반항목",ROUND(M80*$AE$69*$N$12,1), ROUND(M80*$N$12,1))))</f>
        <v>0</v>
      </c>
      <c r="V80" s="1564"/>
      <c r="W80" s="1564">
        <f>IF($AA80="중점항목",ROUND(O80*$AE$70*$P$12,1),IF($AA80="해당없음",0,IF($AA80="일반항목",ROUND(O80*$AE$69*$P$12,1),O80*$P$12)))</f>
        <v>0</v>
      </c>
      <c r="X80" s="1564"/>
      <c r="Y80" s="1564">
        <f>IF($AA80="중점항목",ROUND(Q80*$AE$70*$R$12,1),IF($AA80="해당없음",0,IF($AA80="일반항목",ROUND(Q80*$AE$69*$R$12,1),Q80*$R$12)))</f>
        <v>0</v>
      </c>
      <c r="Z80" s="1648"/>
      <c r="AA80" s="1591" t="s">
        <v>1232</v>
      </c>
      <c r="AB80" s="1592"/>
      <c r="AC80" s="1599"/>
      <c r="AD80" s="1600"/>
      <c r="AE80" s="1600"/>
      <c r="AF80" s="1601"/>
    </row>
    <row r="81" spans="4:32">
      <c r="D81" s="1554" t="s">
        <v>1211</v>
      </c>
      <c r="E81" s="1555"/>
      <c r="F81" s="1555"/>
      <c r="G81" s="1555"/>
      <c r="H81" s="1555"/>
      <c r="I81" s="1555"/>
      <c r="J81" s="1556"/>
      <c r="K81" s="1563">
        <f>SUM(K82:L84)</f>
        <v>2.2999999999999998</v>
      </c>
      <c r="L81" s="1564"/>
      <c r="M81" s="1564">
        <f>SUM(M82:N84)</f>
        <v>5.8</v>
      </c>
      <c r="N81" s="1564"/>
      <c r="O81" s="1564">
        <f>SUM(O82:P84)</f>
        <v>7.3</v>
      </c>
      <c r="P81" s="1564"/>
      <c r="Q81" s="1564">
        <f>SUM(Q82:R84)</f>
        <v>2.2999999999999998</v>
      </c>
      <c r="R81" s="1648"/>
      <c r="S81" s="1563">
        <f>SUM(S82:T84)</f>
        <v>0.9</v>
      </c>
      <c r="T81" s="1564"/>
      <c r="U81" s="1564">
        <f>SUM(U82:V84)</f>
        <v>2.2000000000000002</v>
      </c>
      <c r="V81" s="1564"/>
      <c r="W81" s="1564">
        <f>SUM(W82:X84)</f>
        <v>3.4</v>
      </c>
      <c r="X81" s="1564"/>
      <c r="Y81" s="1564">
        <f>SUM(Y82:Z84)</f>
        <v>1.1000000000000001</v>
      </c>
      <c r="Z81" s="1648"/>
      <c r="AA81" s="1602"/>
      <c r="AB81" s="1603"/>
      <c r="AC81" s="1599"/>
      <c r="AD81" s="1600"/>
      <c r="AE81" s="1600"/>
      <c r="AF81" s="1601"/>
    </row>
    <row r="82" spans="4:32">
      <c r="D82" s="1554" t="s">
        <v>1194</v>
      </c>
      <c r="E82" s="1555"/>
      <c r="F82" s="1555"/>
      <c r="G82" s="1555"/>
      <c r="H82" s="1555"/>
      <c r="I82" s="1555"/>
      <c r="J82" s="1556"/>
      <c r="K82" s="1563">
        <v>0.8</v>
      </c>
      <c r="L82" s="1564"/>
      <c r="M82" s="1564">
        <v>1.8</v>
      </c>
      <c r="N82" s="1564"/>
      <c r="O82" s="1564">
        <v>1.8</v>
      </c>
      <c r="P82" s="1564"/>
      <c r="Q82" s="1564">
        <v>0.8</v>
      </c>
      <c r="R82" s="1648"/>
      <c r="S82" s="1563">
        <f>IF($AA82="중점항목",ROUND(K82*$AE$70*$L$12,1),IF($AA82="해당없음",0,IF($AA82="일반항목",ROUND(K82*$AE$69*$L$12,1), ROUND(K82*$L$12,1))))</f>
        <v>0.3</v>
      </c>
      <c r="T82" s="1564"/>
      <c r="U82" s="1564">
        <f>IF($AA82="중점항목",ROUND(M82*$AE$70*$N$12,1),IF($AA82="해당없음",0,IF($AA82="일반항목",ROUND(M82*$AE$69*$N$12,1), ROUND(M82*$N$12,1))))</f>
        <v>0.7</v>
      </c>
      <c r="V82" s="1564"/>
      <c r="W82" s="1564">
        <f>IF($AA82="중점항목",ROUND(O82*$AE$70*$P$12,1),IF($AA82="해당없음",0,IF($AA82="일반항목",ROUND(O82*$AE$69*$P$12,1),O82*$P$12)))</f>
        <v>0.8</v>
      </c>
      <c r="X82" s="1564"/>
      <c r="Y82" s="1564">
        <f>IF($AA82="중점항목",ROUND(Q82*$AE$70*$R$12,1),IF($AA82="해당없음",0,IF($AA82="일반항목",ROUND(Q82*$AE$69*$R$12,1),Q82*$R$12)))</f>
        <v>0.4</v>
      </c>
      <c r="Z82" s="1648"/>
      <c r="AA82" s="1591" t="s">
        <v>1192</v>
      </c>
      <c r="AB82" s="1592"/>
      <c r="AC82" s="1599"/>
      <c r="AD82" s="1600"/>
      <c r="AE82" s="1600"/>
      <c r="AF82" s="1601"/>
    </row>
    <row r="83" spans="4:32">
      <c r="D83" s="1554" t="s">
        <v>1212</v>
      </c>
      <c r="E83" s="1555"/>
      <c r="F83" s="1555"/>
      <c r="G83" s="1555"/>
      <c r="H83" s="1555"/>
      <c r="I83" s="1555"/>
      <c r="J83" s="1556"/>
      <c r="K83" s="1563">
        <v>0.5</v>
      </c>
      <c r="L83" s="1564"/>
      <c r="M83" s="1564">
        <v>1</v>
      </c>
      <c r="N83" s="1564"/>
      <c r="O83" s="1564">
        <v>1.5</v>
      </c>
      <c r="P83" s="1564"/>
      <c r="Q83" s="1564">
        <v>0.5</v>
      </c>
      <c r="R83" s="1648"/>
      <c r="S83" s="1563">
        <f>IF($AA83="중점항목",ROUND(K83*$AE$70*$L$12,1),IF($AA83="해당없음",0,IF($AA83="일반항목",ROUND(K83*$AE$69*$L$12,1), ROUND(K83*$L$12,1))))</f>
        <v>0.2</v>
      </c>
      <c r="T83" s="1564"/>
      <c r="U83" s="1564">
        <f>IF($AA83="중점항목",ROUND(M83*$AE$70*$N$12,1),IF($AA83="해당없음",0,IF($AA83="일반항목",ROUND(M83*$AE$69*$N$12,1), ROUND(M83*$N$12,1))))</f>
        <v>0.4</v>
      </c>
      <c r="V83" s="1564"/>
      <c r="W83" s="1564">
        <f>IF($AA83="중점항목",ROUND(O83*$AE$70*$P$12,1),IF($AA83="해당없음",0,IF($AA83="일반항목",ROUND(O83*$AE$69*$P$12,1),O83*$P$12)))</f>
        <v>0.7</v>
      </c>
      <c r="X83" s="1564"/>
      <c r="Y83" s="1564">
        <f>IF($AA83="중점항목",ROUND(Q83*$AE$70*$R$12,1),IF($AA83="해당없음",0,IF($AA83="일반항목",ROUND(Q83*$AE$69*$R$12,1),Q83*$R$12)))</f>
        <v>0.2</v>
      </c>
      <c r="Z83" s="1648"/>
      <c r="AA83" s="1591" t="s">
        <v>1192</v>
      </c>
      <c r="AB83" s="1592"/>
      <c r="AC83" s="1599"/>
      <c r="AD83" s="1600"/>
      <c r="AE83" s="1600"/>
      <c r="AF83" s="1601"/>
    </row>
    <row r="84" spans="4:32">
      <c r="D84" s="1554" t="s">
        <v>1213</v>
      </c>
      <c r="E84" s="1555"/>
      <c r="F84" s="1555"/>
      <c r="G84" s="1555"/>
      <c r="H84" s="1555"/>
      <c r="I84" s="1555"/>
      <c r="J84" s="1556"/>
      <c r="K84" s="1563">
        <v>1</v>
      </c>
      <c r="L84" s="1564"/>
      <c r="M84" s="1564">
        <v>3</v>
      </c>
      <c r="N84" s="1564"/>
      <c r="O84" s="1564">
        <v>4</v>
      </c>
      <c r="P84" s="1564"/>
      <c r="Q84" s="1564">
        <v>1</v>
      </c>
      <c r="R84" s="1648"/>
      <c r="S84" s="1563">
        <f>IF($AA84="중점항목",ROUND(K84*$AE$70*$L$12,1),IF($AA84="해당없음",0,IF($AA84="일반항목",ROUND(K84*$AE$69*$L$12,1), ROUND(K84*$L$12,1))))</f>
        <v>0.4</v>
      </c>
      <c r="T84" s="1564"/>
      <c r="U84" s="1564">
        <f>IF($AA84="중점항목",ROUND(M84*$AE$70*$N$12,1),IF($AA84="해당없음",0,IF($AA84="일반항목",ROUND(M84*$AE$69*$N$12,1), ROUND(M84*$N$12,1))))</f>
        <v>1.1000000000000001</v>
      </c>
      <c r="V84" s="1564"/>
      <c r="W84" s="1564">
        <f>IF($AA84="중점항목",ROUND(O84*$AE$70*$P$12,1),IF($AA84="해당없음",0,IF($AA84="일반항목",ROUND(O84*$AE$69*$P$12,1),O84*$P$12)))</f>
        <v>1.9</v>
      </c>
      <c r="X84" s="1564"/>
      <c r="Y84" s="1564">
        <f>IF($AA84="중점항목",ROUND(Q84*$AE$70*$R$12,1),IF($AA84="해당없음",0,IF($AA84="일반항목",ROUND(Q84*$AE$69*$R$12,1),Q84*$R$12)))</f>
        <v>0.5</v>
      </c>
      <c r="Z84" s="1648"/>
      <c r="AA84" s="1591" t="s">
        <v>1192</v>
      </c>
      <c r="AB84" s="1592"/>
      <c r="AC84" s="1599"/>
      <c r="AD84" s="1600"/>
      <c r="AE84" s="1600"/>
      <c r="AF84" s="1601"/>
    </row>
    <row r="85" spans="4:32">
      <c r="D85" s="1554" t="s">
        <v>1214</v>
      </c>
      <c r="E85" s="1555"/>
      <c r="F85" s="1555"/>
      <c r="G85" s="1555"/>
      <c r="H85" s="1555"/>
      <c r="I85" s="1555"/>
      <c r="J85" s="1556"/>
      <c r="K85" s="1563">
        <f>SUM(K86,K91)</f>
        <v>10.3</v>
      </c>
      <c r="L85" s="1564"/>
      <c r="M85" s="1564">
        <f>SUM(M86,M91)</f>
        <v>23.9</v>
      </c>
      <c r="N85" s="1564"/>
      <c r="O85" s="1564">
        <f>SUM(O86,O91)</f>
        <v>29.5</v>
      </c>
      <c r="P85" s="1564"/>
      <c r="Q85" s="1564">
        <f>SUM(Q86,Q91)</f>
        <v>9</v>
      </c>
      <c r="R85" s="1648"/>
      <c r="S85" s="1563">
        <f>SUM(S86,S91)</f>
        <v>2.2999999999999998</v>
      </c>
      <c r="T85" s="1564"/>
      <c r="U85" s="1564">
        <f>SUM(U86,U91)</f>
        <v>5.4</v>
      </c>
      <c r="V85" s="1564"/>
      <c r="W85" s="1564">
        <f>SUM(W86,W91)</f>
        <v>7.8000000000000007</v>
      </c>
      <c r="X85" s="1564"/>
      <c r="Y85" s="1564">
        <f>SUM(Y86,Y91)</f>
        <v>2.4</v>
      </c>
      <c r="Z85" s="1648"/>
      <c r="AA85" s="1602"/>
      <c r="AB85" s="1603"/>
      <c r="AC85" s="1599"/>
      <c r="AD85" s="1600"/>
      <c r="AE85" s="1600"/>
      <c r="AF85" s="1601"/>
    </row>
    <row r="86" spans="4:32">
      <c r="D86" s="1554" t="s">
        <v>1215</v>
      </c>
      <c r="E86" s="1555"/>
      <c r="F86" s="1555"/>
      <c r="G86" s="1555"/>
      <c r="H86" s="1555"/>
      <c r="I86" s="1555"/>
      <c r="J86" s="1556"/>
      <c r="K86" s="1563">
        <f>SUM(K87:L89)</f>
        <v>6.5</v>
      </c>
      <c r="L86" s="1564"/>
      <c r="M86" s="1564">
        <f>SUM(M87:N89)</f>
        <v>11</v>
      </c>
      <c r="N86" s="1564"/>
      <c r="O86" s="1564">
        <f>SUM(O87:P89)</f>
        <v>11</v>
      </c>
      <c r="P86" s="1564"/>
      <c r="Q86" s="1564">
        <f>SUM(Q87:R89)</f>
        <v>3</v>
      </c>
      <c r="R86" s="1648"/>
      <c r="S86" s="1563">
        <f>SUM(S87:T89)</f>
        <v>1.2</v>
      </c>
      <c r="T86" s="1564"/>
      <c r="U86" s="1564">
        <f>SUM(U87:V89)</f>
        <v>2.4</v>
      </c>
      <c r="V86" s="1564"/>
      <c r="W86" s="1564">
        <f>SUM(W87:X89)</f>
        <v>2.9000000000000004</v>
      </c>
      <c r="X86" s="1564"/>
      <c r="Y86" s="1564">
        <f>SUM(Y87:Z89)</f>
        <v>0.7</v>
      </c>
      <c r="Z86" s="1648"/>
      <c r="AA86" s="1602"/>
      <c r="AB86" s="1603"/>
      <c r="AC86" s="1599"/>
      <c r="AD86" s="1600"/>
      <c r="AE86" s="1600"/>
      <c r="AF86" s="1601"/>
    </row>
    <row r="87" spans="4:32">
      <c r="D87" s="1554" t="s">
        <v>1195</v>
      </c>
      <c r="E87" s="1555"/>
      <c r="F87" s="1555"/>
      <c r="G87" s="1555"/>
      <c r="H87" s="1555"/>
      <c r="I87" s="1555"/>
      <c r="J87" s="1556"/>
      <c r="K87" s="1563">
        <v>2.5</v>
      </c>
      <c r="L87" s="1564"/>
      <c r="M87" s="1564">
        <v>5.5</v>
      </c>
      <c r="N87" s="1564"/>
      <c r="O87" s="1564">
        <v>4.5</v>
      </c>
      <c r="P87" s="1564"/>
      <c r="Q87" s="1564">
        <v>1</v>
      </c>
      <c r="R87" s="1648"/>
      <c r="S87" s="1563">
        <f>IF($AA87="중점항목",ROUND(K87*$AE$70*$L$12,1),IF($AA87="해당없음",0,IF($AA87="일반항목",ROUND(K87*$AE$69*$L$12,1), ROUND(K87*$L$12,1))))</f>
        <v>0.9</v>
      </c>
      <c r="T87" s="1564"/>
      <c r="U87" s="1564">
        <f>IF($AA87="중점항목",ROUND(M87*$AE$70*$N$12,1),IF($AA87="해당없음",0,IF($AA87="일반항목",ROUND(M87*$AE$69*$N$12,1), ROUND(M87*$N$12,1))))</f>
        <v>2</v>
      </c>
      <c r="V87" s="1564"/>
      <c r="W87" s="1564">
        <f>IF($AA87="중점항목",ROUND(O87*$AE$70*$P$12,1),IF($AA87="해당없음",0,IF($AA87="일반항목",ROUND(O87*$AE$69*$P$12,1),O87*$P$12)))</f>
        <v>2.1</v>
      </c>
      <c r="X87" s="1564"/>
      <c r="Y87" s="1564">
        <f>IF($AA87="중점항목",ROUND(Q87*$AE$70*$R$12,1),IF($AA87="해당없음",0,IF($AA87="일반항목",ROUND(Q87*$AE$69*$R$12,1),Q87*$R$12)))</f>
        <v>0.5</v>
      </c>
      <c r="Z87" s="1648"/>
      <c r="AA87" s="1591" t="s">
        <v>1192</v>
      </c>
      <c r="AB87" s="1592"/>
      <c r="AC87" s="1599"/>
      <c r="AD87" s="1600"/>
      <c r="AE87" s="1600"/>
      <c r="AF87" s="1601"/>
    </row>
    <row r="88" spans="4:32">
      <c r="D88" s="1554" t="s">
        <v>1196</v>
      </c>
      <c r="E88" s="1555"/>
      <c r="F88" s="1555"/>
      <c r="G88" s="1555"/>
      <c r="H88" s="1555"/>
      <c r="I88" s="1555"/>
      <c r="J88" s="1556"/>
      <c r="K88" s="1563">
        <v>2</v>
      </c>
      <c r="L88" s="1564"/>
      <c r="M88" s="1564">
        <v>3</v>
      </c>
      <c r="N88" s="1564"/>
      <c r="O88" s="1564">
        <v>4</v>
      </c>
      <c r="P88" s="1564"/>
      <c r="Q88" s="1564">
        <v>1</v>
      </c>
      <c r="R88" s="1648"/>
      <c r="S88" s="1563">
        <f>IF($AA88="중점항목",ROUND(K88*$AE$70*$L$12,1),IF($AA88="해당없음",0,IF($AA88="일반항목",ROUND(K88*$AE$69*$L$12,1), ROUND(K88*$L$12,1))))</f>
        <v>0.3</v>
      </c>
      <c r="T88" s="1564"/>
      <c r="U88" s="1564">
        <f>IF($AA88="중점항목",ROUND(M88*$AE$70*$N$12,1),IF($AA88="해당없음",0,IF($AA88="일반항목",ROUND(M88*$AE$69*$N$12,1), ROUND(M88*$N$12,1))))</f>
        <v>0.4</v>
      </c>
      <c r="V88" s="1564"/>
      <c r="W88" s="1564">
        <f>IF($AA88="중점항목",ROUND(O88*$AE$70*$P$12,1),IF($AA88="해당없음",0,IF($AA88="일반항목",ROUND(O88*$AE$69*$P$12,1),O88*$P$12)))</f>
        <v>0.8</v>
      </c>
      <c r="X88" s="1564"/>
      <c r="Y88" s="1564">
        <f>IF($AA88="중점항목",ROUND(Q88*$AE$70*$R$12,1),IF($AA88="해당없음",0,IF($AA88="일반항목",ROUND(Q88*$AE$69*$R$12,1),Q88*$R$12)))</f>
        <v>0.2</v>
      </c>
      <c r="Z88" s="1648"/>
      <c r="AA88" s="1591" t="s">
        <v>1231</v>
      </c>
      <c r="AB88" s="1592"/>
      <c r="AC88" s="1599"/>
      <c r="AD88" s="1600"/>
      <c r="AE88" s="1600"/>
      <c r="AF88" s="1601"/>
    </row>
    <row r="89" spans="4:32">
      <c r="D89" s="1554" t="s">
        <v>1197</v>
      </c>
      <c r="E89" s="1555"/>
      <c r="F89" s="1555"/>
      <c r="G89" s="1555"/>
      <c r="H89" s="1555"/>
      <c r="I89" s="1555"/>
      <c r="J89" s="1556"/>
      <c r="K89" s="1563">
        <v>2</v>
      </c>
      <c r="L89" s="1564"/>
      <c r="M89" s="1564">
        <v>2.5</v>
      </c>
      <c r="N89" s="1564"/>
      <c r="O89" s="1564">
        <v>2.5</v>
      </c>
      <c r="P89" s="1564"/>
      <c r="Q89" s="1564">
        <v>1</v>
      </c>
      <c r="R89" s="1648"/>
      <c r="S89" s="1563">
        <f>IF($AA89="중점항목",ROUND(K89*$AE$70*$L$12,1),IF($AA89="해당없음",0,IF($AA89="일반항목",ROUND(K89*$AE$69*$L$12,1), ROUND(K89*$L$12,1))))</f>
        <v>0</v>
      </c>
      <c r="T89" s="1564"/>
      <c r="U89" s="1564">
        <f>IF($AA89="중점항목",ROUND(M89*$AE$70*$N$12,1),IF($AA89="해당없음",0,IF($AA89="일반항목",ROUND(M89*$AE$69*$N$12,1), ROUND(M89*$N$12,1))))</f>
        <v>0</v>
      </c>
      <c r="V89" s="1564"/>
      <c r="W89" s="1564">
        <f>IF($AA89="중점항목",ROUND(O89*$AE$70*$P$12,1),IF($AA89="해당없음",0,IF($AA89="일반항목",ROUND(O89*$AE$69*$P$12,1),O89*$P$12)))</f>
        <v>0</v>
      </c>
      <c r="X89" s="1564"/>
      <c r="Y89" s="1564">
        <f>IF($AA89="중점항목",ROUND(Q89*$AE$70*$R$12,1),IF($AA89="해당없음",0,IF($AA89="일반항목",ROUND(Q89*$AE$69*$R$12,1),Q89*$R$12)))</f>
        <v>0</v>
      </c>
      <c r="Z89" s="1648"/>
      <c r="AA89" s="1591" t="s">
        <v>1232</v>
      </c>
      <c r="AB89" s="1592"/>
      <c r="AC89" s="1599"/>
      <c r="AD89" s="1600"/>
      <c r="AE89" s="1600"/>
      <c r="AF89" s="1601"/>
    </row>
    <row r="90" spans="4:32">
      <c r="D90" s="1554" t="s">
        <v>1216</v>
      </c>
      <c r="E90" s="1555"/>
      <c r="F90" s="1555"/>
      <c r="G90" s="1555"/>
      <c r="H90" s="1555"/>
      <c r="I90" s="1555"/>
      <c r="J90" s="1556"/>
      <c r="K90" s="1563">
        <v>0.5</v>
      </c>
      <c r="L90" s="1564"/>
      <c r="M90" s="1564">
        <v>1</v>
      </c>
      <c r="N90" s="1564"/>
      <c r="O90" s="1564">
        <v>1.5</v>
      </c>
      <c r="P90" s="1564"/>
      <c r="Q90" s="1564">
        <v>1</v>
      </c>
      <c r="R90" s="1648"/>
      <c r="S90" s="1563">
        <f>IF($AA90="중점항목",ROUND(K90*$AE$70*$L$12,1),IF($AA90="해당없음",0,IF($AA90="일반항목",ROUND(K90*$AE$69*$L$12,1), ROUND(K90*$L$12,1))))</f>
        <v>0.2</v>
      </c>
      <c r="T90" s="1564"/>
      <c r="U90" s="1564">
        <f>IF($AA90="중점항목",ROUND(M90*$AE$70*$N$12,1),IF($AA90="해당없음",0,IF($AA90="일반항목",ROUND(M90*$AE$69*$N$12,1), ROUND(M90*$N$12,1))))</f>
        <v>0.4</v>
      </c>
      <c r="V90" s="1564"/>
      <c r="W90" s="1564">
        <f>IF($AA90="중점항목",ROUND(O90*$AE$70*$P$12,1),IF($AA90="해당없음",0,IF($AA90="일반항목",ROUND(O90*$AE$69*$P$12,1),O90*$P$12)))</f>
        <v>0.7</v>
      </c>
      <c r="X90" s="1564"/>
      <c r="Y90" s="1564">
        <f>IF($AA90="중점항목",ROUND(Q90*$AE$70*$R$12,1),IF($AA90="해당없음",0,IF($AA90="일반항목",ROUND(Q90*$AE$69*$R$12,1),Q90*$R$12)))</f>
        <v>0.5</v>
      </c>
      <c r="Z90" s="1648"/>
      <c r="AA90" s="1591" t="s">
        <v>1192</v>
      </c>
      <c r="AB90" s="1592"/>
      <c r="AC90" s="1599"/>
      <c r="AD90" s="1600"/>
      <c r="AE90" s="1600"/>
      <c r="AF90" s="1601"/>
    </row>
    <row r="91" spans="4:32">
      <c r="D91" s="1554" t="s">
        <v>1217</v>
      </c>
      <c r="E91" s="1555"/>
      <c r="F91" s="1555"/>
      <c r="G91" s="1555"/>
      <c r="H91" s="1555"/>
      <c r="I91" s="1555"/>
      <c r="J91" s="1556"/>
      <c r="K91" s="1563">
        <f>SUM(K92:L98)</f>
        <v>3.8</v>
      </c>
      <c r="L91" s="1564"/>
      <c r="M91" s="1564">
        <f>SUM(M92:N98)</f>
        <v>12.9</v>
      </c>
      <c r="N91" s="1564"/>
      <c r="O91" s="1564">
        <f>SUM(O92:P98)</f>
        <v>18.5</v>
      </c>
      <c r="P91" s="1564"/>
      <c r="Q91" s="1564">
        <f>SUM(Q92:R98)</f>
        <v>6</v>
      </c>
      <c r="R91" s="1648"/>
      <c r="S91" s="1563">
        <f>SUM(S92:T98)</f>
        <v>1.1000000000000001</v>
      </c>
      <c r="T91" s="1564"/>
      <c r="U91" s="1564">
        <f>SUM(U92:V98)</f>
        <v>3</v>
      </c>
      <c r="V91" s="1564"/>
      <c r="W91" s="1564">
        <f>SUM(W92:X98)</f>
        <v>4.9000000000000004</v>
      </c>
      <c r="X91" s="1564"/>
      <c r="Y91" s="1564">
        <f>SUM(Y92:Z98)</f>
        <v>1.7</v>
      </c>
      <c r="Z91" s="1648"/>
      <c r="AA91" s="1602"/>
      <c r="AB91" s="1603"/>
      <c r="AC91" s="1599"/>
      <c r="AD91" s="1600"/>
      <c r="AE91" s="1600"/>
      <c r="AF91" s="1601"/>
    </row>
    <row r="92" spans="4:32">
      <c r="D92" s="1554" t="s">
        <v>1218</v>
      </c>
      <c r="E92" s="1555"/>
      <c r="F92" s="1555"/>
      <c r="G92" s="1555"/>
      <c r="H92" s="1555"/>
      <c r="I92" s="1555"/>
      <c r="J92" s="1556"/>
      <c r="K92" s="1563">
        <v>0.5</v>
      </c>
      <c r="L92" s="1564"/>
      <c r="M92" s="1564">
        <v>1.5</v>
      </c>
      <c r="N92" s="1564"/>
      <c r="O92" s="1564">
        <v>3</v>
      </c>
      <c r="P92" s="1564"/>
      <c r="Q92" s="1564">
        <v>1</v>
      </c>
      <c r="R92" s="1648"/>
      <c r="S92" s="1563">
        <f t="shared" ref="S92:S98" si="6">IF($AA92="중점항목",ROUND(K92*$AE$70*$L$12,1),IF($AA92="해당없음",0,IF($AA92="일반항목",ROUND(K92*$AE$69*$L$12,1), ROUND(K92*$L$12,1))))</f>
        <v>0.2</v>
      </c>
      <c r="T92" s="1564"/>
      <c r="U92" s="1564">
        <f t="shared" ref="U92:U98" si="7">IF($AA92="중점항목",ROUND(M92*$AE$70*$N$12,1),IF($AA92="해당없음",0,IF($AA92="일반항목",ROUND(M92*$AE$69*$N$12,1), ROUND(M92*$N$12,1))))</f>
        <v>0.6</v>
      </c>
      <c r="V92" s="1564"/>
      <c r="W92" s="1564">
        <f t="shared" ref="W92:W98" si="8">IF($AA92="중점항목",ROUND(O92*$AE$70*$P$12,1),IF($AA92="해당없음",0,IF($AA92="일반항목",ROUND(O92*$AE$69*$P$12,1),O92*$P$12)))</f>
        <v>1.4</v>
      </c>
      <c r="X92" s="1564"/>
      <c r="Y92" s="1564">
        <f t="shared" ref="Y92:Y98" si="9">IF($AA92="중점항목",ROUND(Q92*$AE$70*$R$12,1),IF($AA92="해당없음",0,IF($AA92="일반항목",ROUND(Q92*$AE$69*$R$12,1),Q92*$R$12)))</f>
        <v>0.5</v>
      </c>
      <c r="Z92" s="1648"/>
      <c r="AA92" s="1591" t="s">
        <v>1192</v>
      </c>
      <c r="AB92" s="1592"/>
      <c r="AC92" s="1599"/>
      <c r="AD92" s="1600"/>
      <c r="AE92" s="1600"/>
      <c r="AF92" s="1601"/>
    </row>
    <row r="93" spans="4:32">
      <c r="D93" s="1554" t="s">
        <v>1219</v>
      </c>
      <c r="E93" s="1555"/>
      <c r="F93" s="1555"/>
      <c r="G93" s="1555"/>
      <c r="H93" s="1555"/>
      <c r="I93" s="1555"/>
      <c r="J93" s="1556"/>
      <c r="K93" s="1563">
        <v>0.8</v>
      </c>
      <c r="L93" s="1564"/>
      <c r="M93" s="1564">
        <v>2</v>
      </c>
      <c r="N93" s="1564"/>
      <c r="O93" s="1564">
        <v>2.4</v>
      </c>
      <c r="P93" s="1564"/>
      <c r="Q93" s="1564">
        <v>0.6</v>
      </c>
      <c r="R93" s="1648"/>
      <c r="S93" s="1563">
        <f t="shared" si="6"/>
        <v>0.3</v>
      </c>
      <c r="T93" s="1564"/>
      <c r="U93" s="1564">
        <f t="shared" si="7"/>
        <v>0.7</v>
      </c>
      <c r="V93" s="1564"/>
      <c r="W93" s="1564">
        <f t="shared" si="8"/>
        <v>1.1000000000000001</v>
      </c>
      <c r="X93" s="1564"/>
      <c r="Y93" s="1564">
        <f t="shared" si="9"/>
        <v>0.3</v>
      </c>
      <c r="Z93" s="1648"/>
      <c r="AA93" s="1591" t="s">
        <v>1192</v>
      </c>
      <c r="AB93" s="1592"/>
      <c r="AC93" s="1599"/>
      <c r="AD93" s="1600"/>
      <c r="AE93" s="1600"/>
      <c r="AF93" s="1601"/>
    </row>
    <row r="94" spans="4:32">
      <c r="D94" s="1554" t="s">
        <v>1220</v>
      </c>
      <c r="E94" s="1555"/>
      <c r="F94" s="1555"/>
      <c r="G94" s="1555"/>
      <c r="H94" s="1555"/>
      <c r="I94" s="1555"/>
      <c r="J94" s="1556"/>
      <c r="K94" s="1563">
        <v>0.5</v>
      </c>
      <c r="L94" s="1564"/>
      <c r="M94" s="1564">
        <v>1.3</v>
      </c>
      <c r="N94" s="1564"/>
      <c r="O94" s="1564">
        <v>1.6</v>
      </c>
      <c r="P94" s="1564"/>
      <c r="Q94" s="1564">
        <v>0.4</v>
      </c>
      <c r="R94" s="1648"/>
      <c r="S94" s="1563">
        <f t="shared" si="6"/>
        <v>0.2</v>
      </c>
      <c r="T94" s="1564"/>
      <c r="U94" s="1564">
        <f t="shared" si="7"/>
        <v>0.5</v>
      </c>
      <c r="V94" s="1564"/>
      <c r="W94" s="1564">
        <f t="shared" si="8"/>
        <v>0.8</v>
      </c>
      <c r="X94" s="1564"/>
      <c r="Y94" s="1564">
        <f t="shared" si="9"/>
        <v>0.2</v>
      </c>
      <c r="Z94" s="1648"/>
      <c r="AA94" s="1591" t="s">
        <v>1192</v>
      </c>
      <c r="AB94" s="1592"/>
      <c r="AC94" s="1599"/>
      <c r="AD94" s="1600"/>
      <c r="AE94" s="1600"/>
      <c r="AF94" s="1601"/>
    </row>
    <row r="95" spans="4:32">
      <c r="D95" s="1554" t="s">
        <v>1221</v>
      </c>
      <c r="E95" s="1555"/>
      <c r="F95" s="1555"/>
      <c r="G95" s="1555"/>
      <c r="H95" s="1555"/>
      <c r="I95" s="1555"/>
      <c r="J95" s="1556"/>
      <c r="K95" s="1563">
        <v>1</v>
      </c>
      <c r="L95" s="1564"/>
      <c r="M95" s="1564">
        <v>3.3</v>
      </c>
      <c r="N95" s="1564"/>
      <c r="O95" s="1564">
        <v>3.5</v>
      </c>
      <c r="P95" s="1564"/>
      <c r="Q95" s="1564">
        <v>1.5</v>
      </c>
      <c r="R95" s="1648"/>
      <c r="S95" s="1563">
        <f t="shared" si="6"/>
        <v>0.4</v>
      </c>
      <c r="T95" s="1564"/>
      <c r="U95" s="1564">
        <f t="shared" si="7"/>
        <v>1.2</v>
      </c>
      <c r="V95" s="1564"/>
      <c r="W95" s="1564">
        <f t="shared" si="8"/>
        <v>1.6</v>
      </c>
      <c r="X95" s="1564"/>
      <c r="Y95" s="1564">
        <f t="shared" si="9"/>
        <v>0.7</v>
      </c>
      <c r="Z95" s="1648"/>
      <c r="AA95" s="1591" t="s">
        <v>1192</v>
      </c>
      <c r="AB95" s="1592"/>
      <c r="AC95" s="1599"/>
      <c r="AD95" s="1600"/>
      <c r="AE95" s="1600"/>
      <c r="AF95" s="1601"/>
    </row>
    <row r="96" spans="4:32">
      <c r="D96" s="1554" t="s">
        <v>1222</v>
      </c>
      <c r="E96" s="1555"/>
      <c r="F96" s="1555"/>
      <c r="G96" s="1555"/>
      <c r="H96" s="1555"/>
      <c r="I96" s="1555"/>
      <c r="J96" s="1556"/>
      <c r="K96" s="1563">
        <v>0</v>
      </c>
      <c r="L96" s="1564"/>
      <c r="M96" s="1564">
        <v>1</v>
      </c>
      <c r="N96" s="1564"/>
      <c r="O96" s="1564">
        <v>1.5</v>
      </c>
      <c r="P96" s="1564"/>
      <c r="Q96" s="1564">
        <v>1</v>
      </c>
      <c r="R96" s="1648"/>
      <c r="S96" s="1563">
        <f t="shared" si="6"/>
        <v>0</v>
      </c>
      <c r="T96" s="1564"/>
      <c r="U96" s="1564">
        <f t="shared" si="7"/>
        <v>0</v>
      </c>
      <c r="V96" s="1564"/>
      <c r="W96" s="1564">
        <f t="shared" si="8"/>
        <v>0</v>
      </c>
      <c r="X96" s="1564"/>
      <c r="Y96" s="1564">
        <f t="shared" si="9"/>
        <v>0</v>
      </c>
      <c r="Z96" s="1648"/>
      <c r="AA96" s="1591" t="s">
        <v>1232</v>
      </c>
      <c r="AB96" s="1592"/>
      <c r="AC96" s="1599"/>
      <c r="AD96" s="1600"/>
      <c r="AE96" s="1600"/>
      <c r="AF96" s="1601"/>
    </row>
    <row r="97" spans="4:32">
      <c r="D97" s="1554" t="s">
        <v>1223</v>
      </c>
      <c r="E97" s="1555"/>
      <c r="F97" s="1555"/>
      <c r="G97" s="1555"/>
      <c r="H97" s="1555"/>
      <c r="I97" s="1555"/>
      <c r="J97" s="1556"/>
      <c r="K97" s="1563">
        <v>0.5</v>
      </c>
      <c r="L97" s="1564"/>
      <c r="M97" s="1564">
        <v>1.8</v>
      </c>
      <c r="N97" s="1564"/>
      <c r="O97" s="1564">
        <v>3</v>
      </c>
      <c r="P97" s="1564"/>
      <c r="Q97" s="1564">
        <v>1</v>
      </c>
      <c r="R97" s="1648"/>
      <c r="S97" s="1563">
        <f t="shared" si="6"/>
        <v>0</v>
      </c>
      <c r="T97" s="1564"/>
      <c r="U97" s="1564">
        <f t="shared" si="7"/>
        <v>0</v>
      </c>
      <c r="V97" s="1564"/>
      <c r="W97" s="1564">
        <f t="shared" si="8"/>
        <v>0</v>
      </c>
      <c r="X97" s="1564"/>
      <c r="Y97" s="1564">
        <f t="shared" si="9"/>
        <v>0</v>
      </c>
      <c r="Z97" s="1648"/>
      <c r="AA97" s="1591" t="s">
        <v>1232</v>
      </c>
      <c r="AB97" s="1592"/>
      <c r="AC97" s="1599"/>
      <c r="AD97" s="1600"/>
      <c r="AE97" s="1600"/>
      <c r="AF97" s="1601"/>
    </row>
    <row r="98" spans="4:32">
      <c r="D98" s="1554" t="s">
        <v>1224</v>
      </c>
      <c r="E98" s="1555"/>
      <c r="F98" s="1555"/>
      <c r="G98" s="1555"/>
      <c r="H98" s="1555"/>
      <c r="I98" s="1555"/>
      <c r="J98" s="1556"/>
      <c r="K98" s="1563">
        <v>0.5</v>
      </c>
      <c r="L98" s="1564"/>
      <c r="M98" s="1564">
        <v>2</v>
      </c>
      <c r="N98" s="1564"/>
      <c r="O98" s="1564">
        <v>3.5</v>
      </c>
      <c r="P98" s="1564"/>
      <c r="Q98" s="1564">
        <v>0.5</v>
      </c>
      <c r="R98" s="1648"/>
      <c r="S98" s="1563">
        <f t="shared" si="6"/>
        <v>0</v>
      </c>
      <c r="T98" s="1564"/>
      <c r="U98" s="1564">
        <f t="shared" si="7"/>
        <v>0</v>
      </c>
      <c r="V98" s="1564"/>
      <c r="W98" s="1564">
        <f t="shared" si="8"/>
        <v>0</v>
      </c>
      <c r="X98" s="1564"/>
      <c r="Y98" s="1564">
        <f t="shared" si="9"/>
        <v>0</v>
      </c>
      <c r="Z98" s="1648"/>
      <c r="AA98" s="1591" t="s">
        <v>1232</v>
      </c>
      <c r="AB98" s="1592"/>
      <c r="AC98" s="1599"/>
      <c r="AD98" s="1600"/>
      <c r="AE98" s="1600"/>
      <c r="AF98" s="1601"/>
    </row>
    <row r="99" spans="4:32">
      <c r="D99" s="1554" t="s">
        <v>1225</v>
      </c>
      <c r="E99" s="1555"/>
      <c r="F99" s="1555"/>
      <c r="G99" s="1555"/>
      <c r="H99" s="1555"/>
      <c r="I99" s="1555"/>
      <c r="J99" s="1556"/>
      <c r="K99" s="1563">
        <f>SUM(K100:L102)</f>
        <v>0</v>
      </c>
      <c r="L99" s="1564"/>
      <c r="M99" s="1564">
        <f>SUM(M100:N102)</f>
        <v>3</v>
      </c>
      <c r="N99" s="1564"/>
      <c r="O99" s="1564">
        <f>SUM(O100:P102)</f>
        <v>4.5</v>
      </c>
      <c r="P99" s="1564"/>
      <c r="Q99" s="1564">
        <f>SUM(Q100:R102)</f>
        <v>3</v>
      </c>
      <c r="R99" s="1648"/>
      <c r="S99" s="1563">
        <f>SUM(S100:T102)</f>
        <v>0</v>
      </c>
      <c r="T99" s="1564"/>
      <c r="U99" s="1564">
        <f>SUM(U100:V102)</f>
        <v>0.60000000000000009</v>
      </c>
      <c r="V99" s="1564"/>
      <c r="W99" s="1564">
        <f>SUM(W100:X102)</f>
        <v>1.2999999999999998</v>
      </c>
      <c r="X99" s="1564"/>
      <c r="Y99" s="1564">
        <f>SUM(Y100:Z102)</f>
        <v>0.9</v>
      </c>
      <c r="Z99" s="1648"/>
      <c r="AA99" s="1602"/>
      <c r="AB99" s="1603"/>
      <c r="AC99" s="1599"/>
      <c r="AD99" s="1600"/>
      <c r="AE99" s="1600"/>
      <c r="AF99" s="1601"/>
    </row>
    <row r="100" spans="4:32">
      <c r="D100" s="1554" t="s">
        <v>1226</v>
      </c>
      <c r="E100" s="1555"/>
      <c r="F100" s="1555"/>
      <c r="G100" s="1555"/>
      <c r="H100" s="1555"/>
      <c r="I100" s="1555"/>
      <c r="J100" s="1556"/>
      <c r="K100" s="1563">
        <v>0</v>
      </c>
      <c r="L100" s="1564"/>
      <c r="M100" s="1564">
        <v>1</v>
      </c>
      <c r="N100" s="1564"/>
      <c r="O100" s="1564">
        <v>1.5</v>
      </c>
      <c r="P100" s="1564"/>
      <c r="Q100" s="1564">
        <v>1</v>
      </c>
      <c r="R100" s="1648"/>
      <c r="S100" s="1563">
        <f>IF($AA100="중점항목",ROUND(K100*$AE$70*$L$12,1),IF($AA100="해당없음",0,IF($AA100="일반항목",ROUND(K100*$AE$69*$L$12,1), ROUND(K100*$L$12,1))))</f>
        <v>0</v>
      </c>
      <c r="T100" s="1564"/>
      <c r="U100" s="1564">
        <f>IF($AA100="중점항목",ROUND(M100*$AE$70*$N$12,1),IF($AA100="해당없음",0,IF($AA100="일반항목",ROUND(M100*$AE$69*$N$12,1), ROUND(M100*$N$12,1))))</f>
        <v>0.1</v>
      </c>
      <c r="V100" s="1564"/>
      <c r="W100" s="1564">
        <f>IF($AA100="중점항목",ROUND(O100*$AE$70*$P$12,1),IF($AA100="해당없음",0,IF($AA100="일반항목",ROUND(O100*$AE$69*$P$12,1),O100*$P$12)))</f>
        <v>0.3</v>
      </c>
      <c r="X100" s="1564"/>
      <c r="Y100" s="1564">
        <f>IF($AA100="중점항목",ROUND(Q100*$AE$70*$R$12,1),IF($AA100="해당없음",0,IF($AA100="일반항목",ROUND(Q100*$AE$69*$R$12,1),Q100*$R$12)))</f>
        <v>0.2</v>
      </c>
      <c r="Z100" s="1648"/>
      <c r="AA100" s="1591" t="s">
        <v>1231</v>
      </c>
      <c r="AB100" s="1592"/>
      <c r="AC100" s="1599"/>
      <c r="AD100" s="1600"/>
      <c r="AE100" s="1600"/>
      <c r="AF100" s="1601"/>
    </row>
    <row r="101" spans="4:32">
      <c r="D101" s="1554" t="s">
        <v>1227</v>
      </c>
      <c r="E101" s="1555"/>
      <c r="F101" s="1555"/>
      <c r="G101" s="1555"/>
      <c r="H101" s="1555"/>
      <c r="I101" s="1555"/>
      <c r="J101" s="1556"/>
      <c r="K101" s="1563">
        <v>0</v>
      </c>
      <c r="L101" s="1564"/>
      <c r="M101" s="1564">
        <v>1</v>
      </c>
      <c r="N101" s="1564"/>
      <c r="O101" s="1564">
        <v>1.5</v>
      </c>
      <c r="P101" s="1564"/>
      <c r="Q101" s="1564">
        <v>1</v>
      </c>
      <c r="R101" s="1648"/>
      <c r="S101" s="1563">
        <f>IF($AA101="중점항목",ROUND(K101*$AE$70*$L$12,1),IF($AA101="해당없음",0,IF($AA101="일반항목",ROUND(K101*$AE$69*$L$12,1), ROUND(K101*$L$12,1))))</f>
        <v>0</v>
      </c>
      <c r="T101" s="1564"/>
      <c r="U101" s="1564">
        <f>IF($AA101="중점항목",ROUND(M101*$AE$70*$N$12,1),IF($AA101="해당없음",0,IF($AA101="일반항목",ROUND(M101*$AE$69*$N$12,1), ROUND(M101*$N$12,1))))</f>
        <v>0.1</v>
      </c>
      <c r="V101" s="1564"/>
      <c r="W101" s="1564">
        <f>IF($AA101="중점항목",ROUND(O101*$AE$70*$P$12,1),IF($AA101="해당없음",0,IF($AA101="일반항목",ROUND(O101*$AE$69*$P$12,1),O101*$P$12)))</f>
        <v>0.3</v>
      </c>
      <c r="X101" s="1564"/>
      <c r="Y101" s="1564">
        <f>IF($AA101="중점항목",ROUND(Q101*$AE$70*$R$12,1),IF($AA101="해당없음",0,IF($AA101="일반항목",ROUND(Q101*$AE$69*$R$12,1),Q101*$R$12)))</f>
        <v>0.2</v>
      </c>
      <c r="Z101" s="1648"/>
      <c r="AA101" s="1591" t="s">
        <v>1193</v>
      </c>
      <c r="AB101" s="1592"/>
      <c r="AC101" s="1599"/>
      <c r="AD101" s="1600"/>
      <c r="AE101" s="1600"/>
      <c r="AF101" s="1601"/>
    </row>
    <row r="102" spans="4:32">
      <c r="D102" s="1554" t="s">
        <v>1228</v>
      </c>
      <c r="E102" s="1555"/>
      <c r="F102" s="1555"/>
      <c r="G102" s="1555"/>
      <c r="H102" s="1555"/>
      <c r="I102" s="1555"/>
      <c r="J102" s="1556"/>
      <c r="K102" s="1563">
        <v>0</v>
      </c>
      <c r="L102" s="1564"/>
      <c r="M102" s="1564">
        <v>1</v>
      </c>
      <c r="N102" s="1564"/>
      <c r="O102" s="1564">
        <v>1.5</v>
      </c>
      <c r="P102" s="1564"/>
      <c r="Q102" s="1564">
        <v>1</v>
      </c>
      <c r="R102" s="1648"/>
      <c r="S102" s="1563">
        <f>IF($AA102="중점항목",ROUND(K102*$AE$70*$L$12,1),IF($AA102="해당없음",0,IF($AA102="일반항목",ROUND(K102*$AE$69*$L$12,1), ROUND(K102*$L$12,1))))</f>
        <v>0</v>
      </c>
      <c r="T102" s="1564"/>
      <c r="U102" s="1564">
        <f>IF($AA102="중점항목",ROUND(M102*$AE$70*$N$12,1),IF($AA102="해당없음",0,IF($AA102="일반항목",ROUND(M102*$AE$69*$N$12,1), ROUND(M102*$N$12,1))))</f>
        <v>0.4</v>
      </c>
      <c r="V102" s="1564"/>
      <c r="W102" s="1564">
        <f>IF($AA102="중점항목",ROUND(O102*$AE$70*$P$12,1),IF($AA102="해당없음",0,IF($AA102="일반항목",ROUND(O102*$AE$69*$P$12,1),O102*$P$12)))</f>
        <v>0.7</v>
      </c>
      <c r="X102" s="1564"/>
      <c r="Y102" s="1564">
        <f>IF($AA102="중점항목",ROUND(Q102*$AE$70*$R$12,1),IF($AA102="해당없음",0,IF($AA102="일반항목",ROUND(Q102*$AE$69*$R$12,1),Q102*$R$12)))</f>
        <v>0.5</v>
      </c>
      <c r="Z102" s="1648"/>
      <c r="AA102" s="1591" t="s">
        <v>1192</v>
      </c>
      <c r="AB102" s="1592"/>
      <c r="AC102" s="1599"/>
      <c r="AD102" s="1600"/>
      <c r="AE102" s="1600"/>
      <c r="AF102" s="1601"/>
    </row>
    <row r="103" spans="4:32" s="587" customFormat="1">
      <c r="D103" s="1582" t="s">
        <v>1199</v>
      </c>
      <c r="E103" s="1583"/>
      <c r="F103" s="1583"/>
      <c r="G103" s="1583"/>
      <c r="H103" s="1583"/>
      <c r="I103" s="1583"/>
      <c r="J103" s="1584"/>
      <c r="K103" s="1638">
        <v>0.5</v>
      </c>
      <c r="L103" s="1639"/>
      <c r="M103" s="1639">
        <v>0.5</v>
      </c>
      <c r="N103" s="1639"/>
      <c r="O103" s="1639">
        <v>1</v>
      </c>
      <c r="P103" s="1639"/>
      <c r="Q103" s="1639">
        <v>2</v>
      </c>
      <c r="R103" s="1640"/>
      <c r="S103" s="1638">
        <f>IF($AA103="중점항목",ROUND(K103*$AE$70*$L$12,1),IF($AA103="해당없음",0,IF($AA103="일반항목",ROUND(K103*$AE$69*$L$12,1), ROUND(K103*$L$12,1))))</f>
        <v>0.2</v>
      </c>
      <c r="T103" s="1639"/>
      <c r="U103" s="1639">
        <f>IF($AA103="중점항목",ROUND(M103*$AE$70*$N$12,1),IF($AA103="해당없음",0,IF($AA103="일반항목",ROUND(M103*$AE$69*$N$12,1), ROUND(M103*$N$12,1))))</f>
        <v>0.2</v>
      </c>
      <c r="V103" s="1639"/>
      <c r="W103" s="1639">
        <f>IF($AA103="중점항목",ROUND(O103*$AE$70*$P$12,1),IF($AA103="해당없음",0,IF($AA103="일반항목",ROUND(O103*$AE$69*$P$12,1),O103*$P$12)))</f>
        <v>0.5</v>
      </c>
      <c r="X103" s="1639"/>
      <c r="Y103" s="1639">
        <f>IF($AA103="중점항목",ROUND(Q103*$AE$70*$R$12,1),IF($AA103="해당없음",0,IF($AA103="일반항목",ROUND(Q103*$AE$69*$R$12,1),Q103*$R$12)))</f>
        <v>0.9</v>
      </c>
      <c r="Z103" s="1640"/>
      <c r="AA103" s="1591" t="s">
        <v>1192</v>
      </c>
      <c r="AB103" s="1592"/>
      <c r="AC103" s="1588"/>
      <c r="AD103" s="1589"/>
      <c r="AE103" s="1589"/>
      <c r="AF103" s="1590"/>
    </row>
    <row r="104" spans="4:32" s="587" customFormat="1">
      <c r="D104" s="1585" t="s">
        <v>1200</v>
      </c>
      <c r="E104" s="1586"/>
      <c r="F104" s="1586"/>
      <c r="G104" s="1586"/>
      <c r="H104" s="1586"/>
      <c r="I104" s="1586"/>
      <c r="J104" s="1587"/>
      <c r="K104" s="1641">
        <v>0</v>
      </c>
      <c r="L104" s="1642"/>
      <c r="M104" s="1642">
        <v>0.5</v>
      </c>
      <c r="N104" s="1642"/>
      <c r="O104" s="1642">
        <v>1</v>
      </c>
      <c r="P104" s="1642"/>
      <c r="Q104" s="1642">
        <v>1</v>
      </c>
      <c r="R104" s="1643"/>
      <c r="S104" s="1641">
        <f>IF($AA104="중점항목",ROUND(K104*$AE$70*$L$12,1),IF($AA104="해당없음",0,IF($AA104="일반항목",ROUND(K104*$AE$69*$L$12,1), ROUND(K104*$L$12,1))))</f>
        <v>0</v>
      </c>
      <c r="T104" s="1642"/>
      <c r="U104" s="1642">
        <f>IF($AA104="중점항목",ROUND(M104*$AE$70*$N$12,1),IF($AA104="해당없음",0,IF($AA104="일반항목",ROUND(M104*$AE$69*$N$12,1), ROUND(M104*$N$12,1))))</f>
        <v>0.2</v>
      </c>
      <c r="V104" s="1642"/>
      <c r="W104" s="1642">
        <f>IF($AA104="중점항목",ROUND(O104*$AE$70*$P$12,1),IF($AA104="해당없음",0,IF($AA104="일반항목",ROUND(O104*$AE$69*$P$12,1),O104*$P$12)))</f>
        <v>0.5</v>
      </c>
      <c r="X104" s="1642"/>
      <c r="Y104" s="1642">
        <f>IF($AA104="중점항목",ROUND(Q104*$AE$70*$R$12,1),IF($AA104="해당없음",0,IF($AA104="일반항목",ROUND(Q104*$AE$69*$R$12,1),Q104*$R$12)))</f>
        <v>0.5</v>
      </c>
      <c r="Z104" s="1643"/>
      <c r="AA104" s="1591" t="s">
        <v>1192</v>
      </c>
      <c r="AB104" s="1592"/>
      <c r="AC104" s="1593"/>
      <c r="AD104" s="1594"/>
      <c r="AE104" s="1594"/>
      <c r="AF104" s="1595"/>
    </row>
    <row r="105" spans="4:32" s="587" customFormat="1">
      <c r="D105" s="1579" t="s">
        <v>1229</v>
      </c>
      <c r="E105" s="1580"/>
      <c r="F105" s="1580"/>
      <c r="G105" s="1580"/>
      <c r="H105" s="1580"/>
      <c r="I105" s="1580"/>
      <c r="J105" s="1581"/>
      <c r="K105" s="1574">
        <f>SUM(K69:L72,K103:L104)</f>
        <v>27.2</v>
      </c>
      <c r="L105" s="1575"/>
      <c r="M105" s="1575">
        <f>SUM(M69:N72,M103:N104)</f>
        <v>66.099999999999994</v>
      </c>
      <c r="N105" s="1575"/>
      <c r="O105" s="1575">
        <f>SUM(O69:P72,O103:P104)</f>
        <v>88.8</v>
      </c>
      <c r="P105" s="1575"/>
      <c r="Q105" s="1575">
        <f>SUM(Q69:R72,Q103:R104)</f>
        <v>38.6</v>
      </c>
      <c r="R105" s="1664"/>
      <c r="S105" s="1574">
        <f>SUM(S69:T72,S103:T104)</f>
        <v>6.6</v>
      </c>
      <c r="T105" s="1575"/>
      <c r="U105" s="1575">
        <f>SUM(U69:V72,U103:V104)</f>
        <v>15.299999999999999</v>
      </c>
      <c r="V105" s="1575"/>
      <c r="W105" s="1575">
        <f>SUM(W69:X72,W103:X104)</f>
        <v>26.300000000000004</v>
      </c>
      <c r="X105" s="1575"/>
      <c r="Y105" s="1575">
        <f>SUM(Y69:Z72,Y103:Z104)</f>
        <v>13.299999999999999</v>
      </c>
      <c r="Z105" s="1664"/>
      <c r="AA105" s="1596"/>
      <c r="AB105" s="1597"/>
      <c r="AC105" s="1598"/>
      <c r="AD105" s="1528"/>
      <c r="AE105" s="1528"/>
      <c r="AF105" s="1529"/>
    </row>
    <row r="106" spans="4:32" s="552" customFormat="1">
      <c r="D106" s="551" t="str">
        <f>"※ 항목별 예측평가 및 저감방안 산정 = 소요인력 산정기준 × 할증표 적용요율 × 항목별 적용률(중점 " &amp; AE70*100 &amp; "%, 일반 " &amp; AE69*100 &amp; "%)"</f>
        <v>※ 항목별 예측평가 및 저감방안 산정 = 소요인력 산정기준 × 할증표 적용요율 × 항목별 적용률(중점 100%, 일반 40%)</v>
      </c>
      <c r="E106" s="551"/>
      <c r="F106" s="551"/>
      <c r="G106" s="551"/>
      <c r="H106" s="551"/>
      <c r="I106" s="551"/>
      <c r="K106" s="551"/>
      <c r="M106" s="553"/>
      <c r="N106" s="554"/>
      <c r="O106" s="553"/>
      <c r="P106" s="555"/>
      <c r="Q106" s="551"/>
      <c r="R106" s="555"/>
      <c r="S106" s="555"/>
      <c r="T106" s="556"/>
      <c r="W106" s="557"/>
    </row>
    <row r="107" spans="4:32" s="552" customFormat="1">
      <c r="D107" s="551"/>
      <c r="E107" s="551"/>
      <c r="F107" s="551"/>
      <c r="G107" s="551"/>
      <c r="H107" s="551"/>
      <c r="I107" s="551"/>
      <c r="K107" s="551"/>
      <c r="M107" s="553"/>
      <c r="N107" s="554"/>
      <c r="O107" s="553"/>
      <c r="P107" s="555"/>
      <c r="Q107" s="551"/>
      <c r="R107" s="555"/>
      <c r="S107" s="555"/>
      <c r="T107" s="556"/>
      <c r="W107" s="557"/>
    </row>
    <row r="108" spans="4:32">
      <c r="D108" s="558"/>
      <c r="H108" s="599"/>
      <c r="I108" s="560"/>
      <c r="L108" s="559"/>
      <c r="M108" s="560"/>
      <c r="O108" s="561"/>
      <c r="P108" s="562"/>
      <c r="Q108" s="562"/>
      <c r="R108" s="562"/>
      <c r="S108" s="562"/>
      <c r="T108" s="563"/>
      <c r="U108" s="564"/>
      <c r="V108" s="564"/>
      <c r="W108" s="565"/>
      <c r="X108" s="565"/>
      <c r="Y108" s="565"/>
      <c r="Z108" s="565"/>
      <c r="AA108" s="566"/>
      <c r="AB108" s="565"/>
    </row>
    <row r="109" spans="4:32">
      <c r="D109" s="567"/>
      <c r="K109" s="559"/>
      <c r="S109" s="569"/>
      <c r="T109" s="570"/>
      <c r="U109" s="570"/>
      <c r="V109" s="570"/>
      <c r="W109" s="570"/>
      <c r="X109" s="570"/>
      <c r="Y109" s="570"/>
      <c r="Z109" s="570"/>
      <c r="AA109" s="570"/>
      <c r="AB109" s="571"/>
      <c r="AC109" s="571"/>
      <c r="AD109" s="571"/>
      <c r="AE109" s="571"/>
      <c r="AF109" s="571"/>
    </row>
    <row r="110" spans="4:32">
      <c r="D110" s="572"/>
      <c r="J110" s="618"/>
      <c r="K110" s="559"/>
      <c r="U110" s="571"/>
      <c r="V110" s="571"/>
      <c r="W110" s="571"/>
      <c r="X110" s="571"/>
      <c r="Y110" s="571"/>
      <c r="Z110" s="571"/>
      <c r="AA110" s="571"/>
      <c r="AC110" s="571"/>
      <c r="AD110" s="571"/>
      <c r="AE110" s="571"/>
      <c r="AF110" s="571"/>
    </row>
    <row r="111" spans="4:32">
      <c r="L111" s="561"/>
      <c r="M111" s="561"/>
      <c r="N111" s="561"/>
      <c r="O111" s="561"/>
      <c r="R111" s="562"/>
      <c r="S111" s="562"/>
      <c r="T111" s="563"/>
      <c r="U111" s="564"/>
      <c r="V111" s="564"/>
      <c r="W111" s="565"/>
      <c r="X111" s="565"/>
      <c r="Y111" s="565"/>
      <c r="Z111" s="565"/>
      <c r="AA111" s="566"/>
      <c r="AB111" s="565"/>
      <c r="AC111" s="565"/>
      <c r="AD111" s="565"/>
      <c r="AE111" s="565"/>
    </row>
  </sheetData>
  <mergeCells count="838">
    <mergeCell ref="J31:K31"/>
    <mergeCell ref="L31:M31"/>
    <mergeCell ref="H34:I34"/>
    <mergeCell ref="F34:G34"/>
    <mergeCell ref="H21:I21"/>
    <mergeCell ref="J30:K30"/>
    <mergeCell ref="L30:M30"/>
    <mergeCell ref="N30:O30"/>
    <mergeCell ref="H22:I22"/>
    <mergeCell ref="H23:I23"/>
    <mergeCell ref="J25:K25"/>
    <mergeCell ref="L25:M25"/>
    <mergeCell ref="N25:O25"/>
    <mergeCell ref="H24:I24"/>
    <mergeCell ref="N28:O28"/>
    <mergeCell ref="L29:M29"/>
    <mergeCell ref="N29:O29"/>
    <mergeCell ref="N23:O23"/>
    <mergeCell ref="J24:K24"/>
    <mergeCell ref="J21:K21"/>
    <mergeCell ref="L21:M21"/>
    <mergeCell ref="N21:O21"/>
    <mergeCell ref="L24:M24"/>
    <mergeCell ref="H25:I25"/>
    <mergeCell ref="H35:I35"/>
    <mergeCell ref="J32:K32"/>
    <mergeCell ref="L32:M32"/>
    <mergeCell ref="N32:O32"/>
    <mergeCell ref="J33:K33"/>
    <mergeCell ref="L33:M33"/>
    <mergeCell ref="N33:O33"/>
    <mergeCell ref="H32:I32"/>
    <mergeCell ref="H33:I33"/>
    <mergeCell ref="J34:K34"/>
    <mergeCell ref="L34:M34"/>
    <mergeCell ref="N34:O34"/>
    <mergeCell ref="J35:K35"/>
    <mergeCell ref="L35:M35"/>
    <mergeCell ref="N35:O35"/>
    <mergeCell ref="F35:G35"/>
    <mergeCell ref="E19:G19"/>
    <mergeCell ref="F22:G22"/>
    <mergeCell ref="F23:G23"/>
    <mergeCell ref="F24:G24"/>
    <mergeCell ref="F25:G25"/>
    <mergeCell ref="F26:G26"/>
    <mergeCell ref="F27:G27"/>
    <mergeCell ref="F32:G32"/>
    <mergeCell ref="F28:G28"/>
    <mergeCell ref="F29:G29"/>
    <mergeCell ref="F30:G30"/>
    <mergeCell ref="F31:G31"/>
    <mergeCell ref="F20:G20"/>
    <mergeCell ref="F21:G21"/>
    <mergeCell ref="H19:I19"/>
    <mergeCell ref="J19:K19"/>
    <mergeCell ref="L19:M19"/>
    <mergeCell ref="N19:O19"/>
    <mergeCell ref="J20:K20"/>
    <mergeCell ref="L20:M20"/>
    <mergeCell ref="N20:O20"/>
    <mergeCell ref="H20:I20"/>
    <mergeCell ref="F33:G33"/>
    <mergeCell ref="J22:K22"/>
    <mergeCell ref="L22:M22"/>
    <mergeCell ref="N22:O22"/>
    <mergeCell ref="J23:K23"/>
    <mergeCell ref="L23:M23"/>
    <mergeCell ref="N24:O24"/>
    <mergeCell ref="J26:K26"/>
    <mergeCell ref="L26:M26"/>
    <mergeCell ref="N26:O26"/>
    <mergeCell ref="J27:K27"/>
    <mergeCell ref="N31:O31"/>
    <mergeCell ref="N27:O27"/>
    <mergeCell ref="H30:I30"/>
    <mergeCell ref="J29:K29"/>
    <mergeCell ref="H31:I31"/>
    <mergeCell ref="H26:I26"/>
    <mergeCell ref="H27:I27"/>
    <mergeCell ref="H28:I28"/>
    <mergeCell ref="H29:I29"/>
    <mergeCell ref="L27:M27"/>
    <mergeCell ref="J28:K28"/>
    <mergeCell ref="L28:M28"/>
    <mergeCell ref="U21:V21"/>
    <mergeCell ref="W21:X21"/>
    <mergeCell ref="Q22:R22"/>
    <mergeCell ref="S22:T22"/>
    <mergeCell ref="U22:V22"/>
    <mergeCell ref="W22:X22"/>
    <mergeCell ref="S21:T21"/>
    <mergeCell ref="Q21:R21"/>
    <mergeCell ref="Q26:R26"/>
    <mergeCell ref="S26:T26"/>
    <mergeCell ref="U26:V26"/>
    <mergeCell ref="W26:X26"/>
    <mergeCell ref="S27:T27"/>
    <mergeCell ref="U27:V27"/>
    <mergeCell ref="W27:X27"/>
    <mergeCell ref="Q28:R28"/>
    <mergeCell ref="S28:T28"/>
    <mergeCell ref="S19:T19"/>
    <mergeCell ref="U19:V19"/>
    <mergeCell ref="W19:X19"/>
    <mergeCell ref="Q20:R20"/>
    <mergeCell ref="S20:T20"/>
    <mergeCell ref="U20:V20"/>
    <mergeCell ref="W20:X20"/>
    <mergeCell ref="Q19:R19"/>
    <mergeCell ref="S25:T25"/>
    <mergeCell ref="U25:V25"/>
    <mergeCell ref="W25:X25"/>
    <mergeCell ref="Q25:R25"/>
    <mergeCell ref="S23:T23"/>
    <mergeCell ref="U23:V23"/>
    <mergeCell ref="W23:X23"/>
    <mergeCell ref="Q24:R24"/>
    <mergeCell ref="S24:T24"/>
    <mergeCell ref="U24:V24"/>
    <mergeCell ref="W24:X24"/>
    <mergeCell ref="Q23:R23"/>
    <mergeCell ref="U28:V28"/>
    <mergeCell ref="W28:X28"/>
    <mergeCell ref="Q27:R27"/>
    <mergeCell ref="W32:X32"/>
    <mergeCell ref="Q32:R32"/>
    <mergeCell ref="S32:T32"/>
    <mergeCell ref="S34:T34"/>
    <mergeCell ref="U34:V34"/>
    <mergeCell ref="W34:X34"/>
    <mergeCell ref="Q49:R49"/>
    <mergeCell ref="Q35:R35"/>
    <mergeCell ref="S35:T35"/>
    <mergeCell ref="U35:V35"/>
    <mergeCell ref="W35:X35"/>
    <mergeCell ref="W29:X29"/>
    <mergeCell ref="Q30:R30"/>
    <mergeCell ref="S30:T30"/>
    <mergeCell ref="U30:V30"/>
    <mergeCell ref="W30:X30"/>
    <mergeCell ref="Q33:R33"/>
    <mergeCell ref="S33:T33"/>
    <mergeCell ref="U33:V33"/>
    <mergeCell ref="W33:X33"/>
    <mergeCell ref="U31:V31"/>
    <mergeCell ref="Q31:R31"/>
    <mergeCell ref="S31:T31"/>
    <mergeCell ref="Q29:R29"/>
    <mergeCell ref="S29:T29"/>
    <mergeCell ref="U29:V29"/>
    <mergeCell ref="W31:X31"/>
    <mergeCell ref="U32:V32"/>
    <mergeCell ref="Q34:R34"/>
    <mergeCell ref="S45:T45"/>
    <mergeCell ref="M49:N49"/>
    <mergeCell ref="M50:N50"/>
    <mergeCell ref="K45:L45"/>
    <mergeCell ref="K46:L46"/>
    <mergeCell ref="K47:L47"/>
    <mergeCell ref="K48:L48"/>
    <mergeCell ref="K49:L49"/>
    <mergeCell ref="K50:L50"/>
    <mergeCell ref="O49:P49"/>
    <mergeCell ref="O61:P61"/>
    <mergeCell ref="Q57:R57"/>
    <mergeCell ref="S43:Z43"/>
    <mergeCell ref="K44:L44"/>
    <mergeCell ref="M44:N44"/>
    <mergeCell ref="O44:P44"/>
    <mergeCell ref="Q44:R44"/>
    <mergeCell ref="S44:T44"/>
    <mergeCell ref="U44:V44"/>
    <mergeCell ref="W44:X44"/>
    <mergeCell ref="Y44:Z44"/>
    <mergeCell ref="M51:N51"/>
    <mergeCell ref="K43:R43"/>
    <mergeCell ref="Q45:R45"/>
    <mergeCell ref="O46:P46"/>
    <mergeCell ref="Q46:R46"/>
    <mergeCell ref="O47:P47"/>
    <mergeCell ref="Q47:R47"/>
    <mergeCell ref="O48:P48"/>
    <mergeCell ref="Q48:R48"/>
    <mergeCell ref="M45:N45"/>
    <mergeCell ref="M46:N46"/>
    <mergeCell ref="M47:N47"/>
    <mergeCell ref="M48:N48"/>
    <mergeCell ref="Q62:R62"/>
    <mergeCell ref="M60:N60"/>
    <mergeCell ref="O50:P50"/>
    <mergeCell ref="Q50:R50"/>
    <mergeCell ref="M58:N58"/>
    <mergeCell ref="M59:N59"/>
    <mergeCell ref="O45:P45"/>
    <mergeCell ref="Q63:R63"/>
    <mergeCell ref="Q61:R61"/>
    <mergeCell ref="O53:P53"/>
    <mergeCell ref="O57:P57"/>
    <mergeCell ref="M52:N52"/>
    <mergeCell ref="M53:N53"/>
    <mergeCell ref="M54:N54"/>
    <mergeCell ref="M55:N55"/>
    <mergeCell ref="M56:N56"/>
    <mergeCell ref="M57:N57"/>
    <mergeCell ref="O62:P62"/>
    <mergeCell ref="O51:P51"/>
    <mergeCell ref="Q51:R51"/>
    <mergeCell ref="O52:P52"/>
    <mergeCell ref="Q52:R52"/>
    <mergeCell ref="M61:N61"/>
    <mergeCell ref="M62:N62"/>
    <mergeCell ref="D62:J62"/>
    <mergeCell ref="D63:J63"/>
    <mergeCell ref="K104:L104"/>
    <mergeCell ref="K86:L86"/>
    <mergeCell ref="D69:J69"/>
    <mergeCell ref="D70:J70"/>
    <mergeCell ref="D71:J71"/>
    <mergeCell ref="K59:L59"/>
    <mergeCell ref="K60:L60"/>
    <mergeCell ref="K61:L61"/>
    <mergeCell ref="K62:L62"/>
    <mergeCell ref="K67:R67"/>
    <mergeCell ref="Q70:R70"/>
    <mergeCell ref="Q81:R81"/>
    <mergeCell ref="Q69:R69"/>
    <mergeCell ref="O59:P59"/>
    <mergeCell ref="Q59:R59"/>
    <mergeCell ref="O60:P60"/>
    <mergeCell ref="Q60:R60"/>
    <mergeCell ref="M69:N69"/>
    <mergeCell ref="O69:P69"/>
    <mergeCell ref="K63:L63"/>
    <mergeCell ref="M63:N63"/>
    <mergeCell ref="K87:L87"/>
    <mergeCell ref="O58:P58"/>
    <mergeCell ref="Q58:R58"/>
    <mergeCell ref="Q53:R53"/>
    <mergeCell ref="O54:P54"/>
    <mergeCell ref="Q54:R54"/>
    <mergeCell ref="O55:P55"/>
    <mergeCell ref="Q55:R55"/>
    <mergeCell ref="O56:P56"/>
    <mergeCell ref="Q56:R56"/>
    <mergeCell ref="K68:L68"/>
    <mergeCell ref="M68:N68"/>
    <mergeCell ref="O68:P68"/>
    <mergeCell ref="Q68:R68"/>
    <mergeCell ref="D80:J80"/>
    <mergeCell ref="D81:J81"/>
    <mergeCell ref="O74:P74"/>
    <mergeCell ref="Q74:R74"/>
    <mergeCell ref="D78:J78"/>
    <mergeCell ref="D79:J79"/>
    <mergeCell ref="D72:J72"/>
    <mergeCell ref="D73:J73"/>
    <mergeCell ref="D74:J74"/>
    <mergeCell ref="D75:J75"/>
    <mergeCell ref="D76:J76"/>
    <mergeCell ref="D77:J77"/>
    <mergeCell ref="D67:J68"/>
    <mergeCell ref="K69:L69"/>
    <mergeCell ref="M76:N76"/>
    <mergeCell ref="O76:P76"/>
    <mergeCell ref="K101:L101"/>
    <mergeCell ref="K102:L102"/>
    <mergeCell ref="Q96:R96"/>
    <mergeCell ref="M99:N99"/>
    <mergeCell ref="M97:N97"/>
    <mergeCell ref="M98:N98"/>
    <mergeCell ref="M95:N95"/>
    <mergeCell ref="O100:P100"/>
    <mergeCell ref="Q100:R100"/>
    <mergeCell ref="O99:P99"/>
    <mergeCell ref="Q99:R99"/>
    <mergeCell ref="M100:N100"/>
    <mergeCell ref="W72:X72"/>
    <mergeCell ref="O71:P71"/>
    <mergeCell ref="Q71:R71"/>
    <mergeCell ref="M74:N74"/>
    <mergeCell ref="K95:L95"/>
    <mergeCell ref="K96:L96"/>
    <mergeCell ref="K99:L99"/>
    <mergeCell ref="K97:L97"/>
    <mergeCell ref="K100:L100"/>
    <mergeCell ref="K82:L82"/>
    <mergeCell ref="K83:L83"/>
    <mergeCell ref="K84:L84"/>
    <mergeCell ref="K85:L85"/>
    <mergeCell ref="W71:X71"/>
    <mergeCell ref="O73:P73"/>
    <mergeCell ref="Q73:R73"/>
    <mergeCell ref="S73:T73"/>
    <mergeCell ref="U73:V73"/>
    <mergeCell ref="W73:X73"/>
    <mergeCell ref="M75:N75"/>
    <mergeCell ref="O75:P75"/>
    <mergeCell ref="M78:N78"/>
    <mergeCell ref="O78:P78"/>
    <mergeCell ref="Q78:R78"/>
    <mergeCell ref="Y71:Z71"/>
    <mergeCell ref="Y72:Z72"/>
    <mergeCell ref="M72:N72"/>
    <mergeCell ref="K103:L103"/>
    <mergeCell ref="K98:L98"/>
    <mergeCell ref="S70:T70"/>
    <mergeCell ref="U70:V70"/>
    <mergeCell ref="W70:X70"/>
    <mergeCell ref="Y70:Z70"/>
    <mergeCell ref="K81:L81"/>
    <mergeCell ref="K73:L73"/>
    <mergeCell ref="K74:L74"/>
    <mergeCell ref="K75:L75"/>
    <mergeCell ref="M71:N71"/>
    <mergeCell ref="M70:N70"/>
    <mergeCell ref="K70:L70"/>
    <mergeCell ref="K71:L71"/>
    <mergeCell ref="K72:L72"/>
    <mergeCell ref="O70:P70"/>
    <mergeCell ref="O72:P72"/>
    <mergeCell ref="Q72:R72"/>
    <mergeCell ref="S72:T72"/>
    <mergeCell ref="U72:V72"/>
    <mergeCell ref="M73:N73"/>
    <mergeCell ref="Y73:Z73"/>
    <mergeCell ref="S74:T74"/>
    <mergeCell ref="U74:V74"/>
    <mergeCell ref="W74:X74"/>
    <mergeCell ref="Y74:Z74"/>
    <mergeCell ref="Q76:R76"/>
    <mergeCell ref="S76:T76"/>
    <mergeCell ref="U76:V76"/>
    <mergeCell ref="W76:X76"/>
    <mergeCell ref="Y76:Z76"/>
    <mergeCell ref="Q75:R75"/>
    <mergeCell ref="S75:T75"/>
    <mergeCell ref="U75:V75"/>
    <mergeCell ref="W75:X75"/>
    <mergeCell ref="Y75:Z75"/>
    <mergeCell ref="W78:X78"/>
    <mergeCell ref="Y78:Z78"/>
    <mergeCell ref="M77:N77"/>
    <mergeCell ref="O77:P77"/>
    <mergeCell ref="Q77:R77"/>
    <mergeCell ref="S77:T77"/>
    <mergeCell ref="U77:V77"/>
    <mergeCell ref="W77:X77"/>
    <mergeCell ref="Y77:Z77"/>
    <mergeCell ref="W81:X81"/>
    <mergeCell ref="Y81:Z81"/>
    <mergeCell ref="Y79:Z79"/>
    <mergeCell ref="M80:N80"/>
    <mergeCell ref="O80:P80"/>
    <mergeCell ref="Q80:R80"/>
    <mergeCell ref="S80:T80"/>
    <mergeCell ref="U80:V80"/>
    <mergeCell ref="W80:X80"/>
    <mergeCell ref="Y80:Z80"/>
    <mergeCell ref="M79:N79"/>
    <mergeCell ref="O79:P79"/>
    <mergeCell ref="Q79:R79"/>
    <mergeCell ref="S79:T79"/>
    <mergeCell ref="U79:V79"/>
    <mergeCell ref="W79:X79"/>
    <mergeCell ref="M81:N81"/>
    <mergeCell ref="O83:P83"/>
    <mergeCell ref="Q83:R83"/>
    <mergeCell ref="S83:T83"/>
    <mergeCell ref="U83:V83"/>
    <mergeCell ref="W83:X83"/>
    <mergeCell ref="Y83:Z83"/>
    <mergeCell ref="M82:N82"/>
    <mergeCell ref="O82:P82"/>
    <mergeCell ref="Q82:R82"/>
    <mergeCell ref="S82:T82"/>
    <mergeCell ref="U82:V82"/>
    <mergeCell ref="W82:X82"/>
    <mergeCell ref="M83:N83"/>
    <mergeCell ref="Y82:Z82"/>
    <mergeCell ref="O85:P85"/>
    <mergeCell ref="Q85:R85"/>
    <mergeCell ref="S85:T85"/>
    <mergeCell ref="U85:V85"/>
    <mergeCell ref="W85:X85"/>
    <mergeCell ref="Y85:Z85"/>
    <mergeCell ref="M84:N84"/>
    <mergeCell ref="O84:P84"/>
    <mergeCell ref="Q84:R84"/>
    <mergeCell ref="S84:T84"/>
    <mergeCell ref="U84:V84"/>
    <mergeCell ref="W84:X84"/>
    <mergeCell ref="M85:N85"/>
    <mergeCell ref="Y84:Z84"/>
    <mergeCell ref="O87:P87"/>
    <mergeCell ref="Q87:R87"/>
    <mergeCell ref="S87:T87"/>
    <mergeCell ref="U87:V87"/>
    <mergeCell ref="W87:X87"/>
    <mergeCell ref="Y87:Z87"/>
    <mergeCell ref="M86:N86"/>
    <mergeCell ref="O86:P86"/>
    <mergeCell ref="Q86:R86"/>
    <mergeCell ref="S86:T86"/>
    <mergeCell ref="U86:V86"/>
    <mergeCell ref="W86:X86"/>
    <mergeCell ref="M87:N87"/>
    <mergeCell ref="Y86:Z86"/>
    <mergeCell ref="O89:P89"/>
    <mergeCell ref="Q89:R89"/>
    <mergeCell ref="S89:T89"/>
    <mergeCell ref="U89:V89"/>
    <mergeCell ref="W89:X89"/>
    <mergeCell ref="Y89:Z89"/>
    <mergeCell ref="M88:N88"/>
    <mergeCell ref="O88:P88"/>
    <mergeCell ref="Q88:R88"/>
    <mergeCell ref="S88:T88"/>
    <mergeCell ref="U88:V88"/>
    <mergeCell ref="W88:X88"/>
    <mergeCell ref="M89:N89"/>
    <mergeCell ref="O91:P91"/>
    <mergeCell ref="Q91:R91"/>
    <mergeCell ref="S91:T91"/>
    <mergeCell ref="U91:V91"/>
    <mergeCell ref="W91:X91"/>
    <mergeCell ref="Y91:Z91"/>
    <mergeCell ref="M90:N90"/>
    <mergeCell ref="O90:P90"/>
    <mergeCell ref="Q90:R90"/>
    <mergeCell ref="S90:T90"/>
    <mergeCell ref="U90:V90"/>
    <mergeCell ref="W90:X90"/>
    <mergeCell ref="M91:N91"/>
    <mergeCell ref="M92:N92"/>
    <mergeCell ref="O92:P92"/>
    <mergeCell ref="Q92:R92"/>
    <mergeCell ref="S92:T92"/>
    <mergeCell ref="U92:V92"/>
    <mergeCell ref="W92:X92"/>
    <mergeCell ref="O94:P94"/>
    <mergeCell ref="Q94:R94"/>
    <mergeCell ref="S94:T94"/>
    <mergeCell ref="U94:V94"/>
    <mergeCell ref="W94:X94"/>
    <mergeCell ref="M93:N93"/>
    <mergeCell ref="M94:N94"/>
    <mergeCell ref="W98:X98"/>
    <mergeCell ref="Y92:Z92"/>
    <mergeCell ref="O93:P93"/>
    <mergeCell ref="Q93:R93"/>
    <mergeCell ref="S93:T93"/>
    <mergeCell ref="U93:V93"/>
    <mergeCell ref="W93:X93"/>
    <mergeCell ref="Y93:Z93"/>
    <mergeCell ref="Y94:Z94"/>
    <mergeCell ref="S97:T97"/>
    <mergeCell ref="U97:V97"/>
    <mergeCell ref="O97:P97"/>
    <mergeCell ref="Q97:R97"/>
    <mergeCell ref="W99:X99"/>
    <mergeCell ref="W96:X96"/>
    <mergeCell ref="O98:P98"/>
    <mergeCell ref="Q98:R98"/>
    <mergeCell ref="Y97:Z97"/>
    <mergeCell ref="Y103:Z103"/>
    <mergeCell ref="AA63:AB63"/>
    <mergeCell ref="Y99:Z99"/>
    <mergeCell ref="W63:X63"/>
    <mergeCell ref="Y63:Z63"/>
    <mergeCell ref="AA74:AB74"/>
    <mergeCell ref="AA79:AB79"/>
    <mergeCell ref="AA85:AB85"/>
    <mergeCell ref="AA91:AB91"/>
    <mergeCell ref="AA97:AB97"/>
    <mergeCell ref="AA103:AB103"/>
    <mergeCell ref="W95:X95"/>
    <mergeCell ref="Y95:Z95"/>
    <mergeCell ref="W100:X100"/>
    <mergeCell ref="Y96:Z96"/>
    <mergeCell ref="Y90:Z90"/>
    <mergeCell ref="Y88:Z88"/>
    <mergeCell ref="S98:T98"/>
    <mergeCell ref="U98:V98"/>
    <mergeCell ref="O105:P105"/>
    <mergeCell ref="Q105:R105"/>
    <mergeCell ref="S105:T105"/>
    <mergeCell ref="U105:V105"/>
    <mergeCell ref="O101:P101"/>
    <mergeCell ref="Q101:R101"/>
    <mergeCell ref="S101:T101"/>
    <mergeCell ref="U101:V101"/>
    <mergeCell ref="M101:N101"/>
    <mergeCell ref="S46:T46"/>
    <mergeCell ref="S47:T47"/>
    <mergeCell ref="S48:T48"/>
    <mergeCell ref="S49:T49"/>
    <mergeCell ref="S50:T50"/>
    <mergeCell ref="U60:V60"/>
    <mergeCell ref="S63:T63"/>
    <mergeCell ref="U95:V95"/>
    <mergeCell ref="S100:T100"/>
    <mergeCell ref="U100:V100"/>
    <mergeCell ref="U63:V63"/>
    <mergeCell ref="S99:T99"/>
    <mergeCell ref="U99:V99"/>
    <mergeCell ref="S81:T81"/>
    <mergeCell ref="U81:V81"/>
    <mergeCell ref="S71:T71"/>
    <mergeCell ref="U71:V71"/>
    <mergeCell ref="S78:T78"/>
    <mergeCell ref="U78:V78"/>
    <mergeCell ref="O63:P63"/>
    <mergeCell ref="O81:P81"/>
    <mergeCell ref="M96:N96"/>
    <mergeCell ref="O96:P96"/>
    <mergeCell ref="W105:X105"/>
    <mergeCell ref="Y105:Z105"/>
    <mergeCell ref="M102:N102"/>
    <mergeCell ref="O102:P102"/>
    <mergeCell ref="Q102:R102"/>
    <mergeCell ref="S102:T102"/>
    <mergeCell ref="U102:V102"/>
    <mergeCell ref="W102:X102"/>
    <mergeCell ref="Q103:R103"/>
    <mergeCell ref="S103:T103"/>
    <mergeCell ref="Y104:Z104"/>
    <mergeCell ref="M103:N103"/>
    <mergeCell ref="O103:P103"/>
    <mergeCell ref="S96:T96"/>
    <mergeCell ref="U96:V96"/>
    <mergeCell ref="O95:P95"/>
    <mergeCell ref="Q95:R95"/>
    <mergeCell ref="S95:T95"/>
    <mergeCell ref="W97:X97"/>
    <mergeCell ref="M105:N105"/>
    <mergeCell ref="AA53:AB53"/>
    <mergeCell ref="AA54:AB54"/>
    <mergeCell ref="AA55:AB55"/>
    <mergeCell ref="AA56:AB56"/>
    <mergeCell ref="AA57:AB57"/>
    <mergeCell ref="AA58:AB58"/>
    <mergeCell ref="M104:N104"/>
    <mergeCell ref="O104:P104"/>
    <mergeCell ref="Q104:R104"/>
    <mergeCell ref="S104:T104"/>
    <mergeCell ref="U104:V104"/>
    <mergeCell ref="W104:X104"/>
    <mergeCell ref="U103:V103"/>
    <mergeCell ref="W103:X103"/>
    <mergeCell ref="Y102:Z102"/>
    <mergeCell ref="AA62:AB62"/>
    <mergeCell ref="Y100:Z100"/>
    <mergeCell ref="W101:X101"/>
    <mergeCell ref="Y101:Z101"/>
    <mergeCell ref="Y98:Z98"/>
    <mergeCell ref="AA60:AB60"/>
    <mergeCell ref="AA61:AB61"/>
    <mergeCell ref="AA59:AB59"/>
    <mergeCell ref="S60:T60"/>
    <mergeCell ref="AA43:AB44"/>
    <mergeCell ref="AA45:AB45"/>
    <mergeCell ref="AA46:AB46"/>
    <mergeCell ref="AA47:AB47"/>
    <mergeCell ref="AA48:AB48"/>
    <mergeCell ref="AA49:AB49"/>
    <mergeCell ref="AA50:AB50"/>
    <mergeCell ref="U45:V45"/>
    <mergeCell ref="W45:X45"/>
    <mergeCell ref="Y45:Z45"/>
    <mergeCell ref="U46:V46"/>
    <mergeCell ref="W46:X46"/>
    <mergeCell ref="Y46:Z46"/>
    <mergeCell ref="U47:V47"/>
    <mergeCell ref="W47:X47"/>
    <mergeCell ref="Y47:Z47"/>
    <mergeCell ref="U48:V48"/>
    <mergeCell ref="W48:X48"/>
    <mergeCell ref="Y48:Z48"/>
    <mergeCell ref="U49:V49"/>
    <mergeCell ref="W49:X49"/>
    <mergeCell ref="Y49:Z49"/>
    <mergeCell ref="U50:V50"/>
    <mergeCell ref="W50:X50"/>
    <mergeCell ref="AA51:AB51"/>
    <mergeCell ref="AA52:AB52"/>
    <mergeCell ref="S51:T51"/>
    <mergeCell ref="U51:V51"/>
    <mergeCell ref="W51:X51"/>
    <mergeCell ref="Y51:Z51"/>
    <mergeCell ref="S52:T52"/>
    <mergeCell ref="U52:V52"/>
    <mergeCell ref="W52:X52"/>
    <mergeCell ref="Y52:Z52"/>
    <mergeCell ref="W57:X57"/>
    <mergeCell ref="Y57:Z57"/>
    <mergeCell ref="S58:T58"/>
    <mergeCell ref="U58:V58"/>
    <mergeCell ref="W58:X58"/>
    <mergeCell ref="Y58:Z58"/>
    <mergeCell ref="Y50:Z50"/>
    <mergeCell ref="S55:T55"/>
    <mergeCell ref="U55:V55"/>
    <mergeCell ref="W55:X55"/>
    <mergeCell ref="Y55:Z55"/>
    <mergeCell ref="S56:T56"/>
    <mergeCell ref="U56:V56"/>
    <mergeCell ref="W56:X56"/>
    <mergeCell ref="Y56:Z56"/>
    <mergeCell ref="S53:T53"/>
    <mergeCell ref="U53:V53"/>
    <mergeCell ref="W53:X53"/>
    <mergeCell ref="Y53:Z53"/>
    <mergeCell ref="S54:T54"/>
    <mergeCell ref="U54:V54"/>
    <mergeCell ref="W54:X54"/>
    <mergeCell ref="Y54:Z54"/>
    <mergeCell ref="AC50:AF50"/>
    <mergeCell ref="AC51:AF51"/>
    <mergeCell ref="AC52:AF52"/>
    <mergeCell ref="AC53:AF53"/>
    <mergeCell ref="AC54:AF54"/>
    <mergeCell ref="AC55:AF55"/>
    <mergeCell ref="AC43:AF44"/>
    <mergeCell ref="AC45:AF45"/>
    <mergeCell ref="AC46:AF46"/>
    <mergeCell ref="AC47:AF47"/>
    <mergeCell ref="AC48:AF48"/>
    <mergeCell ref="AC49:AF49"/>
    <mergeCell ref="AC63:AF63"/>
    <mergeCell ref="AC56:AF56"/>
    <mergeCell ref="AC57:AF57"/>
    <mergeCell ref="AC58:AF58"/>
    <mergeCell ref="AC61:AF61"/>
    <mergeCell ref="AC62:AF62"/>
    <mergeCell ref="AC59:AF59"/>
    <mergeCell ref="AC60:AF60"/>
    <mergeCell ref="S61:T61"/>
    <mergeCell ref="U61:V61"/>
    <mergeCell ref="W61:X61"/>
    <mergeCell ref="Y61:Z61"/>
    <mergeCell ref="S62:T62"/>
    <mergeCell ref="U62:V62"/>
    <mergeCell ref="W62:X62"/>
    <mergeCell ref="Y62:Z62"/>
    <mergeCell ref="S59:T59"/>
    <mergeCell ref="U59:V59"/>
    <mergeCell ref="W59:X59"/>
    <mergeCell ref="Y59:Z59"/>
    <mergeCell ref="W60:X60"/>
    <mergeCell ref="Y60:Z60"/>
    <mergeCell ref="S57:T57"/>
    <mergeCell ref="U57:V57"/>
    <mergeCell ref="AC69:AD69"/>
    <mergeCell ref="AA67:AB68"/>
    <mergeCell ref="AE69:AF69"/>
    <mergeCell ref="S69:T69"/>
    <mergeCell ref="U69:V69"/>
    <mergeCell ref="W69:X69"/>
    <mergeCell ref="Y69:Z69"/>
    <mergeCell ref="AC67:AF68"/>
    <mergeCell ref="AA69:AB69"/>
    <mergeCell ref="W68:X68"/>
    <mergeCell ref="Y68:Z68"/>
    <mergeCell ref="S67:Z67"/>
    <mergeCell ref="S68:T68"/>
    <mergeCell ref="U68:V68"/>
    <mergeCell ref="AC74:AF74"/>
    <mergeCell ref="AC70:AD70"/>
    <mergeCell ref="AE70:AF70"/>
    <mergeCell ref="AA75:AB75"/>
    <mergeCell ref="AC75:AF75"/>
    <mergeCell ref="AA70:AB70"/>
    <mergeCell ref="AA71:AB71"/>
    <mergeCell ref="AC71:AF71"/>
    <mergeCell ref="AA72:AB72"/>
    <mergeCell ref="AC72:AF72"/>
    <mergeCell ref="AA73:AB73"/>
    <mergeCell ref="AC73:AF73"/>
    <mergeCell ref="AC79:AF79"/>
    <mergeCell ref="AA80:AB80"/>
    <mergeCell ref="AC80:AF80"/>
    <mergeCell ref="AA81:AB81"/>
    <mergeCell ref="AC81:AF81"/>
    <mergeCell ref="AA76:AB76"/>
    <mergeCell ref="AC76:AF76"/>
    <mergeCell ref="AA77:AB77"/>
    <mergeCell ref="AC77:AF77"/>
    <mergeCell ref="AA78:AB78"/>
    <mergeCell ref="AC78:AF78"/>
    <mergeCell ref="AC85:AF85"/>
    <mergeCell ref="AA86:AB86"/>
    <mergeCell ref="AC86:AF86"/>
    <mergeCell ref="AA87:AB87"/>
    <mergeCell ref="AC87:AF87"/>
    <mergeCell ref="AA82:AB82"/>
    <mergeCell ref="AC82:AF82"/>
    <mergeCell ref="AA83:AB83"/>
    <mergeCell ref="AC83:AF83"/>
    <mergeCell ref="AA84:AB84"/>
    <mergeCell ref="AC84:AF84"/>
    <mergeCell ref="AC91:AF91"/>
    <mergeCell ref="AA92:AB92"/>
    <mergeCell ref="AC92:AF92"/>
    <mergeCell ref="AA93:AB93"/>
    <mergeCell ref="AC93:AF93"/>
    <mergeCell ref="AA88:AB88"/>
    <mergeCell ref="AC88:AF88"/>
    <mergeCell ref="AA89:AB89"/>
    <mergeCell ref="AC89:AF89"/>
    <mergeCell ref="AA90:AB90"/>
    <mergeCell ref="AC90:AF90"/>
    <mergeCell ref="AC97:AF97"/>
    <mergeCell ref="AA98:AB98"/>
    <mergeCell ref="AC98:AF98"/>
    <mergeCell ref="AA99:AB99"/>
    <mergeCell ref="AC99:AF99"/>
    <mergeCell ref="AA94:AB94"/>
    <mergeCell ref="AC94:AF94"/>
    <mergeCell ref="AA95:AB95"/>
    <mergeCell ref="AC95:AF95"/>
    <mergeCell ref="AA96:AB96"/>
    <mergeCell ref="AC96:AF96"/>
    <mergeCell ref="AC103:AF103"/>
    <mergeCell ref="AA104:AB104"/>
    <mergeCell ref="AC104:AF104"/>
    <mergeCell ref="AA105:AB105"/>
    <mergeCell ref="AC105:AF105"/>
    <mergeCell ref="AA100:AB100"/>
    <mergeCell ref="AC100:AF100"/>
    <mergeCell ref="AA101:AB101"/>
    <mergeCell ref="AC101:AF101"/>
    <mergeCell ref="AA102:AB102"/>
    <mergeCell ref="AC102:AF102"/>
    <mergeCell ref="D105:J105"/>
    <mergeCell ref="D94:J94"/>
    <mergeCell ref="D95:J95"/>
    <mergeCell ref="D96:J96"/>
    <mergeCell ref="D97:J97"/>
    <mergeCell ref="D98:J98"/>
    <mergeCell ref="D99:J99"/>
    <mergeCell ref="D100:J100"/>
    <mergeCell ref="D101:J101"/>
    <mergeCell ref="D102:J102"/>
    <mergeCell ref="D103:J103"/>
    <mergeCell ref="D104:J104"/>
    <mergeCell ref="K105:L105"/>
    <mergeCell ref="K88:L88"/>
    <mergeCell ref="K89:L89"/>
    <mergeCell ref="K90:L90"/>
    <mergeCell ref="K91:L91"/>
    <mergeCell ref="K92:L92"/>
    <mergeCell ref="K93:L93"/>
    <mergeCell ref="K94:L94"/>
    <mergeCell ref="G14:H15"/>
    <mergeCell ref="I15:L15"/>
    <mergeCell ref="I14:L14"/>
    <mergeCell ref="D82:J82"/>
    <mergeCell ref="D83:J83"/>
    <mergeCell ref="D84:J84"/>
    <mergeCell ref="K76:L76"/>
    <mergeCell ref="K77:L77"/>
    <mergeCell ref="K78:L78"/>
    <mergeCell ref="K79:L79"/>
    <mergeCell ref="K80:L80"/>
    <mergeCell ref="D52:J52"/>
    <mergeCell ref="D53:J53"/>
    <mergeCell ref="D54:J54"/>
    <mergeCell ref="D55:J55"/>
    <mergeCell ref="D56:J56"/>
    <mergeCell ref="D43:J44"/>
    <mergeCell ref="K55:L55"/>
    <mergeCell ref="K56:L56"/>
    <mergeCell ref="D57:J57"/>
    <mergeCell ref="D58:J58"/>
    <mergeCell ref="D45:J45"/>
    <mergeCell ref="D59:J59"/>
    <mergeCell ref="D60:J60"/>
    <mergeCell ref="D61:J61"/>
    <mergeCell ref="D46:J46"/>
    <mergeCell ref="D47:J47"/>
    <mergeCell ref="D48:J48"/>
    <mergeCell ref="D49:J49"/>
    <mergeCell ref="D50:J50"/>
    <mergeCell ref="D51:J51"/>
    <mergeCell ref="K53:L53"/>
    <mergeCell ref="K52:L52"/>
    <mergeCell ref="K54:L54"/>
    <mergeCell ref="K57:L57"/>
    <mergeCell ref="K58:L58"/>
    <mergeCell ref="K51:L51"/>
    <mergeCell ref="D91:J91"/>
    <mergeCell ref="D92:J92"/>
    <mergeCell ref="D93:J93"/>
    <mergeCell ref="D90:J90"/>
    <mergeCell ref="D85:J85"/>
    <mergeCell ref="D86:J86"/>
    <mergeCell ref="D87:J87"/>
    <mergeCell ref="D88:J88"/>
    <mergeCell ref="D89:J89"/>
    <mergeCell ref="D1:AF1"/>
    <mergeCell ref="I3:J3"/>
    <mergeCell ref="I12:K12"/>
    <mergeCell ref="I9:K9"/>
    <mergeCell ref="T9:U9"/>
    <mergeCell ref="T10:U10"/>
    <mergeCell ref="T11:U11"/>
    <mergeCell ref="T12:U12"/>
    <mergeCell ref="I5:J5"/>
    <mergeCell ref="I4:J4"/>
    <mergeCell ref="E9:H9"/>
    <mergeCell ref="L9:M9"/>
    <mergeCell ref="L10:M10"/>
    <mergeCell ref="N10:O10"/>
    <mergeCell ref="M5:N5"/>
    <mergeCell ref="M4:N4"/>
    <mergeCell ref="Q5:R5"/>
    <mergeCell ref="Q4:R4"/>
    <mergeCell ref="Q3:R3"/>
    <mergeCell ref="E10:F11"/>
    <mergeCell ref="P10:Q10"/>
    <mergeCell ref="R10:S10"/>
    <mergeCell ref="L11:M11"/>
    <mergeCell ref="N11:O11"/>
    <mergeCell ref="R12:S12"/>
    <mergeCell ref="N9:O9"/>
    <mergeCell ref="P9:Q9"/>
    <mergeCell ref="R9:S9"/>
    <mergeCell ref="G10:H10"/>
    <mergeCell ref="P11:Q11"/>
    <mergeCell ref="R11:S11"/>
    <mergeCell ref="G11:H11"/>
    <mergeCell ref="E12:H12"/>
    <mergeCell ref="J10:K10"/>
    <mergeCell ref="J11:K11"/>
    <mergeCell ref="L12:M12"/>
    <mergeCell ref="N12:O12"/>
    <mergeCell ref="P12:Q12"/>
  </mergeCells>
  <phoneticPr fontId="1" type="noConversion"/>
  <dataValidations count="2">
    <dataValidation type="list" allowBlank="1" showInputMessage="1" showErrorMessage="1" sqref="AA69:AB71 AA100:AB100 AA78:AB80 AA102:AB104 AA92:AB98 AA87:AB90 AA82:AB84 AA74:AB76">
      <formula1>"중점항목, 일반항목, 해당없음"</formula1>
    </dataValidation>
    <dataValidation type="list" allowBlank="1" showInputMessage="1" showErrorMessage="1" sqref="I3:J3">
      <formula1>"면적기준, 길이기준"</formula1>
    </dataValidation>
  </dataValidations>
  <pageMargins left="0.47244094488188981" right="0.31496062992125984" top="0.59055118110236227" bottom="0.31496062992125984" header="0.31496062992125984" footer="0.31496062992125984"/>
  <pageSetup paperSize="9" orientation="landscape" r:id="rId1"/>
  <rowBreaks count="2" manualBreakCount="2">
    <brk id="40" max="16383" man="1"/>
    <brk id="65" max="16383" man="1"/>
  </row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T41"/>
  <sheetViews>
    <sheetView view="pageBreakPreview" zoomScaleNormal="100" zoomScaleSheetLayoutView="100" workbookViewId="0">
      <selection activeCell="W38" sqref="W38"/>
    </sheetView>
  </sheetViews>
  <sheetFormatPr defaultColWidth="4.3984375" defaultRowHeight="17.399999999999999"/>
  <cols>
    <col min="1" max="17" width="4.3984375" style="609"/>
    <col min="18" max="18" width="4.3984375" style="609" customWidth="1"/>
    <col min="19" max="16384" width="4.3984375" style="609"/>
  </cols>
  <sheetData>
    <row r="1" spans="1:20" ht="25.2">
      <c r="A1" s="1702" t="s">
        <v>1341</v>
      </c>
      <c r="B1" s="1702"/>
      <c r="C1" s="1702"/>
      <c r="D1" s="1702"/>
      <c r="E1" s="1702"/>
      <c r="F1" s="1702"/>
      <c r="G1" s="1702"/>
      <c r="H1" s="1702"/>
      <c r="I1" s="1702"/>
      <c r="J1" s="1702"/>
      <c r="K1" s="1702"/>
      <c r="L1" s="1702"/>
      <c r="M1" s="1702"/>
      <c r="N1" s="1702"/>
      <c r="O1" s="1702"/>
      <c r="P1" s="1702"/>
      <c r="Q1" s="1702"/>
      <c r="R1" s="1702"/>
      <c r="S1" s="1702"/>
      <c r="T1" s="1702"/>
    </row>
    <row r="2" spans="1:20" s="141" customFormat="1" ht="13.2">
      <c r="A2" s="1721" t="s">
        <v>1332</v>
      </c>
      <c r="B2" s="1718"/>
      <c r="C2" s="1718" t="s">
        <v>1333</v>
      </c>
      <c r="D2" s="1718"/>
      <c r="E2" s="1718"/>
      <c r="F2" s="1718"/>
      <c r="G2" s="1728"/>
      <c r="H2" s="1719" t="s">
        <v>1334</v>
      </c>
      <c r="I2" s="1720"/>
      <c r="J2" s="1718" t="s">
        <v>1335</v>
      </c>
      <c r="K2" s="1718"/>
      <c r="L2" s="1718" t="s">
        <v>679</v>
      </c>
      <c r="M2" s="1718"/>
      <c r="N2" s="1718"/>
      <c r="O2" s="1718" t="s">
        <v>1336</v>
      </c>
      <c r="P2" s="1718"/>
      <c r="Q2" s="1718"/>
      <c r="R2" s="1703" t="s">
        <v>1331</v>
      </c>
      <c r="S2" s="1704"/>
      <c r="T2" s="1705"/>
    </row>
    <row r="3" spans="1:20" s="141" customFormat="1" ht="13.2">
      <c r="A3" s="1722" t="s">
        <v>1337</v>
      </c>
      <c r="B3" s="1723"/>
      <c r="C3" s="1707" t="s">
        <v>1229</v>
      </c>
      <c r="D3" s="1707"/>
      <c r="E3" s="1707"/>
      <c r="F3" s="1707"/>
      <c r="G3" s="1717"/>
      <c r="H3" s="1644"/>
      <c r="I3" s="1645"/>
      <c r="J3" s="1707"/>
      <c r="K3" s="1707"/>
      <c r="L3" s="1708"/>
      <c r="M3" s="1708"/>
      <c r="N3" s="1708"/>
      <c r="O3" s="1709">
        <f>SUM(O4:Q9)</f>
        <v>230200</v>
      </c>
      <c r="P3" s="1709"/>
      <c r="Q3" s="1709"/>
      <c r="R3" s="1699"/>
      <c r="S3" s="1700"/>
      <c r="T3" s="1701"/>
    </row>
    <row r="4" spans="1:20" s="141" customFormat="1" ht="14.4">
      <c r="A4" s="1724"/>
      <c r="B4" s="1725"/>
      <c r="C4" s="1706" t="s">
        <v>1249</v>
      </c>
      <c r="D4" s="1706"/>
      <c r="E4" s="1706"/>
      <c r="F4" s="1706"/>
      <c r="G4" s="1715"/>
      <c r="H4" s="1599">
        <v>1</v>
      </c>
      <c r="I4" s="1600"/>
      <c r="J4" s="1706" t="s">
        <v>1279</v>
      </c>
      <c r="K4" s="1706"/>
      <c r="L4" s="1713">
        <v>35900</v>
      </c>
      <c r="M4" s="1713"/>
      <c r="N4" s="1713"/>
      <c r="O4" s="1714">
        <f t="shared" ref="O4:O9" si="0">H4*L4</f>
        <v>35900</v>
      </c>
      <c r="P4" s="1714"/>
      <c r="Q4" s="1714"/>
      <c r="R4" s="1693"/>
      <c r="S4" s="1694"/>
      <c r="T4" s="1695"/>
    </row>
    <row r="5" spans="1:20" s="141" customFormat="1" ht="13.2">
      <c r="A5" s="1724"/>
      <c r="B5" s="1725"/>
      <c r="C5" s="1706" t="s">
        <v>1250</v>
      </c>
      <c r="D5" s="1706"/>
      <c r="E5" s="1706"/>
      <c r="F5" s="1706"/>
      <c r="G5" s="1715"/>
      <c r="H5" s="1599">
        <v>1</v>
      </c>
      <c r="I5" s="1600"/>
      <c r="J5" s="1706" t="s">
        <v>1279</v>
      </c>
      <c r="K5" s="1706"/>
      <c r="L5" s="1713">
        <v>37900</v>
      </c>
      <c r="M5" s="1713"/>
      <c r="N5" s="1713"/>
      <c r="O5" s="1714">
        <f t="shared" si="0"/>
        <v>37900</v>
      </c>
      <c r="P5" s="1714"/>
      <c r="Q5" s="1714"/>
      <c r="R5" s="1693"/>
      <c r="S5" s="1694"/>
      <c r="T5" s="1695"/>
    </row>
    <row r="6" spans="1:20" s="141" customFormat="1" ht="14.4">
      <c r="A6" s="1724"/>
      <c r="B6" s="1725"/>
      <c r="C6" s="1706" t="s">
        <v>1251</v>
      </c>
      <c r="D6" s="1706"/>
      <c r="E6" s="1706"/>
      <c r="F6" s="1706"/>
      <c r="G6" s="1715"/>
      <c r="H6" s="1599">
        <v>1</v>
      </c>
      <c r="I6" s="1600"/>
      <c r="J6" s="1706" t="s">
        <v>1279</v>
      </c>
      <c r="K6" s="1706"/>
      <c r="L6" s="1713">
        <v>35200</v>
      </c>
      <c r="M6" s="1713"/>
      <c r="N6" s="1713"/>
      <c r="O6" s="1714">
        <f t="shared" si="0"/>
        <v>35200</v>
      </c>
      <c r="P6" s="1714"/>
      <c r="Q6" s="1714"/>
      <c r="R6" s="1693"/>
      <c r="S6" s="1694"/>
      <c r="T6" s="1695"/>
    </row>
    <row r="7" spans="1:20" s="141" customFormat="1" ht="13.2">
      <c r="A7" s="1724"/>
      <c r="B7" s="1725"/>
      <c r="C7" s="1706" t="s">
        <v>1252</v>
      </c>
      <c r="D7" s="1706"/>
      <c r="E7" s="1706"/>
      <c r="F7" s="1706"/>
      <c r="G7" s="1715"/>
      <c r="H7" s="1599">
        <v>1</v>
      </c>
      <c r="I7" s="1600"/>
      <c r="J7" s="1706" t="s">
        <v>1279</v>
      </c>
      <c r="K7" s="1706"/>
      <c r="L7" s="1713">
        <v>60600</v>
      </c>
      <c r="M7" s="1713"/>
      <c r="N7" s="1713"/>
      <c r="O7" s="1714">
        <f t="shared" si="0"/>
        <v>60600</v>
      </c>
      <c r="P7" s="1714"/>
      <c r="Q7" s="1714"/>
      <c r="R7" s="1693"/>
      <c r="S7" s="1694"/>
      <c r="T7" s="1695"/>
    </row>
    <row r="8" spans="1:20" s="141" customFormat="1" ht="14.4">
      <c r="A8" s="1724"/>
      <c r="B8" s="1725"/>
      <c r="C8" s="1706" t="s">
        <v>1253</v>
      </c>
      <c r="D8" s="1706"/>
      <c r="E8" s="1706"/>
      <c r="F8" s="1706"/>
      <c r="G8" s="1715"/>
      <c r="H8" s="1599">
        <v>1</v>
      </c>
      <c r="I8" s="1600"/>
      <c r="J8" s="1706" t="s">
        <v>1279</v>
      </c>
      <c r="K8" s="1706"/>
      <c r="L8" s="1713">
        <v>19200</v>
      </c>
      <c r="M8" s="1713"/>
      <c r="N8" s="1713"/>
      <c r="O8" s="1714">
        <f t="shared" si="0"/>
        <v>19200</v>
      </c>
      <c r="P8" s="1714"/>
      <c r="Q8" s="1714"/>
      <c r="R8" s="1693"/>
      <c r="S8" s="1694"/>
      <c r="T8" s="1695"/>
    </row>
    <row r="9" spans="1:20" s="141" customFormat="1" ht="13.2">
      <c r="A9" s="1726"/>
      <c r="B9" s="1727"/>
      <c r="C9" s="1710" t="s">
        <v>1254</v>
      </c>
      <c r="D9" s="1710"/>
      <c r="E9" s="1710"/>
      <c r="F9" s="1710"/>
      <c r="G9" s="1716"/>
      <c r="H9" s="1632">
        <v>1</v>
      </c>
      <c r="I9" s="1633"/>
      <c r="J9" s="1710" t="s">
        <v>1279</v>
      </c>
      <c r="K9" s="1710"/>
      <c r="L9" s="1711">
        <v>41400</v>
      </c>
      <c r="M9" s="1711"/>
      <c r="N9" s="1711"/>
      <c r="O9" s="1712">
        <f t="shared" si="0"/>
        <v>41400</v>
      </c>
      <c r="P9" s="1712"/>
      <c r="Q9" s="1712"/>
      <c r="R9" s="1696"/>
      <c r="S9" s="1697"/>
      <c r="T9" s="1698"/>
    </row>
    <row r="10" spans="1:20" s="141" customFormat="1" ht="13.2">
      <c r="A10" s="1722" t="s">
        <v>1338</v>
      </c>
      <c r="B10" s="1723"/>
      <c r="C10" s="1707" t="s">
        <v>1229</v>
      </c>
      <c r="D10" s="1707"/>
      <c r="E10" s="1707"/>
      <c r="F10" s="1707"/>
      <c r="G10" s="1717"/>
      <c r="H10" s="1644"/>
      <c r="I10" s="1645"/>
      <c r="J10" s="1707"/>
      <c r="K10" s="1707"/>
      <c r="L10" s="1708"/>
      <c r="M10" s="1708"/>
      <c r="N10" s="1708"/>
      <c r="O10" s="1709">
        <f>SUM(O11:Q22)</f>
        <v>222500</v>
      </c>
      <c r="P10" s="1709"/>
      <c r="Q10" s="1709"/>
      <c r="R10" s="1699"/>
      <c r="S10" s="1700"/>
      <c r="T10" s="1701"/>
    </row>
    <row r="11" spans="1:20" s="141" customFormat="1" ht="13.2">
      <c r="A11" s="1724"/>
      <c r="B11" s="1725"/>
      <c r="C11" s="1706" t="s">
        <v>1255</v>
      </c>
      <c r="D11" s="1706"/>
      <c r="E11" s="1706"/>
      <c r="F11" s="1706"/>
      <c r="G11" s="1715"/>
      <c r="H11" s="1599">
        <v>1</v>
      </c>
      <c r="I11" s="1600"/>
      <c r="J11" s="1706" t="s">
        <v>1279</v>
      </c>
      <c r="K11" s="1706"/>
      <c r="L11" s="1713">
        <v>29400</v>
      </c>
      <c r="M11" s="1713"/>
      <c r="N11" s="1713"/>
      <c r="O11" s="1714">
        <f t="shared" ref="O11:O22" si="1">H11*L11</f>
        <v>29400</v>
      </c>
      <c r="P11" s="1714"/>
      <c r="Q11" s="1714"/>
      <c r="R11" s="1693"/>
      <c r="S11" s="1694"/>
      <c r="T11" s="1695"/>
    </row>
    <row r="12" spans="1:20" s="141" customFormat="1" ht="13.2">
      <c r="A12" s="1724"/>
      <c r="B12" s="1725"/>
      <c r="C12" s="1706" t="s">
        <v>1256</v>
      </c>
      <c r="D12" s="1706"/>
      <c r="E12" s="1706"/>
      <c r="F12" s="1706"/>
      <c r="G12" s="1715"/>
      <c r="H12" s="1599">
        <v>1</v>
      </c>
      <c r="I12" s="1600"/>
      <c r="J12" s="1706" t="s">
        <v>1279</v>
      </c>
      <c r="K12" s="1706"/>
      <c r="L12" s="1713">
        <v>5500</v>
      </c>
      <c r="M12" s="1713"/>
      <c r="N12" s="1713"/>
      <c r="O12" s="1714">
        <f t="shared" si="1"/>
        <v>5500</v>
      </c>
      <c r="P12" s="1714"/>
      <c r="Q12" s="1714"/>
      <c r="R12" s="1693"/>
      <c r="S12" s="1694"/>
      <c r="T12" s="1695"/>
    </row>
    <row r="13" spans="1:20" s="141" customFormat="1" ht="13.2">
      <c r="A13" s="1724"/>
      <c r="B13" s="1725"/>
      <c r="C13" s="1706" t="s">
        <v>1257</v>
      </c>
      <c r="D13" s="1706"/>
      <c r="E13" s="1706"/>
      <c r="F13" s="1706"/>
      <c r="G13" s="1715"/>
      <c r="H13" s="1599">
        <v>1</v>
      </c>
      <c r="I13" s="1600"/>
      <c r="J13" s="1706" t="s">
        <v>1279</v>
      </c>
      <c r="K13" s="1706"/>
      <c r="L13" s="1713">
        <v>29200</v>
      </c>
      <c r="M13" s="1713"/>
      <c r="N13" s="1713"/>
      <c r="O13" s="1714">
        <f t="shared" si="1"/>
        <v>29200</v>
      </c>
      <c r="P13" s="1714"/>
      <c r="Q13" s="1714"/>
      <c r="R13" s="1693"/>
      <c r="S13" s="1694"/>
      <c r="T13" s="1695"/>
    </row>
    <row r="14" spans="1:20" s="141" customFormat="1" ht="13.2">
      <c r="A14" s="1724"/>
      <c r="B14" s="1725"/>
      <c r="C14" s="1706" t="s">
        <v>1258</v>
      </c>
      <c r="D14" s="1706"/>
      <c r="E14" s="1706"/>
      <c r="F14" s="1706"/>
      <c r="G14" s="1715"/>
      <c r="H14" s="1599">
        <v>1</v>
      </c>
      <c r="I14" s="1600"/>
      <c r="J14" s="1706" t="s">
        <v>1279</v>
      </c>
      <c r="K14" s="1706"/>
      <c r="L14" s="1713">
        <v>9700</v>
      </c>
      <c r="M14" s="1713"/>
      <c r="N14" s="1713"/>
      <c r="O14" s="1714">
        <f t="shared" si="1"/>
        <v>9700</v>
      </c>
      <c r="P14" s="1714"/>
      <c r="Q14" s="1714"/>
      <c r="R14" s="1693"/>
      <c r="S14" s="1694"/>
      <c r="T14" s="1695"/>
    </row>
    <row r="15" spans="1:20" s="141" customFormat="1" ht="13.2">
      <c r="A15" s="1724"/>
      <c r="B15" s="1725"/>
      <c r="C15" s="1706" t="s">
        <v>1259</v>
      </c>
      <c r="D15" s="1706"/>
      <c r="E15" s="1706"/>
      <c r="F15" s="1706"/>
      <c r="G15" s="1715"/>
      <c r="H15" s="1599">
        <v>1</v>
      </c>
      <c r="I15" s="1600"/>
      <c r="J15" s="1706" t="s">
        <v>1279</v>
      </c>
      <c r="K15" s="1706"/>
      <c r="L15" s="1713">
        <v>9700</v>
      </c>
      <c r="M15" s="1713"/>
      <c r="N15" s="1713"/>
      <c r="O15" s="1714">
        <f t="shared" si="1"/>
        <v>9700</v>
      </c>
      <c r="P15" s="1714"/>
      <c r="Q15" s="1714"/>
      <c r="R15" s="1693"/>
      <c r="S15" s="1694"/>
      <c r="T15" s="1695"/>
    </row>
    <row r="16" spans="1:20" s="141" customFormat="1" ht="13.2">
      <c r="A16" s="1724"/>
      <c r="B16" s="1725"/>
      <c r="C16" s="1706" t="s">
        <v>1260</v>
      </c>
      <c r="D16" s="1706"/>
      <c r="E16" s="1706"/>
      <c r="F16" s="1706"/>
      <c r="G16" s="1715"/>
      <c r="H16" s="1599">
        <v>1</v>
      </c>
      <c r="I16" s="1600"/>
      <c r="J16" s="1706" t="s">
        <v>1279</v>
      </c>
      <c r="K16" s="1706"/>
      <c r="L16" s="1713">
        <v>11000</v>
      </c>
      <c r="M16" s="1713"/>
      <c r="N16" s="1713"/>
      <c r="O16" s="1714">
        <f t="shared" si="1"/>
        <v>11000</v>
      </c>
      <c r="P16" s="1714"/>
      <c r="Q16" s="1714"/>
      <c r="R16" s="1693"/>
      <c r="S16" s="1694"/>
      <c r="T16" s="1695"/>
    </row>
    <row r="17" spans="1:20" s="141" customFormat="1" ht="13.2">
      <c r="A17" s="1724"/>
      <c r="B17" s="1725"/>
      <c r="C17" s="1706" t="s">
        <v>1261</v>
      </c>
      <c r="D17" s="1706"/>
      <c r="E17" s="1706"/>
      <c r="F17" s="1706"/>
      <c r="G17" s="1715"/>
      <c r="H17" s="1599">
        <v>1</v>
      </c>
      <c r="I17" s="1600"/>
      <c r="J17" s="1706" t="s">
        <v>1279</v>
      </c>
      <c r="K17" s="1706"/>
      <c r="L17" s="1713">
        <v>10900</v>
      </c>
      <c r="M17" s="1713"/>
      <c r="N17" s="1713"/>
      <c r="O17" s="1714">
        <f t="shared" si="1"/>
        <v>10900</v>
      </c>
      <c r="P17" s="1714"/>
      <c r="Q17" s="1714"/>
      <c r="R17" s="1693"/>
      <c r="S17" s="1694"/>
      <c r="T17" s="1695"/>
    </row>
    <row r="18" spans="1:20" s="141" customFormat="1" ht="13.2">
      <c r="A18" s="1724"/>
      <c r="B18" s="1725"/>
      <c r="C18" s="1706" t="s">
        <v>1262</v>
      </c>
      <c r="D18" s="1706"/>
      <c r="E18" s="1706"/>
      <c r="F18" s="1706"/>
      <c r="G18" s="1715"/>
      <c r="H18" s="1599">
        <v>1</v>
      </c>
      <c r="I18" s="1600"/>
      <c r="J18" s="1706" t="s">
        <v>1279</v>
      </c>
      <c r="K18" s="1706"/>
      <c r="L18" s="1713">
        <v>21900</v>
      </c>
      <c r="M18" s="1713"/>
      <c r="N18" s="1713"/>
      <c r="O18" s="1714">
        <f t="shared" si="1"/>
        <v>21900</v>
      </c>
      <c r="P18" s="1714"/>
      <c r="Q18" s="1714"/>
      <c r="R18" s="1693"/>
      <c r="S18" s="1694"/>
      <c r="T18" s="1695"/>
    </row>
    <row r="19" spans="1:20" s="141" customFormat="1" ht="13.2">
      <c r="A19" s="1724"/>
      <c r="B19" s="1725"/>
      <c r="C19" s="1706" t="s">
        <v>1263</v>
      </c>
      <c r="D19" s="1706"/>
      <c r="E19" s="1706"/>
      <c r="F19" s="1706"/>
      <c r="G19" s="1715"/>
      <c r="H19" s="1599">
        <v>1</v>
      </c>
      <c r="I19" s="1600"/>
      <c r="J19" s="1706" t="s">
        <v>1279</v>
      </c>
      <c r="K19" s="1706"/>
      <c r="L19" s="1713">
        <v>22700</v>
      </c>
      <c r="M19" s="1713"/>
      <c r="N19" s="1713"/>
      <c r="O19" s="1714">
        <f t="shared" si="1"/>
        <v>22700</v>
      </c>
      <c r="P19" s="1714"/>
      <c r="Q19" s="1714"/>
      <c r="R19" s="1693"/>
      <c r="S19" s="1694"/>
      <c r="T19" s="1695"/>
    </row>
    <row r="20" spans="1:20" s="141" customFormat="1" ht="13.2">
      <c r="A20" s="1724"/>
      <c r="B20" s="1725"/>
      <c r="C20" s="1706" t="s">
        <v>1264</v>
      </c>
      <c r="D20" s="1706"/>
      <c r="E20" s="1706"/>
      <c r="F20" s="1706"/>
      <c r="G20" s="1715"/>
      <c r="H20" s="1599">
        <v>1</v>
      </c>
      <c r="I20" s="1600"/>
      <c r="J20" s="1706" t="s">
        <v>1279</v>
      </c>
      <c r="K20" s="1706"/>
      <c r="L20" s="1713">
        <v>29100</v>
      </c>
      <c r="M20" s="1713"/>
      <c r="N20" s="1713"/>
      <c r="O20" s="1714">
        <f t="shared" si="1"/>
        <v>29100</v>
      </c>
      <c r="P20" s="1714"/>
      <c r="Q20" s="1714"/>
      <c r="R20" s="1693"/>
      <c r="S20" s="1694"/>
      <c r="T20" s="1695"/>
    </row>
    <row r="21" spans="1:20" s="141" customFormat="1" ht="13.2">
      <c r="A21" s="1724"/>
      <c r="B21" s="1725"/>
      <c r="C21" s="1706" t="s">
        <v>1265</v>
      </c>
      <c r="D21" s="1706"/>
      <c r="E21" s="1706"/>
      <c r="F21" s="1706"/>
      <c r="G21" s="1715"/>
      <c r="H21" s="1599">
        <v>1</v>
      </c>
      <c r="I21" s="1600"/>
      <c r="J21" s="1706" t="s">
        <v>1279</v>
      </c>
      <c r="K21" s="1706"/>
      <c r="L21" s="1713">
        <v>21700</v>
      </c>
      <c r="M21" s="1713"/>
      <c r="N21" s="1713"/>
      <c r="O21" s="1714">
        <f t="shared" si="1"/>
        <v>21700</v>
      </c>
      <c r="P21" s="1714"/>
      <c r="Q21" s="1714"/>
      <c r="R21" s="1693"/>
      <c r="S21" s="1694"/>
      <c r="T21" s="1695"/>
    </row>
    <row r="22" spans="1:20" s="141" customFormat="1" ht="13.2">
      <c r="A22" s="1726"/>
      <c r="B22" s="1727"/>
      <c r="C22" s="1710" t="s">
        <v>1254</v>
      </c>
      <c r="D22" s="1710"/>
      <c r="E22" s="1710"/>
      <c r="F22" s="1710"/>
      <c r="G22" s="1716"/>
      <c r="H22" s="1632">
        <v>1</v>
      </c>
      <c r="I22" s="1633"/>
      <c r="J22" s="1710" t="s">
        <v>1279</v>
      </c>
      <c r="K22" s="1710"/>
      <c r="L22" s="1711">
        <v>21700</v>
      </c>
      <c r="M22" s="1711"/>
      <c r="N22" s="1711"/>
      <c r="O22" s="1712">
        <f t="shared" si="1"/>
        <v>21700</v>
      </c>
      <c r="P22" s="1712"/>
      <c r="Q22" s="1712"/>
      <c r="R22" s="1696"/>
      <c r="S22" s="1697"/>
      <c r="T22" s="1698"/>
    </row>
    <row r="23" spans="1:20" s="141" customFormat="1" ht="13.2">
      <c r="A23" s="1722" t="s">
        <v>1339</v>
      </c>
      <c r="B23" s="1723"/>
      <c r="C23" s="1707" t="s">
        <v>1229</v>
      </c>
      <c r="D23" s="1707"/>
      <c r="E23" s="1707"/>
      <c r="F23" s="1707"/>
      <c r="G23" s="1717"/>
      <c r="H23" s="1644"/>
      <c r="I23" s="1645"/>
      <c r="J23" s="1707"/>
      <c r="K23" s="1707"/>
      <c r="L23" s="1708"/>
      <c r="M23" s="1708"/>
      <c r="N23" s="1708"/>
      <c r="O23" s="1709">
        <f>SUM(O24:Q37)</f>
        <v>218800</v>
      </c>
      <c r="P23" s="1709"/>
      <c r="Q23" s="1709"/>
      <c r="R23" s="1699"/>
      <c r="S23" s="1700"/>
      <c r="T23" s="1701"/>
    </row>
    <row r="24" spans="1:20" s="141" customFormat="1" ht="13.2">
      <c r="A24" s="1724"/>
      <c r="B24" s="1725"/>
      <c r="C24" s="1706" t="s">
        <v>1256</v>
      </c>
      <c r="D24" s="1706"/>
      <c r="E24" s="1706"/>
      <c r="F24" s="1706"/>
      <c r="G24" s="1715"/>
      <c r="H24" s="1599">
        <v>1</v>
      </c>
      <c r="I24" s="1600"/>
      <c r="J24" s="1706" t="s">
        <v>1279</v>
      </c>
      <c r="K24" s="1706"/>
      <c r="L24" s="1713">
        <f>L12</f>
        <v>5500</v>
      </c>
      <c r="M24" s="1713"/>
      <c r="N24" s="1713"/>
      <c r="O24" s="1714">
        <f t="shared" ref="O24:O37" si="2">H24*L24</f>
        <v>5500</v>
      </c>
      <c r="P24" s="1714"/>
      <c r="Q24" s="1714"/>
      <c r="R24" s="1693"/>
      <c r="S24" s="1694"/>
      <c r="T24" s="1695"/>
    </row>
    <row r="25" spans="1:20" s="141" customFormat="1" ht="14.4">
      <c r="A25" s="1724"/>
      <c r="B25" s="1725"/>
      <c r="C25" s="1706" t="s">
        <v>1266</v>
      </c>
      <c r="D25" s="1706"/>
      <c r="E25" s="1706"/>
      <c r="F25" s="1706"/>
      <c r="G25" s="1715"/>
      <c r="H25" s="1599">
        <v>1</v>
      </c>
      <c r="I25" s="1600"/>
      <c r="J25" s="1706" t="s">
        <v>1279</v>
      </c>
      <c r="K25" s="1706"/>
      <c r="L25" s="1713">
        <v>19500</v>
      </c>
      <c r="M25" s="1713"/>
      <c r="N25" s="1713"/>
      <c r="O25" s="1714">
        <f t="shared" si="2"/>
        <v>19500</v>
      </c>
      <c r="P25" s="1714"/>
      <c r="Q25" s="1714"/>
      <c r="R25" s="1693"/>
      <c r="S25" s="1694"/>
      <c r="T25" s="1695"/>
    </row>
    <row r="26" spans="1:20" s="141" customFormat="1" ht="14.4">
      <c r="A26" s="1724"/>
      <c r="B26" s="1725"/>
      <c r="C26" s="1706" t="s">
        <v>1267</v>
      </c>
      <c r="D26" s="1706"/>
      <c r="E26" s="1706"/>
      <c r="F26" s="1706"/>
      <c r="G26" s="1715"/>
      <c r="H26" s="1599">
        <v>1</v>
      </c>
      <c r="I26" s="1600"/>
      <c r="J26" s="1706" t="s">
        <v>1279</v>
      </c>
      <c r="K26" s="1706"/>
      <c r="L26" s="1713">
        <v>16800</v>
      </c>
      <c r="M26" s="1713"/>
      <c r="N26" s="1713"/>
      <c r="O26" s="1714">
        <f t="shared" si="2"/>
        <v>16800</v>
      </c>
      <c r="P26" s="1714"/>
      <c r="Q26" s="1714"/>
      <c r="R26" s="1693"/>
      <c r="S26" s="1694"/>
      <c r="T26" s="1695"/>
    </row>
    <row r="27" spans="1:20" s="141" customFormat="1" ht="13.2">
      <c r="A27" s="1724"/>
      <c r="B27" s="1725"/>
      <c r="C27" s="1706" t="s">
        <v>1268</v>
      </c>
      <c r="D27" s="1706"/>
      <c r="E27" s="1706"/>
      <c r="F27" s="1706"/>
      <c r="G27" s="1715"/>
      <c r="H27" s="1599">
        <v>1</v>
      </c>
      <c r="I27" s="1600"/>
      <c r="J27" s="1706" t="s">
        <v>1279</v>
      </c>
      <c r="K27" s="1706"/>
      <c r="L27" s="1713">
        <v>14500</v>
      </c>
      <c r="M27" s="1713"/>
      <c r="N27" s="1713"/>
      <c r="O27" s="1714">
        <f t="shared" si="2"/>
        <v>14500</v>
      </c>
      <c r="P27" s="1714"/>
      <c r="Q27" s="1714"/>
      <c r="R27" s="1693"/>
      <c r="S27" s="1694"/>
      <c r="T27" s="1695"/>
    </row>
    <row r="28" spans="1:20" s="141" customFormat="1" ht="13.2">
      <c r="A28" s="1724"/>
      <c r="B28" s="1725"/>
      <c r="C28" s="1706" t="s">
        <v>1269</v>
      </c>
      <c r="D28" s="1706"/>
      <c r="E28" s="1706"/>
      <c r="F28" s="1706"/>
      <c r="G28" s="1715"/>
      <c r="H28" s="1599">
        <v>1</v>
      </c>
      <c r="I28" s="1600"/>
      <c r="J28" s="1706" t="s">
        <v>1279</v>
      </c>
      <c r="K28" s="1706"/>
      <c r="L28" s="1713">
        <v>9600</v>
      </c>
      <c r="M28" s="1713"/>
      <c r="N28" s="1713"/>
      <c r="O28" s="1714">
        <f t="shared" si="2"/>
        <v>9600</v>
      </c>
      <c r="P28" s="1714"/>
      <c r="Q28" s="1714"/>
      <c r="R28" s="1693"/>
      <c r="S28" s="1694"/>
      <c r="T28" s="1695"/>
    </row>
    <row r="29" spans="1:20" s="141" customFormat="1" ht="13.2">
      <c r="A29" s="1724"/>
      <c r="B29" s="1725"/>
      <c r="C29" s="1706" t="s">
        <v>1270</v>
      </c>
      <c r="D29" s="1706"/>
      <c r="E29" s="1706"/>
      <c r="F29" s="1706"/>
      <c r="G29" s="1715"/>
      <c r="H29" s="1599">
        <v>1</v>
      </c>
      <c r="I29" s="1600"/>
      <c r="J29" s="1706" t="s">
        <v>1279</v>
      </c>
      <c r="K29" s="1706"/>
      <c r="L29" s="1713">
        <v>9600</v>
      </c>
      <c r="M29" s="1713"/>
      <c r="N29" s="1713"/>
      <c r="O29" s="1714">
        <f t="shared" si="2"/>
        <v>9600</v>
      </c>
      <c r="P29" s="1714"/>
      <c r="Q29" s="1714"/>
      <c r="R29" s="1693"/>
      <c r="S29" s="1694"/>
      <c r="T29" s="1695"/>
    </row>
    <row r="30" spans="1:20" s="141" customFormat="1" ht="13.2">
      <c r="A30" s="1724"/>
      <c r="B30" s="1725"/>
      <c r="C30" s="1706" t="s">
        <v>1271</v>
      </c>
      <c r="D30" s="1706"/>
      <c r="E30" s="1706"/>
      <c r="F30" s="1706"/>
      <c r="G30" s="1715"/>
      <c r="H30" s="1599">
        <v>1</v>
      </c>
      <c r="I30" s="1600"/>
      <c r="J30" s="1706" t="s">
        <v>1279</v>
      </c>
      <c r="K30" s="1706"/>
      <c r="L30" s="1713">
        <v>9600</v>
      </c>
      <c r="M30" s="1713"/>
      <c r="N30" s="1713"/>
      <c r="O30" s="1714">
        <f t="shared" si="2"/>
        <v>9600</v>
      </c>
      <c r="P30" s="1714"/>
      <c r="Q30" s="1714"/>
      <c r="R30" s="1693"/>
      <c r="S30" s="1694"/>
      <c r="T30" s="1695"/>
    </row>
    <row r="31" spans="1:20" s="141" customFormat="1" ht="14.4">
      <c r="A31" s="1724"/>
      <c r="B31" s="1725"/>
      <c r="C31" s="1706" t="s">
        <v>1272</v>
      </c>
      <c r="D31" s="1706"/>
      <c r="E31" s="1706"/>
      <c r="F31" s="1706"/>
      <c r="G31" s="1715"/>
      <c r="H31" s="1599">
        <v>1</v>
      </c>
      <c r="I31" s="1600"/>
      <c r="J31" s="1706" t="s">
        <v>1279</v>
      </c>
      <c r="K31" s="1706"/>
      <c r="L31" s="1713">
        <v>14500</v>
      </c>
      <c r="M31" s="1713"/>
      <c r="N31" s="1713"/>
      <c r="O31" s="1714">
        <f t="shared" si="2"/>
        <v>14500</v>
      </c>
      <c r="P31" s="1714"/>
      <c r="Q31" s="1714"/>
      <c r="R31" s="1693"/>
      <c r="S31" s="1694"/>
      <c r="T31" s="1695"/>
    </row>
    <row r="32" spans="1:20" s="141" customFormat="1" ht="13.2">
      <c r="A32" s="1724"/>
      <c r="B32" s="1725"/>
      <c r="C32" s="1706" t="s">
        <v>1273</v>
      </c>
      <c r="D32" s="1706"/>
      <c r="E32" s="1706"/>
      <c r="F32" s="1706"/>
      <c r="G32" s="1715"/>
      <c r="H32" s="1599">
        <v>1</v>
      </c>
      <c r="I32" s="1600"/>
      <c r="J32" s="1706" t="s">
        <v>1279</v>
      </c>
      <c r="K32" s="1706"/>
      <c r="L32" s="1713">
        <v>11000</v>
      </c>
      <c r="M32" s="1713"/>
      <c r="N32" s="1713"/>
      <c r="O32" s="1714">
        <f t="shared" si="2"/>
        <v>11000</v>
      </c>
      <c r="P32" s="1714"/>
      <c r="Q32" s="1714"/>
      <c r="R32" s="1693"/>
      <c r="S32" s="1694"/>
      <c r="T32" s="1695"/>
    </row>
    <row r="33" spans="1:20" s="141" customFormat="1" ht="13.2">
      <c r="A33" s="1724"/>
      <c r="B33" s="1725"/>
      <c r="C33" s="1706" t="s">
        <v>1274</v>
      </c>
      <c r="D33" s="1706"/>
      <c r="E33" s="1706"/>
      <c r="F33" s="1706"/>
      <c r="G33" s="1715"/>
      <c r="H33" s="1599">
        <v>1</v>
      </c>
      <c r="I33" s="1600"/>
      <c r="J33" s="1706" t="s">
        <v>1279</v>
      </c>
      <c r="K33" s="1706"/>
      <c r="L33" s="1713">
        <v>9600</v>
      </c>
      <c r="M33" s="1713"/>
      <c r="N33" s="1713"/>
      <c r="O33" s="1714">
        <f t="shared" si="2"/>
        <v>9600</v>
      </c>
      <c r="P33" s="1714"/>
      <c r="Q33" s="1714"/>
      <c r="R33" s="1693"/>
      <c r="S33" s="1694"/>
      <c r="T33" s="1695"/>
    </row>
    <row r="34" spans="1:20" s="141" customFormat="1" ht="14.4">
      <c r="A34" s="1724"/>
      <c r="B34" s="1725"/>
      <c r="C34" s="1706" t="s">
        <v>1275</v>
      </c>
      <c r="D34" s="1706"/>
      <c r="E34" s="1706"/>
      <c r="F34" s="1706"/>
      <c r="G34" s="1715"/>
      <c r="H34" s="1599">
        <v>1</v>
      </c>
      <c r="I34" s="1600"/>
      <c r="J34" s="1706" t="s">
        <v>1279</v>
      </c>
      <c r="K34" s="1706"/>
      <c r="L34" s="1713">
        <v>24900</v>
      </c>
      <c r="M34" s="1713"/>
      <c r="N34" s="1713"/>
      <c r="O34" s="1714">
        <f t="shared" si="2"/>
        <v>24900</v>
      </c>
      <c r="P34" s="1714"/>
      <c r="Q34" s="1714"/>
      <c r="R34" s="1693"/>
      <c r="S34" s="1694"/>
      <c r="T34" s="1695"/>
    </row>
    <row r="35" spans="1:20" s="141" customFormat="1" ht="13.2">
      <c r="A35" s="1724"/>
      <c r="B35" s="1725"/>
      <c r="C35" s="1706" t="s">
        <v>1264</v>
      </c>
      <c r="D35" s="1706"/>
      <c r="E35" s="1706"/>
      <c r="F35" s="1706"/>
      <c r="G35" s="1715"/>
      <c r="H35" s="1599">
        <v>1</v>
      </c>
      <c r="I35" s="1600"/>
      <c r="J35" s="1706" t="s">
        <v>1279</v>
      </c>
      <c r="K35" s="1706"/>
      <c r="L35" s="1713">
        <f>L20</f>
        <v>29100</v>
      </c>
      <c r="M35" s="1713"/>
      <c r="N35" s="1713"/>
      <c r="O35" s="1714">
        <f t="shared" si="2"/>
        <v>29100</v>
      </c>
      <c r="P35" s="1714"/>
      <c r="Q35" s="1714"/>
      <c r="R35" s="1693"/>
      <c r="S35" s="1694"/>
      <c r="T35" s="1695"/>
    </row>
    <row r="36" spans="1:20" s="141" customFormat="1" ht="13.2">
      <c r="A36" s="1724"/>
      <c r="B36" s="1725"/>
      <c r="C36" s="1706" t="s">
        <v>1263</v>
      </c>
      <c r="D36" s="1706"/>
      <c r="E36" s="1706"/>
      <c r="F36" s="1706"/>
      <c r="G36" s="1715"/>
      <c r="H36" s="1599">
        <v>1</v>
      </c>
      <c r="I36" s="1600"/>
      <c r="J36" s="1706" t="s">
        <v>1279</v>
      </c>
      <c r="K36" s="1706"/>
      <c r="L36" s="1713">
        <f>L19</f>
        <v>22700</v>
      </c>
      <c r="M36" s="1713"/>
      <c r="N36" s="1713"/>
      <c r="O36" s="1714">
        <f t="shared" si="2"/>
        <v>22700</v>
      </c>
      <c r="P36" s="1714"/>
      <c r="Q36" s="1714"/>
      <c r="R36" s="1693"/>
      <c r="S36" s="1694"/>
      <c r="T36" s="1695"/>
    </row>
    <row r="37" spans="1:20" s="141" customFormat="1" ht="13.2">
      <c r="A37" s="1726"/>
      <c r="B37" s="1727"/>
      <c r="C37" s="1710" t="s">
        <v>1276</v>
      </c>
      <c r="D37" s="1710"/>
      <c r="E37" s="1710"/>
      <c r="F37" s="1710"/>
      <c r="G37" s="1716"/>
      <c r="H37" s="1632">
        <v>1</v>
      </c>
      <c r="I37" s="1633"/>
      <c r="J37" s="1710" t="s">
        <v>1279</v>
      </c>
      <c r="K37" s="1710"/>
      <c r="L37" s="1711">
        <f>L18</f>
        <v>21900</v>
      </c>
      <c r="M37" s="1711"/>
      <c r="N37" s="1711"/>
      <c r="O37" s="1712">
        <f t="shared" si="2"/>
        <v>21900</v>
      </c>
      <c r="P37" s="1712"/>
      <c r="Q37" s="1712"/>
      <c r="R37" s="1696"/>
      <c r="S37" s="1697"/>
      <c r="T37" s="1698"/>
    </row>
    <row r="38" spans="1:20" s="141" customFormat="1" ht="13.2">
      <c r="A38" s="1722" t="s">
        <v>1340</v>
      </c>
      <c r="B38" s="1723"/>
      <c r="C38" s="1707" t="s">
        <v>1229</v>
      </c>
      <c r="D38" s="1707"/>
      <c r="E38" s="1707"/>
      <c r="F38" s="1707"/>
      <c r="G38" s="1717"/>
      <c r="H38" s="1644"/>
      <c r="I38" s="1645"/>
      <c r="J38" s="1707"/>
      <c r="K38" s="1707"/>
      <c r="L38" s="1708"/>
      <c r="M38" s="1708"/>
      <c r="N38" s="1708"/>
      <c r="O38" s="1709">
        <f>SUM(O39:Q40)</f>
        <v>74800</v>
      </c>
      <c r="P38" s="1709"/>
      <c r="Q38" s="1709"/>
      <c r="R38" s="1699"/>
      <c r="S38" s="1700"/>
      <c r="T38" s="1701"/>
    </row>
    <row r="39" spans="1:20" s="141" customFormat="1" ht="13.2">
      <c r="A39" s="1724"/>
      <c r="B39" s="1725"/>
      <c r="C39" s="1706" t="s">
        <v>1277</v>
      </c>
      <c r="D39" s="1706"/>
      <c r="E39" s="1706"/>
      <c r="F39" s="1706"/>
      <c r="G39" s="1715"/>
      <c r="H39" s="1599">
        <v>1</v>
      </c>
      <c r="I39" s="1600"/>
      <c r="J39" s="1706" t="s">
        <v>1279</v>
      </c>
      <c r="K39" s="1706"/>
      <c r="L39" s="1713">
        <v>37400</v>
      </c>
      <c r="M39" s="1713"/>
      <c r="N39" s="1713"/>
      <c r="O39" s="1714">
        <f>H39*L39</f>
        <v>37400</v>
      </c>
      <c r="P39" s="1714"/>
      <c r="Q39" s="1714"/>
      <c r="R39" s="1693"/>
      <c r="S39" s="1694"/>
      <c r="T39" s="1695"/>
    </row>
    <row r="40" spans="1:20" s="141" customFormat="1" ht="13.2">
      <c r="A40" s="1726"/>
      <c r="B40" s="1727"/>
      <c r="C40" s="1710" t="s">
        <v>1278</v>
      </c>
      <c r="D40" s="1710"/>
      <c r="E40" s="1710"/>
      <c r="F40" s="1710"/>
      <c r="G40" s="1716"/>
      <c r="H40" s="1632">
        <v>1</v>
      </c>
      <c r="I40" s="1633"/>
      <c r="J40" s="1710" t="s">
        <v>1279</v>
      </c>
      <c r="K40" s="1710"/>
      <c r="L40" s="1711">
        <v>37400</v>
      </c>
      <c r="M40" s="1711"/>
      <c r="N40" s="1711"/>
      <c r="O40" s="1712">
        <f>H40*L40</f>
        <v>37400</v>
      </c>
      <c r="P40" s="1712"/>
      <c r="Q40" s="1712"/>
      <c r="R40" s="1696"/>
      <c r="S40" s="1697"/>
      <c r="T40" s="1698"/>
    </row>
    <row r="41" spans="1:20" s="141" customFormat="1" ht="13.2"/>
  </sheetData>
  <mergeCells count="240">
    <mergeCell ref="A2:B2"/>
    <mergeCell ref="A3:B9"/>
    <mergeCell ref="A38:B40"/>
    <mergeCell ref="A23:B37"/>
    <mergeCell ref="A10:B22"/>
    <mergeCell ref="C2:G2"/>
    <mergeCell ref="C3:G3"/>
    <mergeCell ref="C4:G4"/>
    <mergeCell ref="C5:G5"/>
    <mergeCell ref="C6:G6"/>
    <mergeCell ref="C40:G40"/>
    <mergeCell ref="C32:G32"/>
    <mergeCell ref="C33:G33"/>
    <mergeCell ref="C34:G34"/>
    <mergeCell ref="C35:G35"/>
    <mergeCell ref="C36:G36"/>
    <mergeCell ref="C37:G37"/>
    <mergeCell ref="C38:G38"/>
    <mergeCell ref="C7:G7"/>
    <mergeCell ref="C8:G8"/>
    <mergeCell ref="C9:G9"/>
    <mergeCell ref="C10:G10"/>
    <mergeCell ref="C11:G11"/>
    <mergeCell ref="C39:G39"/>
    <mergeCell ref="C27:G27"/>
    <mergeCell ref="C28:G28"/>
    <mergeCell ref="C14:G14"/>
    <mergeCell ref="C15:G15"/>
    <mergeCell ref="O2:Q2"/>
    <mergeCell ref="H3:I3"/>
    <mergeCell ref="J3:K3"/>
    <mergeCell ref="L3:N3"/>
    <mergeCell ref="O3:Q3"/>
    <mergeCell ref="O4:Q4"/>
    <mergeCell ref="H10:I10"/>
    <mergeCell ref="H12:I12"/>
    <mergeCell ref="H14:I14"/>
    <mergeCell ref="O11:Q11"/>
    <mergeCell ref="J8:K8"/>
    <mergeCell ref="L8:N8"/>
    <mergeCell ref="O8:Q8"/>
    <mergeCell ref="H9:I9"/>
    <mergeCell ref="J6:K6"/>
    <mergeCell ref="L6:N6"/>
    <mergeCell ref="O6:Q6"/>
    <mergeCell ref="H7:I7"/>
    <mergeCell ref="J7:K7"/>
    <mergeCell ref="L7:N7"/>
    <mergeCell ref="O7:Q7"/>
    <mergeCell ref="H6:I6"/>
    <mergeCell ref="H8:I8"/>
    <mergeCell ref="J4:K4"/>
    <mergeCell ref="L4:N4"/>
    <mergeCell ref="H2:I2"/>
    <mergeCell ref="H4:I4"/>
    <mergeCell ref="H5:I5"/>
    <mergeCell ref="J5:K5"/>
    <mergeCell ref="L5:N5"/>
    <mergeCell ref="J12:K12"/>
    <mergeCell ref="J2:K2"/>
    <mergeCell ref="L2:N2"/>
    <mergeCell ref="C20:G20"/>
    <mergeCell ref="C21:G21"/>
    <mergeCell ref="O5:Q5"/>
    <mergeCell ref="J10:K10"/>
    <mergeCell ref="L10:N10"/>
    <mergeCell ref="O10:Q10"/>
    <mergeCell ref="H11:I11"/>
    <mergeCell ref="J11:K11"/>
    <mergeCell ref="L11:N11"/>
    <mergeCell ref="L9:N9"/>
    <mergeCell ref="O9:Q9"/>
    <mergeCell ref="J9:K9"/>
    <mergeCell ref="C12:G12"/>
    <mergeCell ref="C13:G13"/>
    <mergeCell ref="H16:I16"/>
    <mergeCell ref="C16:G16"/>
    <mergeCell ref="L12:N12"/>
    <mergeCell ref="O12:Q12"/>
    <mergeCell ref="H13:I13"/>
    <mergeCell ref="J13:K13"/>
    <mergeCell ref="L13:N13"/>
    <mergeCell ref="O13:Q13"/>
    <mergeCell ref="C29:G29"/>
    <mergeCell ref="C30:G30"/>
    <mergeCell ref="C31:G31"/>
    <mergeCell ref="J14:K14"/>
    <mergeCell ref="L14:N14"/>
    <mergeCell ref="O14:Q14"/>
    <mergeCell ref="H15:I15"/>
    <mergeCell ref="J15:K15"/>
    <mergeCell ref="L15:N15"/>
    <mergeCell ref="O15:Q15"/>
    <mergeCell ref="C22:G22"/>
    <mergeCell ref="C23:G23"/>
    <mergeCell ref="C24:G24"/>
    <mergeCell ref="C25:G25"/>
    <mergeCell ref="C26:G26"/>
    <mergeCell ref="C17:G17"/>
    <mergeCell ref="C18:G18"/>
    <mergeCell ref="C19:G19"/>
    <mergeCell ref="H23:I23"/>
    <mergeCell ref="J23:K23"/>
    <mergeCell ref="L23:N23"/>
    <mergeCell ref="O23:Q23"/>
    <mergeCell ref="H22:I22"/>
    <mergeCell ref="J16:K16"/>
    <mergeCell ref="L16:N16"/>
    <mergeCell ref="O16:Q16"/>
    <mergeCell ref="H17:I17"/>
    <mergeCell ref="J17:K17"/>
    <mergeCell ref="L17:N17"/>
    <mergeCell ref="O17:Q17"/>
    <mergeCell ref="J18:K18"/>
    <mergeCell ref="L18:N18"/>
    <mergeCell ref="O18:Q18"/>
    <mergeCell ref="H19:I19"/>
    <mergeCell ref="J19:K19"/>
    <mergeCell ref="L19:N19"/>
    <mergeCell ref="O19:Q19"/>
    <mergeCell ref="H18:I18"/>
    <mergeCell ref="J20:K20"/>
    <mergeCell ref="L20:N20"/>
    <mergeCell ref="O20:Q20"/>
    <mergeCell ref="H21:I21"/>
    <mergeCell ref="J21:K21"/>
    <mergeCell ref="L21:N21"/>
    <mergeCell ref="O21:Q21"/>
    <mergeCell ref="H20:I20"/>
    <mergeCell ref="J22:K22"/>
    <mergeCell ref="L22:N22"/>
    <mergeCell ref="O22:Q22"/>
    <mergeCell ref="H25:I25"/>
    <mergeCell ref="J25:K25"/>
    <mergeCell ref="L25:N25"/>
    <mergeCell ref="O25:Q25"/>
    <mergeCell ref="H24:I24"/>
    <mergeCell ref="J26:K26"/>
    <mergeCell ref="L26:N26"/>
    <mergeCell ref="O26:Q26"/>
    <mergeCell ref="H27:I27"/>
    <mergeCell ref="J27:K27"/>
    <mergeCell ref="L27:N27"/>
    <mergeCell ref="O27:Q27"/>
    <mergeCell ref="H26:I26"/>
    <mergeCell ref="H29:I29"/>
    <mergeCell ref="J29:K29"/>
    <mergeCell ref="L29:N29"/>
    <mergeCell ref="O29:Q29"/>
    <mergeCell ref="J30:K30"/>
    <mergeCell ref="L30:N30"/>
    <mergeCell ref="O30:Q30"/>
    <mergeCell ref="H31:I31"/>
    <mergeCell ref="J31:K31"/>
    <mergeCell ref="L31:N31"/>
    <mergeCell ref="O31:Q31"/>
    <mergeCell ref="H30:I30"/>
    <mergeCell ref="H36:I36"/>
    <mergeCell ref="J36:K36"/>
    <mergeCell ref="L36:N36"/>
    <mergeCell ref="O36:Q36"/>
    <mergeCell ref="H37:I37"/>
    <mergeCell ref="J37:K37"/>
    <mergeCell ref="H32:I32"/>
    <mergeCell ref="J32:K32"/>
    <mergeCell ref="L32:N32"/>
    <mergeCell ref="O32:Q32"/>
    <mergeCell ref="H33:I33"/>
    <mergeCell ref="J33:K33"/>
    <mergeCell ref="L33:N33"/>
    <mergeCell ref="O33:Q33"/>
    <mergeCell ref="J34:K34"/>
    <mergeCell ref="L34:N34"/>
    <mergeCell ref="O34:Q34"/>
    <mergeCell ref="H35:I35"/>
    <mergeCell ref="J35:K35"/>
    <mergeCell ref="L35:N35"/>
    <mergeCell ref="O35:Q35"/>
    <mergeCell ref="H34:I34"/>
    <mergeCell ref="L37:N37"/>
    <mergeCell ref="O37:Q37"/>
    <mergeCell ref="R15:T15"/>
    <mergeCell ref="R16:T16"/>
    <mergeCell ref="R17:T17"/>
    <mergeCell ref="R18:T18"/>
    <mergeCell ref="R33:T33"/>
    <mergeCell ref="R24:T24"/>
    <mergeCell ref="R25:T25"/>
    <mergeCell ref="R26:T26"/>
    <mergeCell ref="L28:N28"/>
    <mergeCell ref="O28:Q28"/>
    <mergeCell ref="L24:N24"/>
    <mergeCell ref="O24:Q24"/>
    <mergeCell ref="H38:I38"/>
    <mergeCell ref="J38:K38"/>
    <mergeCell ref="L38:N38"/>
    <mergeCell ref="O38:Q38"/>
    <mergeCell ref="R39:T39"/>
    <mergeCell ref="R40:T40"/>
    <mergeCell ref="H40:I40"/>
    <mergeCell ref="J40:K40"/>
    <mergeCell ref="L40:N40"/>
    <mergeCell ref="O40:Q40"/>
    <mergeCell ref="H39:I39"/>
    <mergeCell ref="J39:K39"/>
    <mergeCell ref="L39:N39"/>
    <mergeCell ref="O39:Q39"/>
    <mergeCell ref="R34:T34"/>
    <mergeCell ref="R35:T35"/>
    <mergeCell ref="R36:T36"/>
    <mergeCell ref="R37:T37"/>
    <mergeCell ref="R38:T38"/>
    <mergeCell ref="R29:T29"/>
    <mergeCell ref="R30:T30"/>
    <mergeCell ref="R31:T31"/>
    <mergeCell ref="R32:T32"/>
    <mergeCell ref="R14:T14"/>
    <mergeCell ref="R27:T27"/>
    <mergeCell ref="R28:T28"/>
    <mergeCell ref="R19:T19"/>
    <mergeCell ref="R20:T20"/>
    <mergeCell ref="R21:T21"/>
    <mergeCell ref="R22:T22"/>
    <mergeCell ref="R23:T23"/>
    <mergeCell ref="A1:T1"/>
    <mergeCell ref="R8:T8"/>
    <mergeCell ref="R9:T9"/>
    <mergeCell ref="R10:T10"/>
    <mergeCell ref="R11:T11"/>
    <mergeCell ref="R12:T12"/>
    <mergeCell ref="R13:T13"/>
    <mergeCell ref="R2:T2"/>
    <mergeCell ref="R3:T3"/>
    <mergeCell ref="R4:T4"/>
    <mergeCell ref="R5:T5"/>
    <mergeCell ref="R6:T6"/>
    <mergeCell ref="R7:T7"/>
    <mergeCell ref="H28:I28"/>
    <mergeCell ref="J28:K28"/>
    <mergeCell ref="J24:K24"/>
  </mergeCells>
  <phoneticPr fontId="2" type="noConversion"/>
  <pageMargins left="0.47244094488188981" right="0.31496062992125984" top="0.59055118110236227" bottom="0.31496062992125984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F59"/>
  <sheetViews>
    <sheetView view="pageBreakPreview" zoomScale="145" zoomScaleNormal="100" zoomScaleSheetLayoutView="145" workbookViewId="0">
      <selection activeCell="Q9" sqref="Q9"/>
    </sheetView>
  </sheetViews>
  <sheetFormatPr defaultColWidth="4.3984375" defaultRowHeight="13.2"/>
  <cols>
    <col min="1" max="22" width="5.09765625" style="617" customWidth="1"/>
    <col min="23" max="16384" width="4.3984375" style="617"/>
  </cols>
  <sheetData>
    <row r="1" spans="1:22" ht="25.2">
      <c r="A1" s="648" t="s">
        <v>1436</v>
      </c>
      <c r="B1" s="648"/>
      <c r="C1" s="648"/>
      <c r="D1" s="648"/>
      <c r="E1" s="648"/>
      <c r="F1" s="648"/>
      <c r="G1" s="648"/>
      <c r="H1" s="648"/>
      <c r="I1" s="648"/>
      <c r="J1" s="648"/>
      <c r="K1" s="648"/>
      <c r="L1" s="648"/>
      <c r="M1" s="648"/>
      <c r="N1" s="648"/>
      <c r="O1" s="648"/>
      <c r="P1" s="648"/>
      <c r="Q1" s="648"/>
      <c r="R1" s="648"/>
      <c r="S1" s="648"/>
      <c r="T1" s="648"/>
      <c r="U1" s="648"/>
      <c r="V1" s="672" t="s">
        <v>1512</v>
      </c>
    </row>
    <row r="2" spans="1:22" s="587" customFormat="1">
      <c r="A2" s="1741" t="s">
        <v>1429</v>
      </c>
      <c r="B2" s="1742"/>
      <c r="C2" s="1742"/>
      <c r="D2" s="1742"/>
      <c r="E2" s="1742"/>
      <c r="F2" s="1742"/>
      <c r="G2" s="1742"/>
      <c r="H2" s="1742"/>
      <c r="I2" s="1743"/>
      <c r="J2" s="1738" t="s">
        <v>1430</v>
      </c>
      <c r="K2" s="1739"/>
      <c r="L2" s="1739"/>
      <c r="M2" s="1739"/>
      <c r="N2" s="1739"/>
      <c r="O2" s="1740"/>
      <c r="P2" s="1738" t="s">
        <v>1431</v>
      </c>
      <c r="Q2" s="1739"/>
      <c r="R2" s="1739"/>
      <c r="S2" s="1739"/>
      <c r="T2" s="1739"/>
      <c r="U2" s="1740"/>
      <c r="V2" s="1736" t="s">
        <v>1432</v>
      </c>
    </row>
    <row r="3" spans="1:22" s="587" customFormat="1" ht="39.6">
      <c r="A3" s="1744"/>
      <c r="B3" s="1745"/>
      <c r="C3" s="1745"/>
      <c r="D3" s="1745"/>
      <c r="E3" s="1745"/>
      <c r="F3" s="1745"/>
      <c r="G3" s="1745"/>
      <c r="H3" s="1745"/>
      <c r="I3" s="1746"/>
      <c r="J3" s="670" t="s">
        <v>1420</v>
      </c>
      <c r="K3" s="671" t="s">
        <v>1425</v>
      </c>
      <c r="L3" s="671" t="s">
        <v>1421</v>
      </c>
      <c r="M3" s="671" t="s">
        <v>1422</v>
      </c>
      <c r="N3" s="671" t="s">
        <v>1423</v>
      </c>
      <c r="O3" s="671" t="s">
        <v>1424</v>
      </c>
      <c r="P3" s="670" t="s">
        <v>1420</v>
      </c>
      <c r="Q3" s="671" t="s">
        <v>1413</v>
      </c>
      <c r="R3" s="671" t="s">
        <v>1421</v>
      </c>
      <c r="S3" s="671" t="s">
        <v>1422</v>
      </c>
      <c r="T3" s="671" t="s">
        <v>1423</v>
      </c>
      <c r="U3" s="671" t="s">
        <v>1424</v>
      </c>
      <c r="V3" s="1737"/>
    </row>
    <row r="4" spans="1:22" s="587" customFormat="1">
      <c r="A4" s="654" t="s">
        <v>1426</v>
      </c>
      <c r="B4" s="623"/>
      <c r="C4" s="623"/>
      <c r="D4" s="623"/>
      <c r="E4" s="623"/>
      <c r="F4" s="623"/>
      <c r="G4" s="623"/>
      <c r="H4" s="662"/>
      <c r="I4" s="662"/>
      <c r="J4" s="663">
        <f t="shared" ref="J4:U4" si="0">SUM(J5:J6)</f>
        <v>0.60000000000000009</v>
      </c>
      <c r="K4" s="664">
        <f t="shared" si="0"/>
        <v>1</v>
      </c>
      <c r="L4" s="664">
        <f t="shared" si="0"/>
        <v>2</v>
      </c>
      <c r="M4" s="664">
        <f t="shared" si="0"/>
        <v>3</v>
      </c>
      <c r="N4" s="664">
        <f t="shared" si="0"/>
        <v>5</v>
      </c>
      <c r="O4" s="664">
        <f t="shared" si="0"/>
        <v>6</v>
      </c>
      <c r="P4" s="716">
        <f t="shared" si="0"/>
        <v>0.05</v>
      </c>
      <c r="Q4" s="717">
        <f t="shared" si="0"/>
        <v>7.0000000000000007E-2</v>
      </c>
      <c r="R4" s="717">
        <f t="shared" si="0"/>
        <v>0.15</v>
      </c>
      <c r="S4" s="717">
        <f t="shared" si="0"/>
        <v>0.22</v>
      </c>
      <c r="T4" s="717">
        <f t="shared" si="0"/>
        <v>0.37</v>
      </c>
      <c r="U4" s="717">
        <f t="shared" si="0"/>
        <v>0.43</v>
      </c>
      <c r="V4" s="665"/>
    </row>
    <row r="5" spans="1:22">
      <c r="A5" s="548" t="s">
        <v>1393</v>
      </c>
      <c r="B5" s="625"/>
      <c r="C5" s="625"/>
      <c r="D5" s="625"/>
      <c r="E5" s="625"/>
      <c r="F5" s="625"/>
      <c r="G5" s="625"/>
      <c r="H5" s="549"/>
      <c r="I5" s="549"/>
      <c r="J5" s="649">
        <v>0.4</v>
      </c>
      <c r="K5" s="650">
        <v>0.6</v>
      </c>
      <c r="L5" s="650">
        <v>1.2</v>
      </c>
      <c r="M5" s="650">
        <v>1.8</v>
      </c>
      <c r="N5" s="650">
        <v>3</v>
      </c>
      <c r="O5" s="650">
        <v>3.5</v>
      </c>
      <c r="P5" s="718">
        <f t="shared" ref="P5:U6" si="1">ROUND(J5*$T$28*$V5,2)</f>
        <v>0.05</v>
      </c>
      <c r="Q5" s="719">
        <f t="shared" si="1"/>
        <v>7.0000000000000007E-2</v>
      </c>
      <c r="R5" s="719">
        <f t="shared" si="1"/>
        <v>0.15</v>
      </c>
      <c r="S5" s="719">
        <f t="shared" si="1"/>
        <v>0.22</v>
      </c>
      <c r="T5" s="719">
        <f t="shared" si="1"/>
        <v>0.37</v>
      </c>
      <c r="U5" s="720">
        <f t="shared" si="1"/>
        <v>0.43</v>
      </c>
      <c r="V5" s="748">
        <v>0.1</v>
      </c>
    </row>
    <row r="6" spans="1:22">
      <c r="A6" s="548" t="s">
        <v>1394</v>
      </c>
      <c r="B6" s="625"/>
      <c r="C6" s="625"/>
      <c r="D6" s="625"/>
      <c r="E6" s="625"/>
      <c r="F6" s="625"/>
      <c r="G6" s="625"/>
      <c r="H6" s="549"/>
      <c r="I6" s="549"/>
      <c r="J6" s="649">
        <v>0.2</v>
      </c>
      <c r="K6" s="650">
        <v>0.4</v>
      </c>
      <c r="L6" s="650">
        <v>0.8</v>
      </c>
      <c r="M6" s="650">
        <v>1.2</v>
      </c>
      <c r="N6" s="650">
        <v>2</v>
      </c>
      <c r="O6" s="650">
        <v>2.5</v>
      </c>
      <c r="P6" s="718">
        <f t="shared" si="1"/>
        <v>0</v>
      </c>
      <c r="Q6" s="719">
        <f t="shared" si="1"/>
        <v>0</v>
      </c>
      <c r="R6" s="719">
        <f t="shared" si="1"/>
        <v>0</v>
      </c>
      <c r="S6" s="719">
        <f t="shared" si="1"/>
        <v>0</v>
      </c>
      <c r="T6" s="719">
        <f t="shared" si="1"/>
        <v>0</v>
      </c>
      <c r="U6" s="720">
        <f t="shared" si="1"/>
        <v>0</v>
      </c>
      <c r="V6" s="748">
        <v>0</v>
      </c>
    </row>
    <row r="7" spans="1:22" s="587" customFormat="1">
      <c r="A7" s="655" t="s">
        <v>1427</v>
      </c>
      <c r="B7" s="621"/>
      <c r="C7" s="621"/>
      <c r="D7" s="621"/>
      <c r="E7" s="621"/>
      <c r="F7" s="621"/>
      <c r="G7" s="621"/>
      <c r="H7" s="656"/>
      <c r="I7" s="656"/>
      <c r="J7" s="657">
        <f t="shared" ref="J7:U7" si="2">SUM(J8:J16)</f>
        <v>2.4</v>
      </c>
      <c r="K7" s="658">
        <f t="shared" si="2"/>
        <v>7.9999999999999991</v>
      </c>
      <c r="L7" s="658">
        <f t="shared" si="2"/>
        <v>23.999999999999996</v>
      </c>
      <c r="M7" s="658">
        <f t="shared" si="2"/>
        <v>30</v>
      </c>
      <c r="N7" s="658">
        <f t="shared" si="2"/>
        <v>60</v>
      </c>
      <c r="O7" s="658">
        <f t="shared" si="2"/>
        <v>76</v>
      </c>
      <c r="P7" s="721">
        <f t="shared" si="2"/>
        <v>0.1</v>
      </c>
      <c r="Q7" s="722">
        <f t="shared" si="2"/>
        <v>0.31</v>
      </c>
      <c r="R7" s="722">
        <f t="shared" si="2"/>
        <v>0.86999999999999988</v>
      </c>
      <c r="S7" s="722">
        <f t="shared" si="2"/>
        <v>1.1099999999999999</v>
      </c>
      <c r="T7" s="722">
        <f t="shared" si="2"/>
        <v>2.19</v>
      </c>
      <c r="U7" s="723">
        <f t="shared" si="2"/>
        <v>3.12</v>
      </c>
      <c r="V7" s="749"/>
    </row>
    <row r="8" spans="1:22">
      <c r="A8" s="624" t="s">
        <v>1395</v>
      </c>
      <c r="B8" s="625"/>
      <c r="C8" s="625"/>
      <c r="D8" s="625"/>
      <c r="E8" s="549"/>
      <c r="F8" s="625"/>
      <c r="G8" s="625"/>
      <c r="H8" s="549"/>
      <c r="I8" s="549"/>
      <c r="J8" s="649">
        <v>0.4</v>
      </c>
      <c r="K8" s="650">
        <v>1</v>
      </c>
      <c r="L8" s="650">
        <v>2.4</v>
      </c>
      <c r="M8" s="650">
        <v>3</v>
      </c>
      <c r="N8" s="650">
        <v>6</v>
      </c>
      <c r="O8" s="650">
        <v>8.5</v>
      </c>
      <c r="P8" s="718">
        <f t="shared" ref="P8:P16" si="3">ROUND(J8*$T$28*$V8,2)</f>
        <v>0</v>
      </c>
      <c r="Q8" s="719">
        <f t="shared" ref="Q8:Q16" si="4">ROUND(K8*$T$28*$V8,2)</f>
        <v>0</v>
      </c>
      <c r="R8" s="719">
        <f t="shared" ref="R8:R16" si="5">ROUND(L8*$T$28*$V8,2)</f>
        <v>0</v>
      </c>
      <c r="S8" s="719">
        <f t="shared" ref="S8:S16" si="6">ROUND(M8*$T$28*$V8,2)</f>
        <v>0</v>
      </c>
      <c r="T8" s="719">
        <f t="shared" ref="T8:T16" si="7">ROUND(N8*$T$28*$V8,2)</f>
        <v>0</v>
      </c>
      <c r="U8" s="720">
        <f t="shared" ref="U8:U16" si="8">ROUND(O8*$T$28*$V8,2)</f>
        <v>0</v>
      </c>
      <c r="V8" s="748">
        <v>0</v>
      </c>
    </row>
    <row r="9" spans="1:22">
      <c r="A9" s="624" t="s">
        <v>1396</v>
      </c>
      <c r="B9" s="625"/>
      <c r="C9" s="625"/>
      <c r="D9" s="625"/>
      <c r="E9" s="625"/>
      <c r="F9" s="625"/>
      <c r="G9" s="625"/>
      <c r="H9" s="549"/>
      <c r="I9" s="549"/>
      <c r="J9" s="649">
        <v>0.6</v>
      </c>
      <c r="K9" s="650">
        <v>1</v>
      </c>
      <c r="L9" s="650">
        <v>6</v>
      </c>
      <c r="M9" s="650">
        <v>7</v>
      </c>
      <c r="N9" s="650">
        <v>15</v>
      </c>
      <c r="O9" s="650">
        <v>12</v>
      </c>
      <c r="P9" s="718">
        <f t="shared" si="3"/>
        <v>0</v>
      </c>
      <c r="Q9" s="719">
        <f t="shared" si="4"/>
        <v>0</v>
      </c>
      <c r="R9" s="719">
        <f t="shared" si="5"/>
        <v>0</v>
      </c>
      <c r="S9" s="719">
        <f t="shared" si="6"/>
        <v>0</v>
      </c>
      <c r="T9" s="719">
        <f t="shared" si="7"/>
        <v>0</v>
      </c>
      <c r="U9" s="720">
        <f t="shared" si="8"/>
        <v>0</v>
      </c>
      <c r="V9" s="748">
        <v>0</v>
      </c>
    </row>
    <row r="10" spans="1:22">
      <c r="A10" s="624" t="s">
        <v>1397</v>
      </c>
      <c r="B10" s="625"/>
      <c r="C10" s="625"/>
      <c r="D10" s="625"/>
      <c r="E10" s="625"/>
      <c r="F10" s="625"/>
      <c r="G10" s="625"/>
      <c r="H10" s="549"/>
      <c r="I10" s="549"/>
      <c r="J10" s="649">
        <v>0.4</v>
      </c>
      <c r="K10" s="650">
        <v>1</v>
      </c>
      <c r="L10" s="650">
        <v>2.4</v>
      </c>
      <c r="M10" s="650">
        <v>3</v>
      </c>
      <c r="N10" s="650">
        <v>6</v>
      </c>
      <c r="O10" s="650">
        <v>8.5</v>
      </c>
      <c r="P10" s="718">
        <f t="shared" si="3"/>
        <v>0.05</v>
      </c>
      <c r="Q10" s="719">
        <f t="shared" si="4"/>
        <v>0.12</v>
      </c>
      <c r="R10" s="719">
        <f t="shared" si="5"/>
        <v>0.28999999999999998</v>
      </c>
      <c r="S10" s="719">
        <f t="shared" si="6"/>
        <v>0.37</v>
      </c>
      <c r="T10" s="719">
        <f t="shared" si="7"/>
        <v>0.73</v>
      </c>
      <c r="U10" s="720">
        <f t="shared" si="8"/>
        <v>1.04</v>
      </c>
      <c r="V10" s="748">
        <v>0.1</v>
      </c>
    </row>
    <row r="11" spans="1:22">
      <c r="A11" s="624" t="s">
        <v>1398</v>
      </c>
      <c r="B11" s="625"/>
      <c r="C11" s="625"/>
      <c r="D11" s="625"/>
      <c r="E11" s="625"/>
      <c r="F11" s="625"/>
      <c r="G11" s="625"/>
      <c r="H11" s="549"/>
      <c r="I11" s="549"/>
      <c r="J11" s="702">
        <v>0.6</v>
      </c>
      <c r="K11" s="703">
        <v>0.6</v>
      </c>
      <c r="L11" s="703">
        <v>1.2</v>
      </c>
      <c r="M11" s="703">
        <v>2</v>
      </c>
      <c r="N11" s="703">
        <v>3</v>
      </c>
      <c r="O11" s="703">
        <v>4.5</v>
      </c>
      <c r="P11" s="719">
        <f t="shared" si="3"/>
        <v>0</v>
      </c>
      <c r="Q11" s="719">
        <f t="shared" si="4"/>
        <v>0</v>
      </c>
      <c r="R11" s="719">
        <f t="shared" si="5"/>
        <v>0</v>
      </c>
      <c r="S11" s="719">
        <f t="shared" si="6"/>
        <v>0</v>
      </c>
      <c r="T11" s="719">
        <f t="shared" si="7"/>
        <v>0</v>
      </c>
      <c r="U11" s="724">
        <f t="shared" si="8"/>
        <v>0</v>
      </c>
      <c r="V11" s="748">
        <v>0</v>
      </c>
    </row>
    <row r="12" spans="1:22">
      <c r="A12" s="624" t="s">
        <v>1399</v>
      </c>
      <c r="B12" s="625"/>
      <c r="C12" s="625"/>
      <c r="D12" s="625"/>
      <c r="E12" s="625"/>
      <c r="F12" s="625"/>
      <c r="G12" s="625"/>
      <c r="H12" s="549"/>
      <c r="I12" s="549"/>
      <c r="J12" s="702">
        <v>0</v>
      </c>
      <c r="K12" s="703">
        <v>1</v>
      </c>
      <c r="L12" s="703">
        <v>2.4</v>
      </c>
      <c r="M12" s="703">
        <v>3</v>
      </c>
      <c r="N12" s="703">
        <v>6</v>
      </c>
      <c r="O12" s="703">
        <v>8.5</v>
      </c>
      <c r="P12" s="719">
        <f t="shared" si="3"/>
        <v>0</v>
      </c>
      <c r="Q12" s="719">
        <f t="shared" si="4"/>
        <v>0</v>
      </c>
      <c r="R12" s="719">
        <f t="shared" si="5"/>
        <v>0</v>
      </c>
      <c r="S12" s="719">
        <f t="shared" si="6"/>
        <v>0</v>
      </c>
      <c r="T12" s="719">
        <f t="shared" si="7"/>
        <v>0</v>
      </c>
      <c r="U12" s="724">
        <f t="shared" si="8"/>
        <v>0</v>
      </c>
      <c r="V12" s="748">
        <v>0</v>
      </c>
    </row>
    <row r="13" spans="1:22">
      <c r="A13" s="706" t="s">
        <v>1400</v>
      </c>
      <c r="B13" s="707"/>
      <c r="C13" s="707"/>
      <c r="D13" s="707"/>
      <c r="E13" s="707"/>
      <c r="F13" s="707"/>
      <c r="G13" s="707"/>
      <c r="H13" s="549"/>
      <c r="I13" s="549"/>
      <c r="J13" s="702">
        <v>0.4</v>
      </c>
      <c r="K13" s="703">
        <v>1</v>
      </c>
      <c r="L13" s="703">
        <v>2.4</v>
      </c>
      <c r="M13" s="703">
        <v>3</v>
      </c>
      <c r="N13" s="703">
        <v>6</v>
      </c>
      <c r="O13" s="703">
        <v>8.5</v>
      </c>
      <c r="P13" s="719">
        <f t="shared" si="3"/>
        <v>0.05</v>
      </c>
      <c r="Q13" s="719">
        <f t="shared" si="4"/>
        <v>0.12</v>
      </c>
      <c r="R13" s="719">
        <f t="shared" si="5"/>
        <v>0.28999999999999998</v>
      </c>
      <c r="S13" s="719">
        <f t="shared" si="6"/>
        <v>0.37</v>
      </c>
      <c r="T13" s="719">
        <f t="shared" si="7"/>
        <v>0.73</v>
      </c>
      <c r="U13" s="724">
        <f t="shared" si="8"/>
        <v>1.04</v>
      </c>
      <c r="V13" s="748">
        <v>0.1</v>
      </c>
    </row>
    <row r="14" spans="1:22">
      <c r="A14" s="706" t="s">
        <v>1401</v>
      </c>
      <c r="B14" s="707"/>
      <c r="C14" s="707"/>
      <c r="D14" s="707"/>
      <c r="E14" s="707"/>
      <c r="F14" s="707"/>
      <c r="G14" s="707"/>
      <c r="H14" s="549"/>
      <c r="I14" s="549"/>
      <c r="J14" s="702">
        <v>0</v>
      </c>
      <c r="K14" s="703">
        <v>1.2</v>
      </c>
      <c r="L14" s="703">
        <v>2.4</v>
      </c>
      <c r="M14" s="703">
        <v>3</v>
      </c>
      <c r="N14" s="703">
        <v>6</v>
      </c>
      <c r="O14" s="703">
        <v>8.5</v>
      </c>
      <c r="P14" s="719">
        <f t="shared" si="3"/>
        <v>0</v>
      </c>
      <c r="Q14" s="719">
        <f t="shared" si="4"/>
        <v>0</v>
      </c>
      <c r="R14" s="719">
        <f t="shared" si="5"/>
        <v>0</v>
      </c>
      <c r="S14" s="719">
        <f t="shared" si="6"/>
        <v>0</v>
      </c>
      <c r="T14" s="719">
        <f t="shared" si="7"/>
        <v>0</v>
      </c>
      <c r="U14" s="724">
        <f t="shared" si="8"/>
        <v>0</v>
      </c>
      <c r="V14" s="748">
        <v>0</v>
      </c>
    </row>
    <row r="15" spans="1:22">
      <c r="A15" s="706" t="s">
        <v>1402</v>
      </c>
      <c r="B15" s="707"/>
      <c r="C15" s="707"/>
      <c r="D15" s="707"/>
      <c r="E15" s="707"/>
      <c r="F15" s="707"/>
      <c r="G15" s="707"/>
      <c r="H15" s="549"/>
      <c r="I15" s="549"/>
      <c r="J15" s="702">
        <v>0</v>
      </c>
      <c r="K15" s="703">
        <v>0.6</v>
      </c>
      <c r="L15" s="703">
        <v>2.4</v>
      </c>
      <c r="M15" s="703">
        <v>3</v>
      </c>
      <c r="N15" s="703">
        <v>6</v>
      </c>
      <c r="O15" s="703">
        <v>8.5</v>
      </c>
      <c r="P15" s="719">
        <f t="shared" si="3"/>
        <v>0</v>
      </c>
      <c r="Q15" s="719">
        <f t="shared" si="4"/>
        <v>0</v>
      </c>
      <c r="R15" s="719">
        <f t="shared" si="5"/>
        <v>0</v>
      </c>
      <c r="S15" s="719">
        <f t="shared" si="6"/>
        <v>0</v>
      </c>
      <c r="T15" s="719">
        <f t="shared" si="7"/>
        <v>0</v>
      </c>
      <c r="U15" s="724">
        <f t="shared" si="8"/>
        <v>0</v>
      </c>
      <c r="V15" s="748">
        <v>0</v>
      </c>
    </row>
    <row r="16" spans="1:22">
      <c r="A16" s="706" t="s">
        <v>1403</v>
      </c>
      <c r="B16" s="707"/>
      <c r="C16" s="707"/>
      <c r="D16" s="707"/>
      <c r="E16" s="707"/>
      <c r="F16" s="707"/>
      <c r="G16" s="707"/>
      <c r="H16" s="549"/>
      <c r="I16" s="549"/>
      <c r="J16" s="702">
        <v>0</v>
      </c>
      <c r="K16" s="703">
        <v>0.6</v>
      </c>
      <c r="L16" s="703">
        <v>2.4</v>
      </c>
      <c r="M16" s="703">
        <v>3</v>
      </c>
      <c r="N16" s="703">
        <v>6</v>
      </c>
      <c r="O16" s="703">
        <v>8.5</v>
      </c>
      <c r="P16" s="719">
        <f t="shared" si="3"/>
        <v>0</v>
      </c>
      <c r="Q16" s="719">
        <f t="shared" si="4"/>
        <v>7.0000000000000007E-2</v>
      </c>
      <c r="R16" s="719">
        <f t="shared" si="5"/>
        <v>0.28999999999999998</v>
      </c>
      <c r="S16" s="719">
        <f t="shared" si="6"/>
        <v>0.37</v>
      </c>
      <c r="T16" s="719">
        <f t="shared" si="7"/>
        <v>0.73</v>
      </c>
      <c r="U16" s="724">
        <f t="shared" si="8"/>
        <v>1.04</v>
      </c>
      <c r="V16" s="748">
        <v>0.1</v>
      </c>
    </row>
    <row r="17" spans="1:32">
      <c r="A17" s="655" t="s">
        <v>1504</v>
      </c>
      <c r="B17" s="708"/>
      <c r="C17" s="708"/>
      <c r="D17" s="708"/>
      <c r="E17" s="708"/>
      <c r="F17" s="708"/>
      <c r="G17" s="708"/>
      <c r="H17" s="656"/>
      <c r="I17" s="656"/>
      <c r="J17" s="704">
        <f t="shared" ref="J17:U17" si="9">SUM(J18:J19)</f>
        <v>0.60000000000000009</v>
      </c>
      <c r="K17" s="705">
        <f t="shared" si="9"/>
        <v>1</v>
      </c>
      <c r="L17" s="705">
        <f t="shared" si="9"/>
        <v>2</v>
      </c>
      <c r="M17" s="705">
        <f t="shared" si="9"/>
        <v>3</v>
      </c>
      <c r="N17" s="705">
        <f t="shared" si="9"/>
        <v>5</v>
      </c>
      <c r="O17" s="705">
        <f t="shared" si="9"/>
        <v>6</v>
      </c>
      <c r="P17" s="722">
        <f t="shared" si="9"/>
        <v>7.0000000000000007E-2</v>
      </c>
      <c r="Q17" s="722">
        <f t="shared" si="9"/>
        <v>0.12000000000000001</v>
      </c>
      <c r="R17" s="722">
        <f t="shared" si="9"/>
        <v>0.25</v>
      </c>
      <c r="S17" s="722">
        <f t="shared" si="9"/>
        <v>0.37</v>
      </c>
      <c r="T17" s="722">
        <f t="shared" si="9"/>
        <v>0.61</v>
      </c>
      <c r="U17" s="725">
        <f t="shared" si="9"/>
        <v>0.74</v>
      </c>
      <c r="V17" s="749"/>
    </row>
    <row r="18" spans="1:32">
      <c r="A18" s="548" t="s">
        <v>1505</v>
      </c>
      <c r="B18" s="707"/>
      <c r="C18" s="707"/>
      <c r="D18" s="707"/>
      <c r="E18" s="707"/>
      <c r="F18" s="707"/>
      <c r="G18" s="707"/>
      <c r="H18" s="549"/>
      <c r="I18" s="549"/>
      <c r="J18" s="702">
        <v>0.4</v>
      </c>
      <c r="K18" s="703">
        <v>0.6</v>
      </c>
      <c r="L18" s="703">
        <v>1.2</v>
      </c>
      <c r="M18" s="703">
        <v>1.8</v>
      </c>
      <c r="N18" s="703">
        <v>3</v>
      </c>
      <c r="O18" s="703">
        <v>3.5</v>
      </c>
      <c r="P18" s="719">
        <f t="shared" ref="P18:U19" si="10">ROUND(J18*$T$28*$V18,2)</f>
        <v>0.05</v>
      </c>
      <c r="Q18" s="719">
        <f t="shared" si="10"/>
        <v>7.0000000000000007E-2</v>
      </c>
      <c r="R18" s="719">
        <f t="shared" si="10"/>
        <v>0.15</v>
      </c>
      <c r="S18" s="719">
        <f t="shared" si="10"/>
        <v>0.22</v>
      </c>
      <c r="T18" s="719">
        <f t="shared" si="10"/>
        <v>0.37</v>
      </c>
      <c r="U18" s="724">
        <f t="shared" si="10"/>
        <v>0.43</v>
      </c>
      <c r="V18" s="748">
        <v>0.1</v>
      </c>
    </row>
    <row r="19" spans="1:32">
      <c r="A19" s="548" t="s">
        <v>1506</v>
      </c>
      <c r="B19" s="707"/>
      <c r="C19" s="707"/>
      <c r="D19" s="707"/>
      <c r="E19" s="707"/>
      <c r="F19" s="707"/>
      <c r="G19" s="707"/>
      <c r="H19" s="549"/>
      <c r="I19" s="549"/>
      <c r="J19" s="702">
        <v>0.2</v>
      </c>
      <c r="K19" s="703">
        <v>0.4</v>
      </c>
      <c r="L19" s="703">
        <v>0.8</v>
      </c>
      <c r="M19" s="703">
        <v>1.2</v>
      </c>
      <c r="N19" s="703">
        <v>2</v>
      </c>
      <c r="O19" s="703">
        <v>2.5</v>
      </c>
      <c r="P19" s="719">
        <f t="shared" si="10"/>
        <v>0.02</v>
      </c>
      <c r="Q19" s="719">
        <f t="shared" si="10"/>
        <v>0.05</v>
      </c>
      <c r="R19" s="719">
        <f t="shared" si="10"/>
        <v>0.1</v>
      </c>
      <c r="S19" s="719">
        <f t="shared" si="10"/>
        <v>0.15</v>
      </c>
      <c r="T19" s="719">
        <f t="shared" si="10"/>
        <v>0.24</v>
      </c>
      <c r="U19" s="724">
        <f t="shared" si="10"/>
        <v>0.31</v>
      </c>
      <c r="V19" s="748">
        <v>0.1</v>
      </c>
    </row>
    <row r="20" spans="1:32">
      <c r="A20" s="655" t="s">
        <v>1507</v>
      </c>
      <c r="B20" s="708"/>
      <c r="C20" s="708"/>
      <c r="D20" s="708"/>
      <c r="E20" s="708"/>
      <c r="F20" s="708"/>
      <c r="G20" s="708"/>
      <c r="H20" s="656"/>
      <c r="I20" s="656"/>
      <c r="J20" s="704">
        <f>SUM(J21:J24)</f>
        <v>2</v>
      </c>
      <c r="K20" s="705">
        <f t="shared" ref="K20:U20" si="11">SUM(K21:K24)</f>
        <v>3.6</v>
      </c>
      <c r="L20" s="705">
        <f t="shared" si="11"/>
        <v>12</v>
      </c>
      <c r="M20" s="705">
        <f t="shared" si="11"/>
        <v>15</v>
      </c>
      <c r="N20" s="705">
        <f t="shared" si="11"/>
        <v>30</v>
      </c>
      <c r="O20" s="705">
        <f t="shared" si="11"/>
        <v>33.5</v>
      </c>
      <c r="P20" s="722">
        <f t="shared" si="11"/>
        <v>0.12000000000000001</v>
      </c>
      <c r="Q20" s="722">
        <f t="shared" si="11"/>
        <v>0.19</v>
      </c>
      <c r="R20" s="722">
        <f t="shared" si="11"/>
        <v>0.43999999999999995</v>
      </c>
      <c r="S20" s="722">
        <f t="shared" si="11"/>
        <v>0.61</v>
      </c>
      <c r="T20" s="722">
        <f t="shared" si="11"/>
        <v>1.1000000000000001</v>
      </c>
      <c r="U20" s="725">
        <f t="shared" si="11"/>
        <v>1.59</v>
      </c>
      <c r="V20" s="749"/>
    </row>
    <row r="21" spans="1:32">
      <c r="A21" s="706" t="s">
        <v>1508</v>
      </c>
      <c r="B21" s="707"/>
      <c r="C21" s="707"/>
      <c r="D21" s="707"/>
      <c r="E21" s="549"/>
      <c r="F21" s="707"/>
      <c r="G21" s="707"/>
      <c r="H21" s="549"/>
      <c r="I21" s="549"/>
      <c r="J21" s="702">
        <v>0.4</v>
      </c>
      <c r="K21" s="703">
        <v>1</v>
      </c>
      <c r="L21" s="703">
        <v>2.4</v>
      </c>
      <c r="M21" s="703">
        <v>3</v>
      </c>
      <c r="N21" s="703">
        <v>6</v>
      </c>
      <c r="O21" s="703">
        <v>8.5</v>
      </c>
      <c r="P21" s="719">
        <f t="shared" ref="P21:U24" si="12">ROUND(J21*$T$28*$V21,2)</f>
        <v>0</v>
      </c>
      <c r="Q21" s="719">
        <f t="shared" si="12"/>
        <v>0</v>
      </c>
      <c r="R21" s="719">
        <f t="shared" si="12"/>
        <v>0</v>
      </c>
      <c r="S21" s="719">
        <f t="shared" si="12"/>
        <v>0</v>
      </c>
      <c r="T21" s="719">
        <f t="shared" si="12"/>
        <v>0</v>
      </c>
      <c r="U21" s="724">
        <f t="shared" si="12"/>
        <v>0</v>
      </c>
      <c r="V21" s="748">
        <v>0</v>
      </c>
    </row>
    <row r="22" spans="1:32">
      <c r="A22" s="706" t="s">
        <v>1509</v>
      </c>
      <c r="B22" s="707"/>
      <c r="C22" s="707"/>
      <c r="D22" s="707"/>
      <c r="E22" s="707"/>
      <c r="F22" s="707"/>
      <c r="G22" s="707"/>
      <c r="H22" s="549"/>
      <c r="I22" s="549"/>
      <c r="J22" s="702">
        <v>0.6</v>
      </c>
      <c r="K22" s="703">
        <v>1</v>
      </c>
      <c r="L22" s="703">
        <v>6</v>
      </c>
      <c r="M22" s="703">
        <v>7</v>
      </c>
      <c r="N22" s="703">
        <v>15</v>
      </c>
      <c r="O22" s="703">
        <v>12</v>
      </c>
      <c r="P22" s="719">
        <f t="shared" si="12"/>
        <v>0</v>
      </c>
      <c r="Q22" s="719">
        <f t="shared" si="12"/>
        <v>0</v>
      </c>
      <c r="R22" s="719">
        <f t="shared" si="12"/>
        <v>0</v>
      </c>
      <c r="S22" s="719">
        <f t="shared" si="12"/>
        <v>0</v>
      </c>
      <c r="T22" s="719">
        <f t="shared" si="12"/>
        <v>0</v>
      </c>
      <c r="U22" s="724">
        <f t="shared" si="12"/>
        <v>0</v>
      </c>
      <c r="V22" s="748">
        <v>0</v>
      </c>
    </row>
    <row r="23" spans="1:32">
      <c r="A23" s="706" t="s">
        <v>1510</v>
      </c>
      <c r="B23" s="707"/>
      <c r="C23" s="707"/>
      <c r="D23" s="707"/>
      <c r="E23" s="707"/>
      <c r="F23" s="707"/>
      <c r="G23" s="707"/>
      <c r="H23" s="549"/>
      <c r="I23" s="549"/>
      <c r="J23" s="702">
        <v>0.4</v>
      </c>
      <c r="K23" s="703">
        <v>1</v>
      </c>
      <c r="L23" s="703">
        <v>2.4</v>
      </c>
      <c r="M23" s="703">
        <v>3</v>
      </c>
      <c r="N23" s="703">
        <v>6</v>
      </c>
      <c r="O23" s="703">
        <v>8.5</v>
      </c>
      <c r="P23" s="719">
        <f t="shared" si="12"/>
        <v>0.05</v>
      </c>
      <c r="Q23" s="719">
        <f t="shared" si="12"/>
        <v>0.12</v>
      </c>
      <c r="R23" s="719">
        <f t="shared" si="12"/>
        <v>0.28999999999999998</v>
      </c>
      <c r="S23" s="719">
        <f t="shared" si="12"/>
        <v>0.37</v>
      </c>
      <c r="T23" s="719">
        <f t="shared" si="12"/>
        <v>0.73</v>
      </c>
      <c r="U23" s="724">
        <f t="shared" si="12"/>
        <v>1.04</v>
      </c>
      <c r="V23" s="748">
        <v>0.1</v>
      </c>
    </row>
    <row r="24" spans="1:32">
      <c r="A24" s="706" t="s">
        <v>1511</v>
      </c>
      <c r="B24" s="707"/>
      <c r="C24" s="707"/>
      <c r="D24" s="707"/>
      <c r="E24" s="707"/>
      <c r="F24" s="707"/>
      <c r="G24" s="707"/>
      <c r="H24" s="549"/>
      <c r="I24" s="549"/>
      <c r="J24" s="702">
        <v>0.6</v>
      </c>
      <c r="K24" s="703">
        <v>0.6</v>
      </c>
      <c r="L24" s="703">
        <v>1.2</v>
      </c>
      <c r="M24" s="703">
        <v>2</v>
      </c>
      <c r="N24" s="703">
        <v>3</v>
      </c>
      <c r="O24" s="703">
        <v>4.5</v>
      </c>
      <c r="P24" s="719">
        <f t="shared" si="12"/>
        <v>7.0000000000000007E-2</v>
      </c>
      <c r="Q24" s="719">
        <f t="shared" si="12"/>
        <v>7.0000000000000007E-2</v>
      </c>
      <c r="R24" s="719">
        <f t="shared" si="12"/>
        <v>0.15</v>
      </c>
      <c r="S24" s="719">
        <f t="shared" si="12"/>
        <v>0.24</v>
      </c>
      <c r="T24" s="719">
        <f t="shared" si="12"/>
        <v>0.37</v>
      </c>
      <c r="U24" s="724">
        <f t="shared" si="12"/>
        <v>0.55000000000000004</v>
      </c>
      <c r="V24" s="748">
        <v>0.1</v>
      </c>
    </row>
    <row r="25" spans="1:32" s="587" customFormat="1">
      <c r="A25" s="1729" t="s">
        <v>1428</v>
      </c>
      <c r="B25" s="1730"/>
      <c r="C25" s="1730"/>
      <c r="D25" s="1730"/>
      <c r="E25" s="1730"/>
      <c r="F25" s="1730"/>
      <c r="G25" s="1730"/>
      <c r="H25" s="1730"/>
      <c r="I25" s="1731"/>
      <c r="J25" s="714">
        <f>J4+J7+J17+J20</f>
        <v>5.6</v>
      </c>
      <c r="K25" s="715">
        <f t="shared" ref="K25:U25" si="13">K4+K7+K17+K20</f>
        <v>13.6</v>
      </c>
      <c r="L25" s="715">
        <f t="shared" si="13"/>
        <v>40</v>
      </c>
      <c r="M25" s="715">
        <f t="shared" si="13"/>
        <v>51</v>
      </c>
      <c r="N25" s="715">
        <f t="shared" si="13"/>
        <v>100</v>
      </c>
      <c r="O25" s="715">
        <f t="shared" si="13"/>
        <v>121.5</v>
      </c>
      <c r="P25" s="726">
        <f t="shared" si="13"/>
        <v>0.34</v>
      </c>
      <c r="Q25" s="726">
        <f t="shared" si="13"/>
        <v>0.69</v>
      </c>
      <c r="R25" s="726">
        <f t="shared" si="13"/>
        <v>1.7099999999999997</v>
      </c>
      <c r="S25" s="726">
        <f t="shared" si="13"/>
        <v>2.3099999999999996</v>
      </c>
      <c r="T25" s="726">
        <f t="shared" si="13"/>
        <v>4.2699999999999996</v>
      </c>
      <c r="U25" s="727">
        <f t="shared" si="13"/>
        <v>5.88</v>
      </c>
      <c r="V25" s="669"/>
      <c r="W25" s="661"/>
      <c r="X25" s="661"/>
    </row>
    <row r="26" spans="1:32" s="552" customFormat="1">
      <c r="A26" s="551" t="str">
        <f>"※ 항목별 예측평가 및 저감방안 산정 = 소요인력 산정기준 × 보정계수 × 적용(적용 " &amp; D28*100 &amp; "%, 제외 " &amp; D29*100 &amp; "%)"</f>
        <v>※ 항목별 예측평가 및 저감방안 산정 = 소요인력 산정기준 × 보정계수 × 적용(적용 100%, 제외 0%)</v>
      </c>
      <c r="V26" s="591"/>
      <c r="AD26" s="591"/>
      <c r="AE26" s="591"/>
      <c r="AF26" s="591"/>
    </row>
    <row r="27" spans="1:32">
      <c r="A27" s="558" t="s">
        <v>1414</v>
      </c>
      <c r="D27" s="608"/>
      <c r="E27" s="560"/>
      <c r="I27" s="617" t="s">
        <v>1417</v>
      </c>
      <c r="P27" s="674" t="s">
        <v>1438</v>
      </c>
      <c r="V27" s="608"/>
      <c r="W27" s="550"/>
    </row>
    <row r="28" spans="1:32">
      <c r="A28" s="653" t="s">
        <v>1415</v>
      </c>
      <c r="D28" s="1748">
        <v>1</v>
      </c>
      <c r="E28" s="1748"/>
      <c r="I28" s="1576" t="s">
        <v>1418</v>
      </c>
      <c r="J28" s="1576"/>
      <c r="K28" s="1732" t="s">
        <v>1003</v>
      </c>
      <c r="L28" s="1732"/>
      <c r="M28" s="1732"/>
      <c r="N28" s="1576" t="s">
        <v>1004</v>
      </c>
      <c r="O28" s="1576"/>
      <c r="P28" s="1733">
        <f>1400*10/10000</f>
        <v>1.4</v>
      </c>
      <c r="Q28" s="1733"/>
      <c r="R28" s="1577" t="s">
        <v>1005</v>
      </c>
      <c r="S28" s="1577"/>
      <c r="T28" s="1749">
        <f>(P28/P29)^0.6</f>
        <v>1.223705244744459</v>
      </c>
      <c r="U28" s="1749"/>
      <c r="V28" s="608"/>
      <c r="W28" s="550"/>
      <c r="X28" s="567"/>
    </row>
    <row r="29" spans="1:32">
      <c r="A29" s="653" t="s">
        <v>1416</v>
      </c>
      <c r="B29" s="618"/>
      <c r="D29" s="1747">
        <v>0</v>
      </c>
      <c r="E29" s="1747"/>
      <c r="I29" s="1576"/>
      <c r="J29" s="1576"/>
      <c r="K29" s="1750" t="s">
        <v>1006</v>
      </c>
      <c r="L29" s="1750"/>
      <c r="M29" s="1750"/>
      <c r="N29" s="1576"/>
      <c r="O29" s="1576"/>
      <c r="P29" s="1751">
        <v>1</v>
      </c>
      <c r="Q29" s="1751"/>
      <c r="R29" s="1577"/>
      <c r="S29" s="1577"/>
      <c r="T29" s="1749"/>
      <c r="U29" s="1749"/>
      <c r="V29" s="608"/>
      <c r="X29" s="572"/>
    </row>
    <row r="30" spans="1:32">
      <c r="A30" s="653"/>
      <c r="B30" s="618"/>
      <c r="D30" s="729"/>
      <c r="E30" s="729"/>
      <c r="I30" s="709"/>
      <c r="J30" s="709"/>
      <c r="K30" s="709"/>
      <c r="L30" s="709"/>
      <c r="M30" s="709"/>
      <c r="N30" s="709"/>
      <c r="O30" s="709"/>
      <c r="P30" s="730"/>
      <c r="Q30" s="730"/>
      <c r="R30" s="710"/>
      <c r="S30" s="710"/>
      <c r="T30" s="711"/>
      <c r="U30" s="711"/>
      <c r="V30" s="709"/>
      <c r="X30" s="572"/>
    </row>
    <row r="31" spans="1:32">
      <c r="A31" s="653"/>
      <c r="B31" s="618"/>
      <c r="D31" s="729"/>
      <c r="E31" s="729"/>
      <c r="I31" s="709"/>
      <c r="J31" s="709"/>
      <c r="K31" s="709"/>
      <c r="L31" s="709"/>
      <c r="M31" s="709"/>
      <c r="N31" s="709"/>
      <c r="O31" s="709"/>
      <c r="P31" s="730"/>
      <c r="Q31" s="730"/>
      <c r="R31" s="710"/>
      <c r="S31" s="710"/>
      <c r="T31" s="711"/>
      <c r="U31" s="711"/>
      <c r="V31" s="709"/>
      <c r="X31" s="572"/>
    </row>
    <row r="32" spans="1:32">
      <c r="A32" s="653"/>
      <c r="B32" s="618"/>
      <c r="D32" s="729"/>
      <c r="E32" s="729"/>
      <c r="I32" s="709"/>
      <c r="J32" s="709"/>
      <c r="K32" s="709"/>
      <c r="L32" s="709"/>
      <c r="M32" s="709"/>
      <c r="N32" s="709"/>
      <c r="O32" s="709"/>
      <c r="P32" s="730"/>
      <c r="Q32" s="730"/>
      <c r="R32" s="710"/>
      <c r="S32" s="710"/>
      <c r="T32" s="711"/>
      <c r="U32" s="711"/>
      <c r="V32" s="709"/>
      <c r="X32" s="572"/>
    </row>
    <row r="33" spans="1:24">
      <c r="A33" s="653"/>
      <c r="B33" s="618"/>
      <c r="D33" s="729"/>
      <c r="E33" s="729"/>
      <c r="I33" s="709"/>
      <c r="J33" s="709"/>
      <c r="K33" s="709"/>
      <c r="L33" s="709"/>
      <c r="M33" s="709"/>
      <c r="N33" s="709"/>
      <c r="O33" s="709"/>
      <c r="P33" s="730"/>
      <c r="Q33" s="730"/>
      <c r="R33" s="710"/>
      <c r="S33" s="710"/>
      <c r="T33" s="711"/>
      <c r="U33" s="711"/>
      <c r="V33" s="709"/>
      <c r="X33" s="572"/>
    </row>
    <row r="34" spans="1:24">
      <c r="A34" s="653"/>
      <c r="B34" s="618"/>
      <c r="D34" s="729"/>
      <c r="E34" s="729"/>
      <c r="I34" s="709"/>
      <c r="J34" s="709"/>
      <c r="K34" s="709"/>
      <c r="L34" s="709"/>
      <c r="M34" s="709"/>
      <c r="N34" s="709"/>
      <c r="O34" s="709"/>
      <c r="P34" s="730"/>
      <c r="Q34" s="730"/>
      <c r="R34" s="710"/>
      <c r="S34" s="710"/>
      <c r="T34" s="711"/>
      <c r="U34" s="711"/>
      <c r="V34" s="709"/>
      <c r="X34" s="572"/>
    </row>
    <row r="35" spans="1:24">
      <c r="A35" s="653"/>
      <c r="B35" s="618"/>
      <c r="D35" s="729"/>
      <c r="E35" s="729"/>
      <c r="I35" s="709"/>
      <c r="J35" s="709"/>
      <c r="K35" s="709"/>
      <c r="L35" s="709"/>
      <c r="M35" s="709"/>
      <c r="N35" s="709"/>
      <c r="O35" s="709"/>
      <c r="P35" s="730"/>
      <c r="Q35" s="730"/>
      <c r="R35" s="710"/>
      <c r="S35" s="710"/>
      <c r="T35" s="711"/>
      <c r="U35" s="711"/>
      <c r="V35" s="709"/>
      <c r="X35" s="572"/>
    </row>
    <row r="36" spans="1:24">
      <c r="A36" s="653"/>
      <c r="B36" s="618"/>
      <c r="D36" s="729"/>
      <c r="E36" s="729"/>
      <c r="I36" s="709"/>
      <c r="J36" s="709"/>
      <c r="K36" s="709"/>
      <c r="L36" s="709"/>
      <c r="M36" s="709"/>
      <c r="N36" s="709"/>
      <c r="O36" s="709"/>
      <c r="P36" s="730"/>
      <c r="Q36" s="730"/>
      <c r="R36" s="710"/>
      <c r="S36" s="710"/>
      <c r="T36" s="711"/>
      <c r="U36" s="711"/>
      <c r="V36" s="709"/>
      <c r="X36" s="572"/>
    </row>
    <row r="37" spans="1:24">
      <c r="A37" s="653"/>
      <c r="B37" s="618"/>
      <c r="D37" s="729"/>
      <c r="E37" s="729"/>
      <c r="I37" s="709"/>
      <c r="J37" s="709"/>
      <c r="K37" s="709"/>
      <c r="L37" s="709"/>
      <c r="M37" s="709"/>
      <c r="N37" s="709"/>
      <c r="O37" s="709"/>
      <c r="P37" s="730"/>
      <c r="Q37" s="730"/>
      <c r="R37" s="710"/>
      <c r="S37" s="710"/>
      <c r="T37" s="711"/>
      <c r="U37" s="711"/>
      <c r="V37" s="709"/>
      <c r="X37" s="572"/>
    </row>
    <row r="38" spans="1:24">
      <c r="A38" s="653"/>
      <c r="B38" s="618"/>
      <c r="D38" s="729"/>
      <c r="E38" s="729"/>
      <c r="I38" s="709"/>
      <c r="J38" s="709"/>
      <c r="K38" s="709"/>
      <c r="L38" s="709"/>
      <c r="M38" s="709"/>
      <c r="N38" s="709"/>
      <c r="O38" s="709"/>
      <c r="P38" s="730"/>
      <c r="Q38" s="730"/>
      <c r="R38" s="710"/>
      <c r="S38" s="710"/>
      <c r="T38" s="711"/>
      <c r="U38" s="711"/>
      <c r="V38" s="709"/>
      <c r="X38" s="572"/>
    </row>
    <row r="39" spans="1:24">
      <c r="A39" s="653"/>
      <c r="B39" s="618"/>
      <c r="D39" s="729"/>
      <c r="E39" s="729"/>
      <c r="I39" s="709"/>
      <c r="J39" s="709"/>
      <c r="K39" s="709"/>
      <c r="L39" s="709"/>
      <c r="M39" s="709"/>
      <c r="N39" s="709"/>
      <c r="O39" s="709"/>
      <c r="P39" s="730"/>
      <c r="Q39" s="730"/>
      <c r="R39" s="710"/>
      <c r="S39" s="710"/>
      <c r="T39" s="711"/>
      <c r="U39" s="711"/>
      <c r="V39" s="709"/>
      <c r="X39" s="572"/>
    </row>
    <row r="40" spans="1:24">
      <c r="A40" s="653"/>
      <c r="B40" s="618"/>
      <c r="D40" s="729"/>
      <c r="E40" s="729"/>
      <c r="I40" s="709"/>
      <c r="J40" s="709"/>
      <c r="K40" s="709"/>
      <c r="L40" s="709"/>
      <c r="M40" s="709"/>
      <c r="N40" s="709"/>
      <c r="O40" s="709"/>
      <c r="P40" s="730"/>
      <c r="Q40" s="730"/>
      <c r="R40" s="710"/>
      <c r="S40" s="710"/>
      <c r="T40" s="711"/>
      <c r="U40" s="711"/>
      <c r="V40" s="709"/>
      <c r="X40" s="572"/>
    </row>
    <row r="41" spans="1:24">
      <c r="A41" s="653"/>
      <c r="B41" s="618"/>
      <c r="D41" s="729"/>
      <c r="E41" s="729"/>
      <c r="I41" s="709"/>
      <c r="J41" s="709"/>
      <c r="K41" s="709"/>
      <c r="L41" s="709"/>
      <c r="M41" s="709"/>
      <c r="N41" s="709"/>
      <c r="O41" s="709"/>
      <c r="P41" s="730"/>
      <c r="Q41" s="730"/>
      <c r="R41" s="710"/>
      <c r="S41" s="710"/>
      <c r="T41" s="711"/>
      <c r="U41" s="711"/>
      <c r="V41" s="709"/>
      <c r="X41" s="572"/>
    </row>
    <row r="42" spans="1:24" ht="25.2">
      <c r="A42" s="648" t="s">
        <v>1437</v>
      </c>
      <c r="B42" s="648"/>
      <c r="C42" s="648"/>
      <c r="D42" s="648"/>
      <c r="E42" s="648"/>
      <c r="F42" s="648"/>
      <c r="G42" s="648"/>
      <c r="H42" s="648"/>
      <c r="I42" s="648"/>
      <c r="J42" s="648"/>
      <c r="K42" s="648"/>
      <c r="L42" s="648"/>
      <c r="M42" s="648"/>
      <c r="N42" s="648"/>
      <c r="O42" s="648"/>
      <c r="P42" s="648"/>
      <c r="Q42" s="648"/>
      <c r="R42" s="648"/>
      <c r="S42" s="648"/>
      <c r="T42" s="648"/>
      <c r="U42" s="648"/>
      <c r="V42" s="672" t="s">
        <v>1419</v>
      </c>
    </row>
    <row r="43" spans="1:24" s="587" customFormat="1">
      <c r="A43" s="1741" t="s">
        <v>1429</v>
      </c>
      <c r="B43" s="1742"/>
      <c r="C43" s="1742"/>
      <c r="D43" s="1742"/>
      <c r="E43" s="1742"/>
      <c r="F43" s="1742"/>
      <c r="G43" s="1742"/>
      <c r="H43" s="1742"/>
      <c r="I43" s="1743"/>
      <c r="J43" s="1738" t="s">
        <v>1430</v>
      </c>
      <c r="K43" s="1739"/>
      <c r="L43" s="1739"/>
      <c r="M43" s="1739"/>
      <c r="N43" s="1739"/>
      <c r="O43" s="1740"/>
      <c r="P43" s="1738" t="s">
        <v>1431</v>
      </c>
      <c r="Q43" s="1739"/>
      <c r="R43" s="1739"/>
      <c r="S43" s="1739"/>
      <c r="T43" s="1739"/>
      <c r="U43" s="1740"/>
      <c r="V43" s="1736" t="s">
        <v>1432</v>
      </c>
    </row>
    <row r="44" spans="1:24" s="587" customFormat="1" ht="39.6">
      <c r="A44" s="1744"/>
      <c r="B44" s="1745"/>
      <c r="C44" s="1745"/>
      <c r="D44" s="1745"/>
      <c r="E44" s="1745"/>
      <c r="F44" s="1745"/>
      <c r="G44" s="1745"/>
      <c r="H44" s="1745"/>
      <c r="I44" s="1746"/>
      <c r="J44" s="670" t="s">
        <v>1420</v>
      </c>
      <c r="K44" s="671" t="s">
        <v>1413</v>
      </c>
      <c r="L44" s="671" t="s">
        <v>1421</v>
      </c>
      <c r="M44" s="671" t="s">
        <v>1422</v>
      </c>
      <c r="N44" s="671" t="s">
        <v>1423</v>
      </c>
      <c r="O44" s="671" t="s">
        <v>1424</v>
      </c>
      <c r="P44" s="670" t="s">
        <v>1420</v>
      </c>
      <c r="Q44" s="671" t="s">
        <v>1413</v>
      </c>
      <c r="R44" s="671" t="s">
        <v>1421</v>
      </c>
      <c r="S44" s="671" t="s">
        <v>1422</v>
      </c>
      <c r="T44" s="671" t="s">
        <v>1423</v>
      </c>
      <c r="U44" s="671" t="s">
        <v>1424</v>
      </c>
      <c r="V44" s="1737"/>
    </row>
    <row r="45" spans="1:24" s="587" customFormat="1">
      <c r="A45" s="622" t="s">
        <v>1433</v>
      </c>
      <c r="B45" s="623"/>
      <c r="C45" s="623"/>
      <c r="D45" s="623"/>
      <c r="E45" s="623"/>
      <c r="F45" s="623"/>
      <c r="G45" s="623"/>
      <c r="H45" s="662"/>
      <c r="I45" s="662"/>
      <c r="J45" s="663">
        <f t="shared" ref="J45:U45" si="14">SUM(J46:J48)</f>
        <v>0.30000000000000004</v>
      </c>
      <c r="K45" s="664">
        <f t="shared" si="14"/>
        <v>0.60000000000000009</v>
      </c>
      <c r="L45" s="664">
        <f t="shared" si="14"/>
        <v>1.1000000000000001</v>
      </c>
      <c r="M45" s="664">
        <f t="shared" si="14"/>
        <v>1.7</v>
      </c>
      <c r="N45" s="664">
        <f t="shared" si="14"/>
        <v>3</v>
      </c>
      <c r="O45" s="664">
        <f t="shared" si="14"/>
        <v>3.5</v>
      </c>
      <c r="P45" s="663">
        <f t="shared" si="14"/>
        <v>0</v>
      </c>
      <c r="Q45" s="664">
        <f t="shared" si="14"/>
        <v>0</v>
      </c>
      <c r="R45" s="664">
        <f t="shared" si="14"/>
        <v>0.1</v>
      </c>
      <c r="S45" s="664">
        <f t="shared" si="14"/>
        <v>0.1</v>
      </c>
      <c r="T45" s="664">
        <f t="shared" si="14"/>
        <v>0.2</v>
      </c>
      <c r="U45" s="664">
        <f t="shared" si="14"/>
        <v>0.3</v>
      </c>
      <c r="V45" s="665"/>
    </row>
    <row r="46" spans="1:24">
      <c r="A46" s="624" t="s">
        <v>1404</v>
      </c>
      <c r="B46" s="625"/>
      <c r="C46" s="625"/>
      <c r="D46" s="625"/>
      <c r="E46" s="625"/>
      <c r="F46" s="625"/>
      <c r="G46" s="625"/>
      <c r="H46" s="549"/>
      <c r="I46" s="549"/>
      <c r="J46" s="649">
        <v>0.1</v>
      </c>
      <c r="K46" s="650">
        <v>0.2</v>
      </c>
      <c r="L46" s="650">
        <v>0.3</v>
      </c>
      <c r="M46" s="650">
        <v>0.5</v>
      </c>
      <c r="N46" s="650">
        <v>0.9</v>
      </c>
      <c r="O46" s="650">
        <v>1</v>
      </c>
      <c r="P46" s="649">
        <f t="shared" ref="P46:U48" si="15">IF($V46="제외",0,ROUND(J46*$N$58,1))</f>
        <v>0</v>
      </c>
      <c r="Q46" s="650">
        <f t="shared" si="15"/>
        <v>0</v>
      </c>
      <c r="R46" s="650">
        <f t="shared" si="15"/>
        <v>0</v>
      </c>
      <c r="S46" s="650">
        <f t="shared" si="15"/>
        <v>0</v>
      </c>
      <c r="T46" s="650">
        <f t="shared" si="15"/>
        <v>0</v>
      </c>
      <c r="U46" s="650">
        <f t="shared" si="15"/>
        <v>0</v>
      </c>
      <c r="V46" s="666" t="s">
        <v>1344</v>
      </c>
    </row>
    <row r="47" spans="1:24">
      <c r="A47" s="624" t="s">
        <v>1405</v>
      </c>
      <c r="B47" s="625"/>
      <c r="C47" s="625"/>
      <c r="D47" s="625"/>
      <c r="E47" s="625"/>
      <c r="F47" s="625"/>
      <c r="G47" s="625"/>
      <c r="H47" s="549"/>
      <c r="I47" s="549"/>
      <c r="J47" s="649">
        <v>0.1</v>
      </c>
      <c r="K47" s="650">
        <v>0.2</v>
      </c>
      <c r="L47" s="650">
        <v>0.3</v>
      </c>
      <c r="M47" s="650">
        <v>0.5</v>
      </c>
      <c r="N47" s="650">
        <v>0.9</v>
      </c>
      <c r="O47" s="650">
        <v>1</v>
      </c>
      <c r="P47" s="649">
        <f t="shared" si="15"/>
        <v>0</v>
      </c>
      <c r="Q47" s="650">
        <f t="shared" si="15"/>
        <v>0</v>
      </c>
      <c r="R47" s="650">
        <f t="shared" si="15"/>
        <v>0</v>
      </c>
      <c r="S47" s="650">
        <f t="shared" si="15"/>
        <v>0</v>
      </c>
      <c r="T47" s="650">
        <f t="shared" si="15"/>
        <v>0</v>
      </c>
      <c r="U47" s="650">
        <f t="shared" si="15"/>
        <v>0</v>
      </c>
      <c r="V47" s="666" t="s">
        <v>1344</v>
      </c>
    </row>
    <row r="48" spans="1:24">
      <c r="A48" s="624" t="s">
        <v>1406</v>
      </c>
      <c r="B48" s="625"/>
      <c r="C48" s="625"/>
      <c r="D48" s="625"/>
      <c r="E48" s="625"/>
      <c r="F48" s="625"/>
      <c r="G48" s="625"/>
      <c r="H48" s="549"/>
      <c r="I48" s="549"/>
      <c r="J48" s="649">
        <v>0.1</v>
      </c>
      <c r="K48" s="650">
        <v>0.2</v>
      </c>
      <c r="L48" s="650">
        <v>0.5</v>
      </c>
      <c r="M48" s="650">
        <v>0.7</v>
      </c>
      <c r="N48" s="650">
        <v>1.2</v>
      </c>
      <c r="O48" s="650">
        <v>1.5</v>
      </c>
      <c r="P48" s="649">
        <f t="shared" si="15"/>
        <v>0</v>
      </c>
      <c r="Q48" s="650">
        <f t="shared" si="15"/>
        <v>0</v>
      </c>
      <c r="R48" s="650">
        <f t="shared" si="15"/>
        <v>0.1</v>
      </c>
      <c r="S48" s="650">
        <f t="shared" si="15"/>
        <v>0.1</v>
      </c>
      <c r="T48" s="650">
        <f t="shared" si="15"/>
        <v>0.2</v>
      </c>
      <c r="U48" s="650">
        <f t="shared" si="15"/>
        <v>0.3</v>
      </c>
      <c r="V48" s="666" t="s">
        <v>1343</v>
      </c>
    </row>
    <row r="49" spans="1:24" s="587" customFormat="1">
      <c r="A49" s="620" t="s">
        <v>1434</v>
      </c>
      <c r="B49" s="621"/>
      <c r="C49" s="621"/>
      <c r="D49" s="621"/>
      <c r="E49" s="621"/>
      <c r="F49" s="621"/>
      <c r="G49" s="621"/>
      <c r="H49" s="656"/>
      <c r="I49" s="656"/>
      <c r="J49" s="657">
        <f t="shared" ref="J49:U49" si="16">SUM(J50:J55)</f>
        <v>0.8</v>
      </c>
      <c r="K49" s="658">
        <f t="shared" si="16"/>
        <v>4.3000000000000007</v>
      </c>
      <c r="L49" s="658">
        <f t="shared" si="16"/>
        <v>11.100000000000001</v>
      </c>
      <c r="M49" s="658">
        <f t="shared" si="16"/>
        <v>16</v>
      </c>
      <c r="N49" s="658">
        <f t="shared" si="16"/>
        <v>30.300000000000004</v>
      </c>
      <c r="O49" s="658">
        <f t="shared" si="16"/>
        <v>35.1</v>
      </c>
      <c r="P49" s="657">
        <f t="shared" si="16"/>
        <v>0.1</v>
      </c>
      <c r="Q49" s="658">
        <f t="shared" si="16"/>
        <v>0.5</v>
      </c>
      <c r="R49" s="658">
        <f t="shared" si="16"/>
        <v>1.4999999999999998</v>
      </c>
      <c r="S49" s="658">
        <f t="shared" si="16"/>
        <v>2.2000000000000002</v>
      </c>
      <c r="T49" s="658">
        <f t="shared" si="16"/>
        <v>4.8000000000000007</v>
      </c>
      <c r="U49" s="658">
        <f t="shared" si="16"/>
        <v>5.3999999999999995</v>
      </c>
      <c r="V49" s="667"/>
    </row>
    <row r="50" spans="1:24">
      <c r="A50" s="624" t="s">
        <v>1407</v>
      </c>
      <c r="B50" s="625"/>
      <c r="C50" s="625"/>
      <c r="D50" s="625"/>
      <c r="E50" s="549"/>
      <c r="F50" s="625"/>
      <c r="G50" s="625"/>
      <c r="H50" s="549"/>
      <c r="I50" s="549"/>
      <c r="J50" s="649">
        <v>0.4</v>
      </c>
      <c r="K50" s="650">
        <v>0.7</v>
      </c>
      <c r="L50" s="650">
        <v>1.4</v>
      </c>
      <c r="M50" s="650">
        <v>2</v>
      </c>
      <c r="N50" s="650">
        <v>3.8</v>
      </c>
      <c r="O50" s="650">
        <v>4.3</v>
      </c>
      <c r="P50" s="649">
        <f t="shared" ref="P50:U55" si="17">IF($V50="제외",0,ROUND(J50*$N$58,1))</f>
        <v>0</v>
      </c>
      <c r="Q50" s="650">
        <f t="shared" si="17"/>
        <v>0</v>
      </c>
      <c r="R50" s="650">
        <f t="shared" si="17"/>
        <v>0</v>
      </c>
      <c r="S50" s="650">
        <f t="shared" si="17"/>
        <v>0</v>
      </c>
      <c r="T50" s="650">
        <f t="shared" si="17"/>
        <v>0</v>
      </c>
      <c r="U50" s="650">
        <f t="shared" si="17"/>
        <v>0</v>
      </c>
      <c r="V50" s="666" t="s">
        <v>1440</v>
      </c>
    </row>
    <row r="51" spans="1:24">
      <c r="A51" s="624" t="s">
        <v>1408</v>
      </c>
      <c r="B51" s="625"/>
      <c r="C51" s="625"/>
      <c r="D51" s="625"/>
      <c r="E51" s="625"/>
      <c r="F51" s="625"/>
      <c r="G51" s="625"/>
      <c r="H51" s="549"/>
      <c r="I51" s="549"/>
      <c r="J51" s="649">
        <v>0</v>
      </c>
      <c r="K51" s="650">
        <v>0.8</v>
      </c>
      <c r="L51" s="650">
        <v>4.0999999999999996</v>
      </c>
      <c r="M51" s="650">
        <v>6</v>
      </c>
      <c r="N51" s="650">
        <v>11.3</v>
      </c>
      <c r="O51" s="650">
        <v>13</v>
      </c>
      <c r="P51" s="649">
        <f t="shared" si="17"/>
        <v>0</v>
      </c>
      <c r="Q51" s="650">
        <f t="shared" si="17"/>
        <v>0.1</v>
      </c>
      <c r="R51" s="650">
        <f t="shared" si="17"/>
        <v>0.7</v>
      </c>
      <c r="S51" s="650">
        <f t="shared" si="17"/>
        <v>1</v>
      </c>
      <c r="T51" s="650">
        <f t="shared" si="17"/>
        <v>2</v>
      </c>
      <c r="U51" s="650">
        <f t="shared" si="17"/>
        <v>2.2999999999999998</v>
      </c>
      <c r="V51" s="666" t="s">
        <v>1343</v>
      </c>
    </row>
    <row r="52" spans="1:24">
      <c r="A52" s="624" t="s">
        <v>1409</v>
      </c>
      <c r="B52" s="625"/>
      <c r="C52" s="625"/>
      <c r="D52" s="625"/>
      <c r="E52" s="625"/>
      <c r="F52" s="625"/>
      <c r="G52" s="625"/>
      <c r="H52" s="549"/>
      <c r="I52" s="549"/>
      <c r="J52" s="649">
        <v>0.4</v>
      </c>
      <c r="K52" s="650">
        <v>0.7</v>
      </c>
      <c r="L52" s="650">
        <v>1.4</v>
      </c>
      <c r="M52" s="650">
        <v>2</v>
      </c>
      <c r="N52" s="650">
        <v>3.8</v>
      </c>
      <c r="O52" s="650">
        <v>4.3</v>
      </c>
      <c r="P52" s="649">
        <f t="shared" si="17"/>
        <v>0.1</v>
      </c>
      <c r="Q52" s="650">
        <f t="shared" si="17"/>
        <v>0.1</v>
      </c>
      <c r="R52" s="650">
        <f t="shared" si="17"/>
        <v>0.2</v>
      </c>
      <c r="S52" s="650">
        <f t="shared" si="17"/>
        <v>0.3</v>
      </c>
      <c r="T52" s="650">
        <f t="shared" si="17"/>
        <v>0.7</v>
      </c>
      <c r="U52" s="650">
        <f t="shared" si="17"/>
        <v>0.7</v>
      </c>
      <c r="V52" s="666" t="s">
        <v>1343</v>
      </c>
    </row>
    <row r="53" spans="1:24">
      <c r="A53" s="624" t="s">
        <v>1410</v>
      </c>
      <c r="B53" s="625"/>
      <c r="C53" s="625"/>
      <c r="D53" s="625"/>
      <c r="E53" s="625"/>
      <c r="F53" s="625"/>
      <c r="G53" s="625"/>
      <c r="H53" s="549"/>
      <c r="I53" s="549"/>
      <c r="J53" s="649">
        <v>0</v>
      </c>
      <c r="K53" s="650">
        <v>0.7</v>
      </c>
      <c r="L53" s="650">
        <v>1.4</v>
      </c>
      <c r="M53" s="650">
        <v>2</v>
      </c>
      <c r="N53" s="650">
        <v>3.8</v>
      </c>
      <c r="O53" s="650">
        <v>4.5</v>
      </c>
      <c r="P53" s="649">
        <f t="shared" si="17"/>
        <v>0</v>
      </c>
      <c r="Q53" s="650">
        <f t="shared" si="17"/>
        <v>0.1</v>
      </c>
      <c r="R53" s="650">
        <f t="shared" si="17"/>
        <v>0.2</v>
      </c>
      <c r="S53" s="650">
        <f t="shared" si="17"/>
        <v>0.3</v>
      </c>
      <c r="T53" s="650">
        <f t="shared" si="17"/>
        <v>0.7</v>
      </c>
      <c r="U53" s="650">
        <f t="shared" si="17"/>
        <v>0.8</v>
      </c>
      <c r="V53" s="666" t="s">
        <v>1343</v>
      </c>
    </row>
    <row r="54" spans="1:24">
      <c r="A54" s="624" t="s">
        <v>1411</v>
      </c>
      <c r="B54" s="625"/>
      <c r="C54" s="625"/>
      <c r="D54" s="625"/>
      <c r="E54" s="625"/>
      <c r="F54" s="625"/>
      <c r="G54" s="625"/>
      <c r="H54" s="549"/>
      <c r="I54" s="549"/>
      <c r="J54" s="649">
        <v>0</v>
      </c>
      <c r="K54" s="650">
        <v>0.7</v>
      </c>
      <c r="L54" s="650">
        <v>1.4</v>
      </c>
      <c r="M54" s="650">
        <v>2</v>
      </c>
      <c r="N54" s="650">
        <v>3.8</v>
      </c>
      <c r="O54" s="650">
        <v>4.5</v>
      </c>
      <c r="P54" s="649">
        <f t="shared" si="17"/>
        <v>0</v>
      </c>
      <c r="Q54" s="650">
        <f t="shared" si="17"/>
        <v>0.1</v>
      </c>
      <c r="R54" s="650">
        <f t="shared" si="17"/>
        <v>0.2</v>
      </c>
      <c r="S54" s="650">
        <f t="shared" si="17"/>
        <v>0.3</v>
      </c>
      <c r="T54" s="650">
        <f t="shared" si="17"/>
        <v>0.7</v>
      </c>
      <c r="U54" s="650">
        <f t="shared" si="17"/>
        <v>0.8</v>
      </c>
      <c r="V54" s="666" t="s">
        <v>1343</v>
      </c>
    </row>
    <row r="55" spans="1:24">
      <c r="A55" s="624" t="s">
        <v>1412</v>
      </c>
      <c r="B55" s="625"/>
      <c r="C55" s="625"/>
      <c r="D55" s="625"/>
      <c r="E55" s="625"/>
      <c r="F55" s="625"/>
      <c r="G55" s="625"/>
      <c r="H55" s="549"/>
      <c r="I55" s="549"/>
      <c r="J55" s="651">
        <v>0</v>
      </c>
      <c r="K55" s="652">
        <v>0.7</v>
      </c>
      <c r="L55" s="652">
        <v>1.4</v>
      </c>
      <c r="M55" s="652">
        <v>2</v>
      </c>
      <c r="N55" s="652">
        <v>3.8</v>
      </c>
      <c r="O55" s="652">
        <v>4.5</v>
      </c>
      <c r="P55" s="651">
        <f t="shared" si="17"/>
        <v>0</v>
      </c>
      <c r="Q55" s="652">
        <f t="shared" si="17"/>
        <v>0.1</v>
      </c>
      <c r="R55" s="652">
        <f t="shared" si="17"/>
        <v>0.2</v>
      </c>
      <c r="S55" s="652">
        <f t="shared" si="17"/>
        <v>0.3</v>
      </c>
      <c r="T55" s="652">
        <f t="shared" si="17"/>
        <v>0.7</v>
      </c>
      <c r="U55" s="652">
        <f t="shared" si="17"/>
        <v>0.8</v>
      </c>
      <c r="V55" s="668" t="s">
        <v>1343</v>
      </c>
    </row>
    <row r="56" spans="1:24" s="587" customFormat="1">
      <c r="A56" s="1729" t="s">
        <v>1428</v>
      </c>
      <c r="B56" s="1730"/>
      <c r="C56" s="1730"/>
      <c r="D56" s="1730"/>
      <c r="E56" s="1730"/>
      <c r="F56" s="1730"/>
      <c r="G56" s="1730"/>
      <c r="H56" s="1730"/>
      <c r="I56" s="1731"/>
      <c r="J56" s="659">
        <f t="shared" ref="J56:U56" si="18">J45+J49</f>
        <v>1.1000000000000001</v>
      </c>
      <c r="K56" s="660">
        <f t="shared" si="18"/>
        <v>4.9000000000000004</v>
      </c>
      <c r="L56" s="660">
        <f t="shared" si="18"/>
        <v>12.200000000000001</v>
      </c>
      <c r="M56" s="660">
        <f t="shared" si="18"/>
        <v>17.7</v>
      </c>
      <c r="N56" s="660">
        <f t="shared" si="18"/>
        <v>33.300000000000004</v>
      </c>
      <c r="O56" s="660">
        <f t="shared" si="18"/>
        <v>38.6</v>
      </c>
      <c r="P56" s="659">
        <f t="shared" si="18"/>
        <v>0.1</v>
      </c>
      <c r="Q56" s="660">
        <f t="shared" si="18"/>
        <v>0.5</v>
      </c>
      <c r="R56" s="660">
        <f t="shared" si="18"/>
        <v>1.5999999999999999</v>
      </c>
      <c r="S56" s="660">
        <f t="shared" si="18"/>
        <v>2.3000000000000003</v>
      </c>
      <c r="T56" s="660">
        <f t="shared" si="18"/>
        <v>5.0000000000000009</v>
      </c>
      <c r="U56" s="660">
        <f t="shared" si="18"/>
        <v>5.6999999999999993</v>
      </c>
      <c r="V56" s="669"/>
      <c r="W56" s="661"/>
      <c r="X56" s="661"/>
    </row>
    <row r="57" spans="1:24">
      <c r="A57" s="587" t="s">
        <v>1001</v>
      </c>
      <c r="C57" s="573"/>
      <c r="J57" s="674" t="s">
        <v>1439</v>
      </c>
      <c r="M57" s="562"/>
      <c r="N57" s="562"/>
      <c r="O57" s="562"/>
      <c r="P57" s="562"/>
    </row>
    <row r="58" spans="1:24">
      <c r="A58" s="608"/>
      <c r="B58" s="608"/>
      <c r="C58" s="1576" t="s">
        <v>1002</v>
      </c>
      <c r="D58" s="1576"/>
      <c r="E58" s="1732" t="s">
        <v>1346</v>
      </c>
      <c r="F58" s="1732"/>
      <c r="G58" s="1732"/>
      <c r="H58" s="1576" t="s">
        <v>1345</v>
      </c>
      <c r="I58" s="1576"/>
      <c r="J58" s="1733">
        <v>1.5</v>
      </c>
      <c r="K58" s="1733"/>
      <c r="L58" s="1577" t="s">
        <v>1342</v>
      </c>
      <c r="M58" s="1577"/>
      <c r="N58" s="1734">
        <f>(J58/J59)^0.5</f>
        <v>0.17320508075688773</v>
      </c>
      <c r="O58" s="1734"/>
      <c r="P58" s="1734"/>
    </row>
    <row r="59" spans="1:24">
      <c r="A59" s="608"/>
      <c r="B59" s="608"/>
      <c r="C59" s="1576"/>
      <c r="D59" s="1576"/>
      <c r="E59" s="1576" t="s">
        <v>1347</v>
      </c>
      <c r="F59" s="1576"/>
      <c r="G59" s="1576"/>
      <c r="H59" s="1576"/>
      <c r="I59" s="1576"/>
      <c r="J59" s="1735">
        <v>50</v>
      </c>
      <c r="K59" s="1735"/>
      <c r="L59" s="1577"/>
      <c r="M59" s="1577"/>
      <c r="N59" s="1734"/>
      <c r="O59" s="1734"/>
      <c r="P59" s="1734"/>
    </row>
  </sheetData>
  <mergeCells count="28">
    <mergeCell ref="P2:U2"/>
    <mergeCell ref="J2:O2"/>
    <mergeCell ref="V2:V3"/>
    <mergeCell ref="A2:I3"/>
    <mergeCell ref="T28:U29"/>
    <mergeCell ref="K29:M29"/>
    <mergeCell ref="K28:M28"/>
    <mergeCell ref="N28:O29"/>
    <mergeCell ref="P28:Q28"/>
    <mergeCell ref="P29:Q29"/>
    <mergeCell ref="A25:I25"/>
    <mergeCell ref="A43:I44"/>
    <mergeCell ref="R28:S29"/>
    <mergeCell ref="D29:E29"/>
    <mergeCell ref="D28:E28"/>
    <mergeCell ref="I28:J29"/>
    <mergeCell ref="J58:K58"/>
    <mergeCell ref="L58:M59"/>
    <mergeCell ref="N58:P59"/>
    <mergeCell ref="J59:K59"/>
    <mergeCell ref="V43:V44"/>
    <mergeCell ref="P43:U43"/>
    <mergeCell ref="J43:O43"/>
    <mergeCell ref="A56:I56"/>
    <mergeCell ref="C58:D59"/>
    <mergeCell ref="E58:G58"/>
    <mergeCell ref="E59:G59"/>
    <mergeCell ref="H58:I59"/>
  </mergeCells>
  <phoneticPr fontId="1" type="noConversion"/>
  <pageMargins left="0.47244094488188981" right="0.31496062992125984" top="0.59055118110236227" bottom="0.31496062992125984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92D050"/>
  </sheetPr>
  <dimension ref="A1:E38"/>
  <sheetViews>
    <sheetView view="pageBreakPreview" zoomScaleNormal="100" zoomScaleSheetLayoutView="100" workbookViewId="0">
      <selection activeCell="H30" sqref="H30"/>
    </sheetView>
  </sheetViews>
  <sheetFormatPr defaultColWidth="14.3984375" defaultRowHeight="13.2"/>
  <cols>
    <col min="1" max="1" width="29.09765625" style="142" customWidth="1"/>
    <col min="2" max="2" width="28.59765625" style="140" customWidth="1"/>
    <col min="3" max="3" width="18.3984375" style="142" customWidth="1"/>
    <col min="4" max="4" width="35.8984375" style="140" customWidth="1"/>
    <col min="5" max="5" width="15.3984375" style="140" customWidth="1"/>
    <col min="6" max="245" width="9" style="140" customWidth="1"/>
    <col min="246" max="16384" width="14.3984375" style="140"/>
  </cols>
  <sheetData>
    <row r="1" spans="1:5" ht="25.2">
      <c r="A1" s="1752" t="s">
        <v>321</v>
      </c>
      <c r="B1" s="1752"/>
      <c r="C1" s="1752"/>
      <c r="D1" s="1752"/>
      <c r="E1" s="1752"/>
    </row>
    <row r="2" spans="1:5">
      <c r="A2" s="532" t="s">
        <v>311</v>
      </c>
      <c r="B2" s="533" t="s">
        <v>312</v>
      </c>
      <c r="C2" s="534" t="s">
        <v>313</v>
      </c>
      <c r="D2" s="534" t="s">
        <v>322</v>
      </c>
      <c r="E2" s="535" t="s">
        <v>314</v>
      </c>
    </row>
    <row r="3" spans="1:5" ht="12.9" customHeight="1">
      <c r="A3" s="1756" t="s">
        <v>315</v>
      </c>
      <c r="B3" s="712" t="s">
        <v>65</v>
      </c>
      <c r="C3" s="698">
        <v>370360</v>
      </c>
      <c r="D3" s="1757" t="s">
        <v>1554</v>
      </c>
      <c r="E3" s="713"/>
    </row>
    <row r="4" spans="1:5" ht="12.9" customHeight="1">
      <c r="A4" s="1753"/>
      <c r="B4" s="528" t="s">
        <v>10</v>
      </c>
      <c r="C4" s="524">
        <v>284468</v>
      </c>
      <c r="D4" s="1758"/>
      <c r="E4" s="525"/>
    </row>
    <row r="5" spans="1:5" ht="12.9" customHeight="1">
      <c r="A5" s="1753"/>
      <c r="B5" s="528" t="s">
        <v>4</v>
      </c>
      <c r="C5" s="524">
        <v>241113</v>
      </c>
      <c r="D5" s="1758"/>
      <c r="E5" s="525"/>
    </row>
    <row r="6" spans="1:5" ht="12.9" customHeight="1">
      <c r="A6" s="1753"/>
      <c r="B6" s="528" t="s">
        <v>5</v>
      </c>
      <c r="C6" s="524">
        <v>215194</v>
      </c>
      <c r="D6" s="1758"/>
      <c r="E6" s="525"/>
    </row>
    <row r="7" spans="1:5" ht="12.9" customHeight="1">
      <c r="A7" s="1753"/>
      <c r="B7" s="528" t="s">
        <v>66</v>
      </c>
      <c r="C7" s="524">
        <v>176241</v>
      </c>
      <c r="D7" s="1758"/>
      <c r="E7" s="525"/>
    </row>
    <row r="8" spans="1:5" ht="12.9" customHeight="1">
      <c r="A8" s="1753"/>
      <c r="B8" s="528" t="s">
        <v>1466</v>
      </c>
      <c r="C8" s="524">
        <v>211038</v>
      </c>
      <c r="D8" s="1758"/>
      <c r="E8" s="525"/>
    </row>
    <row r="9" spans="1:5" ht="12.9" customHeight="1">
      <c r="A9" s="1753"/>
      <c r="B9" s="528" t="s">
        <v>1500</v>
      </c>
      <c r="C9" s="524">
        <v>178305</v>
      </c>
      <c r="D9" s="1758"/>
      <c r="E9" s="525"/>
    </row>
    <row r="10" spans="1:5" ht="12.9" customHeight="1">
      <c r="A10" s="1753"/>
      <c r="B10" s="528" t="s">
        <v>1467</v>
      </c>
      <c r="C10" s="524">
        <v>156008</v>
      </c>
      <c r="D10" s="1759"/>
      <c r="E10" s="525"/>
    </row>
    <row r="11" spans="1:5" ht="12.9" customHeight="1">
      <c r="A11" s="1753" t="s">
        <v>316</v>
      </c>
      <c r="B11" s="528" t="s">
        <v>1468</v>
      </c>
      <c r="C11" s="524">
        <v>320237</v>
      </c>
      <c r="D11" s="1760" t="s">
        <v>1555</v>
      </c>
      <c r="E11" s="525" t="s">
        <v>874</v>
      </c>
    </row>
    <row r="12" spans="1:5" ht="12.9" customHeight="1">
      <c r="A12" s="1753"/>
      <c r="B12" s="528" t="s">
        <v>10</v>
      </c>
      <c r="C12" s="524">
        <v>236324</v>
      </c>
      <c r="D12" s="1761"/>
      <c r="E12" s="525" t="s">
        <v>874</v>
      </c>
    </row>
    <row r="13" spans="1:5" ht="12.9" customHeight="1">
      <c r="A13" s="1753"/>
      <c r="B13" s="528" t="s">
        <v>4</v>
      </c>
      <c r="C13" s="524">
        <v>212851</v>
      </c>
      <c r="D13" s="1761"/>
      <c r="E13" s="525" t="s">
        <v>874</v>
      </c>
    </row>
    <row r="14" spans="1:5" ht="12.9" customHeight="1">
      <c r="A14" s="1753"/>
      <c r="B14" s="528" t="s">
        <v>5</v>
      </c>
      <c r="C14" s="524">
        <v>183152</v>
      </c>
      <c r="D14" s="1761"/>
      <c r="E14" s="525" t="s">
        <v>874</v>
      </c>
    </row>
    <row r="15" spans="1:5" ht="12.9" customHeight="1">
      <c r="A15" s="1753"/>
      <c r="B15" s="528" t="s">
        <v>66</v>
      </c>
      <c r="C15" s="524">
        <v>155203</v>
      </c>
      <c r="D15" s="1761"/>
      <c r="E15" s="525" t="s">
        <v>874</v>
      </c>
    </row>
    <row r="16" spans="1:5" ht="12.9" customHeight="1">
      <c r="A16" s="1753"/>
      <c r="B16" s="528" t="s">
        <v>317</v>
      </c>
      <c r="C16" s="524">
        <v>182738</v>
      </c>
      <c r="D16" s="1761"/>
      <c r="E16" s="525" t="s">
        <v>875</v>
      </c>
    </row>
    <row r="17" spans="1:5" ht="12.9" customHeight="1">
      <c r="A17" s="1753"/>
      <c r="B17" s="528" t="s">
        <v>70</v>
      </c>
      <c r="C17" s="524">
        <v>163100</v>
      </c>
      <c r="D17" s="1761"/>
      <c r="E17" s="525" t="s">
        <v>875</v>
      </c>
    </row>
    <row r="18" spans="1:5" ht="12.9" customHeight="1">
      <c r="A18" s="1753"/>
      <c r="B18" s="528" t="s">
        <v>69</v>
      </c>
      <c r="C18" s="524">
        <v>132560</v>
      </c>
      <c r="D18" s="1761"/>
      <c r="E18" s="525" t="s">
        <v>875</v>
      </c>
    </row>
    <row r="19" spans="1:5" ht="12.9" customHeight="1">
      <c r="A19" s="1753"/>
      <c r="B19" s="528" t="s">
        <v>1469</v>
      </c>
      <c r="C19" s="524">
        <v>207574</v>
      </c>
      <c r="D19" s="1761"/>
      <c r="E19" s="525" t="s">
        <v>876</v>
      </c>
    </row>
    <row r="20" spans="1:5" ht="12.9" customHeight="1">
      <c r="A20" s="1753"/>
      <c r="B20" s="528" t="s">
        <v>71</v>
      </c>
      <c r="C20" s="524">
        <v>102112</v>
      </c>
      <c r="D20" s="1762"/>
      <c r="E20" s="525"/>
    </row>
    <row r="21" spans="1:5" ht="12.9" customHeight="1">
      <c r="A21" s="1755" t="s">
        <v>318</v>
      </c>
      <c r="B21" s="528" t="s">
        <v>65</v>
      </c>
      <c r="C21" s="526">
        <v>462072</v>
      </c>
      <c r="D21" s="1763" t="s">
        <v>1515</v>
      </c>
      <c r="E21" s="525"/>
    </row>
    <row r="22" spans="1:5" ht="12.9" customHeight="1">
      <c r="A22" s="1755"/>
      <c r="B22" s="528" t="s">
        <v>10</v>
      </c>
      <c r="C22" s="526">
        <v>406342</v>
      </c>
      <c r="D22" s="1758"/>
      <c r="E22" s="525"/>
    </row>
    <row r="23" spans="1:5" ht="12.9" customHeight="1">
      <c r="A23" s="1755"/>
      <c r="B23" s="528" t="s">
        <v>4</v>
      </c>
      <c r="C23" s="526">
        <v>305433</v>
      </c>
      <c r="D23" s="1758"/>
      <c r="E23" s="525"/>
    </row>
    <row r="24" spans="1:5" ht="12.9" customHeight="1">
      <c r="A24" s="1755"/>
      <c r="B24" s="528" t="s">
        <v>5</v>
      </c>
      <c r="C24" s="526">
        <v>239748</v>
      </c>
      <c r="D24" s="1758"/>
      <c r="E24" s="525"/>
    </row>
    <row r="25" spans="1:5" ht="12.9" customHeight="1">
      <c r="A25" s="1755"/>
      <c r="B25" s="528" t="s">
        <v>66</v>
      </c>
      <c r="C25" s="526">
        <v>215681</v>
      </c>
      <c r="D25" s="1758"/>
      <c r="E25" s="525"/>
    </row>
    <row r="26" spans="1:5" ht="12.9" customHeight="1">
      <c r="A26" s="1755"/>
      <c r="B26" s="528" t="s">
        <v>67</v>
      </c>
      <c r="C26" s="526">
        <v>194340</v>
      </c>
      <c r="D26" s="1758"/>
      <c r="E26" s="525"/>
    </row>
    <row r="27" spans="1:5" ht="12.9" customHeight="1">
      <c r="A27" s="1755"/>
      <c r="B27" s="528" t="s">
        <v>68</v>
      </c>
      <c r="C27" s="526">
        <v>158597</v>
      </c>
      <c r="D27" s="1758"/>
      <c r="E27" s="525"/>
    </row>
    <row r="28" spans="1:5" ht="12.9" customHeight="1">
      <c r="A28" s="1755"/>
      <c r="B28" s="528" t="s">
        <v>69</v>
      </c>
      <c r="C28" s="526">
        <v>120948</v>
      </c>
      <c r="D28" s="1758"/>
      <c r="E28" s="525"/>
    </row>
    <row r="29" spans="1:5" ht="12.9" customHeight="1">
      <c r="A29" s="1755"/>
      <c r="B29" s="528" t="s">
        <v>72</v>
      </c>
      <c r="C29" s="526">
        <v>117145</v>
      </c>
      <c r="D29" s="1759"/>
      <c r="E29" s="525"/>
    </row>
    <row r="30" spans="1:5" ht="12.9" customHeight="1">
      <c r="A30" s="1755" t="s">
        <v>1517</v>
      </c>
      <c r="B30" s="529" t="s">
        <v>1518</v>
      </c>
      <c r="C30" s="526">
        <v>348448</v>
      </c>
      <c r="D30" s="1763" t="s">
        <v>1556</v>
      </c>
      <c r="E30" s="525"/>
    </row>
    <row r="31" spans="1:5" ht="12.9" customHeight="1">
      <c r="A31" s="1755"/>
      <c r="B31" s="529" t="s">
        <v>1519</v>
      </c>
      <c r="C31" s="526">
        <v>301354</v>
      </c>
      <c r="D31" s="1758"/>
      <c r="E31" s="525"/>
    </row>
    <row r="32" spans="1:5" ht="12.9" customHeight="1">
      <c r="A32" s="1755"/>
      <c r="B32" s="529" t="s">
        <v>1520</v>
      </c>
      <c r="C32" s="526">
        <v>261714</v>
      </c>
      <c r="D32" s="1758"/>
      <c r="E32" s="525"/>
    </row>
    <row r="33" spans="1:5" ht="12.9" customHeight="1">
      <c r="A33" s="1755"/>
      <c r="B33" s="529" t="s">
        <v>1521</v>
      </c>
      <c r="C33" s="526">
        <v>198557</v>
      </c>
      <c r="D33" s="1759"/>
      <c r="E33" s="525"/>
    </row>
    <row r="34" spans="1:5" ht="12.9" customHeight="1">
      <c r="A34" s="1755" t="s">
        <v>319</v>
      </c>
      <c r="B34" s="530" t="s">
        <v>323</v>
      </c>
      <c r="C34" s="526"/>
      <c r="D34" s="1763" t="s">
        <v>1522</v>
      </c>
      <c r="E34" s="525"/>
    </row>
    <row r="35" spans="1:5" ht="12.9" customHeight="1">
      <c r="A35" s="1755"/>
      <c r="B35" s="530" t="s">
        <v>324</v>
      </c>
      <c r="C35" s="526"/>
      <c r="D35" s="1759"/>
      <c r="E35" s="525"/>
    </row>
    <row r="36" spans="1:5" ht="12.9" customHeight="1">
      <c r="A36" s="1753" t="s">
        <v>56</v>
      </c>
      <c r="B36" s="528" t="s">
        <v>320</v>
      </c>
      <c r="C36" s="746">
        <v>174955</v>
      </c>
      <c r="D36" s="1763" t="s">
        <v>1516</v>
      </c>
      <c r="E36" s="525"/>
    </row>
    <row r="37" spans="1:5" ht="12.9" customHeight="1">
      <c r="A37" s="1753"/>
      <c r="B37" s="528" t="s">
        <v>265</v>
      </c>
      <c r="C37" s="746">
        <v>166063</v>
      </c>
      <c r="D37" s="1758"/>
      <c r="E37" s="525"/>
    </row>
    <row r="38" spans="1:5" ht="12.9" customHeight="1">
      <c r="A38" s="1754"/>
      <c r="B38" s="531" t="s">
        <v>266</v>
      </c>
      <c r="C38" s="747">
        <v>138290</v>
      </c>
      <c r="D38" s="1764"/>
      <c r="E38" s="527"/>
    </row>
  </sheetData>
  <mergeCells count="13">
    <mergeCell ref="A1:E1"/>
    <mergeCell ref="A36:A38"/>
    <mergeCell ref="A30:A33"/>
    <mergeCell ref="A21:A29"/>
    <mergeCell ref="A34:A35"/>
    <mergeCell ref="A3:A10"/>
    <mergeCell ref="A11:A20"/>
    <mergeCell ref="D3:D10"/>
    <mergeCell ref="D11:D20"/>
    <mergeCell ref="D21:D29"/>
    <mergeCell ref="D36:D38"/>
    <mergeCell ref="D30:D33"/>
    <mergeCell ref="D34:D35"/>
  </mergeCells>
  <phoneticPr fontId="1" type="noConversion"/>
  <pageMargins left="0.47244094488188981" right="0.31496062992125984" top="0.59055118110236227" bottom="0.31496062992125984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G34"/>
  <sheetViews>
    <sheetView view="pageBreakPreview" zoomScaleNormal="100" zoomScaleSheetLayoutView="100" workbookViewId="0">
      <selection activeCell="K31" sqref="K31"/>
    </sheetView>
  </sheetViews>
  <sheetFormatPr defaultColWidth="9" defaultRowHeight="13.2"/>
  <cols>
    <col min="1" max="9" width="14.5" style="647" customWidth="1"/>
    <col min="10" max="16384" width="9" style="647"/>
  </cols>
  <sheetData>
    <row r="1" spans="1:7" ht="21">
      <c r="A1" s="1765" t="s">
        <v>1538</v>
      </c>
      <c r="B1" s="1765"/>
      <c r="C1" s="1765"/>
      <c r="D1" s="1765"/>
      <c r="E1" s="1765"/>
      <c r="F1" s="1765"/>
      <c r="G1" s="1765"/>
    </row>
    <row r="2" spans="1:7" ht="15" customHeight="1">
      <c r="A2" s="687" t="s">
        <v>1363</v>
      </c>
      <c r="B2" s="1768" t="s">
        <v>1364</v>
      </c>
      <c r="C2" s="1769"/>
      <c r="D2" s="683" t="s">
        <v>1365</v>
      </c>
      <c r="E2" s="684" t="s">
        <v>680</v>
      </c>
      <c r="F2" s="684" t="s">
        <v>681</v>
      </c>
      <c r="G2" s="685" t="s">
        <v>1366</v>
      </c>
    </row>
    <row r="3" spans="1:7" ht="15" customHeight="1">
      <c r="A3" s="1756" t="s">
        <v>1367</v>
      </c>
      <c r="B3" s="1775" t="s">
        <v>1529</v>
      </c>
      <c r="C3" s="1776"/>
      <c r="D3" s="686">
        <v>15000</v>
      </c>
      <c r="E3" s="1770" t="s">
        <v>1530</v>
      </c>
      <c r="F3" s="675" t="s">
        <v>1368</v>
      </c>
      <c r="G3" s="676"/>
    </row>
    <row r="4" spans="1:7" ht="15" customHeight="1">
      <c r="A4" s="1753"/>
      <c r="B4" s="1766" t="s">
        <v>1369</v>
      </c>
      <c r="C4" s="1767"/>
      <c r="D4" s="681">
        <v>20000</v>
      </c>
      <c r="E4" s="1771"/>
      <c r="F4" s="677"/>
      <c r="G4" s="678"/>
    </row>
    <row r="5" spans="1:7" ht="15" customHeight="1">
      <c r="A5" s="1753"/>
      <c r="B5" s="1766" t="s">
        <v>1370</v>
      </c>
      <c r="C5" s="1767"/>
      <c r="D5" s="681">
        <v>30000</v>
      </c>
      <c r="E5" s="1771"/>
      <c r="F5" s="677"/>
      <c r="G5" s="678"/>
    </row>
    <row r="6" spans="1:7" ht="15" customHeight="1">
      <c r="A6" s="1753"/>
      <c r="B6" s="1766" t="s">
        <v>1371</v>
      </c>
      <c r="C6" s="1767"/>
      <c r="D6" s="681">
        <v>40000</v>
      </c>
      <c r="E6" s="1771"/>
      <c r="F6" s="677"/>
      <c r="G6" s="678"/>
    </row>
    <row r="7" spans="1:7" ht="15" customHeight="1">
      <c r="A7" s="1753"/>
      <c r="B7" s="1766" t="s">
        <v>1372</v>
      </c>
      <c r="C7" s="1767"/>
      <c r="D7" s="681">
        <v>30000</v>
      </c>
      <c r="E7" s="1771"/>
      <c r="F7" s="677"/>
      <c r="G7" s="678"/>
    </row>
    <row r="8" spans="1:7" ht="15" customHeight="1">
      <c r="A8" s="1753"/>
      <c r="B8" s="1766" t="s">
        <v>1373</v>
      </c>
      <c r="C8" s="1767"/>
      <c r="D8" s="681">
        <v>130000</v>
      </c>
      <c r="E8" s="1771"/>
      <c r="F8" s="677"/>
      <c r="G8" s="678"/>
    </row>
    <row r="9" spans="1:7" ht="15" customHeight="1">
      <c r="A9" s="1753"/>
      <c r="B9" s="1766" t="s">
        <v>1351</v>
      </c>
      <c r="C9" s="1767"/>
      <c r="D9" s="681">
        <v>150000</v>
      </c>
      <c r="E9" s="1771"/>
      <c r="F9" s="677"/>
      <c r="G9" s="678"/>
    </row>
    <row r="10" spans="1:7" ht="15" customHeight="1">
      <c r="A10" s="1753"/>
      <c r="B10" s="1766" t="s">
        <v>1352</v>
      </c>
      <c r="C10" s="1767"/>
      <c r="D10" s="681">
        <v>150000</v>
      </c>
      <c r="E10" s="1771"/>
      <c r="F10" s="677"/>
      <c r="G10" s="678"/>
    </row>
    <row r="11" spans="1:7" ht="15" customHeight="1">
      <c r="A11" s="1754"/>
      <c r="B11" s="1773" t="s">
        <v>1374</v>
      </c>
      <c r="C11" s="1774"/>
      <c r="D11" s="682">
        <v>12000</v>
      </c>
      <c r="E11" s="1772"/>
      <c r="F11" s="679"/>
      <c r="G11" s="680"/>
    </row>
    <row r="12" spans="1:7" ht="15" customHeight="1">
      <c r="A12" s="1756" t="s">
        <v>1375</v>
      </c>
      <c r="B12" s="1775" t="s">
        <v>1376</v>
      </c>
      <c r="C12" s="1776"/>
      <c r="D12" s="686">
        <v>120000</v>
      </c>
      <c r="E12" s="1770" t="s">
        <v>1377</v>
      </c>
      <c r="F12" s="675" t="s">
        <v>1378</v>
      </c>
      <c r="G12" s="676"/>
    </row>
    <row r="13" spans="1:7" ht="15" customHeight="1">
      <c r="A13" s="1753"/>
      <c r="B13" s="1766" t="s">
        <v>1353</v>
      </c>
      <c r="C13" s="1767"/>
      <c r="D13" s="681">
        <v>350000</v>
      </c>
      <c r="E13" s="1771"/>
      <c r="F13" s="677" t="s">
        <v>1379</v>
      </c>
      <c r="G13" s="678"/>
    </row>
    <row r="14" spans="1:7" ht="15" customHeight="1">
      <c r="A14" s="1753"/>
      <c r="B14" s="1766" t="s">
        <v>1354</v>
      </c>
      <c r="C14" s="1767"/>
      <c r="D14" s="681">
        <v>720000</v>
      </c>
      <c r="E14" s="1771"/>
      <c r="F14" s="677" t="s">
        <v>1380</v>
      </c>
      <c r="G14" s="678"/>
    </row>
    <row r="15" spans="1:7" ht="15" customHeight="1">
      <c r="A15" s="1753"/>
      <c r="B15" s="1766" t="s">
        <v>1355</v>
      </c>
      <c r="C15" s="1767"/>
      <c r="D15" s="681">
        <v>1000000</v>
      </c>
      <c r="E15" s="1771"/>
      <c r="F15" s="677"/>
      <c r="G15" s="678"/>
    </row>
    <row r="16" spans="1:7" ht="15" customHeight="1">
      <c r="A16" s="1753"/>
      <c r="B16" s="1766" t="s">
        <v>1356</v>
      </c>
      <c r="C16" s="1767"/>
      <c r="D16" s="681">
        <v>150000</v>
      </c>
      <c r="E16" s="1771"/>
      <c r="F16" s="677" t="s">
        <v>1378</v>
      </c>
      <c r="G16" s="678"/>
    </row>
    <row r="17" spans="1:7" ht="15" customHeight="1">
      <c r="A17" s="1753"/>
      <c r="B17" s="1766" t="s">
        <v>1357</v>
      </c>
      <c r="C17" s="1767"/>
      <c r="D17" s="681">
        <v>650000</v>
      </c>
      <c r="E17" s="1771"/>
      <c r="F17" s="677" t="s">
        <v>1379</v>
      </c>
      <c r="G17" s="678"/>
    </row>
    <row r="18" spans="1:7" ht="15" customHeight="1">
      <c r="A18" s="1753"/>
      <c r="B18" s="1766" t="s">
        <v>1358</v>
      </c>
      <c r="C18" s="1767"/>
      <c r="D18" s="681">
        <v>235000</v>
      </c>
      <c r="E18" s="1771"/>
      <c r="F18" s="677" t="s">
        <v>1381</v>
      </c>
      <c r="G18" s="678"/>
    </row>
    <row r="19" spans="1:7" ht="15" customHeight="1">
      <c r="A19" s="1753"/>
      <c r="B19" s="1766" t="s">
        <v>1382</v>
      </c>
      <c r="C19" s="1767"/>
      <c r="D19" s="681">
        <v>580000</v>
      </c>
      <c r="E19" s="1771"/>
      <c r="F19" s="677"/>
      <c r="G19" s="678"/>
    </row>
    <row r="20" spans="1:7" ht="15" customHeight="1">
      <c r="A20" s="1753"/>
      <c r="B20" s="1766" t="s">
        <v>1383</v>
      </c>
      <c r="C20" s="1767"/>
      <c r="D20" s="681">
        <v>110000</v>
      </c>
      <c r="E20" s="1771"/>
      <c r="F20" s="677" t="s">
        <v>1362</v>
      </c>
      <c r="G20" s="678"/>
    </row>
    <row r="21" spans="1:7" ht="15" customHeight="1">
      <c r="A21" s="1753"/>
      <c r="B21" s="1766" t="s">
        <v>1359</v>
      </c>
      <c r="C21" s="1767"/>
      <c r="D21" s="681">
        <v>200000</v>
      </c>
      <c r="E21" s="1771"/>
      <c r="F21" s="677" t="s">
        <v>1384</v>
      </c>
      <c r="G21" s="678"/>
    </row>
    <row r="22" spans="1:7" ht="15" customHeight="1">
      <c r="A22" s="1754"/>
      <c r="B22" s="1773" t="s">
        <v>1360</v>
      </c>
      <c r="C22" s="1774"/>
      <c r="D22" s="682">
        <v>100000</v>
      </c>
      <c r="E22" s="679" t="s">
        <v>1385</v>
      </c>
      <c r="F22" s="679"/>
      <c r="G22" s="680"/>
    </row>
    <row r="23" spans="1:7" ht="15" customHeight="1">
      <c r="A23" s="1756" t="s">
        <v>1386</v>
      </c>
      <c r="B23" s="1775" t="s">
        <v>1531</v>
      </c>
      <c r="C23" s="1776"/>
      <c r="D23" s="686">
        <v>10000</v>
      </c>
      <c r="E23" s="1770" t="s">
        <v>1530</v>
      </c>
      <c r="F23" s="675" t="s">
        <v>1537</v>
      </c>
      <c r="G23" s="676"/>
    </row>
    <row r="24" spans="1:7" ht="15" customHeight="1">
      <c r="A24" s="1753"/>
      <c r="B24" s="1766" t="s">
        <v>1373</v>
      </c>
      <c r="C24" s="1767"/>
      <c r="D24" s="681">
        <v>130000</v>
      </c>
      <c r="E24" s="1771"/>
      <c r="F24" s="731" t="s">
        <v>1536</v>
      </c>
      <c r="G24" s="678"/>
    </row>
    <row r="25" spans="1:7" ht="15" customHeight="1">
      <c r="A25" s="1753"/>
      <c r="B25" s="1766" t="s">
        <v>1350</v>
      </c>
      <c r="C25" s="1767"/>
      <c r="D25" s="681">
        <v>15000</v>
      </c>
      <c r="E25" s="1771"/>
      <c r="F25" s="731" t="s">
        <v>1535</v>
      </c>
      <c r="G25" s="678"/>
    </row>
    <row r="26" spans="1:7" ht="15" customHeight="1">
      <c r="A26" s="1753"/>
      <c r="B26" s="1766" t="s">
        <v>1369</v>
      </c>
      <c r="C26" s="1767"/>
      <c r="D26" s="681">
        <v>20000</v>
      </c>
      <c r="E26" s="1771"/>
      <c r="F26" s="731" t="s">
        <v>1534</v>
      </c>
      <c r="G26" s="678"/>
    </row>
    <row r="27" spans="1:7" ht="15" customHeight="1">
      <c r="A27" s="1753"/>
      <c r="B27" s="1766" t="s">
        <v>1371</v>
      </c>
      <c r="C27" s="1767"/>
      <c r="D27" s="681">
        <v>40000</v>
      </c>
      <c r="E27" s="1771"/>
      <c r="F27" s="731" t="s">
        <v>1534</v>
      </c>
      <c r="G27" s="678"/>
    </row>
    <row r="28" spans="1:7" ht="15" customHeight="1">
      <c r="A28" s="1753"/>
      <c r="B28" s="1766" t="s">
        <v>1370</v>
      </c>
      <c r="C28" s="1767"/>
      <c r="D28" s="681">
        <v>30000</v>
      </c>
      <c r="E28" s="1771"/>
      <c r="F28" s="731" t="s">
        <v>1534</v>
      </c>
      <c r="G28" s="678"/>
    </row>
    <row r="29" spans="1:7" ht="15" customHeight="1">
      <c r="A29" s="1753"/>
      <c r="B29" s="1766" t="s">
        <v>1383</v>
      </c>
      <c r="C29" s="1767"/>
      <c r="D29" s="681">
        <v>110000</v>
      </c>
      <c r="E29" s="1771"/>
      <c r="F29" s="677" t="s">
        <v>1533</v>
      </c>
      <c r="G29" s="678"/>
    </row>
    <row r="30" spans="1:7" ht="15" customHeight="1">
      <c r="A30" s="1754"/>
      <c r="B30" s="1773" t="s">
        <v>1387</v>
      </c>
      <c r="C30" s="1774"/>
      <c r="D30" s="682">
        <v>100000</v>
      </c>
      <c r="E30" s="1772"/>
      <c r="F30" s="679" t="s">
        <v>1532</v>
      </c>
      <c r="G30" s="680"/>
    </row>
    <row r="31" spans="1:7" ht="15" customHeight="1">
      <c r="A31" s="1756" t="s">
        <v>1388</v>
      </c>
      <c r="B31" s="1775" t="s">
        <v>1389</v>
      </c>
      <c r="C31" s="1776"/>
      <c r="D31" s="686">
        <v>150000</v>
      </c>
      <c r="E31" s="675" t="s">
        <v>1390</v>
      </c>
      <c r="F31" s="675"/>
      <c r="G31" s="676"/>
    </row>
    <row r="32" spans="1:7" ht="15" customHeight="1">
      <c r="A32" s="1753"/>
      <c r="B32" s="1766" t="s">
        <v>1361</v>
      </c>
      <c r="C32" s="1767"/>
      <c r="D32" s="681">
        <v>250000</v>
      </c>
      <c r="E32" s="677" t="s">
        <v>1390</v>
      </c>
      <c r="F32" s="677"/>
      <c r="G32" s="678"/>
    </row>
    <row r="33" spans="1:7" ht="15" customHeight="1">
      <c r="A33" s="1753"/>
      <c r="B33" s="1766" t="s">
        <v>1391</v>
      </c>
      <c r="C33" s="1767"/>
      <c r="D33" s="681">
        <v>200000</v>
      </c>
      <c r="E33" s="677" t="s">
        <v>1390</v>
      </c>
      <c r="F33" s="677"/>
      <c r="G33" s="678"/>
    </row>
    <row r="34" spans="1:7" ht="15" customHeight="1">
      <c r="A34" s="1754"/>
      <c r="B34" s="1773" t="s">
        <v>1392</v>
      </c>
      <c r="C34" s="1774"/>
      <c r="D34" s="682">
        <v>100000</v>
      </c>
      <c r="E34" s="679" t="s">
        <v>1390</v>
      </c>
      <c r="F34" s="679"/>
      <c r="G34" s="680"/>
    </row>
  </sheetData>
  <mergeCells count="41">
    <mergeCell ref="A31:A34"/>
    <mergeCell ref="A23:A30"/>
    <mergeCell ref="B33:C33"/>
    <mergeCell ref="B34:C34"/>
    <mergeCell ref="B26:C26"/>
    <mergeCell ref="B32:C32"/>
    <mergeCell ref="B31:C31"/>
    <mergeCell ref="B28:C28"/>
    <mergeCell ref="E23:E30"/>
    <mergeCell ref="E12:E21"/>
    <mergeCell ref="B30:C30"/>
    <mergeCell ref="B24:C24"/>
    <mergeCell ref="B23:C23"/>
    <mergeCell ref="B18:C18"/>
    <mergeCell ref="B27:C27"/>
    <mergeCell ref="B22:C22"/>
    <mergeCell ref="B25:C25"/>
    <mergeCell ref="B19:C19"/>
    <mergeCell ref="B21:C21"/>
    <mergeCell ref="B29:C29"/>
    <mergeCell ref="B20:C20"/>
    <mergeCell ref="A12:A22"/>
    <mergeCell ref="B15:C15"/>
    <mergeCell ref="A3:A11"/>
    <mergeCell ref="B9:C9"/>
    <mergeCell ref="B17:C17"/>
    <mergeCell ref="B11:C11"/>
    <mergeCell ref="B3:C3"/>
    <mergeCell ref="B16:C16"/>
    <mergeCell ref="B14:C14"/>
    <mergeCell ref="B4:C4"/>
    <mergeCell ref="B13:C13"/>
    <mergeCell ref="B12:C12"/>
    <mergeCell ref="A1:G1"/>
    <mergeCell ref="B10:C10"/>
    <mergeCell ref="B5:C5"/>
    <mergeCell ref="B6:C6"/>
    <mergeCell ref="B7:C7"/>
    <mergeCell ref="B8:C8"/>
    <mergeCell ref="B2:C2"/>
    <mergeCell ref="E3:E11"/>
  </mergeCells>
  <phoneticPr fontId="1" type="noConversion"/>
  <pageMargins left="0.47244094488188981" right="0.31496062992125984" top="0.59055118110236227" bottom="0.31496062992125984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W19"/>
  <sheetViews>
    <sheetView view="pageBreakPreview" zoomScaleNormal="100" zoomScaleSheetLayoutView="100" workbookViewId="0">
      <selection activeCell="B10" sqref="B10:W10"/>
    </sheetView>
  </sheetViews>
  <sheetFormatPr defaultColWidth="9" defaultRowHeight="17.399999999999999"/>
  <cols>
    <col min="1" max="1" width="3.19921875" style="122" customWidth="1"/>
    <col min="2" max="2" width="3.59765625" style="122" customWidth="1"/>
    <col min="3" max="32" width="5.59765625" style="122" customWidth="1"/>
    <col min="33" max="16384" width="9" style="122"/>
  </cols>
  <sheetData>
    <row r="1" spans="1:23" ht="25.2">
      <c r="A1" s="1779" t="s">
        <v>300</v>
      </c>
      <c r="B1" s="1779"/>
      <c r="C1" s="1779"/>
      <c r="D1" s="1779"/>
      <c r="E1" s="1779"/>
      <c r="F1" s="1779"/>
      <c r="G1" s="1779"/>
      <c r="H1" s="1779"/>
      <c r="I1" s="1779"/>
      <c r="J1" s="1779"/>
      <c r="K1" s="1779"/>
      <c r="L1" s="1779"/>
      <c r="M1" s="1779"/>
      <c r="N1" s="1779"/>
      <c r="O1" s="1779"/>
      <c r="P1" s="1779"/>
      <c r="Q1" s="1779"/>
      <c r="R1" s="1779"/>
      <c r="S1" s="1779"/>
      <c r="T1" s="1779"/>
      <c r="U1" s="1779"/>
      <c r="V1" s="1779"/>
      <c r="W1" s="1779"/>
    </row>
    <row r="2" spans="1:23" s="699" customFormat="1" ht="19.5" customHeight="1">
      <c r="A2" s="278" t="s">
        <v>1471</v>
      </c>
      <c r="B2" s="1780" t="s">
        <v>1472</v>
      </c>
      <c r="C2" s="1780"/>
      <c r="D2" s="1780"/>
      <c r="E2" s="1780"/>
      <c r="F2" s="1780"/>
      <c r="G2" s="1780"/>
      <c r="H2" s="1780"/>
      <c r="I2" s="1780"/>
      <c r="J2" s="1780"/>
      <c r="K2" s="1780"/>
      <c r="L2" s="1780"/>
      <c r="M2" s="1780"/>
      <c r="N2" s="1780"/>
      <c r="O2" s="1780"/>
      <c r="P2" s="1780"/>
      <c r="Q2" s="1780"/>
      <c r="R2" s="1780"/>
      <c r="S2" s="1780"/>
      <c r="T2" s="1780"/>
      <c r="U2" s="1780"/>
      <c r="V2" s="1780"/>
      <c r="W2" s="1780"/>
    </row>
    <row r="3" spans="1:23" s="699" customFormat="1" ht="19.5" customHeight="1">
      <c r="A3" s="278" t="s">
        <v>52</v>
      </c>
      <c r="B3" s="1777" t="s">
        <v>1563</v>
      </c>
      <c r="C3" s="1777"/>
      <c r="D3" s="1777"/>
      <c r="E3" s="1777"/>
      <c r="F3" s="1777"/>
      <c r="G3" s="1777"/>
      <c r="H3" s="1777"/>
      <c r="I3" s="1777"/>
      <c r="J3" s="1777"/>
      <c r="K3" s="1777"/>
      <c r="L3" s="1777"/>
      <c r="M3" s="1777"/>
      <c r="N3" s="1777"/>
      <c r="O3" s="1777"/>
      <c r="P3" s="1777"/>
      <c r="Q3" s="1777"/>
      <c r="R3" s="1777"/>
      <c r="S3" s="1777"/>
      <c r="T3" s="1777"/>
      <c r="U3" s="1777"/>
      <c r="V3" s="1777"/>
      <c r="W3" s="1777"/>
    </row>
    <row r="4" spans="1:23" s="699" customFormat="1" ht="19.5" customHeight="1">
      <c r="A4" s="278" t="s">
        <v>60</v>
      </c>
      <c r="B4" s="1777" t="s">
        <v>1473</v>
      </c>
      <c r="C4" s="1777"/>
      <c r="D4" s="1777"/>
      <c r="E4" s="1777"/>
      <c r="F4" s="1777"/>
      <c r="G4" s="1777"/>
      <c r="H4" s="1777"/>
      <c r="I4" s="1777"/>
      <c r="J4" s="1777"/>
      <c r="K4" s="1777"/>
      <c r="L4" s="1777"/>
      <c r="M4" s="1777"/>
      <c r="N4" s="1777"/>
      <c r="O4" s="1777"/>
      <c r="P4" s="1777"/>
      <c r="Q4" s="1777"/>
      <c r="R4" s="1777"/>
      <c r="S4" s="1777"/>
      <c r="T4" s="1777"/>
      <c r="U4" s="1777"/>
      <c r="V4" s="1777"/>
      <c r="W4" s="1777"/>
    </row>
    <row r="5" spans="1:23" s="699" customFormat="1" ht="19.5" customHeight="1">
      <c r="A5" s="278" t="s">
        <v>61</v>
      </c>
      <c r="B5" s="1777" t="s">
        <v>1474</v>
      </c>
      <c r="C5" s="1777"/>
      <c r="D5" s="1777"/>
      <c r="E5" s="1777"/>
      <c r="F5" s="1777"/>
      <c r="G5" s="1777"/>
      <c r="H5" s="1777"/>
      <c r="I5" s="1777"/>
      <c r="J5" s="1777"/>
      <c r="K5" s="1777"/>
      <c r="L5" s="1777"/>
      <c r="M5" s="1777"/>
      <c r="N5" s="1777"/>
      <c r="O5" s="1777"/>
      <c r="P5" s="1777"/>
      <c r="Q5" s="1777"/>
      <c r="R5" s="1777"/>
      <c r="S5" s="1777"/>
      <c r="T5" s="1777"/>
      <c r="U5" s="1777"/>
      <c r="V5" s="1777"/>
      <c r="W5" s="1777"/>
    </row>
    <row r="6" spans="1:23" s="699" customFormat="1" ht="19.5" customHeight="1">
      <c r="A6" s="278" t="s">
        <v>326</v>
      </c>
      <c r="B6" s="1777" t="s">
        <v>1475</v>
      </c>
      <c r="C6" s="1777"/>
      <c r="D6" s="1777"/>
      <c r="E6" s="1777"/>
      <c r="F6" s="1777"/>
      <c r="G6" s="1777"/>
      <c r="H6" s="1777"/>
      <c r="I6" s="1777"/>
      <c r="J6" s="1777"/>
      <c r="K6" s="1777"/>
      <c r="L6" s="1777"/>
      <c r="M6" s="1777"/>
      <c r="N6" s="1777"/>
      <c r="O6" s="1777"/>
      <c r="P6" s="1777"/>
      <c r="Q6" s="1777"/>
      <c r="R6" s="1777"/>
      <c r="S6" s="1777"/>
      <c r="T6" s="1777"/>
      <c r="U6" s="1777"/>
      <c r="V6" s="1777"/>
      <c r="W6" s="1777"/>
    </row>
    <row r="7" spans="1:23" s="699" customFormat="1" ht="19.5" customHeight="1">
      <c r="A7" s="278" t="s">
        <v>371</v>
      </c>
      <c r="B7" s="1777" t="s">
        <v>1476</v>
      </c>
      <c r="C7" s="1777"/>
      <c r="D7" s="1777"/>
      <c r="E7" s="1777"/>
      <c r="F7" s="1777"/>
      <c r="G7" s="1777"/>
      <c r="H7" s="1777"/>
      <c r="I7" s="1777"/>
      <c r="J7" s="1777"/>
      <c r="K7" s="1777"/>
      <c r="L7" s="1777"/>
      <c r="M7" s="1777"/>
      <c r="N7" s="1777"/>
      <c r="O7" s="1777"/>
      <c r="P7" s="1777"/>
      <c r="Q7" s="1777"/>
      <c r="R7" s="1777"/>
      <c r="S7" s="1777"/>
      <c r="T7" s="1777"/>
      <c r="U7" s="1777"/>
      <c r="V7" s="1777"/>
      <c r="W7" s="1777"/>
    </row>
    <row r="8" spans="1:23" s="699" customFormat="1" ht="19.5" customHeight="1">
      <c r="A8" s="278" t="s">
        <v>343</v>
      </c>
      <c r="B8" s="1778" t="s">
        <v>1477</v>
      </c>
      <c r="C8" s="1778"/>
      <c r="D8" s="1778"/>
      <c r="E8" s="1778"/>
      <c r="F8" s="1778"/>
      <c r="G8" s="1778"/>
      <c r="H8" s="1778"/>
      <c r="I8" s="1778"/>
      <c r="J8" s="1778"/>
      <c r="K8" s="1778"/>
      <c r="L8" s="1778"/>
      <c r="M8" s="1778"/>
      <c r="N8" s="1778"/>
      <c r="O8" s="1778"/>
      <c r="P8" s="1778"/>
      <c r="Q8" s="1778"/>
      <c r="R8" s="1778"/>
      <c r="S8" s="1778"/>
      <c r="T8" s="1778"/>
      <c r="U8" s="1778"/>
      <c r="V8" s="1778"/>
      <c r="W8" s="1778"/>
    </row>
    <row r="9" spans="1:23" s="699" customFormat="1" ht="19.5" customHeight="1">
      <c r="A9" s="278" t="s">
        <v>372</v>
      </c>
      <c r="B9" s="1777" t="s">
        <v>1478</v>
      </c>
      <c r="C9" s="1777"/>
      <c r="D9" s="1777"/>
      <c r="E9" s="1777"/>
      <c r="F9" s="1777"/>
      <c r="G9" s="1777"/>
      <c r="H9" s="1777"/>
      <c r="I9" s="1777"/>
      <c r="J9" s="1777"/>
      <c r="K9" s="1777"/>
      <c r="L9" s="1777"/>
      <c r="M9" s="1777"/>
      <c r="N9" s="1777"/>
      <c r="O9" s="1777"/>
      <c r="P9" s="1777"/>
      <c r="Q9" s="1777"/>
      <c r="R9" s="1777"/>
      <c r="S9" s="1777"/>
      <c r="T9" s="1777"/>
      <c r="U9" s="1777"/>
      <c r="V9" s="1777"/>
      <c r="W9" s="1777"/>
    </row>
    <row r="10" spans="1:23" s="699" customFormat="1" ht="19.5" customHeight="1">
      <c r="A10" s="278" t="s">
        <v>1479</v>
      </c>
      <c r="B10" s="1777" t="s">
        <v>1480</v>
      </c>
      <c r="C10" s="1777"/>
      <c r="D10" s="1777"/>
      <c r="E10" s="1777"/>
      <c r="F10" s="1777"/>
      <c r="G10" s="1777"/>
      <c r="H10" s="1777"/>
      <c r="I10" s="1777"/>
      <c r="J10" s="1777"/>
      <c r="K10" s="1777"/>
      <c r="L10" s="1777"/>
      <c r="M10" s="1777"/>
      <c r="N10" s="1777"/>
      <c r="O10" s="1777"/>
      <c r="P10" s="1777"/>
      <c r="Q10" s="1777"/>
      <c r="R10" s="1777"/>
      <c r="S10" s="1777"/>
      <c r="T10" s="1777"/>
      <c r="U10" s="1777"/>
      <c r="V10" s="1777"/>
      <c r="W10" s="1777"/>
    </row>
    <row r="11" spans="1:23" s="699" customFormat="1" ht="19.5" customHeight="1">
      <c r="A11" s="278" t="s">
        <v>1481</v>
      </c>
      <c r="B11" s="1778" t="s">
        <v>1482</v>
      </c>
      <c r="C11" s="1778"/>
      <c r="D11" s="1778"/>
      <c r="E11" s="1778"/>
      <c r="F11" s="1778"/>
      <c r="G11" s="1778"/>
      <c r="H11" s="1778"/>
      <c r="I11" s="1778"/>
      <c r="J11" s="1778"/>
      <c r="K11" s="1778"/>
      <c r="L11" s="1778"/>
      <c r="M11" s="1778"/>
      <c r="N11" s="1778"/>
      <c r="O11" s="1778"/>
      <c r="P11" s="1778"/>
      <c r="Q11" s="1778"/>
      <c r="R11" s="1778"/>
      <c r="S11" s="1778"/>
      <c r="T11" s="1778"/>
      <c r="U11" s="1778"/>
      <c r="V11" s="1778"/>
      <c r="W11" s="1778"/>
    </row>
    <row r="12" spans="1:23" s="699" customFormat="1" ht="19.5" customHeight="1">
      <c r="B12" s="700" t="s">
        <v>1483</v>
      </c>
      <c r="C12" s="144" t="s">
        <v>1525</v>
      </c>
    </row>
    <row r="13" spans="1:23" s="699" customFormat="1" ht="19.5" customHeight="1">
      <c r="B13" s="700" t="s">
        <v>1484</v>
      </c>
      <c r="C13" s="144" t="s">
        <v>1523</v>
      </c>
    </row>
    <row r="14" spans="1:23" s="699" customFormat="1" ht="19.5" customHeight="1">
      <c r="B14" s="700" t="s">
        <v>1485</v>
      </c>
      <c r="C14" s="144" t="s">
        <v>1524</v>
      </c>
    </row>
    <row r="15" spans="1:23" s="699" customFormat="1" ht="19.5" customHeight="1">
      <c r="B15" s="700" t="s">
        <v>1486</v>
      </c>
      <c r="C15" s="144" t="s">
        <v>1526</v>
      </c>
    </row>
    <row r="16" spans="1:23" s="699" customFormat="1" ht="19.5" customHeight="1">
      <c r="B16" s="700" t="s">
        <v>1487</v>
      </c>
      <c r="C16" s="144" t="s">
        <v>1527</v>
      </c>
    </row>
    <row r="17" spans="2:3" s="699" customFormat="1" ht="19.5" customHeight="1">
      <c r="B17" s="700" t="s">
        <v>1488</v>
      </c>
      <c r="C17" s="144" t="s">
        <v>1528</v>
      </c>
    </row>
    <row r="18" spans="2:3" s="699" customFormat="1" ht="19.5" customHeight="1">
      <c r="B18" s="700" t="s">
        <v>1489</v>
      </c>
      <c r="C18" s="144" t="s">
        <v>1490</v>
      </c>
    </row>
    <row r="19" spans="2:3" ht="19.5" customHeight="1">
      <c r="B19" s="279"/>
      <c r="C19" s="144"/>
    </row>
  </sheetData>
  <mergeCells count="11">
    <mergeCell ref="B3:W3"/>
    <mergeCell ref="B10:W10"/>
    <mergeCell ref="B11:W11"/>
    <mergeCell ref="A1:W1"/>
    <mergeCell ref="B2:W2"/>
    <mergeCell ref="B9:W9"/>
    <mergeCell ref="B8:W8"/>
    <mergeCell ref="B7:W7"/>
    <mergeCell ref="B6:W6"/>
    <mergeCell ref="B5:W5"/>
    <mergeCell ref="B4:W4"/>
  </mergeCells>
  <phoneticPr fontId="1" type="noConversion"/>
  <hyperlinks>
    <hyperlink ref="B3" r:id="rId1" display="엔지니어링사업대가의 기준(지식경제부 고시)"/>
    <hyperlink ref="B6" r:id="rId2" display="건설공사 감리대가기준(국토해양부 고시)"/>
    <hyperlink ref="B5" r:id="rId3" display="공공발주사업에 대한 건축사의 업무범위와 대가기준(국토해양부 고시)"/>
    <hyperlink ref="B7" r:id="rId4"/>
    <hyperlink ref="B4" r:id="rId5"/>
    <hyperlink ref="B9:W9" r:id="rId6" display="공공측량성과심사 법률 및 고시문 요약"/>
    <hyperlink ref="B10" r:id="rId7"/>
    <hyperlink ref="B5:W5" r:id="rId8" display="공공발주사업에 대한 건축사의 업무범위와 대가기준(국토해양부 고시 제2011-750호, 2011년 12월 8일)"/>
    <hyperlink ref="B3:W3" r:id="rId9" display="엔지니어링사업대가의 기준(지식경제부 고시 제2011-77호, 2011년 4월 27일)"/>
    <hyperlink ref="B4:W4" r:id="rId10" display="측량대가의 기준(국토지리정보원 고시 제2009-938호, 2009년 12월 14일))"/>
    <hyperlink ref="B6:W6" r:id="rId11" display="건설공사 감리대가기준(국토해양부 고시 제2010-1098호, 2010년 12월 30일)"/>
    <hyperlink ref="B7:W7" r:id="rId12" display="학술연구용역 원가계산(기획재정부 계약예규 2200.04-160-9, 2011년 5월 13일)"/>
    <hyperlink ref="B10:W10" r:id="rId13" display="[별표_1]_환경영향평가를_실시하여야_하는_대상사업의_범위,_평가서_제출시기_및_협의요청시기"/>
  </hyperlinks>
  <pageMargins left="0.47244094488188981" right="0.31496062992125984" top="0.59055118110236227" bottom="0.31496062992125984" header="0.31496062992125984" footer="0.31496062992125984"/>
  <pageSetup paperSize="9" orientation="landscape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21</vt:i4>
      </vt:variant>
      <vt:variant>
        <vt:lpstr>이름이 지정된 범위</vt:lpstr>
      </vt:variant>
      <vt:variant>
        <vt:i4>132</vt:i4>
      </vt:variant>
    </vt:vector>
  </HeadingPairs>
  <TitlesOfParts>
    <vt:vector size="153" baseType="lpstr">
      <vt:lpstr>기초자료입력</vt:lpstr>
      <vt:lpstr>지반조사입력</vt:lpstr>
      <vt:lpstr>표지</vt:lpstr>
      <vt:lpstr>내역서</vt:lpstr>
      <vt:lpstr>사업대가</vt:lpstr>
      <vt:lpstr>일위대가</vt:lpstr>
      <vt:lpstr>하천측량</vt:lpstr>
      <vt:lpstr>노선측량</vt:lpstr>
      <vt:lpstr>시가지측량</vt:lpstr>
      <vt:lpstr>수도노선측량</vt:lpstr>
      <vt:lpstr>지형현황측량</vt:lpstr>
      <vt:lpstr>용지측량</vt:lpstr>
      <vt:lpstr>공공측량성과심사</vt:lpstr>
      <vt:lpstr>여비</vt:lpstr>
      <vt:lpstr>손해배상공제</vt:lpstr>
      <vt:lpstr>사전환경성검토</vt:lpstr>
      <vt:lpstr>환경측정분석비</vt:lpstr>
      <vt:lpstr>인허가</vt:lpstr>
      <vt:lpstr>노임단가</vt:lpstr>
      <vt:lpstr>시험단가</vt:lpstr>
      <vt:lpstr>각종기준</vt:lpstr>
      <vt:lpstr>공공측량성과심사!Print_Area</vt:lpstr>
      <vt:lpstr>기초자료입력!Print_Area</vt:lpstr>
      <vt:lpstr>내역서!Print_Area</vt:lpstr>
      <vt:lpstr>사업대가!Print_Area</vt:lpstr>
      <vt:lpstr>사전환경성검토!Print_Area</vt:lpstr>
      <vt:lpstr>손해배상공제!Print_Area</vt:lpstr>
      <vt:lpstr>일위대가!Print_Area</vt:lpstr>
      <vt:lpstr>표지!Print_Area</vt:lpstr>
      <vt:lpstr>내역서!Print_Titles</vt:lpstr>
      <vt:lpstr>일위대가!Print_Titles</vt:lpstr>
      <vt:lpstr>감리사</vt:lpstr>
      <vt:lpstr>감리사보</vt:lpstr>
      <vt:lpstr>건설사업관리기술자고급</vt:lpstr>
      <vt:lpstr>건설사업관리기술자중급</vt:lpstr>
      <vt:lpstr>건설사업관리기술자초급</vt:lpstr>
      <vt:lpstr>건설사업관리기술자특급</vt:lpstr>
      <vt:lpstr>고급도화기능사</vt:lpstr>
      <vt:lpstr>공공수치지형축척</vt:lpstr>
      <vt:lpstr>공공수치축척</vt:lpstr>
      <vt:lpstr>공공수치취득방법</vt:lpstr>
      <vt:lpstr>공공영상축척</vt:lpstr>
      <vt:lpstr>공공좌표축척</vt:lpstr>
      <vt:lpstr>공공지하축척</vt:lpstr>
      <vt:lpstr>공공지형축척</vt:lpstr>
      <vt:lpstr>공사의종류</vt:lpstr>
      <vt:lpstr>기준점2급구하는점</vt:lpstr>
      <vt:lpstr>기준점3급구하는점</vt:lpstr>
      <vt:lpstr>기준점4급구하는점</vt:lpstr>
      <vt:lpstr>노선지구기준</vt:lpstr>
      <vt:lpstr>노선측량일수기준</vt:lpstr>
      <vt:lpstr>노선측량측부기준</vt:lpstr>
      <vt:lpstr>다짐시험</vt:lpstr>
      <vt:lpstr>대기측정분석비</vt:lpstr>
      <vt:lpstr>문화재수리기능자</vt:lpstr>
      <vt:lpstr>문화재수리기술자</vt:lpstr>
      <vt:lpstr>밀도</vt:lpstr>
      <vt:lpstr>보링공</vt:lpstr>
      <vt:lpstr>보통인부</vt:lpstr>
      <vt:lpstr>소고급기능사</vt:lpstr>
      <vt:lpstr>소고급기술자</vt:lpstr>
      <vt:lpstr>소기술사</vt:lpstr>
      <vt:lpstr>소성한계</vt:lpstr>
      <vt:lpstr>소음측정분석비</vt:lpstr>
      <vt:lpstr>소중급기능사</vt:lpstr>
      <vt:lpstr>소중급기술자</vt:lpstr>
      <vt:lpstr>소초급기능사</vt:lpstr>
      <vt:lpstr>소초급기술자</vt:lpstr>
      <vt:lpstr>소특급기술자</vt:lpstr>
      <vt:lpstr>손해배상공제보험료기준</vt:lpstr>
      <vt:lpstr>수도인부기준</vt:lpstr>
      <vt:lpstr>수도일수기준</vt:lpstr>
      <vt:lpstr>수도지구기준</vt:lpstr>
      <vt:lpstr>수석감리사</vt:lpstr>
      <vt:lpstr>수준작업량계수</vt:lpstr>
      <vt:lpstr>순용역금액</vt:lpstr>
      <vt:lpstr>시가지인부기준</vt:lpstr>
      <vt:lpstr>시가지일수기준</vt:lpstr>
      <vt:lpstr>시가지지구기준</vt:lpstr>
      <vt:lpstr>실내씨비알</vt:lpstr>
      <vt:lpstr>액성한계</vt:lpstr>
      <vt:lpstr>엔고급기능사</vt:lpstr>
      <vt:lpstr>엔고급기술자</vt:lpstr>
      <vt:lpstr>엔기술사</vt:lpstr>
      <vt:lpstr>엔중급기능사</vt:lpstr>
      <vt:lpstr>엔중급기술자</vt:lpstr>
      <vt:lpstr>엔지니어링요율</vt:lpstr>
      <vt:lpstr>엔초급기능사</vt:lpstr>
      <vt:lpstr>엔초급기술자</vt:lpstr>
      <vt:lpstr>엔특급기술자</vt:lpstr>
      <vt:lpstr>요율구분계수</vt:lpstr>
      <vt:lpstr>용지지구기준</vt:lpstr>
      <vt:lpstr>용지지구기준1</vt:lpstr>
      <vt:lpstr>용지지구기준2</vt:lpstr>
      <vt:lpstr>용지지구기준3</vt:lpstr>
      <vt:lpstr>용지지구기준4</vt:lpstr>
      <vt:lpstr>용지필지수기준</vt:lpstr>
      <vt:lpstr>일위대가전체</vt:lpstr>
      <vt:lpstr>입도</vt:lpstr>
      <vt:lpstr>입력기준점지형</vt:lpstr>
      <vt:lpstr>입력노선지구</vt:lpstr>
      <vt:lpstr>입력수도지구</vt:lpstr>
      <vt:lpstr>입력수준지형</vt:lpstr>
      <vt:lpstr>입력시가지지구</vt:lpstr>
      <vt:lpstr>입력용지지구</vt:lpstr>
      <vt:lpstr>입력지형작업</vt:lpstr>
      <vt:lpstr>입력지형지형</vt:lpstr>
      <vt:lpstr>입력지형축척</vt:lpstr>
      <vt:lpstr>자료기준지형</vt:lpstr>
      <vt:lpstr>자료수준작업</vt:lpstr>
      <vt:lpstr>자료수준지형</vt:lpstr>
      <vt:lpstr>자료입력원</vt:lpstr>
      <vt:lpstr>자료지형작업</vt:lpstr>
      <vt:lpstr>자료지형지형</vt:lpstr>
      <vt:lpstr>자료지형축척</vt:lpstr>
      <vt:lpstr>작업계수</vt:lpstr>
      <vt:lpstr>작업량2급기준</vt:lpstr>
      <vt:lpstr>작업량2급수준</vt:lpstr>
      <vt:lpstr>작업량3급기준</vt:lpstr>
      <vt:lpstr>작업량4급기준</vt:lpstr>
      <vt:lpstr>작업량계수</vt:lpstr>
      <vt:lpstr>점간거리</vt:lpstr>
      <vt:lpstr>점간거리계수기준</vt:lpstr>
      <vt:lpstr>지표수질측정분석비</vt:lpstr>
      <vt:lpstr>지하수질측정분석비</vt:lpstr>
      <vt:lpstr>지형2급기준</vt:lpstr>
      <vt:lpstr>지형2급수준</vt:lpstr>
      <vt:lpstr>지형3급기준</vt:lpstr>
      <vt:lpstr>지형4급기준</vt:lpstr>
      <vt:lpstr>지형계수</vt:lpstr>
      <vt:lpstr>지형면적</vt:lpstr>
      <vt:lpstr>직접전단시험급속</vt:lpstr>
      <vt:lpstr>진동측정분석비</vt:lpstr>
      <vt:lpstr>축척계수</vt:lpstr>
      <vt:lpstr>측고급기능사</vt:lpstr>
      <vt:lpstr>측고급기술자</vt:lpstr>
      <vt:lpstr>측부</vt:lpstr>
      <vt:lpstr>측중급기능사</vt:lpstr>
      <vt:lpstr>측중급기술자</vt:lpstr>
      <vt:lpstr>측초급기능사</vt:lpstr>
      <vt:lpstr>측초급기술자</vt:lpstr>
      <vt:lpstr>측특급기술자</vt:lpstr>
      <vt:lpstr>토질조사비일위대가</vt:lpstr>
      <vt:lpstr>통과량</vt:lpstr>
      <vt:lpstr>특급감리원</vt:lpstr>
      <vt:lpstr>특별인부</vt:lpstr>
      <vt:lpstr>표준작업량2급</vt:lpstr>
      <vt:lpstr>표준작업량3급</vt:lpstr>
      <vt:lpstr>표준작업량4급</vt:lpstr>
      <vt:lpstr>하천자료제내</vt:lpstr>
      <vt:lpstr>하천자료제외</vt:lpstr>
      <vt:lpstr>하천횡단측량</vt:lpstr>
      <vt:lpstr>함수비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사용자</cp:lastModifiedBy>
  <cp:lastPrinted>2021-03-18T09:09:21Z</cp:lastPrinted>
  <dcterms:created xsi:type="dcterms:W3CDTF">2011-11-11T05:18:52Z</dcterms:created>
  <dcterms:modified xsi:type="dcterms:W3CDTF">2022-01-07T01:45:07Z</dcterms:modified>
</cp:coreProperties>
</file>